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53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4.xml" ContentType="application/vnd.openxmlformats-officedocument.spreadsheetml.comments+xml"/>
  <Override PartName="/xl/externalLinks/externalLink2.xml" ContentType="application/vnd.openxmlformats-officedocument.spreadsheetml.externalLink+xml"/>
  <Override PartName="/xl/comments5.xml" ContentType="application/vnd.openxmlformats-officedocument.spreadsheetml.comments+xml"/>
  <Override PartName="/xl/externalLinks/externalLink3.xml" ContentType="application/vnd.openxmlformats-officedocument.spreadsheetml.externalLink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00 Western Region Office\WUTC\WUTC-Empire 2120\General Rate Filings\Rate Filing 5-1-2023\Non Confidential\"/>
    </mc:Choice>
  </mc:AlternateContent>
  <xr:revisionPtr revIDLastSave="0" documentId="13_ncr:1_{C1EEA036-49BD-44C3-A294-6C66F29A384B}" xr6:coauthVersionLast="47" xr6:coauthVersionMax="47" xr10:uidLastSave="{00000000-0000-0000-0000-000000000000}"/>
  <bookViews>
    <workbookView xWindow="28680" yWindow="-120" windowWidth="29040" windowHeight="15840" firstSheet="1" activeTab="1" xr2:uid="{2FD734AC-E95D-496F-A0D9-F1322DC6766C}"/>
  </bookViews>
  <sheets>
    <sheet name="2120 Depr Summary" sheetId="1" r:id="rId1"/>
    <sheet name="FAR 12.2022" sheetId="6" r:id="rId2"/>
    <sheet name="FAR Dep Summary" sheetId="7" r:id="rId3"/>
    <sheet name="Truck Depr - w Salvage " sheetId="4" r:id="rId4"/>
    <sheet name="Depr - Cont, Shop, Serv, Office" sheetId="3" r:id="rId5"/>
    <sheet name="2120 Depr - Orig" sheetId="2" r:id="rId6"/>
    <sheet name="2023 Bud Capital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6">#REF!</definedName>
    <definedName name="\A">#REF!</definedName>
    <definedName name="\c">'[1]10200'!$IU$8196</definedName>
    <definedName name="\D" localSheetId="6">#REF!</definedName>
    <definedName name="\D">#REF!</definedName>
    <definedName name="\E">'[2]#REF'!$AD$4</definedName>
    <definedName name="\R">'[2]#REF'!$AD$8</definedName>
    <definedName name="\S" localSheetId="6">#REF!</definedName>
    <definedName name="\S">#REF!</definedName>
    <definedName name="\Y" localSheetId="6">#REF!</definedName>
    <definedName name="\Y">#REF!</definedName>
    <definedName name="\z" localSheetId="6">#REF!</definedName>
    <definedName name="\z">#REF!</definedName>
    <definedName name="______________CYA1">[3]Hidden!$N$11</definedName>
    <definedName name="______________CYA10">[3]Hidden!$E$11</definedName>
    <definedName name="______________CYA11">[3]Hidden!$P$11</definedName>
    <definedName name="______________CYA2">[3]Hidden!$M$11</definedName>
    <definedName name="______________CYA3">[3]Hidden!$L$11</definedName>
    <definedName name="______________CYA4">[3]Hidden!$K$11</definedName>
    <definedName name="______________CYA5">[3]Hidden!$J$11</definedName>
    <definedName name="______________CYA6">[3]Hidden!$I$11</definedName>
    <definedName name="______________CYA7">[3]Hidden!$H$11</definedName>
    <definedName name="______________CYA8">[3]Hidden!$G$11</definedName>
    <definedName name="______________CYA9">[3]Hidden!$F$11</definedName>
    <definedName name="______________LYA12">[3]Hidden!$O$11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ACT1">[4]Hidden!#REF!</definedName>
    <definedName name="______ACT2">[4]Hidden!#REF!</definedName>
    <definedName name="______ACT3">[4]Hidden!#REF!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ACT1">[4]Hidden!#REF!</definedName>
    <definedName name="_____ACT2">[4]Hidden!#REF!</definedName>
    <definedName name="_____ACT3">[4]Hidden!#REF!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ACT1">[4]Hidden!#REF!</definedName>
    <definedName name="____ACT2">[4]Hidden!#REF!</definedName>
    <definedName name="____ACT3">[4]Hidden!#REF!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ACT1">[4]Hidden!#REF!</definedName>
    <definedName name="___ACT2">[4]Hidden!#REF!</definedName>
    <definedName name="___ACT3">[4]Hidden!#REF!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ACT1" localSheetId="6">[5]Hidden!#REF!</definedName>
    <definedName name="__ACT1">[5]Hidden!#REF!</definedName>
    <definedName name="__ACT2" localSheetId="6">[5]Hidden!#REF!</definedName>
    <definedName name="__ACT2">[5]Hidden!#REF!</definedName>
    <definedName name="__ACT3" localSheetId="6">[5]Hidden!#REF!</definedName>
    <definedName name="__ACT3">[5]Hidden!#REF!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">[6]Hidden!$P$11</definedName>
    <definedName name="__LYA10">[6]Hidden!$G$11</definedName>
    <definedName name="__LYA11">[6]Hidden!$F$11</definedName>
    <definedName name="__LYA12">[3]Hidden!$O$11</definedName>
    <definedName name="__LYA2">[6]Hidden!$O$11</definedName>
    <definedName name="__LYA3">[6]Hidden!$N$11</definedName>
    <definedName name="__LYA4">[6]Hidden!$M$11</definedName>
    <definedName name="__LYA5">[6]Hidden!$L$11</definedName>
    <definedName name="__LYA6">[6]Hidden!$K$11</definedName>
    <definedName name="__LYA7">[6]Hidden!$J$11</definedName>
    <definedName name="__LYA8">[6]Hidden!$I$11</definedName>
    <definedName name="__LYA9">[6]Hidden!$H$11</definedName>
    <definedName name="_123Graph_g" hidden="1">'[2]#REF'!$F$9:$F$83</definedName>
    <definedName name="_13054">'[7]10800-10899'!#REF!</definedName>
    <definedName name="_132" hidden="1">[1]XXXXXX!$B$10:$B$10</definedName>
    <definedName name="_132Graph_h" localSheetId="6" hidden="1">#REF!</definedName>
    <definedName name="_132Graph_h" localSheetId="4" hidden="1">#REF!</definedName>
    <definedName name="_132Graph_h" localSheetId="3" hidden="1">#REF!</definedName>
    <definedName name="_132Graph_h" hidden="1">#REF!</definedName>
    <definedName name="_ACT1" localSheetId="6">[8]Hidden!#REF!</definedName>
    <definedName name="_ACT1" localSheetId="4">[9]Hidden!#REF!</definedName>
    <definedName name="_ACT1" localSheetId="3">[9]Hidden!#REF!</definedName>
    <definedName name="_ACT1">[9]Hidden!#REF!</definedName>
    <definedName name="_ACT2" localSheetId="6">[8]Hidden!#REF!</definedName>
    <definedName name="_ACT2" localSheetId="4">[9]Hidden!#REF!</definedName>
    <definedName name="_ACT2" localSheetId="3">[9]Hidden!#REF!</definedName>
    <definedName name="_ACT2">[9]Hidden!#REF!</definedName>
    <definedName name="_ACT3" localSheetId="6">[8]Hidden!#REF!</definedName>
    <definedName name="_ACT3" localSheetId="4">[9]Hidden!#REF!</definedName>
    <definedName name="_ACT3" localSheetId="3">[9]Hidden!#REF!</definedName>
    <definedName name="_ACT3">[9]Hidden!#REF!</definedName>
    <definedName name="_ACT4">[4]Hidden!#REF!</definedName>
    <definedName name="_BUN1">'[10]2008 West Group IS'!$AJ$5</definedName>
    <definedName name="_BUN3">'[10]2008 Group Office IS'!$AJ$5</definedName>
    <definedName name="_COS1" localSheetId="6">#REF!</definedName>
    <definedName name="_COS1">#REF!</definedName>
    <definedName name="_COS2" localSheetId="6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localSheetId="6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1" hidden="1">'FAR 12.2022'!$A$13:$AW$346</definedName>
    <definedName name="_Key1" localSheetId="6" hidden="1">#REF!</definedName>
    <definedName name="_Key1" localSheetId="4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[1]XXXXXX!$H$10</definedName>
    <definedName name="_LYA1">[6]Hidden!$P$11</definedName>
    <definedName name="_LYA10">[6]Hidden!$G$11</definedName>
    <definedName name="_LYA11">[6]Hidden!$F$11</definedName>
    <definedName name="_LYA12">[3]Hidden!$O$11</definedName>
    <definedName name="_LYA2">[6]Hidden!$O$11</definedName>
    <definedName name="_LYA3">[6]Hidden!$N$11</definedName>
    <definedName name="_LYA4">[6]Hidden!$M$11</definedName>
    <definedName name="_LYA5">[6]Hidden!$L$11</definedName>
    <definedName name="_LYA6">[6]Hidden!$K$11</definedName>
    <definedName name="_LYA7">[6]Hidden!$J$11</definedName>
    <definedName name="_LYA8">[6]Hidden!$I$11</definedName>
    <definedName name="_LYA9">[6]Hidden!$H$11</definedName>
    <definedName name="_max" localSheetId="6" hidden="1">#REF!</definedName>
    <definedName name="_max" localSheetId="4" hidden="1">#REF!</definedName>
    <definedName name="_max" localSheetId="3" hidden="1">#REF!</definedName>
    <definedName name="_max" hidden="1">#REF!</definedName>
    <definedName name="_Mon" localSheetId="6" hidden="1">#REF!</definedName>
    <definedName name="_Mon" localSheetId="4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[10]WTB!$DC$8</definedName>
    <definedName name="_PER2">'[10]2008 West Group IS'!$AH$8</definedName>
    <definedName name="_PER3">'[10]2008 West Group IS'!$AI$5</definedName>
    <definedName name="_PER4">'[10]2008 Group Office IS'!$AH$8</definedName>
    <definedName name="_PER5">'[10]2008 Group Office IS'!$AI$5</definedName>
    <definedName name="_Regression_Int">0</definedName>
    <definedName name="_SFD1">'[10]2008 West Group IS'!$AK$5</definedName>
    <definedName name="_SFD3">'[10]2008 Group Office IS'!$AK$5</definedName>
    <definedName name="_SFV1">'[10]2008 West Group IS'!$AK$4</definedName>
    <definedName name="_SFV4">'[10]2008 Group Office IS'!$AK$4</definedName>
    <definedName name="_Sort" localSheetId="6" hidden="1">#REF!</definedName>
    <definedName name="_Sort" localSheetId="4" hidden="1">#REF!</definedName>
    <definedName name="_Sort" localSheetId="3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6">#REF!</definedName>
    <definedName name="a">#REF!</definedName>
    <definedName name="aaaaaaa" localSheetId="6">rank</definedName>
    <definedName name="aaaaaaa">rank</definedName>
    <definedName name="Accounts" localSheetId="6">#REF!</definedName>
    <definedName name="Accounts">#REF!</definedName>
    <definedName name="ACCT" localSheetId="6">[3]Hidden!$D$11</definedName>
    <definedName name="ACCT" localSheetId="4">[9]Hidden!#REF!</definedName>
    <definedName name="ACCT" localSheetId="3">[9]Hidden!#REF!</definedName>
    <definedName name="ACCT">[9]Hidden!#REF!</definedName>
    <definedName name="ACCT.ConsolSum">[3]Hidden!$Q$11</definedName>
    <definedName name="AcctName">'[11]2012 Act-Fcast P&amp;L'!#REF!</definedName>
    <definedName name="ACT_CUR" localSheetId="6">[8]Hidden!#REF!</definedName>
    <definedName name="ACT_CUR" localSheetId="4">[9]Hidden!#REF!</definedName>
    <definedName name="ACT_CUR" localSheetId="3">[9]Hidden!#REF!</definedName>
    <definedName name="ACT_CUR">[9]Hidden!#REF!</definedName>
    <definedName name="ACT_YTD" localSheetId="6">[8]Hidden!#REF!</definedName>
    <definedName name="ACT_YTD" localSheetId="4">[9]Hidden!#REF!</definedName>
    <definedName name="ACT_YTD" localSheetId="3">[9]Hidden!#REF!</definedName>
    <definedName name="ACT_YTD">[9]Hidden!#REF!</definedName>
    <definedName name="AD">'[1]ACC DEP 12XXX'!$A$4:$L$22</definedName>
    <definedName name="adfd" localSheetId="6">rank</definedName>
    <definedName name="adfd">rank</definedName>
    <definedName name="ADK">'[1]10250_Recy Chkg'!$D$27</definedName>
    <definedName name="afsdfsdfsd" localSheetId="6">#REF!</definedName>
    <definedName name="afsdfsdfsd">#REF!</definedName>
    <definedName name="AmountCount" localSheetId="6">#REF!</definedName>
    <definedName name="AmountCount" localSheetId="4">#REF!</definedName>
    <definedName name="AmountCount" localSheetId="3">#REF!</definedName>
    <definedName name="AmountCount">#REF!</definedName>
    <definedName name="AmountCount1" localSheetId="6">#REF!</definedName>
    <definedName name="AmountCount1" localSheetId="4">#REF!</definedName>
    <definedName name="AmountCount1" localSheetId="3">#REF!</definedName>
    <definedName name="AmountCount1">#REF!</definedName>
    <definedName name="AmountFrom" localSheetId="6">#REF!</definedName>
    <definedName name="AmountFrom">#REF!</definedName>
    <definedName name="AmountTo" localSheetId="6">#REF!</definedName>
    <definedName name="AmountTo">#REF!</definedName>
    <definedName name="AmountTotal" localSheetId="6">#REF!</definedName>
    <definedName name="AmountTotal" localSheetId="4">#REF!</definedName>
    <definedName name="AmountTotal" localSheetId="3">#REF!</definedName>
    <definedName name="AmountTotal">#REF!</definedName>
    <definedName name="AmountTotal1" localSheetId="6">#REF!</definedName>
    <definedName name="AmountTotal1" localSheetId="4">#REF!</definedName>
    <definedName name="AmountTotal1" localSheetId="3">#REF!</definedName>
    <definedName name="AmountTotal1">#REF!</definedName>
    <definedName name="AOK" localSheetId="6">#REF!</definedName>
    <definedName name="AOK">#REF!</definedName>
    <definedName name="APA">'[12]Income Statement (WMofWA)'!#REF!</definedName>
    <definedName name="APN">'[12]Income Statement (WMofWA)'!#REF!</definedName>
    <definedName name="ASD">'[12]Income Statement (WMofWA)'!#REF!</definedName>
    <definedName name="AST">'[12]Income Statement (WMofWA)'!#REF!</definedName>
    <definedName name="BaseMonthDate">[13]Settings!$I$15</definedName>
    <definedName name="BaseMonthDate2">[13]Settings!$I$16</definedName>
    <definedName name="BaseMonthDate3">[13]Settings!$I$17</definedName>
    <definedName name="BaseYear" localSheetId="6">#REF!</definedName>
    <definedName name="BaseYear">#REF!</definedName>
    <definedName name="BEGCELL" localSheetId="6">#REF!</definedName>
    <definedName name="BEGCELL">#REF!</definedName>
    <definedName name="begin" localSheetId="6">#REF!</definedName>
    <definedName name="begin">#REF!</definedName>
    <definedName name="BookRev" localSheetId="6">'[14]Pacific Regulated - Price Out'!$F$50</definedName>
    <definedName name="BookRev">'[15]Pacific Regulated - Price Out'!$F$50</definedName>
    <definedName name="BookRev_com" localSheetId="6">'[14]Pacific Regulated - Price Out'!$F$214</definedName>
    <definedName name="BookRev_com">'[15]Pacific Regulated - Price Out'!$F$214</definedName>
    <definedName name="BookRev_mfr" localSheetId="6">'[14]Pacific Regulated - Price Out'!$F$222</definedName>
    <definedName name="BookRev_mfr">'[15]Pacific Regulated - Price Out'!$F$222</definedName>
    <definedName name="BookRev_ro" localSheetId="6">'[14]Pacific Regulated - Price Out'!$F$282</definedName>
    <definedName name="BookRev_ro">'[15]Pacific Regulated - Price Out'!$F$282</definedName>
    <definedName name="BookRev_rr" localSheetId="6">'[14]Pacific Regulated - Price Out'!$F$59</definedName>
    <definedName name="BookRev_rr">'[15]Pacific Regulated - Price Out'!$F$59</definedName>
    <definedName name="BookRev_yw" localSheetId="6">'[14]Pacific Regulated - Price Out'!$F$70</definedName>
    <definedName name="BookRev_yw">'[15]Pacific Regulated - Price Out'!$F$70</definedName>
    <definedName name="BREMAIR_COST_of_SERVICE_STUDY" localSheetId="6">#REF!</definedName>
    <definedName name="BREMAIR_COST_of_SERVICE_STUDY" localSheetId="4">#REF!</definedName>
    <definedName name="BREMAIR_COST_of_SERVICE_STUDY" localSheetId="3">#REF!</definedName>
    <definedName name="BREMAIR_COST_of_SERVICE_STUDY">#REF!</definedName>
    <definedName name="Brokerage">'[16]Finance Charges'!$H$8</definedName>
    <definedName name="BUD_CUR" localSheetId="6">[8]Hidden!#REF!</definedName>
    <definedName name="BUD_CUR" localSheetId="4">[9]Hidden!#REF!</definedName>
    <definedName name="BUD_CUR" localSheetId="3">[9]Hidden!#REF!</definedName>
    <definedName name="BUD_CUR">[9]Hidden!#REF!</definedName>
    <definedName name="BUD_YTD" localSheetId="6">[8]Hidden!#REF!</definedName>
    <definedName name="BUD_YTD" localSheetId="4">[9]Hidden!#REF!</definedName>
    <definedName name="BUD_YTD" localSheetId="3">[9]Hidden!#REF!</definedName>
    <definedName name="BUD_YTD">[9]Hidden!#REF!</definedName>
    <definedName name="BUN">[10]WTB!$DD$5</definedName>
    <definedName name="BusUnitCode">[13]Settings!$I$3</definedName>
    <definedName name="BusUnitName">[13]Settings!$I$4</definedName>
    <definedName name="BUV">'[12]Income Statement (WMofWA)'!#REF!</definedName>
    <definedName name="Calc">[10]WTB!#REF!</definedName>
    <definedName name="Calc0">[10]WTB!#REF!</definedName>
    <definedName name="Calc1">[10]WTB!#REF!</definedName>
    <definedName name="Calc10">[10]WTB!#REF!</definedName>
    <definedName name="Calc11">[10]WTB!#REF!</definedName>
    <definedName name="Calc12">[10]WTB!#REF!</definedName>
    <definedName name="Calc13">[10]WTB!#REF!</definedName>
    <definedName name="Calc14">[10]WTB!#REF!</definedName>
    <definedName name="Calc15">[10]WTB!#REF!</definedName>
    <definedName name="Calc16">[10]WTB!#REF!</definedName>
    <definedName name="Calc17">[10]WTB!#REF!</definedName>
    <definedName name="Calc18">[10]WTB!#REF!</definedName>
    <definedName name="Calc2">[10]WTB!#REF!</definedName>
    <definedName name="Calc3">[10]WTB!#REF!</definedName>
    <definedName name="Calc4">[10]WTB!#REF!</definedName>
    <definedName name="Calc5">[10]WTB!#REF!</definedName>
    <definedName name="Calc6">[10]WTB!#REF!</definedName>
    <definedName name="Calc7">[10]WTB!#REF!</definedName>
    <definedName name="Calc8">[10]WTB!#REF!</definedName>
    <definedName name="Calc9">[10]WTB!#REF!</definedName>
    <definedName name="CalRecyTons" localSheetId="6">'[17]Recycl Tons, Commodity Value'!$L$23</definedName>
    <definedName name="CalRecyTons">'[18]Recycl Tons, Commodity Value'!$L$23</definedName>
    <definedName name="CanCartTons">[19]CanCartTonsAllocate!$E$3</definedName>
    <definedName name="CheckTotals" localSheetId="6">#REF!</definedName>
    <definedName name="CheckTotals" localSheetId="4">#REF!</definedName>
    <definedName name="CheckTotals" localSheetId="3">#REF!</definedName>
    <definedName name="CheckTotals">#REF!</definedName>
    <definedName name="clear" localSheetId="6">#REF!</definedName>
    <definedName name="clear">#REF!</definedName>
    <definedName name="CoCanTons">[20]Cust_Count1!$M$28</definedName>
    <definedName name="CoComYd">'[20]Gross Yardage Worksheet'!$L$16</definedName>
    <definedName name="CoCustCnt" localSheetId="6">#REF!</definedName>
    <definedName name="CoCustCnt">#REF!</definedName>
    <definedName name="colgroup">[3]Orientation!$G$6</definedName>
    <definedName name="colsegment">[3]Orientation!$F$6</definedName>
    <definedName name="Comments">[21]Main!$K$57:INDEX([21]Main!$K$57:$K$59,SUMPRODUCT(--([21]Main!$K$57:$K$59&lt;&gt;"")))</definedName>
    <definedName name="CommlStaffPriceOut" localSheetId="6">'[22]Price Out-Reg EASTSIDE-Resi'!#REF!</definedName>
    <definedName name="CommlStaffPriceOut">'[22]Price Out-Reg EASTSIDE-Resi'!#REF!</definedName>
    <definedName name="CoMultiYd">'[20]Gross Yardage Worksheet'!$L$31</definedName>
    <definedName name="ContainerTons">[19]ContainerTonsAllocation!$E$2</definedName>
    <definedName name="ControlNumber">[23]Summary!$J$8</definedName>
    <definedName name="COST_OF_SERVICE_STUDY" localSheetId="6">#REF!</definedName>
    <definedName name="COST_OF_SERVICE_STUDY">#REF!</definedName>
    <definedName name="Coststudy" localSheetId="6">#REF!</definedName>
    <definedName name="Coststudy">#REF!</definedName>
    <definedName name="CoXtraYds" localSheetId="6">#REF!</definedName>
    <definedName name="CoXtraYds">#REF!</definedName>
    <definedName name="CR" localSheetId="6">#REF!</definedName>
    <definedName name="CR">#REF!</definedName>
    <definedName name="CRCTable" localSheetId="6">#REF!</definedName>
    <definedName name="CRCTable" localSheetId="4">#REF!</definedName>
    <definedName name="CRCTable" localSheetId="3">#REF!</definedName>
    <definedName name="CRCTable">#REF!</definedName>
    <definedName name="CRCTableOLD" localSheetId="6">#REF!</definedName>
    <definedName name="CRCTableOLD" localSheetId="4">#REF!</definedName>
    <definedName name="CRCTableOLD" localSheetId="3">#REF!</definedName>
    <definedName name="CRCTableOLD">#REF!</definedName>
    <definedName name="CriteriaType">[24]ControlPanel!$Z$2:$Z$5</definedName>
    <definedName name="CtyCanTons">[20]Cust_Count1!$N$28</definedName>
    <definedName name="CtyComYd">'[20]Gross Yardage Worksheet'!$L$49</definedName>
    <definedName name="CtyCustCnt" localSheetId="6">#REF!</definedName>
    <definedName name="CtyCustCnt">#REF!</definedName>
    <definedName name="CtyMultiYd">'[20]Gross Yardage Worksheet'!$L$64</definedName>
    <definedName name="CtyXtraYds" localSheetId="6">#REF!</definedName>
    <definedName name="CtyXtraYds">#REF!</definedName>
    <definedName name="CUR" localSheetId="6">'[25]O-9'!#REF!</definedName>
    <definedName name="CUR">'[25]O-9'!#REF!</definedName>
    <definedName name="Currency">[21]Main!$I$82</definedName>
    <definedName name="CurrentMonth" localSheetId="6">'[26]38000 Other Rev'!$H$8</definedName>
    <definedName name="CurrentMonth">'[27]38000 Other Rev'!$H$8</definedName>
    <definedName name="Cutomers" localSheetId="6">#REF!</definedName>
    <definedName name="Cutomers" localSheetId="4">#REF!</definedName>
    <definedName name="Cutomers" localSheetId="3">#REF!</definedName>
    <definedName name="Cutomers">#REF!</definedName>
    <definedName name="CWR">'[1]SALES TAX RETURN_20140'!$A$1:$E$49</definedName>
    <definedName name="CWRS" localSheetId="6">#REF!</definedName>
    <definedName name="CWRS">#REF!</definedName>
    <definedName name="CYear" localSheetId="6">'[25]O-9'!#REF!</definedName>
    <definedName name="CYear">'[25]O-9'!#REF!</definedName>
    <definedName name="dasd" localSheetId="6">rank</definedName>
    <definedName name="dasd">rank</definedName>
    <definedName name="Data_End_Test" localSheetId="6">#REF!</definedName>
    <definedName name="Data_End_Test">#REF!</definedName>
    <definedName name="Data_Start_Test" localSheetId="6">#REF!</definedName>
    <definedName name="Data_Start_Test">#REF!</definedName>
    <definedName name="_xlnm.Database" localSheetId="6">#REF!</definedName>
    <definedName name="_xlnm.Database" localSheetId="4">#REF!</definedName>
    <definedName name="_xlnm.Database" localSheetId="3">#REF!</definedName>
    <definedName name="_xlnm.Database">#REF!</definedName>
    <definedName name="Database_MI" localSheetId="6">#REF!</definedName>
    <definedName name="Database_MI">#REF!</definedName>
    <definedName name="Database1" localSheetId="6">#REF!</definedName>
    <definedName name="Database1" localSheetId="4">#REF!</definedName>
    <definedName name="Database1" localSheetId="3">#REF!</definedName>
    <definedName name="Database1">#REF!</definedName>
    <definedName name="DateFrom" localSheetId="6">'[26]38000 Other Rev'!$G$12</definedName>
    <definedName name="DateFrom">'[27]38000 Other Rev'!$G$12</definedName>
    <definedName name="DateRange" localSheetId="6">#REF!</definedName>
    <definedName name="DateRange">#REF!</definedName>
    <definedName name="DateTo" localSheetId="6">'[26]38000 Other Rev'!$G$13</definedName>
    <definedName name="DateTo">'[27]38000 Other Rev'!$G$13</definedName>
    <definedName name="DAY" localSheetId="6">'[12]Income Statement (WMofWA)'!#REF!</definedName>
    <definedName name="DAY">'[12]Income Statement (WMofWA)'!#REF!</definedName>
    <definedName name="DBxStaffPriceOut" localSheetId="6">'[22]Price Out-Reg EASTSIDE-Resi'!#REF!</definedName>
    <definedName name="DBxStaffPriceOut">'[22]Price Out-Reg EASTSIDE-Resi'!#REF!</definedName>
    <definedName name="DEBITS">'[1]ASSETS 11XXX'!$A$1:$L$19</definedName>
    <definedName name="debtP" localSheetId="6">#REF!</definedName>
    <definedName name="debtP">#REF!</definedName>
    <definedName name="DeleteCMReconBook">[23]Summary!$J$10</definedName>
    <definedName name="deletion" localSheetId="6">#REF!</definedName>
    <definedName name="deletion">#REF!</definedName>
    <definedName name="DEPT" localSheetId="6">[8]Hidden!#REF!</definedName>
    <definedName name="DEPT" localSheetId="4">[9]Hidden!#REF!</definedName>
    <definedName name="DEPT" localSheetId="3">[9]Hidden!#REF!</definedName>
    <definedName name="DEPT">[9]Hidden!#REF!</definedName>
    <definedName name="Detail" localSheetId="6">#REF!</definedName>
    <definedName name="Detail">#REF!</definedName>
    <definedName name="DetailBudYear" localSheetId="6">'2023 Bud Capital'!$H$24</definedName>
    <definedName name="DetailBudYear">#REF!</definedName>
    <definedName name="DetailDistrict" localSheetId="6">'2023 Bud Capital'!$H$23</definedName>
    <definedName name="DetailDistrict">#REF!</definedName>
    <definedName name="DispRates" localSheetId="6">#REF!</definedName>
    <definedName name="DispRates">#REF!</definedName>
    <definedName name="Dist" localSheetId="6">[28]Data!$E$3</definedName>
    <definedName name="Dist">[29]Data!$E$3</definedName>
    <definedName name="District" localSheetId="6">#REF!</definedName>
    <definedName name="District" localSheetId="4">'[30]Vashon BS'!#REF!</definedName>
    <definedName name="District" localSheetId="3">'[30]Vashon BS'!#REF!</definedName>
    <definedName name="District">'[30]Vashon BS'!#REF!</definedName>
    <definedName name="District_1" localSheetId="6">'[31]Vashon BS'!#REF!</definedName>
    <definedName name="District_1">'[31]Vashon BS'!#REF!</definedName>
    <definedName name="DistrictName">[23]Summary!$M$8</definedName>
    <definedName name="DistrictNum" localSheetId="6">#REF!</definedName>
    <definedName name="DistrictNum" localSheetId="4">#REF!</definedName>
    <definedName name="DistrictNum" localSheetId="3">#REF!</definedName>
    <definedName name="DistrictNum">#REF!</definedName>
    <definedName name="Districts" localSheetId="6">#REF!</definedName>
    <definedName name="Districts">#REF!</definedName>
    <definedName name="DistrictSelection">[32]Summary!$C$6</definedName>
    <definedName name="DistStaffSignOffStatus">[23]Summary!$N$19</definedName>
    <definedName name="DivisionSignOffReq">[23]Summary!$M$11</definedName>
    <definedName name="DivSignOffStatus">[23]Summary!$N$18</definedName>
    <definedName name="dOG" localSheetId="6">#REF!</definedName>
    <definedName name="dOG" localSheetId="4">#REF!</definedName>
    <definedName name="dOG" localSheetId="3">#REF!</definedName>
    <definedName name="dOG">#REF!</definedName>
    <definedName name="drlFilter">[3]Settings!$D$27</definedName>
    <definedName name="End" localSheetId="6">#REF!</definedName>
    <definedName name="End" localSheetId="4">#REF!</definedName>
    <definedName name="End" localSheetId="3">#REF!</definedName>
    <definedName name="End">#REF!</definedName>
    <definedName name="EndTime">'[25]O-9'!#REF!</definedName>
    <definedName name="EntrieShownLimit" localSheetId="6">'[26]38000 Other Rev'!$D$6</definedName>
    <definedName name="EntrieShownLimit">'[27]38000 Other Rev'!$D$6</definedName>
    <definedName name="ExcludeIC" localSheetId="6">#REF!</definedName>
    <definedName name="ExcludeIC" localSheetId="4">'[27]2025 BS'!#REF!</definedName>
    <definedName name="ExcludeIC" localSheetId="3">'[27]2025 BS'!#REF!</definedName>
    <definedName name="ExcludeIC">'[27]2025 BS'!#REF!</definedName>
    <definedName name="ExcludeIC_1" localSheetId="6">'[31]Vashon BS'!#REF!</definedName>
    <definedName name="ExcludeIC_1">'[31]Vashon BS'!#REF!</definedName>
    <definedName name="expenses" localSheetId="6">#REF!</definedName>
    <definedName name="expenses">#REF!</definedName>
    <definedName name="ExpensesPF1">'[33]LG County Area'!$K$8</definedName>
    <definedName name="EXT" localSheetId="6">#REF!</definedName>
    <definedName name="EXT">#REF!</definedName>
    <definedName name="FBTable" localSheetId="6">#REF!</definedName>
    <definedName name="FBTable" localSheetId="4">#REF!</definedName>
    <definedName name="FBTable" localSheetId="3">#REF!</definedName>
    <definedName name="FBTable">#REF!</definedName>
    <definedName name="FBTableOld" localSheetId="6">#REF!</definedName>
    <definedName name="FBTableOld" localSheetId="4">#REF!</definedName>
    <definedName name="FBTableOld" localSheetId="3">#REF!</definedName>
    <definedName name="FBTableOld">#REF!</definedName>
    <definedName name="filter">[3]Settings!$B$14:$H$25</definedName>
    <definedName name="Financial">[10]WTB!#REF!</definedName>
    <definedName name="FirstColCriteria">[10]WTB!#REF!</definedName>
    <definedName name="FirstHeaderCriteria">[10]WTB!#REF!</definedName>
    <definedName name="flag">[10]WTB!#REF!</definedName>
    <definedName name="Format_Column" localSheetId="6">#REF!</definedName>
    <definedName name="Format_Column">#REF!</definedName>
    <definedName name="formata" localSheetId="6">#REF!</definedName>
    <definedName name="formata">#REF!</definedName>
    <definedName name="formatb" localSheetId="6">#REF!</definedName>
    <definedName name="formatb">#REF!</definedName>
    <definedName name="FromMonth" localSheetId="6">#REF!</definedName>
    <definedName name="FromMonth">#REF!</definedName>
    <definedName name="FundsApprPend" localSheetId="6">[28]Data!#REF!</definedName>
    <definedName name="FundsApprPend" localSheetId="4">[29]Data!#REF!</definedName>
    <definedName name="FundsApprPend" localSheetId="3">[29]Data!#REF!</definedName>
    <definedName name="FundsApprPend">[29]Data!#REF!</definedName>
    <definedName name="FundsBudUnbud" localSheetId="6">[28]Data!#REF!</definedName>
    <definedName name="FundsBudUnbud" localSheetId="4">[29]Data!#REF!</definedName>
    <definedName name="FundsBudUnbud" localSheetId="3">[29]Data!#REF!</definedName>
    <definedName name="FundsBudUnbud">[29]Data!#REF!</definedName>
    <definedName name="FY">'[12]Income Statement (WMofWA)'!#REF!</definedName>
    <definedName name="GLMappingStart" localSheetId="6">#REF!</definedName>
    <definedName name="GLMappingStart" localSheetId="4">#REF!</definedName>
    <definedName name="GLMappingStart" localSheetId="3">#REF!</definedName>
    <definedName name="GLMappingStart">#REF!</definedName>
    <definedName name="GLMappingStart1" localSheetId="6">#REF!</definedName>
    <definedName name="GLMappingStart1" localSheetId="4">#REF!</definedName>
    <definedName name="GLMappingStart1" localSheetId="3">#REF!</definedName>
    <definedName name="GLMappingStart1">#REF!</definedName>
    <definedName name="GRETABLE">[34]Gresham!$E$12:$AI$261</definedName>
    <definedName name="HeaderReturnMessage">[23]Summary!$Q$16</definedName>
    <definedName name="Heading1">'[12]Income Statement (WMofWA)'!#REF!</definedName>
    <definedName name="IDN">'[12]Income Statement (WMofWA)'!#REF!</definedName>
    <definedName name="IFN">'[12]Income Statement (WMofWA)'!#REF!</definedName>
    <definedName name="Import_Range" localSheetId="6">[28]Data!#REF!</definedName>
    <definedName name="Import_Range" localSheetId="4">[29]Data!#REF!</definedName>
    <definedName name="Import_Range" localSheetId="3">[29]Data!#REF!</definedName>
    <definedName name="Import_Range">[29]Data!#REF!</definedName>
    <definedName name="IncomeStmnt" localSheetId="6">#REF!</definedName>
    <definedName name="IncomeStmnt" localSheetId="4">#REF!</definedName>
    <definedName name="IncomeStmnt" localSheetId="3">#REF!</definedName>
    <definedName name="IncomeStmnt">#REF!</definedName>
    <definedName name="INPUT" localSheetId="6">#REF!</definedName>
    <definedName name="INPUT" localSheetId="4">#REF!</definedName>
    <definedName name="INPUT" localSheetId="3">#REF!</definedName>
    <definedName name="INPUT">#REF!</definedName>
    <definedName name="INPUTc" localSheetId="6">#REF!</definedName>
    <definedName name="INPUTc">#REF!</definedName>
    <definedName name="InsertColRange">[10]WTB!#REF!</definedName>
    <definedName name="Insurance" localSheetId="6">#REF!</definedName>
    <definedName name="Insurance" localSheetId="4">#REF!</definedName>
    <definedName name="Insurance" localSheetId="3">#REF!</definedName>
    <definedName name="Insurance">#REF!</definedName>
    <definedName name="Interject_LastPulledValues_BalanceRange" localSheetId="6">#REF!</definedName>
    <definedName name="Interject_LastPulledValues_BalanceRange">#REF!</definedName>
    <definedName name="Interject_LastPulledValues_DescriptionRange" localSheetId="6">#REF!</definedName>
    <definedName name="Interject_LastPulledValues_DescriptionRange">#REF!</definedName>
    <definedName name="Interject_LastPulledValues_LastChangeGUID" localSheetId="6">#REF!</definedName>
    <definedName name="Interject_LastPulledValues_LastChangeGUID">#REF!</definedName>
    <definedName name="Interject_LastPulledValues_PreviousLastChangeGUID" localSheetId="6">#REF!</definedName>
    <definedName name="Interject_LastPulledValues_PreviousLastChangeGUID">#REF!</definedName>
    <definedName name="Invoice_Start" localSheetId="6">[28]Invoice_Drill!#REF!</definedName>
    <definedName name="Invoice_Start" localSheetId="4">[29]Invoice_Drill!#REF!</definedName>
    <definedName name="Invoice_Start" localSheetId="3">[29]Invoice_Drill!#REF!</definedName>
    <definedName name="Invoice_Start">[29]Invoice_Drill!#REF!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6">#REF!</definedName>
    <definedName name="JEDetail" localSheetId="4">#REF!</definedName>
    <definedName name="JEDetail" localSheetId="3">#REF!</definedName>
    <definedName name="JEDetail">#REF!</definedName>
    <definedName name="JEDetail1" localSheetId="6">#REF!</definedName>
    <definedName name="JEDetail1" localSheetId="4">#REF!</definedName>
    <definedName name="JEDetail1" localSheetId="3">#REF!</definedName>
    <definedName name="JEDetail1">#REF!</definedName>
    <definedName name="JEType" localSheetId="6">#REF!</definedName>
    <definedName name="JEType" localSheetId="4">#REF!</definedName>
    <definedName name="JEType" localSheetId="3">#REF!</definedName>
    <definedName name="JEType">#REF!</definedName>
    <definedName name="JEType1" localSheetId="6">#REF!</definedName>
    <definedName name="JEType1" localSheetId="4">#REF!</definedName>
    <definedName name="JEType1" localSheetId="3">#REF!</definedName>
    <definedName name="JEType1">#REF!</definedName>
    <definedName name="Juris1CanCount">[19]Cust_Count1!$C$60</definedName>
    <definedName name="Juris1CanTons">[19]Cust_Count1!$C$30</definedName>
    <definedName name="Juris1ComYd">'[19]Gross Yardage Worksheet'!$L$16</definedName>
    <definedName name="Juris1CustCnt">[19]Cust_Count2!$E$39</definedName>
    <definedName name="Juris1MultiYd">'[19]Gross Yardage Worksheet'!$X$16</definedName>
    <definedName name="Juris1SeasonalYds">'[19]Gross Yardage Worksheet'!$R$18</definedName>
    <definedName name="Juris1XtraYds">[19]Cust_Count2!$E$28</definedName>
    <definedName name="Juris2CanCount">[19]Cust_Count1!$D$60</definedName>
    <definedName name="Juris2CanTons">[19]Cust_Count1!$D$30</definedName>
    <definedName name="Juris2ComYd">'[19]Gross Yardage Worksheet'!$L$33</definedName>
    <definedName name="Juris2CustCnt">[19]Cust_Count2!$F$39</definedName>
    <definedName name="Juris2MultiYd">'[19]Gross Yardage Worksheet'!$X$33</definedName>
    <definedName name="Juris2SeasonalYds">'[19]Gross Yardage Worksheet'!$R$35</definedName>
    <definedName name="Juris2XtraYds">[19]Cust_Count2!$F$28</definedName>
    <definedName name="Juris3CanCount">[19]Cust_Count1!$E$60</definedName>
    <definedName name="Juris3CanTons">[19]Cust_Count1!$E$30</definedName>
    <definedName name="Juris3ComYd">'[19]Gross Yardage Worksheet'!$L$51</definedName>
    <definedName name="Juris3CustCnt">[19]Cust_Count2!$G$39</definedName>
    <definedName name="Juris3MultiYd">'[19]Gross Yardage Worksheet'!$X$51</definedName>
    <definedName name="Juris3SeasonalYds">'[19]Gross Yardage Worksheet'!$R$53</definedName>
    <definedName name="Juris3XtraYds">[19]Cust_Count2!$G$28</definedName>
    <definedName name="Juris4CanCount">[19]Cust_Count1!$F$60</definedName>
    <definedName name="Juris4CanTons">[19]Cust_Count1!$F$30</definedName>
    <definedName name="Juris4ComYd">'[19]Gross Yardage Worksheet'!$L$68</definedName>
    <definedName name="Juris4CustCnt">[19]Cust_Count2!$H$39</definedName>
    <definedName name="Juris4MultiYd">'[19]Gross Yardage Worksheet'!$X$68</definedName>
    <definedName name="Juris4SeasonalYds">'[19]Gross Yardage Worksheet'!$R$70</definedName>
    <definedName name="Juris4XtraYds">[19]Cust_Count2!$H$28</definedName>
    <definedName name="Juris5CanCount">[19]Cust_Count1!$G$60</definedName>
    <definedName name="Juris5CanTons">[19]Cust_Count1!$G$30</definedName>
    <definedName name="Juris5ComYD">'[19]Gross Yardage Worksheet'!$L$85</definedName>
    <definedName name="Juris5CustCnt">[19]Cust_Count2!$I$39</definedName>
    <definedName name="Juris5MultiYd">'[19]Gross Yardage Worksheet'!$X$85</definedName>
    <definedName name="Juris5SeasonalYds">'[19]Gross Yardage Worksheet'!$R$87</definedName>
    <definedName name="Juris5XtraYds">[19]Cust_Count2!$I$28</definedName>
    <definedName name="Jurisdiction_1">'[19]Title Inputs'!$C$5</definedName>
    <definedName name="Jurisdiction_2">'[19]Title Inputs'!$C$6</definedName>
    <definedName name="Jurisdiction_3">'[19]Title Inputs'!$C$7</definedName>
    <definedName name="Jurisdiction_4">'[19]Title Inputs'!$C$8</definedName>
    <definedName name="Jurisdiction_5">'[19]Title Inputs'!$C$9</definedName>
    <definedName name="LAST_ROW">'[35]Income Statement (Tonnage)'!#REF!</definedName>
    <definedName name="LastExecutedFor">[23]Summary!$Q$17</definedName>
    <definedName name="LastSavedOn">[23]Summary!$Q$19</definedName>
    <definedName name="lblBillAreaStatus" localSheetId="6">#REF!</definedName>
    <definedName name="lblBillAreaStatus" localSheetId="4">#REF!</definedName>
    <definedName name="lblBillAreaStatus" localSheetId="3">#REF!</definedName>
    <definedName name="lblBillAreaStatus">#REF!</definedName>
    <definedName name="lblBillCycleStatus" localSheetId="6">#REF!</definedName>
    <definedName name="lblBillCycleStatus" localSheetId="4">#REF!</definedName>
    <definedName name="lblBillCycleStatus" localSheetId="3">#REF!</definedName>
    <definedName name="lblBillCycleStatus">#REF!</definedName>
    <definedName name="lblCategoryStatus" localSheetId="6">#REF!</definedName>
    <definedName name="lblCategoryStatus" localSheetId="4">#REF!</definedName>
    <definedName name="lblCategoryStatus" localSheetId="3">#REF!</definedName>
    <definedName name="lblCategoryStatus">#REF!</definedName>
    <definedName name="lblCompanyStatus" localSheetId="6">#REF!</definedName>
    <definedName name="lblCompanyStatus" localSheetId="4">#REF!</definedName>
    <definedName name="lblCompanyStatus" localSheetId="3">#REF!</definedName>
    <definedName name="lblCompanyStatus">#REF!</definedName>
    <definedName name="lblDatabaseStatus" localSheetId="6">#REF!</definedName>
    <definedName name="lblDatabaseStatus" localSheetId="4">#REF!</definedName>
    <definedName name="lblDatabaseStatus" localSheetId="3">#REF!</definedName>
    <definedName name="lblDatabaseStatus">#REF!</definedName>
    <definedName name="lblPullStatus" localSheetId="6">#REF!</definedName>
    <definedName name="lblPullStatus" localSheetId="4">#REF!</definedName>
    <definedName name="lblPullStatus" localSheetId="3">#REF!</definedName>
    <definedName name="lblPullStatus">#REF!</definedName>
    <definedName name="lllllllllllllllllllll" localSheetId="6">#REF!</definedName>
    <definedName name="lllllllllllllllllllll" localSheetId="4">#REF!</definedName>
    <definedName name="lllllllllllllllllllll" localSheetId="3">#REF!</definedName>
    <definedName name="lllllllllllllllllllll">#REF!</definedName>
    <definedName name="LOB">[36]DropDownRanges!$B$4:$B$37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 localSheetId="6">#REF!</definedName>
    <definedName name="LU_Line">#REF!</definedName>
    <definedName name="Lurito" localSheetId="6">#REF!</definedName>
    <definedName name="Lurito">#REF!</definedName>
    <definedName name="LYN" localSheetId="6">'[12]Income Statement (WMofWA)'!#REF!</definedName>
    <definedName name="LYN">'[12]Income Statement (WMofWA)'!#REF!</definedName>
    <definedName name="MainDataEnd" localSheetId="6">#REF!</definedName>
    <definedName name="MainDataEnd" localSheetId="4">#REF!</definedName>
    <definedName name="MainDataEnd" localSheetId="3">#REF!</definedName>
    <definedName name="MainDataEnd">#REF!</definedName>
    <definedName name="MainDataStart" localSheetId="6">#REF!</definedName>
    <definedName name="MainDataStart" localSheetId="4">#REF!</definedName>
    <definedName name="MainDataStart" localSheetId="3">#REF!</definedName>
    <definedName name="MainDataStart">#REF!</definedName>
    <definedName name="MapKeyStart" localSheetId="6">#REF!</definedName>
    <definedName name="MapKeyStart" localSheetId="4">#REF!</definedName>
    <definedName name="MapKeyStart" localSheetId="3">#REF!</definedName>
    <definedName name="MapKeyStart">#REF!</definedName>
    <definedName name="master_def" localSheetId="6">#REF!</definedName>
    <definedName name="master_def" localSheetId="4">#REF!</definedName>
    <definedName name="master_def" localSheetId="3">#REF!</definedName>
    <definedName name="master_def">#REF!</definedName>
    <definedName name="MATRIX" localSheetId="6">#REF!</definedName>
    <definedName name="MATRIX">#REF!</definedName>
    <definedName name="MemoAttachment" localSheetId="6">#REF!</definedName>
    <definedName name="MemoAttachment" localSheetId="4">#REF!</definedName>
    <definedName name="MemoAttachment" localSheetId="3">#REF!</definedName>
    <definedName name="MemoAttachment">#REF!</definedName>
    <definedName name="MetaSet">[3]Orientation!$C$22</definedName>
    <definedName name="MFStaffPriceOut" localSheetId="6">'[22]Price Out-Reg EASTSIDE-Resi'!#REF!</definedName>
    <definedName name="MFStaffPriceOut">'[22]Price Out-Reg EASTSIDE-Resi'!#REF!</definedName>
    <definedName name="MILTON" localSheetId="6">#REF!</definedName>
    <definedName name="MILTON">#REF!</definedName>
    <definedName name="MissingAccountList">[23]Summary!$Q$18</definedName>
    <definedName name="Month" localSheetId="6">#REF!</definedName>
    <definedName name="Month">#REF!</definedName>
    <definedName name="MonthList" localSheetId="6">'[28]Lookup Tables'!$A$1:$A$13</definedName>
    <definedName name="MonthList">'[29]Lookup Tables'!$A$1:$A$13</definedName>
    <definedName name="MthValue">'[25]O-9'!#REF!</definedName>
    <definedName name="NarrThreshold_Doll">[13]Settings!$I$27</definedName>
    <definedName name="NarrThreshold_Perc">[13]Settings!$I$26</definedName>
    <definedName name="New" localSheetId="6">#REF!</definedName>
    <definedName name="New">#REF!</definedName>
    <definedName name="NewAccountCheck">[23]Summary!$L$18</definedName>
    <definedName name="NewLob">[36]DropDownRanges!$B$4:$B$37</definedName>
    <definedName name="NewOnlyOrg">#N/A</definedName>
    <definedName name="NewSource">[36]DropDownRanges!$D$4:$D$7</definedName>
    <definedName name="nn" localSheetId="6">#REF!</definedName>
    <definedName name="nn">#REF!</definedName>
    <definedName name="NONRECAP" localSheetId="6">#REF!</definedName>
    <definedName name="NONRECAP">#REF!</definedName>
    <definedName name="NOTES" localSheetId="6">#REF!</definedName>
    <definedName name="NOTES" localSheetId="4">#REF!</definedName>
    <definedName name="NOTES" localSheetId="3">#REF!</definedName>
    <definedName name="NOTES">#REF!</definedName>
    <definedName name="NR" localSheetId="6">#REF!</definedName>
    <definedName name="NR" localSheetId="4">#REF!</definedName>
    <definedName name="NR" localSheetId="3">#REF!</definedName>
    <definedName name="N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6">rank</definedName>
    <definedName name="NvsInstanceHook">rank</definedName>
    <definedName name="NvsInstanceHook1" localSheetId="6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#N/A</definedName>
    <definedName name="OffsetAcctBil">[37]JEexport!$L$10</definedName>
    <definedName name="OffsetAcctPmt">[37]JEexport!$L$9</definedName>
    <definedName name="Operations">'[12]Income Statement (WMofWA)'!#REF!</definedName>
    <definedName name="OPR">'[12]Income Statement (WMofWA)'!#REF!</definedName>
    <definedName name="Org11_13">#N/A</definedName>
    <definedName name="Org7_10">#N/A</definedName>
    <definedName name="ORIG2GALWT_" localSheetId="6">#REF!</definedName>
    <definedName name="ORIG2GALWT_">#REF!</definedName>
    <definedName name="ORIG2OH" localSheetId="6">#REF!</definedName>
    <definedName name="ORIG2OH">#REF!</definedName>
    <definedName name="OthCanTons">[20]Cust_Count1!$O$28</definedName>
    <definedName name="OthComYd">'[20]Gross Yardage Worksheet'!$L$82</definedName>
    <definedName name="OthCustCnt" localSheetId="6">#REF!</definedName>
    <definedName name="OthCustCnt">#REF!</definedName>
    <definedName name="OthMultiYd">'[20]Gross Yardage Worksheet'!$L$98</definedName>
    <definedName name="OthXtraYds" localSheetId="6">#REF!</definedName>
    <definedName name="OthXtraYds">#REF!</definedName>
    <definedName name="p" localSheetId="6">#REF!</definedName>
    <definedName name="p" localSheetId="4">#REF!</definedName>
    <definedName name="p" localSheetId="3">#REF!</definedName>
    <definedName name="p">#REF!</definedName>
    <definedName name="PAGE_1" localSheetId="6">#REF!</definedName>
    <definedName name="PAGE_1" localSheetId="4">#REF!</definedName>
    <definedName name="PAGE_1" localSheetId="3">#REF!</definedName>
    <definedName name="PAGE_1">#REF!</definedName>
    <definedName name="Page10" localSheetId="6">#REF!</definedName>
    <definedName name="Page10">#REF!</definedName>
    <definedName name="Page10a" localSheetId="6">#REF!</definedName>
    <definedName name="Page10a">#REF!</definedName>
    <definedName name="page11" localSheetId="6">#REF!</definedName>
    <definedName name="page11">#REF!</definedName>
    <definedName name="page12" localSheetId="6">#REF!</definedName>
    <definedName name="page12">#REF!</definedName>
    <definedName name="Page16" localSheetId="6">#REF!</definedName>
    <definedName name="Page16">#REF!</definedName>
    <definedName name="Page17" localSheetId="6">#REF!</definedName>
    <definedName name="Page17">#REF!</definedName>
    <definedName name="Page18" localSheetId="6">#REF!</definedName>
    <definedName name="Page18">#REF!</definedName>
    <definedName name="Page20" localSheetId="6">#REF!</definedName>
    <definedName name="Page20">#REF!</definedName>
    <definedName name="page7" localSheetId="6">#REF!</definedName>
    <definedName name="page7">#REF!</definedName>
    <definedName name="Page7a" localSheetId="6">#REF!</definedName>
    <definedName name="Page7a">#REF!</definedName>
    <definedName name="pBatchID" localSheetId="6">#REF!</definedName>
    <definedName name="pBatchID" localSheetId="4">#REF!</definedName>
    <definedName name="pBatchID" localSheetId="3">#REF!</definedName>
    <definedName name="pBatchID">#REF!</definedName>
    <definedName name="pBillArea" localSheetId="6">#REF!</definedName>
    <definedName name="pBillArea" localSheetId="4">#REF!</definedName>
    <definedName name="pBillArea" localSheetId="3">#REF!</definedName>
    <definedName name="pBillArea">#REF!</definedName>
    <definedName name="pBillCycle" localSheetId="6">#REF!</definedName>
    <definedName name="pBillCycle" localSheetId="4">#REF!</definedName>
    <definedName name="pBillCycle" localSheetId="3">#REF!</definedName>
    <definedName name="pBillCycle">#REF!</definedName>
    <definedName name="pCategory" localSheetId="6">#REF!</definedName>
    <definedName name="pCategory" localSheetId="4">#REF!</definedName>
    <definedName name="pCategory" localSheetId="3">#REF!</definedName>
    <definedName name="pCategory">#REF!</definedName>
    <definedName name="pCompany" localSheetId="6">#REF!</definedName>
    <definedName name="pCompany" localSheetId="4">#REF!</definedName>
    <definedName name="pCompany" localSheetId="3">#REF!</definedName>
    <definedName name="pCompany">#REF!</definedName>
    <definedName name="pCustomerNumber" localSheetId="6">#REF!</definedName>
    <definedName name="pCustomerNumber" localSheetId="4">#REF!</definedName>
    <definedName name="pCustomerNumber" localSheetId="3">#REF!</definedName>
    <definedName name="pCustomerNumber">#REF!</definedName>
    <definedName name="pDatabase" localSheetId="6">#REF!</definedName>
    <definedName name="pDatabase" localSheetId="4">#REF!</definedName>
    <definedName name="pDatabase" localSheetId="3">#REF!</definedName>
    <definedName name="pDatabase">#REF!</definedName>
    <definedName name="PED">'[12]Income Statement (WMofWA)'!#REF!</definedName>
    <definedName name="pEndPostDate" localSheetId="6">#REF!</definedName>
    <definedName name="pEndPostDate" localSheetId="4">#REF!</definedName>
    <definedName name="pEndPostDate" localSheetId="3">#REF!</definedName>
    <definedName name="pEndPostDate">#REF!</definedName>
    <definedName name="PER">[10]WTB!$DC$5</definedName>
    <definedName name="Period" localSheetId="6">#REF!</definedName>
    <definedName name="Period" localSheetId="4">#REF!</definedName>
    <definedName name="Period" localSheetId="3">#REF!</definedName>
    <definedName name="Period">#REF!</definedName>
    <definedName name="PFREVB4" localSheetId="6">#REF!</definedName>
    <definedName name="PFREVB4">#REF!</definedName>
    <definedName name="pMonth" localSheetId="6">#REF!</definedName>
    <definedName name="pMonth" localSheetId="4">#REF!</definedName>
    <definedName name="pMonth" localSheetId="3">#REF!</definedName>
    <definedName name="pMonth">#REF!</definedName>
    <definedName name="pOnlyShowLastTranx" localSheetId="6">#REF!</definedName>
    <definedName name="pOnlyShowLastTranx" localSheetId="4">#REF!</definedName>
    <definedName name="pOnlyShowLastTranx" localSheetId="3">#REF!</definedName>
    <definedName name="pOnlyShowLastTranx">#REF!</definedName>
    <definedName name="Posting" localSheetId="6">#REF!</definedName>
    <definedName name="Posting">#REF!</definedName>
    <definedName name="POTruckSubTypeLookup">[38]TruckCenterReference!$B$26:$D$74</definedName>
    <definedName name="primtbl">[3]Orientation!$C$23</definedName>
    <definedName name="_xlnm.Print_Area" localSheetId="6">'2023 Bud Capital'!$E$22:$AN$55</definedName>
    <definedName name="_xlnm.Print_Area" localSheetId="5">'2120 Depr - Orig'!$B$1:$AH$350</definedName>
    <definedName name="_xlnm.Print_Area" localSheetId="0">'2120 Depr Summary'!$A$1:$AI$52</definedName>
    <definedName name="_xlnm.Print_Area" localSheetId="4">'Depr - Cont, Shop, Serv, Office'!$A$1:$T$346</definedName>
    <definedName name="_xlnm.Print_Area" localSheetId="1">'FAR 12.2022'!$A$5:$AW$43,'FAR 12.2022'!$A$44:$T$346</definedName>
    <definedName name="_xlnm.Print_Area" localSheetId="3">'Truck Depr - w Salvage '!$A$1:$T$123</definedName>
    <definedName name="_xlnm.Print_Area">#REF!</definedName>
    <definedName name="Print_Area_MI" localSheetId="6">#REF!</definedName>
    <definedName name="Print_Area_MI" localSheetId="5">'2120 Depr - Orig'!$C$1:$AC$58</definedName>
    <definedName name="Print_Area_MI" localSheetId="4">'Depr - Cont, Shop, Serv, Office'!$C$1:$T$11</definedName>
    <definedName name="Print_Area_MI" localSheetId="3">'Truck Depr - w Salvage '!$C$1:$T$75</definedName>
    <definedName name="Print_Area_MI">#REF!</definedName>
    <definedName name="Print_Area_MIc" localSheetId="6">#REF!</definedName>
    <definedName name="Print_Area_MIc">#REF!</definedName>
    <definedName name="Print_Area1" localSheetId="6">#REF!</definedName>
    <definedName name="Print_Area1" localSheetId="4">#REF!</definedName>
    <definedName name="Print_Area1" localSheetId="3">#REF!</definedName>
    <definedName name="Print_Area1">#REF!</definedName>
    <definedName name="Print_Area11" localSheetId="6">#REF!</definedName>
    <definedName name="Print_Area11">#REF!</definedName>
    <definedName name="Print_Area2" localSheetId="6">#REF!</definedName>
    <definedName name="Print_Area2" localSheetId="4">#REF!</definedName>
    <definedName name="Print_Area2" localSheetId="3">#REF!</definedName>
    <definedName name="Print_Area2">#REF!</definedName>
    <definedName name="Print_Area3" localSheetId="6">#REF!</definedName>
    <definedName name="Print_Area3" localSheetId="4">#REF!</definedName>
    <definedName name="Print_Area3" localSheetId="3">#REF!</definedName>
    <definedName name="Print_Area3">#REF!</definedName>
    <definedName name="Print_Area5" localSheetId="6">#REF!</definedName>
    <definedName name="Print_Area5" localSheetId="4">#REF!</definedName>
    <definedName name="Print_Area5" localSheetId="3">#REF!</definedName>
    <definedName name="Print_Area5">#REF!</definedName>
    <definedName name="_xlnm.Print_Titles" localSheetId="5">'2120 Depr - Orig'!$8:$11</definedName>
    <definedName name="_xlnm.Print_Titles" localSheetId="0">'2120 Depr Summary'!$1:$2</definedName>
    <definedName name="_xlnm.Print_Titles" localSheetId="4">'Depr - Cont, Shop, Serv, Office'!$8:$11</definedName>
    <definedName name="_xlnm.Print_Titles" localSheetId="1">'FAR 12.2022'!$C:$E,'FAR 12.2022'!$13:$13</definedName>
    <definedName name="_xlnm.Print_Titles" localSheetId="3">'Truck Depr - w Salvage '!$1:$11</definedName>
    <definedName name="Print_Titles_MI" localSheetId="6">#REF!</definedName>
    <definedName name="Print_Titles_MI">#REF!</definedName>
    <definedName name="Print1" localSheetId="6">#REF!</definedName>
    <definedName name="Print1" localSheetId="4">#REF!</definedName>
    <definedName name="Print1" localSheetId="3">#REF!</definedName>
    <definedName name="Print1">#REF!</definedName>
    <definedName name="Print2" localSheetId="6">#REF!</definedName>
    <definedName name="Print2" localSheetId="4">#REF!</definedName>
    <definedName name="Print2" localSheetId="3">#REF!</definedName>
    <definedName name="Print2">#REF!</definedName>
    <definedName name="Print5" localSheetId="6">#REF!</definedName>
    <definedName name="Print5" localSheetId="4">#REF!</definedName>
    <definedName name="Print5" localSheetId="3">#REF!</definedName>
    <definedName name="Print5">#REF!</definedName>
    <definedName name="Prnit_Range" localSheetId="6">#REF!</definedName>
    <definedName name="Prnit_Range">#REF!</definedName>
    <definedName name="ProRev" localSheetId="6">'[14]Pacific Regulated - Price Out'!$M$49</definedName>
    <definedName name="ProRev">'[15]Pacific Regulated - Price Out'!$M$49</definedName>
    <definedName name="ProRev_com" localSheetId="6">'[14]Pacific Regulated - Price Out'!$M$213</definedName>
    <definedName name="ProRev_com">'[15]Pacific Regulated - Price Out'!$M$213</definedName>
    <definedName name="ProRev_mfr" localSheetId="6">'[14]Pacific Regulated - Price Out'!$M$221</definedName>
    <definedName name="ProRev_mfr">'[15]Pacific Regulated - Price Out'!$M$221</definedName>
    <definedName name="ProRev_ro" localSheetId="6">'[14]Pacific Regulated - Price Out'!$M$281</definedName>
    <definedName name="ProRev_ro">'[15]Pacific Regulated - Price Out'!$M$281</definedName>
    <definedName name="ProRev_rr" localSheetId="6">'[14]Pacific Regulated - Price Out'!$M$58</definedName>
    <definedName name="ProRev_rr">'[15]Pacific Regulated - Price Out'!$M$58</definedName>
    <definedName name="ProRev_yw" localSheetId="6">'[14]Pacific Regulated - Price Out'!$M$69</definedName>
    <definedName name="ProRev_yw">'[15]Pacific Regulated - Price Out'!$M$69</definedName>
    <definedName name="pServer" localSheetId="6">#REF!</definedName>
    <definedName name="pServer" localSheetId="4">#REF!</definedName>
    <definedName name="pServer" localSheetId="3">#REF!</definedName>
    <definedName name="pServer">#REF!</definedName>
    <definedName name="pServiceCode" localSheetId="6">#REF!</definedName>
    <definedName name="pServiceCode" localSheetId="4">#REF!</definedName>
    <definedName name="pServiceCode" localSheetId="3">#REF!</definedName>
    <definedName name="pServiceCode">#REF!</definedName>
    <definedName name="pShowAllUnposted" localSheetId="6">#REF!</definedName>
    <definedName name="pShowAllUnposted" localSheetId="4">#REF!</definedName>
    <definedName name="pShowAllUnposted" localSheetId="3">#REF!</definedName>
    <definedName name="pShowAllUnposted">#REF!</definedName>
    <definedName name="pShowCustomerDetail" localSheetId="6">#REF!</definedName>
    <definedName name="pShowCustomerDetail" localSheetId="4">#REF!</definedName>
    <definedName name="pShowCustomerDetail" localSheetId="3">#REF!</definedName>
    <definedName name="pShowCustomerDetail">#REF!</definedName>
    <definedName name="pSortOption" localSheetId="6">#REF!</definedName>
    <definedName name="pSortOption" localSheetId="4">#REF!</definedName>
    <definedName name="pSortOption" localSheetId="3">#REF!</definedName>
    <definedName name="pSortOption">#REF!</definedName>
    <definedName name="pStartPostDate" localSheetId="6">#REF!</definedName>
    <definedName name="pStartPostDate" localSheetId="4">#REF!</definedName>
    <definedName name="pStartPostDate" localSheetId="3">#REF!</definedName>
    <definedName name="pStartPostDate">#REF!</definedName>
    <definedName name="pTransType" localSheetId="6">#REF!</definedName>
    <definedName name="pTransType" localSheetId="4">#REF!</definedName>
    <definedName name="pTransType" localSheetId="3">#REF!</definedName>
    <definedName name="pTransType">#REF!</definedName>
    <definedName name="PYear">'[25]O-9'!#REF!</definedName>
    <definedName name="QtrValue" localSheetId="6">#REF!</definedName>
    <definedName name="QtrValue">#REF!</definedName>
    <definedName name="Quarter_Budget" localSheetId="6">#REF!</definedName>
    <definedName name="Quarter_Budget">#REF!</definedName>
    <definedName name="Quarter_Month" localSheetId="6">#REF!</definedName>
    <definedName name="Quarter_Month">#REF!</definedName>
    <definedName name="RBU" localSheetId="6">'[12]Income Statement (WMofWA)'!#REF!</definedName>
    <definedName name="RBU">'[12]Income Statement (WMofWA)'!#REF!</definedName>
    <definedName name="RCW_81.04.080">#N/A</definedName>
    <definedName name="RECAP" localSheetId="6">#REF!</definedName>
    <definedName name="RECAP">#REF!</definedName>
    <definedName name="RECAP2" localSheetId="6">#REF!</definedName>
    <definedName name="RECAP2">#REF!</definedName>
    <definedName name="ReconMonth">[23]Summary!$J$18</definedName>
    <definedName name="_xlnm.Recorder" localSheetId="6">#REF!</definedName>
    <definedName name="_xlnm.Recorder">#REF!</definedName>
    <definedName name="RecyDisposal">#N/A</definedName>
    <definedName name="Reg_Cust_Billed_Percent">'[39]Consolidated IS 2009 2010'!$AK$20</definedName>
    <definedName name="Reg_Cust_Percent">'[39]Consolidated IS 2009 2010'!$AC$20</definedName>
    <definedName name="Reg_Drive_Percent">'[39]Consolidated IS 2009 2010'!$AC$40</definedName>
    <definedName name="Reg_Haul_Rev_Percent">'[39]Consolidated IS 2009 2010'!$Z$18</definedName>
    <definedName name="Reg_Lab_Percent">'[39]Consolidated IS 2009 2010'!$AC$39</definedName>
    <definedName name="Reg_Steel_Cont_Percent">'[39]Consolidated IS 2009 2010'!$AE$120</definedName>
    <definedName name="RegionSignOffReq">[23]Summary!$M$10</definedName>
    <definedName name="RegionSignOffStatus">[23]Summary!$N$17</definedName>
    <definedName name="RegulatedIS">'[39]2009 IS'!$A$12:$Q$655</definedName>
    <definedName name="RelatedSalary">#N/A</definedName>
    <definedName name="report_type">[3]Orientation!$C$24</definedName>
    <definedName name="Reporting_Jurisdiction">'[19]Title Inputs'!$C$4</definedName>
    <definedName name="ReportNames">[40]ControlPanel!$S$2:$S$16</definedName>
    <definedName name="ReportVersion">[3]Settings!$D$5</definedName>
    <definedName name="ReslStaffPriceOut" localSheetId="6">'[22]Price Out-Reg EASTSIDE-Resi'!#REF!</definedName>
    <definedName name="ReslStaffPriceOut">'[22]Price Out-Reg EASTSIDE-Resi'!#REF!</definedName>
    <definedName name="RetainedEarnings" localSheetId="6">#REF!</definedName>
    <definedName name="RetainedEarnings" localSheetId="4">#REF!</definedName>
    <definedName name="RetainedEarnings" localSheetId="3">#REF!</definedName>
    <definedName name="RetainedEarnings">#REF!</definedName>
    <definedName name="RevCust" localSheetId="6">[41]RevenuesCust!#REF!</definedName>
    <definedName name="RevCust" localSheetId="4">[42]RevenuesCust!#REF!</definedName>
    <definedName name="RevCust" localSheetId="3">[42]RevenuesCust!#REF!</definedName>
    <definedName name="RevCust">[42]RevenuesCust!#REF!</definedName>
    <definedName name="RevCustomer" localSheetId="6">#REF!</definedName>
    <definedName name="RevCustomer" localSheetId="4">#REF!</definedName>
    <definedName name="RevCustomer" localSheetId="3">#REF!</definedName>
    <definedName name="RevCustomer">#REF!</definedName>
    <definedName name="REVDETAIL" localSheetId="6">#REF!</definedName>
    <definedName name="REVDETAIL">#REF!</definedName>
    <definedName name="Revenue" localSheetId="6">#REF!</definedName>
    <definedName name="Revenue">#REF!</definedName>
    <definedName name="RevenuePF1">'[33]LG County Area'!$K$7</definedName>
    <definedName name="REVMAT" localSheetId="6">#REF!</definedName>
    <definedName name="REVMAT">#REF!</definedName>
    <definedName name="RID" localSheetId="6">'[12]Income Statement (WMofWA)'!#REF!</definedName>
    <definedName name="RID">'[12]Income Statement (WMofWA)'!#REF!</definedName>
    <definedName name="rngBodyText">[6]Delivery!$B$15</definedName>
    <definedName name="RngBottomRight">[6]Delivery!$B$23</definedName>
    <definedName name="rngColDelChars">[6]Delivery!$B$26</definedName>
    <definedName name="rngColumnDelete">[6]Delivery!$B$26</definedName>
    <definedName name="rngCreateLog">[3]Delivery!$B$12</definedName>
    <definedName name="rngDeleteColumns">[6]Delivery!$A$29:$A$38</definedName>
    <definedName name="rngDeleteRows">[6]Delivery!$B$29:$B$38</definedName>
    <definedName name="rngEmail">[6]Delivery!$B$9</definedName>
    <definedName name="rngFileDir">[6]Delivery!$B$6</definedName>
    <definedName name="rngFileFormat">[6]Delivery!$B$4</definedName>
    <definedName name="rngFileName">[6]Delivery!$B$5</definedName>
    <definedName name="rngFilePassword">[3]Delivery!$B$6</definedName>
    <definedName name="rngPassword">[6]Delivery!$B$21</definedName>
    <definedName name="rngPasswordProtect">[6]Delivery!$B$20</definedName>
    <definedName name="rngPrint">[6]Delivery!$B$11</definedName>
    <definedName name="rngRetainFormulas">[6]Delivery!$B$19</definedName>
    <definedName name="rngSaveFile">[6]Delivery!$B$10</definedName>
    <definedName name="rngSourceTab">[3]Delivery!$E$8</definedName>
    <definedName name="rngSubjectLine">[6]Delivery!$B$14</definedName>
    <definedName name="rngTabName">[6]Delivery!$B$18</definedName>
    <definedName name="rngTopLeft">[6]Delivery!$B$22</definedName>
    <definedName name="ROCE" localSheetId="6">#REF!,#REF!</definedName>
    <definedName name="ROCE">#REF!,#REF!</definedName>
    <definedName name="ROW_SUPRESS" localSheetId="6">'[12]Income Statement (WMofWA)'!#REF!</definedName>
    <definedName name="ROW_SUPRESS">'[12]Income Statement (WMofWA)'!#REF!</definedName>
    <definedName name="rowgroup">[3]Orientation!$C$17</definedName>
    <definedName name="rowsegment">[3]Orientation!$B$17</definedName>
    <definedName name="RptEmailAddress">[6]Delivery!$D$4:$D$1005</definedName>
    <definedName name="rtr">'[43]Variance Report'!#REF!</definedName>
    <definedName name="RTT">'[12]Income Statement (WMofWA)'!#REF!</definedName>
    <definedName name="sale" localSheetId="6">#REF!</definedName>
    <definedName name="sale">#REF!</definedName>
    <definedName name="SALES_TAX_RETURN" localSheetId="6">#REF!</definedName>
    <definedName name="SALES_TAX_RETURN">#REF!</definedName>
    <definedName name="Sbst" localSheetId="6">#REF!</definedName>
    <definedName name="Sbst">#REF!</definedName>
    <definedName name="SCN" localSheetId="6">'[12]Income Statement (WMofWA)'!#REF!</definedName>
    <definedName name="SCN">'[12]Income Statement (WMofWA)'!#REF!</definedName>
    <definedName name="seffasfasdfsd" localSheetId="6">[44]Hidden!#REF!</definedName>
    <definedName name="seffasfasdfsd">[44]Hidden!#REF!</definedName>
    <definedName name="SEPARATE" localSheetId="6">#REF!</definedName>
    <definedName name="SEPARATE">#REF!</definedName>
    <definedName name="Separation" localSheetId="6">[45]ProF!#REF!</definedName>
    <definedName name="Separation">[45]ProF!#REF!</definedName>
    <definedName name="Sequential_Group">[3]Settings!$J$6</definedName>
    <definedName name="Sequential_Segment">[3]Settings!$I$6</definedName>
    <definedName name="Sequential_sort">[3]Settings!$I$10:$J$11</definedName>
    <definedName name="Setting_DeprFactor">[13]Settings!$F$5</definedName>
    <definedName name="Setting_LFDeplUnitAcct">[13]Settings!$F$4</definedName>
    <definedName name="Setting_LFUnitCost">[13]Settings!$F$3</definedName>
    <definedName name="Setting_LFUnitCostNY">[13]Settings!$F$7</definedName>
    <definedName name="Setting_LFUnitRow">[13]Settings!$C$3</definedName>
    <definedName name="SFD">[10]WTB!$DE$5</definedName>
    <definedName name="SFD_BU">'[12]Income Statement (WMofWA)'!#REF!</definedName>
    <definedName name="SFD_DEPTID">'[12]Income Statement (WMofWA)'!#REF!</definedName>
    <definedName name="SFD_OP">'[12]Income Statement (WMofWA)'!#REF!</definedName>
    <definedName name="SFD_PROD">'[12]Income Statement (WMofWA)'!#REF!</definedName>
    <definedName name="SFD_PROJ">'[12]Income Statement (WMofWA)'!#REF!</definedName>
    <definedName name="sfdbusunit" localSheetId="6">#REF!</definedName>
    <definedName name="sfdbusunit">#REF!</definedName>
    <definedName name="SFV">[10]WTB!$DE$4</definedName>
    <definedName name="SFV_BU">'[12]Income Statement (WMofWA)'!#REF!</definedName>
    <definedName name="SFV_CUR" localSheetId="6">#REF!</definedName>
    <definedName name="SFV_CUR">#REF!</definedName>
    <definedName name="SFV_CUR1">'[10]2008 West Group IS'!$AM$9</definedName>
    <definedName name="SFV_CUR5">'[10]2008 Group Office IS'!$AM$9</definedName>
    <definedName name="SFV_DEPTID">'[12]Income Statement (WMofWA)'!#REF!</definedName>
    <definedName name="SFV_OP">'[12]Income Statement (WMofWA)'!#REF!</definedName>
    <definedName name="SFV_PROD">'[12]Income Statement (WMofWA)'!#REF!</definedName>
    <definedName name="SFV_PROJ">'[12]Income Statement (WMofWA)'!#REF!</definedName>
    <definedName name="SIC_Table" localSheetId="6">#REF!</definedName>
    <definedName name="SIC_Table">#REF!</definedName>
    <definedName name="slope">'[46]LG Nonpublic 2018 V5.0'!$X$58</definedName>
    <definedName name="sort" localSheetId="6">#REF!</definedName>
    <definedName name="sort">#REF!</definedName>
    <definedName name="Sort1" localSheetId="6">#REF!</definedName>
    <definedName name="Sort1">#REF!</definedName>
    <definedName name="sortcol" localSheetId="6">#REF!</definedName>
    <definedName name="sortcol" localSheetId="4">#REF!</definedName>
    <definedName name="sortcol" localSheetId="3">#REF!</definedName>
    <definedName name="sortcol">#REF!</definedName>
    <definedName name="Source">[36]DropDownRanges!$D$4:$D$7</definedName>
    <definedName name="SPWS_WBID">"115966228744984"</definedName>
    <definedName name="sSRCDate" localSheetId="6">'[47]Feb''12 FAR Data'!#REF!</definedName>
    <definedName name="sSRCDate" localSheetId="4">'[48]Feb''12 FAR Data'!#REF!</definedName>
    <definedName name="sSRCDate" localSheetId="3">'[48]Feb''12 FAR Data'!#REF!</definedName>
    <definedName name="sSRCDate">'[48]Feb''12 FAR Data'!#REF!</definedName>
    <definedName name="start" localSheetId="6">#REF!</definedName>
    <definedName name="start">#REF!</definedName>
    <definedName name="Stop" localSheetId="6">'[25]O-9'!#REF!</definedName>
    <definedName name="Stop">'[25]O-9'!#REF!</definedName>
    <definedName name="SubSystem" localSheetId="6">#REF!</definedName>
    <definedName name="SubSystem">#REF!</definedName>
    <definedName name="SubSystems" localSheetId="6">#REF!</definedName>
    <definedName name="SubSystems">#REF!</definedName>
    <definedName name="SubtypeToTruckType">[49]TruckCenterReference!$C$29:$D$79</definedName>
    <definedName name="SUMMARY" localSheetId="6">#REF!</definedName>
    <definedName name="SUMMARY">#REF!</definedName>
    <definedName name="Summary_DistrictName">[50]Summary!$B$7</definedName>
    <definedName name="Summary_DistrictNo">[50]Summary!$B$5</definedName>
    <definedName name="Supplemental_filter">[3]Settings!$C$31</definedName>
    <definedName name="SWDisposal">#N/A</definedName>
    <definedName name="Syst" localSheetId="6">#REF!</definedName>
    <definedName name="Syst">#REF!</definedName>
    <definedName name="System" localSheetId="6">#REF!</definedName>
    <definedName name="System">[51]BS_Close!$V$8</definedName>
    <definedName name="System_1">[51]BS_Close!$V$8</definedName>
    <definedName name="Systems" localSheetId="6">#REF!</definedName>
    <definedName name="Systems">#REF!</definedName>
    <definedName name="Table_SIC" localSheetId="6">#REF!</definedName>
    <definedName name="Table_SIC">#REF!</definedName>
    <definedName name="TargetMonths">[13]Settings!$I$18</definedName>
    <definedName name="TemplateEnd" localSheetId="6">#REF!</definedName>
    <definedName name="TemplateEnd" localSheetId="4">#REF!</definedName>
    <definedName name="TemplateEnd" localSheetId="3">#REF!</definedName>
    <definedName name="TemplateEnd">#REF!</definedName>
    <definedName name="TemplateStart" localSheetId="6">#REF!</definedName>
    <definedName name="TemplateStart" localSheetId="4">#REF!</definedName>
    <definedName name="TemplateStart" localSheetId="3">#REF!</definedName>
    <definedName name="TemplateStart">#REF!</definedName>
    <definedName name="test">'[52]Sch 4 - 12months'!$B$10:$O$86</definedName>
    <definedName name="TheTable" localSheetId="6">#REF!</definedName>
    <definedName name="TheTable" localSheetId="4">#REF!</definedName>
    <definedName name="TheTable" localSheetId="3">#REF!</definedName>
    <definedName name="TheTable">#REF!</definedName>
    <definedName name="TheTableOLD" localSheetId="6">#REF!</definedName>
    <definedName name="TheTableOLD" localSheetId="4">#REF!</definedName>
    <definedName name="TheTableOLD" localSheetId="3">#REF!</definedName>
    <definedName name="TheTableOLD">#REF!</definedName>
    <definedName name="timeseries">[3]Orientation!$B$6:$C$13</definedName>
    <definedName name="Title2">'[25]O-9'!#REF!</definedName>
    <definedName name="ToMonth" localSheetId="6">#REF!</definedName>
    <definedName name="ToMonth">#REF!</definedName>
    <definedName name="Tons" localSheetId="6">#REF!</definedName>
    <definedName name="Tons">#REF!</definedName>
    <definedName name="TOP" localSheetId="6">'[7]10800-10899'!#REF!</definedName>
    <definedName name="TOP">'[7]10800-10899'!#REF!</definedName>
    <definedName name="Total_Comm" localSheetId="6">'[17]Tariff Rate Sheet'!$L$214</definedName>
    <definedName name="Total_Comm">'[18]Tariff Rate Sheet'!$L$214</definedName>
    <definedName name="Total_DB" localSheetId="6">'[17]Tariff Rate Sheet'!$L$278</definedName>
    <definedName name="Total_DB">'[18]Tariff Rate Sheet'!$L$278</definedName>
    <definedName name="Total_Interest">'[53]Amortization Table'!$F$18</definedName>
    <definedName name="Total_Resi" localSheetId="6">'[17]Tariff Rate Sheet'!$L$107</definedName>
    <definedName name="Total_Resi">'[18]Tariff Rate Sheet'!$L$107</definedName>
    <definedName name="TotalYards">'[20]Gross Yardage Worksheet'!$N$101</definedName>
    <definedName name="TOTCONT">'[34]Sorted Master'!$K$9</definedName>
    <definedName name="TOTCRECCONT">'[34]Sorted Master'!$Z$9</definedName>
    <definedName name="TOTCRECCUST" localSheetId="6">'[54]Sorted Master-2112-2148'!#REF!</definedName>
    <definedName name="TOTCRECCUST">'[54]Sorted Master-2112-2148'!#REF!</definedName>
    <definedName name="TOTCRECDH" localSheetId="6">'[54]Sorted Master-2112-2148'!#REF!</definedName>
    <definedName name="TOTCRECDH">'[54]Sorted Master-2112-2148'!#REF!</definedName>
    <definedName name="TOTCRECREV" localSheetId="6">'[54]Sorted Master-2112-2148'!#REF!</definedName>
    <definedName name="TOTCRECREV">'[54]Sorted Master-2112-2148'!#REF!</definedName>
    <definedName name="TOTCRECTDEP" localSheetId="6">'[54]Sorted Master-2112-2148'!#REF!</definedName>
    <definedName name="TOTCRECTDEP">'[54]Sorted Master-2112-2148'!#REF!</definedName>
    <definedName name="TOTCRECTH">'[34]Sorted Master'!$Z$8</definedName>
    <definedName name="TOTCRECTV" localSheetId="6">'[54]Sorted Master-2112-2148'!#REF!</definedName>
    <definedName name="TOTCRECTV">'[54]Sorted Master-2112-2148'!#REF!</definedName>
    <definedName name="TOTCUST" localSheetId="6">'[54]Sorted Master-2112-2148'!#REF!</definedName>
    <definedName name="TOTCUST">'[54]Sorted Master-2112-2148'!#REF!</definedName>
    <definedName name="TOTDBCONT" localSheetId="6">'[54]Sorted Master-2112-2148'!#REF!</definedName>
    <definedName name="TOTDBCONT">'[54]Sorted Master-2112-2148'!#REF!</definedName>
    <definedName name="TOTDBCUST" localSheetId="6">'[54]Sorted Master-2112-2148'!#REF!</definedName>
    <definedName name="TOTDBCUST">'[54]Sorted Master-2112-2148'!#REF!</definedName>
    <definedName name="TOTDBDH">'[54]Sorted Master-2112-2148'!#REF!</definedName>
    <definedName name="TOTDBREV">'[54]Sorted Master-2112-2148'!#REF!</definedName>
    <definedName name="TOTDBTDEP">'[54]Sorted Master-2112-2148'!#REF!</definedName>
    <definedName name="TOTDBTH">'[54]Sorted Master-2112-2148'!#REF!</definedName>
    <definedName name="TOTDBTV">'[54]Sorted Master-2112-2148'!#REF!</definedName>
    <definedName name="TOTDEBCONT">'[54]Sorted Master-2112-2148'!#REF!</definedName>
    <definedName name="TOTDEBCUST">'[54]Sorted Master-2112-2148'!#REF!</definedName>
    <definedName name="TOTDEBDH">'[54]Sorted Master-2112-2148'!#REF!</definedName>
    <definedName name="TOTDEBREV">'[54]Sorted Master-2112-2148'!#REF!</definedName>
    <definedName name="TOTDEBTH">'[34]Sorted Master'!$AD$8</definedName>
    <definedName name="TOTDH" localSheetId="6">'[54]Sorted Master-2112-2148'!#REF!</definedName>
    <definedName name="TOTDH">'[54]Sorted Master-2112-2148'!#REF!</definedName>
    <definedName name="TOTFELCONT" localSheetId="6">'[54]Sorted Master-2112-2148'!#REF!</definedName>
    <definedName name="TOTFELCONT">'[54]Sorted Master-2112-2148'!#REF!</definedName>
    <definedName name="TOTFELCUST" localSheetId="6">'[54]Sorted Master-2112-2148'!#REF!</definedName>
    <definedName name="TOTFELCUST">'[54]Sorted Master-2112-2148'!#REF!</definedName>
    <definedName name="TOTFELDH" localSheetId="6">'[54]Sorted Master-2112-2148'!#REF!</definedName>
    <definedName name="TOTFELDH">'[54]Sorted Master-2112-2148'!#REF!</definedName>
    <definedName name="TOTFELREV">'[54]Sorted Master-2112-2148'!#REF!</definedName>
    <definedName name="TOTFELTDEP">'[54]Sorted Master-2112-2148'!#REF!</definedName>
    <definedName name="TOTFELTH">'[54]Sorted Master-2112-2148'!#REF!</definedName>
    <definedName name="TOTFELTV">'[54]Sorted Master-2112-2148'!#REF!</definedName>
    <definedName name="TOTRESCONT">'[54]Sorted Master-2112-2148'!#REF!</definedName>
    <definedName name="TOTRESCUST">'[54]Sorted Master-2112-2148'!#REF!</definedName>
    <definedName name="TOTRESDH">'[54]Sorted Master-2112-2148'!#REF!</definedName>
    <definedName name="TOTRESRCONT">'[54]Sorted Master-2112-2148'!#REF!</definedName>
    <definedName name="TOTRESRCUST">'[54]Sorted Master-2112-2148'!#REF!</definedName>
    <definedName name="TOTRESRDH">'[54]Sorted Master-2112-2148'!#REF!</definedName>
    <definedName name="TOTRESREV">'[54]Sorted Master-2112-2148'!#REF!</definedName>
    <definedName name="TOTRESRREV">'[54]Sorted Master-2112-2148'!#REF!</definedName>
    <definedName name="TOTRESRTDEP">'[54]Sorted Master-2112-2148'!#REF!</definedName>
    <definedName name="TOTRESRTH">'[54]Sorted Master-2112-2148'!#REF!</definedName>
    <definedName name="TOTRESRTV">'[54]Sorted Master-2112-2148'!#REF!</definedName>
    <definedName name="TOTRESTDEP">'[54]Sorted Master-2112-2148'!#REF!</definedName>
    <definedName name="TOTRESTH">'[54]Sorted Master-2112-2148'!#REF!</definedName>
    <definedName name="TOTRESTV">'[54]Sorted Master-2112-2148'!#REF!</definedName>
    <definedName name="TOTREV">'[54]Sorted Master-2112-2148'!#REF!</definedName>
    <definedName name="TOTTDEP">'[54]Sorted Master-2112-2148'!#REF!</definedName>
    <definedName name="TOTTH">'[54]Sorted Master-2112-2148'!#REF!</definedName>
    <definedName name="TOTTV">'[54]Sorted Master-2112-2148'!#REF!</definedName>
    <definedName name="Transactions" localSheetId="6">#REF!</definedName>
    <definedName name="Transactions" localSheetId="4">#REF!</definedName>
    <definedName name="Transactions" localSheetId="3">#REF!</definedName>
    <definedName name="Transactions">#REF!</definedName>
    <definedName name="UnformattedIS" localSheetId="6">#REF!</definedName>
    <definedName name="UnformattedIS">#REF!</definedName>
    <definedName name="UnregulatedIS">'[39]2010 IS'!$A$12:$Q$654</definedName>
    <definedName name="UserTestMode">[23]Summary!$J$9</definedName>
    <definedName name="ValidFormats">[6]Delivery!$AA$4:$AA$10</definedName>
    <definedName name="Variables">'[12]Income Statement (WMofWA)'!#REF!</definedName>
    <definedName name="VarianceStatus">[23]Summary!$L$17</definedName>
    <definedName name="VarianceTolerance">[23]Summary!$U$21</definedName>
    <definedName name="VendorCode" localSheetId="6">#REF!</definedName>
    <definedName name="VendorCode">#REF!</definedName>
    <definedName name="Version" localSheetId="6">[28]Data!#REF!</definedName>
    <definedName name="Version" localSheetId="4">[29]Data!#REF!</definedName>
    <definedName name="Version" localSheetId="3">[29]Data!#REF!</definedName>
    <definedName name="Version">[29]Data!#REF!</definedName>
    <definedName name="Waste_Management__Inc." localSheetId="6">#REF!</definedName>
    <definedName name="Waste_Management__Inc.">#REF!</definedName>
    <definedName name="WksInYr" localSheetId="6">#REF!</definedName>
    <definedName name="WksInYr">#REF!</definedName>
    <definedName name="WM" localSheetId="6">#REF!</definedName>
    <definedName name="WM">#REF!</definedName>
    <definedName name="wrn.PrintReview." localSheetId="6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6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6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6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6">#REF!</definedName>
    <definedName name="WTable" localSheetId="4">#REF!</definedName>
    <definedName name="WTable" localSheetId="3">#REF!</definedName>
    <definedName name="WTable">#REF!</definedName>
    <definedName name="WTableOld" localSheetId="6">#REF!</definedName>
    <definedName name="WTableOld" localSheetId="4">#REF!</definedName>
    <definedName name="WTableOld" localSheetId="3">#REF!</definedName>
    <definedName name="WTableOld">#REF!</definedName>
    <definedName name="ww" localSheetId="6">#REF!</definedName>
    <definedName name="ww" localSheetId="4">#REF!</definedName>
    <definedName name="ww" localSheetId="3">#REF!</definedName>
    <definedName name="ww">#REF!</definedName>
    <definedName name="x" localSheetId="6">rank</definedName>
    <definedName name="x">rank</definedName>
    <definedName name="xperiod">[3]Orientation!$G$15</definedName>
    <definedName name="xtabin" localSheetId="6">[8]Hidden!#REF!</definedName>
    <definedName name="xtabin" localSheetId="4">[9]Hidden!#REF!</definedName>
    <definedName name="xtabin" localSheetId="3">[9]Hidden!#REF!</definedName>
    <definedName name="xtabin">[9]Hidden!#REF!</definedName>
    <definedName name="xx" localSheetId="6">#REF!</definedName>
    <definedName name="xx" localSheetId="4">#REF!</definedName>
    <definedName name="xx" localSheetId="3">#REF!</definedName>
    <definedName name="xx">#REF!</definedName>
    <definedName name="xxx" localSheetId="6">#REF!</definedName>
    <definedName name="xxx" localSheetId="4">#REF!</definedName>
    <definedName name="xxx" localSheetId="3">#REF!</definedName>
    <definedName name="xxx">#REF!</definedName>
    <definedName name="xxxx" localSheetId="6">#REF!</definedName>
    <definedName name="xxxx" localSheetId="4">#REF!</definedName>
    <definedName name="xxxx" localSheetId="3">#REF!</definedName>
    <definedName name="xxxx">#REF!</definedName>
    <definedName name="y_inter1">'[46]LG Nonpublic 2018 V5.0'!$W$55</definedName>
    <definedName name="y_inter2">'[46]LG Nonpublic 2018 V5.0'!$W$56</definedName>
    <definedName name="y_inter3">'[46]LG Nonpublic 2018 V5.0'!$Y$55</definedName>
    <definedName name="y_inter4">'[46]LG Nonpublic 2018 V5.0'!$Y$56</definedName>
    <definedName name="Year">'[55]Aug Av. Fuel Price'!$E$15</definedName>
    <definedName name="Year_of_Review">'[19]Title Inputs'!$C$3</definedName>
    <definedName name="YEAR4" localSheetId="6">#REF!</definedName>
    <definedName name="YEAR4">#REF!</definedName>
    <definedName name="YearMonth" localSheetId="6">#REF!</definedName>
    <definedName name="YearMonth" localSheetId="4">'[30]Vashon BS'!#REF!</definedName>
    <definedName name="YearMonth" localSheetId="3">'[30]Vashon BS'!#REF!</definedName>
    <definedName name="YearMonth">'[30]Vashon BS'!#REF!</definedName>
    <definedName name="YearMonth_1" localSheetId="6">'[31]Vashon BS'!#REF!</definedName>
    <definedName name="YearMonth_1">'[31]Vashon BS'!#REF!</definedName>
    <definedName name="YearMonthDate">[13]Settings!$I$10</definedName>
    <definedName name="YearMonthDate2">[13]Settings!$I$11</definedName>
    <definedName name="YearMonthDate3">[13]Settings!$I$12</definedName>
    <definedName name="YearMonthDate4">[13]Settings!$I$13</definedName>
    <definedName name="YearMonthDate5">[13]Settings!$I$14</definedName>
    <definedName name="yrCur">'[56]Report Template'!$B$2002</definedName>
    <definedName name="yrNext">'[56]Report Template'!$B$2003</definedName>
    <definedName name="YWMedWasteDisp">#N/A</definedName>
    <definedName name="yy" localSheetId="6">#REF!</definedName>
    <definedName name="yy" localSheetId="4">#REF!</definedName>
    <definedName name="yy" localSheetId="3">#REF!</definedName>
    <definedName name="yy">#REF!</definedName>
    <definedName name="Zero_Format" localSheetId="6">#REF!</definedName>
    <definedName name="Zero_Format">#REF!</definedName>
  </definedNames>
  <calcPr calcId="191029" iterate="1"/>
  <pivotCaches>
    <pivotCache cacheId="3" r:id="rId6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4" l="1"/>
  <c r="N4" i="4"/>
  <c r="N5" i="4"/>
  <c r="N2" i="4"/>
  <c r="AM15" i="6"/>
  <c r="AN15" i="6"/>
  <c r="AO15" i="6" s="1"/>
  <c r="AP15" i="6" s="1"/>
  <c r="AQ15" i="6"/>
  <c r="AR15" i="6" s="1"/>
  <c r="AM16" i="6"/>
  <c r="AN16" i="6"/>
  <c r="AO16" i="6" s="1"/>
  <c r="AP16" i="6" s="1"/>
  <c r="AQ16" i="6"/>
  <c r="AR16" i="6" s="1"/>
  <c r="AM17" i="6"/>
  <c r="AN17" i="6"/>
  <c r="AO17" i="6" s="1"/>
  <c r="AP17" i="6" s="1"/>
  <c r="AQ17" i="6"/>
  <c r="AR17" i="6"/>
  <c r="AM18" i="6"/>
  <c r="AN18" i="6"/>
  <c r="AO18" i="6" s="1"/>
  <c r="AP18" i="6" s="1"/>
  <c r="AQ18" i="6"/>
  <c r="AR18" i="6" s="1"/>
  <c r="AM19" i="6"/>
  <c r="AN19" i="6"/>
  <c r="AO19" i="6"/>
  <c r="AQ19" i="6"/>
  <c r="AR19" i="6" s="1"/>
  <c r="AM20" i="6"/>
  <c r="AN20" i="6"/>
  <c r="AO20" i="6"/>
  <c r="AP20" i="6" s="1"/>
  <c r="AQ20" i="6"/>
  <c r="AR20" i="6" s="1"/>
  <c r="AM21" i="6"/>
  <c r="AN21" i="6"/>
  <c r="AO21" i="6" s="1"/>
  <c r="AP21" i="6" s="1"/>
  <c r="AQ21" i="6"/>
  <c r="AR21" i="6"/>
  <c r="AM22" i="6"/>
  <c r="AN22" i="6"/>
  <c r="AO22" i="6" s="1"/>
  <c r="AP22" i="6" s="1"/>
  <c r="AQ22" i="6"/>
  <c r="AR22" i="6" s="1"/>
  <c r="AM23" i="6"/>
  <c r="AN23" i="6"/>
  <c r="AO23" i="6"/>
  <c r="AP23" i="6" s="1"/>
  <c r="AQ23" i="6"/>
  <c r="AR23" i="6" s="1"/>
  <c r="AM24" i="6"/>
  <c r="AN24" i="6"/>
  <c r="AO24" i="6"/>
  <c r="AP24" i="6" s="1"/>
  <c r="AQ24" i="6"/>
  <c r="AR24" i="6" s="1"/>
  <c r="AM25" i="6"/>
  <c r="AN25" i="6"/>
  <c r="AO25" i="6" s="1"/>
  <c r="AP25" i="6" s="1"/>
  <c r="AQ25" i="6"/>
  <c r="AR25" i="6"/>
  <c r="AM26" i="6"/>
  <c r="AN26" i="6"/>
  <c r="AO26" i="6" s="1"/>
  <c r="AP26" i="6" s="1"/>
  <c r="AQ26" i="6"/>
  <c r="AR26" i="6" s="1"/>
  <c r="AM27" i="6"/>
  <c r="AN27" i="6"/>
  <c r="AO27" i="6"/>
  <c r="AP27" i="6" s="1"/>
  <c r="AQ27" i="6"/>
  <c r="AR27" i="6" s="1"/>
  <c r="AM28" i="6"/>
  <c r="AN28" i="6"/>
  <c r="AO28" i="6"/>
  <c r="AP28" i="6" s="1"/>
  <c r="AQ28" i="6"/>
  <c r="AR28" i="6" s="1"/>
  <c r="AM29" i="6"/>
  <c r="AN29" i="6"/>
  <c r="AO29" i="6" s="1"/>
  <c r="AP29" i="6" s="1"/>
  <c r="AQ29" i="6"/>
  <c r="AR29" i="6"/>
  <c r="AM30" i="6"/>
  <c r="AN30" i="6"/>
  <c r="AO30" i="6" s="1"/>
  <c r="AQ30" i="6"/>
  <c r="AR30" i="6" s="1"/>
  <c r="AM31" i="6"/>
  <c r="AN31" i="6"/>
  <c r="AO31" i="6" s="1"/>
  <c r="AP31" i="6" s="1"/>
  <c r="AQ31" i="6"/>
  <c r="AR31" i="6" s="1"/>
  <c r="AM32" i="6"/>
  <c r="AN32" i="6"/>
  <c r="AO32" i="6" s="1"/>
  <c r="AQ32" i="6"/>
  <c r="AR32" i="6"/>
  <c r="AM33" i="6"/>
  <c r="AN33" i="6"/>
  <c r="AO33" i="6" s="1"/>
  <c r="AP33" i="6" s="1"/>
  <c r="AQ33" i="6"/>
  <c r="AR33" i="6"/>
  <c r="AM34" i="6"/>
  <c r="AN34" i="6"/>
  <c r="AO34" i="6" s="1"/>
  <c r="AQ34" i="6"/>
  <c r="AR34" i="6" s="1"/>
  <c r="AM35" i="6"/>
  <c r="AN35" i="6"/>
  <c r="AO35" i="6" s="1"/>
  <c r="AP35" i="6" s="1"/>
  <c r="AQ35" i="6"/>
  <c r="AR35" i="6" s="1"/>
  <c r="AM36" i="6"/>
  <c r="AN36" i="6"/>
  <c r="AO36" i="6" s="1"/>
  <c r="AP36" i="6" s="1"/>
  <c r="AQ36" i="6"/>
  <c r="AR36" i="6"/>
  <c r="AM37" i="6"/>
  <c r="AN37" i="6"/>
  <c r="AO37" i="6" s="1"/>
  <c r="AP37" i="6" s="1"/>
  <c r="AQ37" i="6"/>
  <c r="AR37" i="6"/>
  <c r="AM38" i="6"/>
  <c r="AN38" i="6"/>
  <c r="AO38" i="6" s="1"/>
  <c r="AQ38" i="6"/>
  <c r="AR38" i="6" s="1"/>
  <c r="AM39" i="6"/>
  <c r="AN39" i="6"/>
  <c r="AO39" i="6" s="1"/>
  <c r="AQ39" i="6"/>
  <c r="AR39" i="6" s="1"/>
  <c r="AM40" i="6"/>
  <c r="AN40" i="6"/>
  <c r="AO40" i="6" s="1"/>
  <c r="AP40" i="6" s="1"/>
  <c r="AQ40" i="6"/>
  <c r="AR40" i="6"/>
  <c r="AM41" i="6"/>
  <c r="AN41" i="6"/>
  <c r="AO41" i="6" s="1"/>
  <c r="AP41" i="6" s="1"/>
  <c r="AQ41" i="6"/>
  <c r="AR41" i="6" s="1"/>
  <c r="AM42" i="6"/>
  <c r="AN42" i="6"/>
  <c r="AO42" i="6" s="1"/>
  <c r="AQ42" i="6"/>
  <c r="AR42" i="6" s="1"/>
  <c r="AM43" i="6"/>
  <c r="AN43" i="6"/>
  <c r="AO43" i="6" s="1"/>
  <c r="AP43" i="6" s="1"/>
  <c r="AQ43" i="6"/>
  <c r="AR43" i="6" s="1"/>
  <c r="AP42" i="6" l="1"/>
  <c r="AP38" i="6"/>
  <c r="AP34" i="6"/>
  <c r="AP30" i="6"/>
  <c r="AP19" i="6"/>
  <c r="AP39" i="6"/>
  <c r="AP32" i="6"/>
  <c r="N331" i="3"/>
  <c r="O331" i="3" s="1"/>
  <c r="N330" i="3"/>
  <c r="N329" i="3"/>
  <c r="N328" i="3"/>
  <c r="O328" i="3" s="1"/>
  <c r="N327" i="3"/>
  <c r="N326" i="3"/>
  <c r="O325" i="3"/>
  <c r="N325" i="3"/>
  <c r="N324" i="3"/>
  <c r="O324" i="3" s="1"/>
  <c r="N323" i="3"/>
  <c r="N322" i="3"/>
  <c r="N321" i="3"/>
  <c r="O321" i="3" s="1"/>
  <c r="N320" i="3"/>
  <c r="O320" i="3" s="1"/>
  <c r="N315" i="3"/>
  <c r="N314" i="3"/>
  <c r="O314" i="3" s="1"/>
  <c r="N313" i="3"/>
  <c r="O313" i="3" s="1"/>
  <c r="N312" i="3"/>
  <c r="O312" i="3" s="1"/>
  <c r="N311" i="3"/>
  <c r="O311" i="3" s="1"/>
  <c r="N310" i="3"/>
  <c r="O310" i="3" s="1"/>
  <c r="N309" i="3"/>
  <c r="O309" i="3" s="1"/>
  <c r="N308" i="3"/>
  <c r="O308" i="3" s="1"/>
  <c r="N307" i="3"/>
  <c r="O307" i="3" s="1"/>
  <c r="N306" i="3"/>
  <c r="O306" i="3" s="1"/>
  <c r="N305" i="3"/>
  <c r="O305" i="3" s="1"/>
  <c r="N304" i="3"/>
  <c r="O304" i="3" s="1"/>
  <c r="N303" i="3"/>
  <c r="O303" i="3" s="1"/>
  <c r="N298" i="3"/>
  <c r="N297" i="3"/>
  <c r="N296" i="3"/>
  <c r="O296" i="3" s="1"/>
  <c r="N295" i="3"/>
  <c r="O295" i="3" s="1"/>
  <c r="N294" i="3"/>
  <c r="N293" i="3"/>
  <c r="N292" i="3"/>
  <c r="O292" i="3" s="1"/>
  <c r="N291" i="3"/>
  <c r="O291" i="3" s="1"/>
  <c r="N290" i="3"/>
  <c r="O290" i="3" s="1"/>
  <c r="N289" i="3"/>
  <c r="O289" i="3" s="1"/>
  <c r="N288" i="3"/>
  <c r="O288" i="3" s="1"/>
  <c r="N287" i="3"/>
  <c r="O287" i="3" s="1"/>
  <c r="N286" i="3"/>
  <c r="O286" i="3" s="1"/>
  <c r="N285" i="3"/>
  <c r="O285" i="3" s="1"/>
  <c r="N284" i="3"/>
  <c r="O284" i="3" s="1"/>
  <c r="N283" i="3"/>
  <c r="O283" i="3" s="1"/>
  <c r="N282" i="3"/>
  <c r="O282" i="3" s="1"/>
  <c r="N281" i="3"/>
  <c r="O281" i="3" s="1"/>
  <c r="N280" i="3"/>
  <c r="O280" i="3" s="1"/>
  <c r="N279" i="3"/>
  <c r="O279" i="3" s="1"/>
  <c r="N278" i="3"/>
  <c r="O278" i="3" s="1"/>
  <c r="N277" i="3"/>
  <c r="O277" i="3" s="1"/>
  <c r="N276" i="3"/>
  <c r="O276" i="3" s="1"/>
  <c r="N274" i="3"/>
  <c r="O274" i="3" s="1"/>
  <c r="N272" i="3"/>
  <c r="O272" i="3" s="1"/>
  <c r="N265" i="3"/>
  <c r="O265" i="3"/>
  <c r="N266" i="3"/>
  <c r="O266" i="3" s="1"/>
  <c r="N263" i="3"/>
  <c r="O263" i="3" s="1"/>
  <c r="N257" i="3"/>
  <c r="N256" i="3"/>
  <c r="O256" i="3" s="1"/>
  <c r="N255" i="3"/>
  <c r="N254" i="3"/>
  <c r="N253" i="3"/>
  <c r="N252" i="3"/>
  <c r="O252" i="3" s="1"/>
  <c r="O251" i="3"/>
  <c r="N251" i="3"/>
  <c r="N250" i="3"/>
  <c r="N249" i="3"/>
  <c r="N248" i="3"/>
  <c r="O248" i="3" s="1"/>
  <c r="N247" i="3"/>
  <c r="O247" i="3" s="1"/>
  <c r="N246" i="3"/>
  <c r="O246" i="3" s="1"/>
  <c r="N245" i="3"/>
  <c r="O245" i="3" s="1"/>
  <c r="N244" i="3"/>
  <c r="O244" i="3" s="1"/>
  <c r="N243" i="3"/>
  <c r="O243" i="3" s="1"/>
  <c r="N242" i="3"/>
  <c r="O242" i="3" s="1"/>
  <c r="O241" i="3"/>
  <c r="N241" i="3"/>
  <c r="N240" i="3"/>
  <c r="O240" i="3" s="1"/>
  <c r="N239" i="3"/>
  <c r="O239" i="3" s="1"/>
  <c r="N238" i="3"/>
  <c r="O238" i="3" s="1"/>
  <c r="O237" i="3"/>
  <c r="N237" i="3"/>
  <c r="N236" i="3"/>
  <c r="O236" i="3" s="1"/>
  <c r="N230" i="3"/>
  <c r="O230" i="3" s="1"/>
  <c r="N229" i="3"/>
  <c r="N228" i="3"/>
  <c r="O228" i="3" s="1"/>
  <c r="N227" i="3"/>
  <c r="O227" i="3" s="1"/>
  <c r="N226" i="3"/>
  <c r="O226" i="3" s="1"/>
  <c r="N225" i="3"/>
  <c r="N224" i="3"/>
  <c r="O224" i="3" s="1"/>
  <c r="N223" i="3"/>
  <c r="O223" i="3" s="1"/>
  <c r="N222" i="3"/>
  <c r="O222" i="3" s="1"/>
  <c r="N221" i="3"/>
  <c r="O221" i="3" s="1"/>
  <c r="O216" i="3"/>
  <c r="N216" i="3"/>
  <c r="N215" i="3"/>
  <c r="N214" i="3"/>
  <c r="O214" i="3" s="1"/>
  <c r="N213" i="3"/>
  <c r="O213" i="3" s="1"/>
  <c r="O212" i="3"/>
  <c r="N212" i="3"/>
  <c r="N211" i="3"/>
  <c r="N210" i="3"/>
  <c r="O210" i="3" s="1"/>
  <c r="N209" i="3"/>
  <c r="O209" i="3" s="1"/>
  <c r="N208" i="3"/>
  <c r="N207" i="3"/>
  <c r="N206" i="3"/>
  <c r="O206" i="3" s="1"/>
  <c r="N205" i="3"/>
  <c r="O205" i="3" s="1"/>
  <c r="O204" i="3"/>
  <c r="N204" i="3"/>
  <c r="N203" i="3"/>
  <c r="N202" i="3"/>
  <c r="O202" i="3" s="1"/>
  <c r="N201" i="3"/>
  <c r="O201" i="3" s="1"/>
  <c r="O200" i="3"/>
  <c r="N200" i="3"/>
  <c r="N199" i="3"/>
  <c r="N198" i="3"/>
  <c r="O198" i="3" s="1"/>
  <c r="N197" i="3"/>
  <c r="O197" i="3" s="1"/>
  <c r="N196" i="3"/>
  <c r="N195" i="3"/>
  <c r="N194" i="3"/>
  <c r="O194" i="3" s="1"/>
  <c r="N193" i="3"/>
  <c r="O193" i="3" s="1"/>
  <c r="N192" i="3"/>
  <c r="O192" i="3" s="1"/>
  <c r="N191" i="3"/>
  <c r="O191" i="3" s="1"/>
  <c r="N190" i="3"/>
  <c r="O190" i="3" s="1"/>
  <c r="N189" i="3"/>
  <c r="O189" i="3" s="1"/>
  <c r="N188" i="3"/>
  <c r="O188" i="3" s="1"/>
  <c r="N187" i="3"/>
  <c r="O187" i="3" s="1"/>
  <c r="O81" i="4"/>
  <c r="N81" i="4"/>
  <c r="O76" i="4"/>
  <c r="N76" i="4"/>
  <c r="O75" i="4"/>
  <c r="N75" i="4"/>
  <c r="O70" i="4"/>
  <c r="N70" i="4"/>
  <c r="N69" i="4"/>
  <c r="O69" i="4" s="1"/>
  <c r="N68" i="4"/>
  <c r="O68" i="4" s="1"/>
  <c r="N61" i="4"/>
  <c r="N60" i="4"/>
  <c r="O60" i="4" s="1"/>
  <c r="N54" i="4"/>
  <c r="O54" i="4" s="1"/>
  <c r="N53" i="4"/>
  <c r="N52" i="4"/>
  <c r="O52" i="4" s="1"/>
  <c r="N51" i="4"/>
  <c r="O51" i="4" s="1"/>
  <c r="N50" i="4"/>
  <c r="O50" i="4" s="1"/>
  <c r="N49" i="4"/>
  <c r="O49" i="4" s="1"/>
  <c r="N48" i="4"/>
  <c r="O48" i="4" s="1"/>
  <c r="N47" i="4"/>
  <c r="O47" i="4" s="1"/>
  <c r="N46" i="4"/>
  <c r="O46" i="4" s="1"/>
  <c r="N45" i="4"/>
  <c r="N44" i="4"/>
  <c r="O44" i="4" s="1"/>
  <c r="N43" i="4"/>
  <c r="O43" i="4" s="1"/>
  <c r="N42" i="4"/>
  <c r="O42" i="4" s="1"/>
  <c r="O196" i="3" l="1"/>
  <c r="O208" i="3"/>
  <c r="O255" i="3"/>
  <c r="O249" i="3"/>
  <c r="O329" i="3"/>
  <c r="O253" i="3"/>
  <c r="O257" i="3"/>
  <c r="O323" i="3"/>
  <c r="O327" i="3"/>
  <c r="O326" i="3"/>
  <c r="O322" i="3"/>
  <c r="O330" i="3"/>
  <c r="O315" i="3"/>
  <c r="O298" i="3"/>
  <c r="O294" i="3"/>
  <c r="O293" i="3"/>
  <c r="O297" i="3"/>
  <c r="O250" i="3"/>
  <c r="O254" i="3"/>
  <c r="O225" i="3"/>
  <c r="O229" i="3"/>
  <c r="O195" i="3"/>
  <c r="O215" i="3"/>
  <c r="O199" i="3"/>
  <c r="O203" i="3"/>
  <c r="O207" i="3"/>
  <c r="O211" i="3"/>
  <c r="O61" i="4"/>
  <c r="O45" i="4"/>
  <c r="O53" i="4"/>
  <c r="Q52" i="1" l="1"/>
  <c r="O52" i="1"/>
  <c r="P52" i="1"/>
  <c r="N52" i="1"/>
  <c r="AQ4" i="6"/>
  <c r="AR4" i="6" s="1"/>
  <c r="Q31" i="1" l="1"/>
  <c r="M298" i="3"/>
  <c r="J298" i="3"/>
  <c r="K298" i="3" s="1"/>
  <c r="L297" i="3"/>
  <c r="M297" i="3" s="1"/>
  <c r="J297" i="3"/>
  <c r="K297" i="3" s="1"/>
  <c r="Z48" i="1"/>
  <c r="Y48" i="1"/>
  <c r="X48" i="1"/>
  <c r="W48" i="1"/>
  <c r="U48" i="1"/>
  <c r="T48" i="1"/>
  <c r="Z47" i="1"/>
  <c r="Y47" i="1"/>
  <c r="X47" i="1"/>
  <c r="W47" i="1"/>
  <c r="U47" i="1"/>
  <c r="T47" i="1"/>
  <c r="V47" i="1" s="1"/>
  <c r="Z45" i="1"/>
  <c r="Y45" i="1"/>
  <c r="X45" i="1"/>
  <c r="W45" i="1"/>
  <c r="U45" i="1"/>
  <c r="T45" i="1"/>
  <c r="V45" i="1" s="1"/>
  <c r="Z43" i="1"/>
  <c r="Y43" i="1"/>
  <c r="X43" i="1"/>
  <c r="W43" i="1"/>
  <c r="U43" i="1"/>
  <c r="T43" i="1"/>
  <c r="Z39" i="1"/>
  <c r="Y39" i="1"/>
  <c r="X39" i="1"/>
  <c r="W39" i="1"/>
  <c r="U39" i="1"/>
  <c r="T39" i="1"/>
  <c r="Z37" i="1"/>
  <c r="Y37" i="1"/>
  <c r="X37" i="1"/>
  <c r="W37" i="1"/>
  <c r="U37" i="1"/>
  <c r="T37" i="1"/>
  <c r="V37" i="1" s="1"/>
  <c r="Z35" i="1"/>
  <c r="Y35" i="1"/>
  <c r="X35" i="1"/>
  <c r="W35" i="1"/>
  <c r="U35" i="1"/>
  <c r="T35" i="1"/>
  <c r="V35" i="1" s="1"/>
  <c r="Z31" i="1"/>
  <c r="Y31" i="1"/>
  <c r="X31" i="1"/>
  <c r="W31" i="1"/>
  <c r="U31" i="1"/>
  <c r="T31" i="1"/>
  <c r="Z29" i="1"/>
  <c r="Y29" i="1"/>
  <c r="X29" i="1"/>
  <c r="W29" i="1"/>
  <c r="U29" i="1"/>
  <c r="T29" i="1"/>
  <c r="Z27" i="1"/>
  <c r="Y27" i="1"/>
  <c r="X27" i="1"/>
  <c r="W27" i="1"/>
  <c r="U27" i="1"/>
  <c r="T27" i="1"/>
  <c r="V27" i="1" s="1"/>
  <c r="Z25" i="1"/>
  <c r="Y25" i="1"/>
  <c r="X25" i="1"/>
  <c r="W25" i="1"/>
  <c r="U25" i="1"/>
  <c r="T25" i="1"/>
  <c r="V25" i="1" s="1"/>
  <c r="Z20" i="1"/>
  <c r="Y20" i="1"/>
  <c r="X20" i="1"/>
  <c r="W20" i="1"/>
  <c r="U20" i="1"/>
  <c r="T20" i="1"/>
  <c r="Z18" i="1"/>
  <c r="Y18" i="1"/>
  <c r="X18" i="1"/>
  <c r="W18" i="1"/>
  <c r="U18" i="1"/>
  <c r="T18" i="1"/>
  <c r="Z16" i="1"/>
  <c r="Y16" i="1"/>
  <c r="X16" i="1"/>
  <c r="W16" i="1"/>
  <c r="U16" i="1"/>
  <c r="T16" i="1"/>
  <c r="V16" i="1" s="1"/>
  <c r="Z14" i="1"/>
  <c r="Y14" i="1"/>
  <c r="X14" i="1"/>
  <c r="W14" i="1"/>
  <c r="U14" i="1"/>
  <c r="T14" i="1"/>
  <c r="V14" i="1" s="1"/>
  <c r="Z12" i="1"/>
  <c r="Y12" i="1"/>
  <c r="X12" i="1"/>
  <c r="W12" i="1"/>
  <c r="U12" i="1"/>
  <c r="V12" i="1" s="1"/>
  <c r="T12" i="1"/>
  <c r="Z10" i="1"/>
  <c r="Y10" i="1"/>
  <c r="X10" i="1"/>
  <c r="W10" i="1"/>
  <c r="U10" i="1"/>
  <c r="T10" i="1"/>
  <c r="S57" i="9"/>
  <c r="U57" i="9" s="1"/>
  <c r="V57" i="9" s="1"/>
  <c r="AC53" i="9"/>
  <c r="AB53" i="9"/>
  <c r="AA53" i="9"/>
  <c r="Z53" i="9"/>
  <c r="Y53" i="9"/>
  <c r="X53" i="9"/>
  <c r="W53" i="9"/>
  <c r="V53" i="9"/>
  <c r="U53" i="9"/>
  <c r="T53" i="9"/>
  <c r="S53" i="9"/>
  <c r="R53" i="9"/>
  <c r="BF51" i="9"/>
  <c r="AZ51" i="9"/>
  <c r="AX51" i="9"/>
  <c r="AV51" i="9"/>
  <c r="AU51" i="9"/>
  <c r="AS51" i="9"/>
  <c r="AQ51" i="9"/>
  <c r="BC51" i="9" s="1"/>
  <c r="AE51" i="9"/>
  <c r="B51" i="9"/>
  <c r="A51" i="9"/>
  <c r="BF50" i="9"/>
  <c r="AZ50" i="9"/>
  <c r="AY50" i="9"/>
  <c r="AX50" i="9"/>
  <c r="AV50" i="9"/>
  <c r="AU50" i="9"/>
  <c r="AS50" i="9"/>
  <c r="AQ50" i="9"/>
  <c r="BC50" i="9" s="1"/>
  <c r="AE50" i="9"/>
  <c r="B50" i="9"/>
  <c r="A50" i="9"/>
  <c r="BF49" i="9"/>
  <c r="AZ49" i="9"/>
  <c r="AY49" i="9"/>
  <c r="AX49" i="9"/>
  <c r="AV49" i="9"/>
  <c r="AU49" i="9"/>
  <c r="AS49" i="9"/>
  <c r="AQ49" i="9"/>
  <c r="BC49" i="9" s="1"/>
  <c r="AE49" i="9"/>
  <c r="B49" i="9"/>
  <c r="A49" i="9"/>
  <c r="BF48" i="9"/>
  <c r="AZ48" i="9"/>
  <c r="AY48" i="9"/>
  <c r="AX48" i="9"/>
  <c r="AV48" i="9"/>
  <c r="AU48" i="9"/>
  <c r="AS48" i="9"/>
  <c r="AQ48" i="9"/>
  <c r="BC48" i="9" s="1"/>
  <c r="AE48" i="9"/>
  <c r="B48" i="9"/>
  <c r="A48" i="9"/>
  <c r="BF47" i="9"/>
  <c r="AZ47" i="9"/>
  <c r="AY47" i="9"/>
  <c r="AX47" i="9"/>
  <c r="AV47" i="9"/>
  <c r="AU47" i="9"/>
  <c r="AS47" i="9"/>
  <c r="AQ47" i="9"/>
  <c r="BC47" i="9" s="1"/>
  <c r="AE47" i="9"/>
  <c r="B47" i="9"/>
  <c r="A47" i="9"/>
  <c r="BF46" i="9"/>
  <c r="AZ46" i="9"/>
  <c r="AY46" i="9"/>
  <c r="AX46" i="9"/>
  <c r="AV46" i="9"/>
  <c r="AU46" i="9"/>
  <c r="AS46" i="9"/>
  <c r="AQ46" i="9"/>
  <c r="BC46" i="9" s="1"/>
  <c r="AE46" i="9"/>
  <c r="B46" i="9"/>
  <c r="A46" i="9"/>
  <c r="BF45" i="9"/>
  <c r="AZ45" i="9"/>
  <c r="AY45" i="9"/>
  <c r="AX45" i="9"/>
  <c r="AV45" i="9"/>
  <c r="AU45" i="9"/>
  <c r="AS45" i="9"/>
  <c r="AQ45" i="9"/>
  <c r="BC45" i="9" s="1"/>
  <c r="AE45" i="9"/>
  <c r="B45" i="9"/>
  <c r="A45" i="9"/>
  <c r="BF44" i="9"/>
  <c r="AZ44" i="9"/>
  <c r="AY44" i="9"/>
  <c r="AX44" i="9"/>
  <c r="AV44" i="9"/>
  <c r="AU44" i="9"/>
  <c r="AS44" i="9"/>
  <c r="AQ44" i="9"/>
  <c r="BC44" i="9" s="1"/>
  <c r="AE44" i="9"/>
  <c r="B44" i="9"/>
  <c r="A44" i="9"/>
  <c r="BF43" i="9"/>
  <c r="AZ43" i="9"/>
  <c r="AY43" i="9"/>
  <c r="AX43" i="9"/>
  <c r="AV43" i="9"/>
  <c r="AU43" i="9"/>
  <c r="AS43" i="9"/>
  <c r="AQ43" i="9"/>
  <c r="BC43" i="9" s="1"/>
  <c r="AE43" i="9"/>
  <c r="B43" i="9"/>
  <c r="A43" i="9"/>
  <c r="BF42" i="9"/>
  <c r="AZ42" i="9"/>
  <c r="AY42" i="9"/>
  <c r="AX42" i="9"/>
  <c r="AV42" i="9"/>
  <c r="AU42" i="9"/>
  <c r="AS42" i="9"/>
  <c r="AQ42" i="9"/>
  <c r="BC42" i="9" s="1"/>
  <c r="AE42" i="9"/>
  <c r="B42" i="9"/>
  <c r="A42" i="9"/>
  <c r="BF41" i="9"/>
  <c r="AZ41" i="9"/>
  <c r="AY41" i="9"/>
  <c r="AX41" i="9"/>
  <c r="AV41" i="9"/>
  <c r="AU41" i="9"/>
  <c r="AS41" i="9"/>
  <c r="AQ41" i="9"/>
  <c r="BC41" i="9" s="1"/>
  <c r="AE41" i="9"/>
  <c r="B41" i="9"/>
  <c r="A41" i="9"/>
  <c r="BF40" i="9"/>
  <c r="AZ40" i="9"/>
  <c r="AY40" i="9"/>
  <c r="AX40" i="9"/>
  <c r="AV40" i="9"/>
  <c r="AU40" i="9"/>
  <c r="AS40" i="9"/>
  <c r="AQ40" i="9"/>
  <c r="BC40" i="9" s="1"/>
  <c r="AE40" i="9"/>
  <c r="B40" i="9"/>
  <c r="A40" i="9"/>
  <c r="BF39" i="9"/>
  <c r="AZ39" i="9"/>
  <c r="AY39" i="9"/>
  <c r="AX39" i="9"/>
  <c r="AV39" i="9"/>
  <c r="AU39" i="9"/>
  <c r="AS39" i="9"/>
  <c r="AQ39" i="9"/>
  <c r="BC39" i="9" s="1"/>
  <c r="AE39" i="9"/>
  <c r="B39" i="9"/>
  <c r="A39" i="9"/>
  <c r="BF38" i="9"/>
  <c r="AZ38" i="9"/>
  <c r="AY38" i="9"/>
  <c r="AX38" i="9"/>
  <c r="AV38" i="9"/>
  <c r="AU38" i="9"/>
  <c r="AS38" i="9"/>
  <c r="AQ38" i="9"/>
  <c r="BC38" i="9" s="1"/>
  <c r="AE38" i="9"/>
  <c r="B38" i="9"/>
  <c r="A38" i="9"/>
  <c r="BF37" i="9"/>
  <c r="AZ37" i="9"/>
  <c r="AY37" i="9"/>
  <c r="AX37" i="9"/>
  <c r="AV37" i="9"/>
  <c r="AU37" i="9"/>
  <c r="AS37" i="9"/>
  <c r="AQ37" i="9"/>
  <c r="BC37" i="9" s="1"/>
  <c r="AE37" i="9"/>
  <c r="B37" i="9"/>
  <c r="A37" i="9"/>
  <c r="BF36" i="9"/>
  <c r="AZ36" i="9"/>
  <c r="AY36" i="9"/>
  <c r="AX36" i="9"/>
  <c r="AV36" i="9"/>
  <c r="AU36" i="9"/>
  <c r="AS36" i="9"/>
  <c r="AQ36" i="9"/>
  <c r="BC36" i="9" s="1"/>
  <c r="AE36" i="9"/>
  <c r="B36" i="9"/>
  <c r="A36" i="9"/>
  <c r="BF35" i="9"/>
  <c r="AZ35" i="9"/>
  <c r="AY35" i="9"/>
  <c r="AX35" i="9"/>
  <c r="AV35" i="9"/>
  <c r="AU35" i="9"/>
  <c r="AS35" i="9"/>
  <c r="AQ35" i="9"/>
  <c r="BC35" i="9" s="1"/>
  <c r="AE35" i="9"/>
  <c r="B35" i="9"/>
  <c r="A35" i="9"/>
  <c r="BF34" i="9"/>
  <c r="AZ34" i="9"/>
  <c r="AY34" i="9"/>
  <c r="AX34" i="9"/>
  <c r="AV34" i="9"/>
  <c r="AU34" i="9"/>
  <c r="AS34" i="9"/>
  <c r="AQ34" i="9"/>
  <c r="BC34" i="9" s="1"/>
  <c r="AE34" i="9"/>
  <c r="B34" i="9"/>
  <c r="A34" i="9"/>
  <c r="BF33" i="9"/>
  <c r="AZ33" i="9"/>
  <c r="AY33" i="9"/>
  <c r="AX33" i="9"/>
  <c r="AV33" i="9"/>
  <c r="AU33" i="9"/>
  <c r="AS33" i="9"/>
  <c r="AQ33" i="9"/>
  <c r="BC33" i="9" s="1"/>
  <c r="AE33" i="9"/>
  <c r="B33" i="9"/>
  <c r="A33" i="9"/>
  <c r="BF32" i="9"/>
  <c r="AZ32" i="9"/>
  <c r="AY32" i="9"/>
  <c r="AX32" i="9"/>
  <c r="AV32" i="9"/>
  <c r="AU32" i="9"/>
  <c r="AS32" i="9"/>
  <c r="AQ32" i="9"/>
  <c r="BC32" i="9" s="1"/>
  <c r="AE32" i="9"/>
  <c r="B32" i="9"/>
  <c r="A32" i="9"/>
  <c r="AY31" i="9"/>
  <c r="AX31" i="9"/>
  <c r="AU31" i="9"/>
  <c r="AV31" i="9" s="1"/>
  <c r="AQ31" i="9"/>
  <c r="BC31" i="9" s="1"/>
  <c r="AE31" i="9"/>
  <c r="B31" i="9"/>
  <c r="A31" i="9"/>
  <c r="BF30" i="9"/>
  <c r="AZ30" i="9"/>
  <c r="AY30" i="9"/>
  <c r="AX30" i="9"/>
  <c r="AV30" i="9"/>
  <c r="AU30" i="9"/>
  <c r="AS30" i="9"/>
  <c r="AQ30" i="9"/>
  <c r="BC30" i="9" s="1"/>
  <c r="AE30" i="9"/>
  <c r="AE53" i="9" s="1"/>
  <c r="B30" i="9"/>
  <c r="A30" i="9"/>
  <c r="B18" i="9"/>
  <c r="B19" i="9" s="1"/>
  <c r="BF6" i="9"/>
  <c r="AZ6" i="9"/>
  <c r="AX6" i="9"/>
  <c r="AV6" i="9"/>
  <c r="AS6" i="9"/>
  <c r="AQ6" i="9"/>
  <c r="BD6" i="9" s="1"/>
  <c r="AE6" i="9"/>
  <c r="B6" i="9"/>
  <c r="A6" i="9"/>
  <c r="F13" i="9"/>
  <c r="F10" i="9"/>
  <c r="L8" i="9"/>
  <c r="F9" i="9"/>
  <c r="F12" i="9"/>
  <c r="L9" i="9"/>
  <c r="F11" i="9"/>
  <c r="F15" i="9"/>
  <c r="V10" i="1" l="1"/>
  <c r="V18" i="1"/>
  <c r="V29" i="1"/>
  <c r="V39" i="1"/>
  <c r="V48" i="1"/>
  <c r="V20" i="1"/>
  <c r="V31" i="1"/>
  <c r="V43" i="1"/>
  <c r="AZ31" i="9"/>
  <c r="X57" i="9"/>
  <c r="Y57" i="9"/>
  <c r="BB6" i="9"/>
  <c r="BE6" i="9" s="1"/>
  <c r="BB30" i="9"/>
  <c r="BE30" i="9" s="1"/>
  <c r="BB32" i="9"/>
  <c r="BE32" i="9" s="1"/>
  <c r="BB33" i="9"/>
  <c r="BE33" i="9" s="1"/>
  <c r="BB34" i="9"/>
  <c r="BE34" i="9" s="1"/>
  <c r="AU6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AY6" i="9"/>
  <c r="AY51" i="9"/>
  <c r="AR6" i="9"/>
  <c r="BC6" i="9"/>
  <c r="BB31" i="9"/>
  <c r="BE31" i="9" s="1"/>
  <c r="BF31" i="9" s="1"/>
  <c r="BB35" i="9"/>
  <c r="BE35" i="9" s="1"/>
  <c r="BB36" i="9"/>
  <c r="BE36" i="9" s="1"/>
  <c r="BB37" i="9"/>
  <c r="BE37" i="9" s="1"/>
  <c r="BB38" i="9"/>
  <c r="BE38" i="9" s="1"/>
  <c r="BB39" i="9"/>
  <c r="BE39" i="9" s="1"/>
  <c r="BB40" i="9"/>
  <c r="BE40" i="9" s="1"/>
  <c r="BB41" i="9"/>
  <c r="BE41" i="9" s="1"/>
  <c r="BB42" i="9"/>
  <c r="BE42" i="9" s="1"/>
  <c r="BB43" i="9"/>
  <c r="BE43" i="9" s="1"/>
  <c r="BB44" i="9"/>
  <c r="BE44" i="9" s="1"/>
  <c r="BB45" i="9"/>
  <c r="BE45" i="9" s="1"/>
  <c r="BB46" i="9"/>
  <c r="BE46" i="9" s="1"/>
  <c r="BB47" i="9"/>
  <c r="BE47" i="9" s="1"/>
  <c r="BB48" i="9"/>
  <c r="BE48" i="9" s="1"/>
  <c r="BB49" i="9"/>
  <c r="BE49" i="9" s="1"/>
  <c r="BB50" i="9"/>
  <c r="BE50" i="9" s="1"/>
  <c r="BB51" i="9"/>
  <c r="BE51" i="9" s="1"/>
  <c r="AR30" i="9"/>
  <c r="AR31" i="9"/>
  <c r="AS31" i="9" s="1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AR49" i="9"/>
  <c r="AR50" i="9"/>
  <c r="AR51" i="9"/>
  <c r="Q48" i="1" l="1"/>
  <c r="P48" i="1"/>
  <c r="Q47" i="1"/>
  <c r="P47" i="1"/>
  <c r="Q45" i="1"/>
  <c r="P45" i="1"/>
  <c r="Q43" i="1"/>
  <c r="P43" i="1"/>
  <c r="Q39" i="1"/>
  <c r="P39" i="1"/>
  <c r="Q37" i="1"/>
  <c r="P37" i="1"/>
  <c r="Q35" i="1"/>
  <c r="P35" i="1"/>
  <c r="P31" i="1"/>
  <c r="Q29" i="1"/>
  <c r="P29" i="1"/>
  <c r="Q27" i="1"/>
  <c r="P27" i="1"/>
  <c r="Q25" i="1"/>
  <c r="P25" i="1"/>
  <c r="Q20" i="1"/>
  <c r="P20" i="1"/>
  <c r="Q18" i="1"/>
  <c r="P18" i="1"/>
  <c r="Q16" i="1"/>
  <c r="P16" i="1"/>
  <c r="Q14" i="1"/>
  <c r="P14" i="1"/>
  <c r="Q12" i="1"/>
  <c r="P12" i="1"/>
  <c r="Q10" i="1"/>
  <c r="P10" i="1"/>
  <c r="O48" i="1"/>
  <c r="O47" i="1"/>
  <c r="O45" i="1"/>
  <c r="O43" i="1"/>
  <c r="O39" i="1"/>
  <c r="O37" i="1"/>
  <c r="O35" i="1"/>
  <c r="O31" i="1"/>
  <c r="O29" i="1"/>
  <c r="O27" i="1"/>
  <c r="O25" i="1"/>
  <c r="O20" i="1"/>
  <c r="O18" i="1"/>
  <c r="O16" i="1"/>
  <c r="O14" i="1"/>
  <c r="O10" i="1"/>
  <c r="O12" i="1"/>
  <c r="N12" i="1"/>
  <c r="N48" i="1"/>
  <c r="N47" i="1"/>
  <c r="N45" i="1"/>
  <c r="N43" i="1"/>
  <c r="N39" i="1"/>
  <c r="N37" i="1"/>
  <c r="N35" i="1"/>
  <c r="N31" i="1"/>
  <c r="N29" i="1"/>
  <c r="N27" i="1"/>
  <c r="N25" i="1"/>
  <c r="N20" i="1"/>
  <c r="N18" i="1"/>
  <c r="N16" i="1"/>
  <c r="N14" i="1"/>
  <c r="N10" i="1"/>
  <c r="K10" i="1"/>
  <c r="K48" i="1"/>
  <c r="K47" i="1"/>
  <c r="K45" i="1"/>
  <c r="K43" i="1"/>
  <c r="K39" i="1"/>
  <c r="K37" i="1"/>
  <c r="K35" i="1"/>
  <c r="K31" i="1"/>
  <c r="K29" i="1"/>
  <c r="K27" i="1"/>
  <c r="K25" i="1"/>
  <c r="K20" i="1"/>
  <c r="K18" i="1"/>
  <c r="K16" i="1"/>
  <c r="K14" i="1"/>
  <c r="K12" i="1"/>
  <c r="AM14" i="6" l="1"/>
  <c r="AN14" i="6"/>
  <c r="AO14" i="6" s="1"/>
  <c r="AQ14" i="6"/>
  <c r="AR14" i="6" s="1"/>
  <c r="V338" i="6"/>
  <c r="V337" i="6"/>
  <c r="V336" i="6"/>
  <c r="V335" i="6"/>
  <c r="V334" i="6"/>
  <c r="V332" i="6"/>
  <c r="V149" i="6"/>
  <c r="V114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06" i="6"/>
  <c r="V295" i="6"/>
  <c r="V294" i="6"/>
  <c r="V293" i="6"/>
  <c r="V304" i="6"/>
  <c r="V303" i="6"/>
  <c r="V299" i="6"/>
  <c r="V298" i="6"/>
  <c r="V292" i="6"/>
  <c r="V297" i="6"/>
  <c r="V301" i="6"/>
  <c r="V302" i="6"/>
  <c r="V300" i="6"/>
  <c r="V314" i="6"/>
  <c r="V313" i="6"/>
  <c r="V333" i="6"/>
  <c r="V284" i="6"/>
  <c r="V287" i="6"/>
  <c r="V290" i="6"/>
  <c r="V289" i="6"/>
  <c r="V288" i="6"/>
  <c r="V296" i="6"/>
  <c r="V285" i="6"/>
  <c r="V291" i="6"/>
  <c r="V283" i="6"/>
  <c r="V286" i="6"/>
  <c r="V312" i="6"/>
  <c r="V282" i="6"/>
  <c r="V305" i="6"/>
  <c r="V281" i="6"/>
  <c r="V279" i="6"/>
  <c r="V278" i="6"/>
  <c r="V277" i="6"/>
  <c r="V276" i="6"/>
  <c r="V275" i="6"/>
  <c r="V274" i="6"/>
  <c r="V273" i="6"/>
  <c r="V268" i="6"/>
  <c r="V272" i="6"/>
  <c r="V271" i="6"/>
  <c r="V270" i="6"/>
  <c r="V269" i="6"/>
  <c r="V280" i="6"/>
  <c r="V267" i="6"/>
  <c r="V264" i="6"/>
  <c r="V263" i="6"/>
  <c r="V265" i="6"/>
  <c r="V259" i="6"/>
  <c r="V266" i="6"/>
  <c r="V262" i="6"/>
  <c r="V261" i="6"/>
  <c r="V260" i="6"/>
  <c r="V255" i="6"/>
  <c r="V254" i="6"/>
  <c r="V253" i="6"/>
  <c r="V252" i="6"/>
  <c r="V251" i="6"/>
  <c r="V250" i="6"/>
  <c r="V248" i="6"/>
  <c r="V247" i="6"/>
  <c r="V246" i="6"/>
  <c r="V238" i="6"/>
  <c r="V237" i="6"/>
  <c r="V243" i="6"/>
  <c r="V242" i="6"/>
  <c r="V241" i="6"/>
  <c r="V240" i="6"/>
  <c r="V239" i="6"/>
  <c r="V245" i="6"/>
  <c r="V244" i="6"/>
  <c r="V236" i="6"/>
  <c r="V235" i="6"/>
  <c r="V230" i="6"/>
  <c r="V229" i="6"/>
  <c r="V234" i="6"/>
  <c r="V233" i="6"/>
  <c r="V232" i="6"/>
  <c r="V227" i="6"/>
  <c r="V225" i="6"/>
  <c r="V223" i="6"/>
  <c r="V224" i="6"/>
  <c r="V218" i="6"/>
  <c r="V217" i="6"/>
  <c r="V216" i="6"/>
  <c r="V222" i="6"/>
  <c r="V215" i="6"/>
  <c r="V214" i="6"/>
  <c r="V213" i="6"/>
  <c r="V212" i="6"/>
  <c r="V211" i="6"/>
  <c r="V210" i="6"/>
  <c r="V209" i="6"/>
  <c r="V231" i="6"/>
  <c r="V311" i="6"/>
  <c r="V208" i="6"/>
  <c r="V207" i="6"/>
  <c r="V206" i="6"/>
  <c r="V205" i="6"/>
  <c r="V204" i="6"/>
  <c r="V28" i="6"/>
  <c r="V26" i="6"/>
  <c r="V203" i="6"/>
  <c r="V202" i="6"/>
  <c r="V201" i="6"/>
  <c r="V200" i="6"/>
  <c r="V199" i="6"/>
  <c r="V196" i="6"/>
  <c r="V195" i="6"/>
  <c r="V194" i="6"/>
  <c r="V190" i="6"/>
  <c r="V191" i="6"/>
  <c r="V173" i="6"/>
  <c r="V192" i="6"/>
  <c r="V189" i="6"/>
  <c r="V187" i="6"/>
  <c r="V186" i="6"/>
  <c r="V188" i="6"/>
  <c r="V183" i="6"/>
  <c r="V185" i="6"/>
  <c r="V184" i="6"/>
  <c r="V345" i="6"/>
  <c r="V249" i="6"/>
  <c r="V308" i="6"/>
  <c r="V182" i="6"/>
  <c r="V181" i="6"/>
  <c r="V180" i="6"/>
  <c r="V178" i="6"/>
  <c r="V179" i="6"/>
  <c r="V344" i="6"/>
  <c r="V310" i="6"/>
  <c r="V221" i="6"/>
  <c r="V220" i="6"/>
  <c r="V193" i="6"/>
  <c r="V177" i="6"/>
  <c r="V176" i="6"/>
  <c r="V175" i="6"/>
  <c r="V174" i="6"/>
  <c r="V172" i="6"/>
  <c r="V170" i="6"/>
  <c r="V169" i="6"/>
  <c r="V168" i="6"/>
  <c r="V167" i="6"/>
  <c r="V171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8" i="6"/>
  <c r="V147" i="6"/>
  <c r="V146" i="6"/>
  <c r="V145" i="6"/>
  <c r="V143" i="6"/>
  <c r="V144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29" i="6"/>
  <c r="V128" i="6"/>
  <c r="V130" i="6"/>
  <c r="V309" i="6"/>
  <c r="V127" i="6"/>
  <c r="V126" i="6"/>
  <c r="V125" i="6"/>
  <c r="V124" i="6"/>
  <c r="V120" i="6"/>
  <c r="V123" i="6"/>
  <c r="V122" i="6"/>
  <c r="V121" i="6"/>
  <c r="V119" i="6"/>
  <c r="V118" i="6"/>
  <c r="V117" i="6"/>
  <c r="V116" i="6"/>
  <c r="V115" i="6"/>
  <c r="V113" i="6"/>
  <c r="V112" i="6"/>
  <c r="V111" i="6"/>
  <c r="V110" i="6"/>
  <c r="V109" i="6"/>
  <c r="V108" i="6"/>
  <c r="V107" i="6"/>
  <c r="V341" i="6"/>
  <c r="V340" i="6"/>
  <c r="V228" i="6"/>
  <c r="V226" i="6"/>
  <c r="V106" i="6"/>
  <c r="V105" i="6"/>
  <c r="V104" i="6"/>
  <c r="V103" i="6"/>
  <c r="V102" i="6"/>
  <c r="V101" i="6"/>
  <c r="V100" i="6"/>
  <c r="V99" i="6"/>
  <c r="V97" i="6"/>
  <c r="V94" i="6"/>
  <c r="V98" i="6"/>
  <c r="V96" i="6"/>
  <c r="V95" i="6"/>
  <c r="V93" i="6"/>
  <c r="V92" i="6"/>
  <c r="V91" i="6"/>
  <c r="V89" i="6"/>
  <c r="V90" i="6"/>
  <c r="V343" i="6"/>
  <c r="V258" i="6"/>
  <c r="V307" i="6"/>
  <c r="V256" i="6"/>
  <c r="V88" i="6"/>
  <c r="V87" i="6"/>
  <c r="V86" i="6"/>
  <c r="V85" i="6"/>
  <c r="V82" i="6"/>
  <c r="V83" i="6"/>
  <c r="V84" i="6"/>
  <c r="V81" i="6"/>
  <c r="V79" i="6"/>
  <c r="V80" i="6"/>
  <c r="V77" i="6"/>
  <c r="V78" i="6"/>
  <c r="V75" i="6"/>
  <c r="V76" i="6"/>
  <c r="V73" i="6"/>
  <c r="V72" i="6"/>
  <c r="V74" i="6"/>
  <c r="V71" i="6"/>
  <c r="V339" i="6"/>
  <c r="V70" i="6"/>
  <c r="V69" i="6"/>
  <c r="V68" i="6"/>
  <c r="V66" i="6"/>
  <c r="V65" i="6"/>
  <c r="V64" i="6"/>
  <c r="V63" i="6"/>
  <c r="V62" i="6"/>
  <c r="V61" i="6"/>
  <c r="V60" i="6"/>
  <c r="V67" i="6"/>
  <c r="V55" i="6"/>
  <c r="V57" i="6"/>
  <c r="V56" i="6"/>
  <c r="V54" i="6"/>
  <c r="V53" i="6"/>
  <c r="V52" i="6"/>
  <c r="V51" i="6"/>
  <c r="V50" i="6"/>
  <c r="V59" i="6"/>
  <c r="V58" i="6"/>
  <c r="V49" i="6"/>
  <c r="V42" i="6"/>
  <c r="V198" i="6"/>
  <c r="V197" i="6"/>
  <c r="V342" i="6"/>
  <c r="V219" i="6"/>
  <c r="V257" i="6"/>
  <c r="V346" i="6"/>
  <c r="V47" i="6"/>
  <c r="V46" i="6"/>
  <c r="V48" i="6"/>
  <c r="V45" i="6"/>
  <c r="V44" i="6"/>
  <c r="V43" i="6"/>
  <c r="V41" i="6"/>
  <c r="V40" i="6"/>
  <c r="V39" i="6"/>
  <c r="V38" i="6"/>
  <c r="V37" i="6"/>
  <c r="V36" i="6"/>
  <c r="V33" i="6"/>
  <c r="V32" i="6"/>
  <c r="V31" i="6"/>
  <c r="V30" i="6"/>
  <c r="V29" i="6"/>
  <c r="V35" i="6"/>
  <c r="V27" i="6"/>
  <c r="V25" i="6"/>
  <c r="V22" i="6"/>
  <c r="V34" i="6"/>
  <c r="V23" i="6"/>
  <c r="V24" i="6"/>
  <c r="V19" i="6"/>
  <c r="V20" i="6"/>
  <c r="V18" i="6"/>
  <c r="V21" i="6"/>
  <c r="V15" i="6"/>
  <c r="V14" i="6"/>
  <c r="V16" i="6"/>
  <c r="V17" i="6"/>
  <c r="N3" i="3"/>
  <c r="N4" i="3"/>
  <c r="N5" i="3"/>
  <c r="N2" i="3"/>
  <c r="AK10" i="6"/>
  <c r="N7" i="4" s="1"/>
  <c r="AK9" i="6"/>
  <c r="N6" i="4" s="1"/>
  <c r="N6" i="3" s="1"/>
  <c r="J22" i="4"/>
  <c r="K22" i="4" s="1"/>
  <c r="J20" i="4"/>
  <c r="J27" i="4"/>
  <c r="J53" i="4"/>
  <c r="J126" i="4"/>
  <c r="J19" i="4"/>
  <c r="AS29" i="6" l="1"/>
  <c r="AS41" i="6"/>
  <c r="AS21" i="6"/>
  <c r="AS33" i="6"/>
  <c r="AS17" i="6"/>
  <c r="AS25" i="6"/>
  <c r="AS37" i="6"/>
  <c r="AT21" i="6"/>
  <c r="AU21" i="6" s="1"/>
  <c r="AV21" i="6" s="1"/>
  <c r="AT22" i="6"/>
  <c r="AT43" i="6"/>
  <c r="AT34" i="6"/>
  <c r="AT32" i="6"/>
  <c r="AT18" i="6"/>
  <c r="AT38" i="6"/>
  <c r="AT25" i="6"/>
  <c r="AT30" i="6"/>
  <c r="AS27" i="6"/>
  <c r="AS34" i="6"/>
  <c r="AT37" i="6"/>
  <c r="AS31" i="6"/>
  <c r="AS28" i="6"/>
  <c r="AT19" i="6"/>
  <c r="AT15" i="6"/>
  <c r="AS39" i="6"/>
  <c r="AS23" i="6"/>
  <c r="AT16" i="6"/>
  <c r="AT42" i="6"/>
  <c r="AS24" i="6"/>
  <c r="AS40" i="6"/>
  <c r="AT29" i="6"/>
  <c r="AU29" i="6" s="1"/>
  <c r="AV29" i="6" s="1"/>
  <c r="AT31" i="6"/>
  <c r="AU31" i="6" s="1"/>
  <c r="AV31" i="6" s="1"/>
  <c r="AT28" i="6"/>
  <c r="AU28" i="6" s="1"/>
  <c r="AV28" i="6" s="1"/>
  <c r="AS19" i="6"/>
  <c r="AS15" i="6"/>
  <c r="AT39" i="6"/>
  <c r="AT23" i="6"/>
  <c r="AU23" i="6" s="1"/>
  <c r="AV23" i="6" s="1"/>
  <c r="AT35" i="6"/>
  <c r="AT26" i="6"/>
  <c r="AU26" i="6" s="1"/>
  <c r="AV26" i="6" s="1"/>
  <c r="AT41" i="6"/>
  <c r="AU41" i="6" s="1"/>
  <c r="AV41" i="6" s="1"/>
  <c r="AS20" i="6"/>
  <c r="AS38" i="6"/>
  <c r="AT17" i="6"/>
  <c r="AU17" i="6" s="1"/>
  <c r="AV17" i="6" s="1"/>
  <c r="AS16" i="6"/>
  <c r="AS26" i="6"/>
  <c r="AS42" i="6"/>
  <c r="AS30" i="6"/>
  <c r="AS35" i="6"/>
  <c r="AS36" i="6"/>
  <c r="AS18" i="6"/>
  <c r="AT33" i="6"/>
  <c r="AU33" i="6" s="1"/>
  <c r="AV33" i="6" s="1"/>
  <c r="AT24" i="6"/>
  <c r="AU24" i="6" s="1"/>
  <c r="AV24" i="6" s="1"/>
  <c r="AT36" i="6"/>
  <c r="AT27" i="6"/>
  <c r="AU27" i="6" s="1"/>
  <c r="AV27" i="6" s="1"/>
  <c r="AT20" i="6"/>
  <c r="AT40" i="6"/>
  <c r="AU40" i="6" s="1"/>
  <c r="AV40" i="6" s="1"/>
  <c r="AS22" i="6"/>
  <c r="AS43" i="6"/>
  <c r="AS32" i="6"/>
  <c r="P69" i="4"/>
  <c r="P60" i="4"/>
  <c r="R42" i="4"/>
  <c r="R70" i="4"/>
  <c r="R68" i="4"/>
  <c r="P50" i="4"/>
  <c r="P48" i="4"/>
  <c r="P70" i="4"/>
  <c r="P54" i="4"/>
  <c r="R47" i="4"/>
  <c r="R50" i="4"/>
  <c r="R48" i="4"/>
  <c r="P42" i="4"/>
  <c r="S42" i="4" s="1"/>
  <c r="T42" i="4" s="1"/>
  <c r="R76" i="4"/>
  <c r="R54" i="4"/>
  <c r="P68" i="4"/>
  <c r="R44" i="4"/>
  <c r="R49" i="4"/>
  <c r="R75" i="4"/>
  <c r="P49" i="4"/>
  <c r="R46" i="4"/>
  <c r="R43" i="4"/>
  <c r="P75" i="4"/>
  <c r="S75" i="4" s="1"/>
  <c r="T75" i="4" s="1"/>
  <c r="R69" i="4"/>
  <c r="R60" i="4"/>
  <c r="R51" i="4"/>
  <c r="P46" i="4"/>
  <c r="P44" i="4"/>
  <c r="P47" i="4"/>
  <c r="S47" i="4" s="1"/>
  <c r="T47" i="4" s="1"/>
  <c r="P51" i="4"/>
  <c r="S51" i="4" s="1"/>
  <c r="T51" i="4" s="1"/>
  <c r="R61" i="4"/>
  <c r="P81" i="4"/>
  <c r="P76" i="4"/>
  <c r="P43" i="4"/>
  <c r="R52" i="4"/>
  <c r="P52" i="4"/>
  <c r="R81" i="4"/>
  <c r="R53" i="4"/>
  <c r="R45" i="4"/>
  <c r="P53" i="4"/>
  <c r="P45" i="4"/>
  <c r="P61" i="4"/>
  <c r="AP14" i="6"/>
  <c r="AT14" i="6" s="1"/>
  <c r="N7" i="3"/>
  <c r="AS14" i="6"/>
  <c r="AU14" i="6" s="1"/>
  <c r="AV14" i="6" s="1"/>
  <c r="Z22" i="1"/>
  <c r="Y22" i="1"/>
  <c r="X22" i="1"/>
  <c r="W22" i="1"/>
  <c r="V22" i="1"/>
  <c r="U22" i="1"/>
  <c r="T22" i="1"/>
  <c r="M20" i="1"/>
  <c r="AU25" i="6" l="1"/>
  <c r="AV25" i="6" s="1"/>
  <c r="AU20" i="6"/>
  <c r="AV20" i="6" s="1"/>
  <c r="S70" i="4"/>
  <c r="T70" i="4" s="1"/>
  <c r="S43" i="4"/>
  <c r="T43" i="4" s="1"/>
  <c r="S76" i="4"/>
  <c r="T76" i="4" s="1"/>
  <c r="S53" i="4"/>
  <c r="T53" i="4" s="1"/>
  <c r="S81" i="4"/>
  <c r="T81" i="4" s="1"/>
  <c r="S50" i="4"/>
  <c r="T50" i="4" s="1"/>
  <c r="P321" i="3"/>
  <c r="R308" i="3"/>
  <c r="P303" i="3"/>
  <c r="R287" i="3"/>
  <c r="P282" i="3"/>
  <c r="R279" i="3"/>
  <c r="P277" i="3"/>
  <c r="R272" i="3"/>
  <c r="P247" i="3"/>
  <c r="R244" i="3"/>
  <c r="R239" i="3"/>
  <c r="R227" i="3"/>
  <c r="P223" i="3"/>
  <c r="R216" i="3"/>
  <c r="R204" i="3"/>
  <c r="R193" i="3"/>
  <c r="R190" i="3"/>
  <c r="R243" i="3"/>
  <c r="R238" i="3"/>
  <c r="R189" i="3"/>
  <c r="R252" i="3"/>
  <c r="P314" i="3"/>
  <c r="R277" i="3"/>
  <c r="P242" i="3"/>
  <c r="P188" i="3"/>
  <c r="R331" i="3"/>
  <c r="P313" i="3"/>
  <c r="P308" i="3"/>
  <c r="S308" i="3" s="1"/>
  <c r="T308" i="3" s="1"/>
  <c r="R305" i="3"/>
  <c r="R289" i="3"/>
  <c r="P287" i="3"/>
  <c r="S287" i="3" s="1"/>
  <c r="T287" i="3" s="1"/>
  <c r="R284" i="3"/>
  <c r="P279" i="3"/>
  <c r="S279" i="3" s="1"/>
  <c r="T279" i="3" s="1"/>
  <c r="P272" i="3"/>
  <c r="S272" i="3" s="1"/>
  <c r="T272" i="3" s="1"/>
  <c r="P244" i="3"/>
  <c r="S244" i="3" s="1"/>
  <c r="T244" i="3" s="1"/>
  <c r="R241" i="3"/>
  <c r="P239" i="3"/>
  <c r="P190" i="3"/>
  <c r="R187" i="3"/>
  <c r="P246" i="3"/>
  <c r="P236" i="3"/>
  <c r="P222" i="3"/>
  <c r="P192" i="3"/>
  <c r="R274" i="3"/>
  <c r="R245" i="3"/>
  <c r="R213" i="3"/>
  <c r="P191" i="3"/>
  <c r="R321" i="3"/>
  <c r="P285" i="3"/>
  <c r="P331" i="3"/>
  <c r="S331" i="3" s="1"/>
  <c r="T331" i="3" s="1"/>
  <c r="R320" i="3"/>
  <c r="R310" i="3"/>
  <c r="P305" i="3"/>
  <c r="S305" i="3" s="1"/>
  <c r="T305" i="3" s="1"/>
  <c r="P289" i="3"/>
  <c r="P284" i="3"/>
  <c r="R281" i="3"/>
  <c r="R276" i="3"/>
  <c r="R246" i="3"/>
  <c r="P241" i="3"/>
  <c r="S241" i="3" s="1"/>
  <c r="T241" i="3" s="1"/>
  <c r="R236" i="3"/>
  <c r="R222" i="3"/>
  <c r="R192" i="3"/>
  <c r="P187" i="3"/>
  <c r="S187" i="3" s="1"/>
  <c r="T187" i="3" s="1"/>
  <c r="R295" i="3"/>
  <c r="P248" i="3"/>
  <c r="P224" i="3"/>
  <c r="R242" i="3"/>
  <c r="R200" i="3"/>
  <c r="P306" i="3"/>
  <c r="P320" i="3"/>
  <c r="R312" i="3"/>
  <c r="P310" i="3"/>
  <c r="S310" i="3" s="1"/>
  <c r="T310" i="3" s="1"/>
  <c r="R307" i="3"/>
  <c r="R291" i="3"/>
  <c r="R286" i="3"/>
  <c r="P281" i="3"/>
  <c r="S281" i="3" s="1"/>
  <c r="T281" i="3" s="1"/>
  <c r="R278" i="3"/>
  <c r="P276" i="3"/>
  <c r="R197" i="3"/>
  <c r="P245" i="3"/>
  <c r="R188" i="3"/>
  <c r="P311" i="3"/>
  <c r="P290" i="3"/>
  <c r="P237" i="3"/>
  <c r="P312" i="3"/>
  <c r="S312" i="3" s="1"/>
  <c r="T312" i="3" s="1"/>
  <c r="P307" i="3"/>
  <c r="R304" i="3"/>
  <c r="P291" i="3"/>
  <c r="S291" i="3" s="1"/>
  <c r="T291" i="3" s="1"/>
  <c r="P286" i="3"/>
  <c r="R283" i="3"/>
  <c r="P278" i="3"/>
  <c r="R248" i="3"/>
  <c r="P243" i="3"/>
  <c r="S243" i="3" s="1"/>
  <c r="T243" i="3" s="1"/>
  <c r="P238" i="3"/>
  <c r="R224" i="3"/>
  <c r="P189" i="3"/>
  <c r="S189" i="3" s="1"/>
  <c r="T189" i="3" s="1"/>
  <c r="R309" i="3"/>
  <c r="P304" i="3"/>
  <c r="S304" i="3" s="1"/>
  <c r="T304" i="3" s="1"/>
  <c r="R288" i="3"/>
  <c r="P283" i="3"/>
  <c r="S283" i="3" s="1"/>
  <c r="T283" i="3" s="1"/>
  <c r="R280" i="3"/>
  <c r="R240" i="3"/>
  <c r="R221" i="3"/>
  <c r="R191" i="3"/>
  <c r="R237" i="3"/>
  <c r="P263" i="3"/>
  <c r="R328" i="3"/>
  <c r="R314" i="3"/>
  <c r="S314" i="3" s="1"/>
  <c r="T314" i="3" s="1"/>
  <c r="R311" i="3"/>
  <c r="P309" i="3"/>
  <c r="R306" i="3"/>
  <c r="P295" i="3"/>
  <c r="S295" i="3" s="1"/>
  <c r="T295" i="3" s="1"/>
  <c r="R290" i="3"/>
  <c r="P288" i="3"/>
  <c r="R285" i="3"/>
  <c r="P280" i="3"/>
  <c r="P274" i="3"/>
  <c r="S274" i="3" s="1"/>
  <c r="T274" i="3" s="1"/>
  <c r="R263" i="3"/>
  <c r="P240" i="3"/>
  <c r="P221" i="3"/>
  <c r="R303" i="3"/>
  <c r="R282" i="3"/>
  <c r="R247" i="3"/>
  <c r="R223" i="3"/>
  <c r="P206" i="3"/>
  <c r="P197" i="3"/>
  <c r="S197" i="3" s="1"/>
  <c r="T197" i="3" s="1"/>
  <c r="P194" i="3"/>
  <c r="P209" i="3"/>
  <c r="P325" i="3"/>
  <c r="R211" i="3"/>
  <c r="R195" i="3"/>
  <c r="P251" i="3"/>
  <c r="R209" i="3"/>
  <c r="P294" i="3"/>
  <c r="R228" i="3"/>
  <c r="R206" i="3"/>
  <c r="R322" i="3"/>
  <c r="P202" i="3"/>
  <c r="P252" i="3"/>
  <c r="P265" i="3"/>
  <c r="P228" i="3"/>
  <c r="P216" i="3"/>
  <c r="S216" i="3" s="1"/>
  <c r="T216" i="3" s="1"/>
  <c r="P201" i="3"/>
  <c r="R294" i="3"/>
  <c r="R256" i="3"/>
  <c r="R226" i="3"/>
  <c r="R210" i="3"/>
  <c r="R250" i="3"/>
  <c r="P200" i="3"/>
  <c r="S200" i="3" s="1"/>
  <c r="T200" i="3" s="1"/>
  <c r="R208" i="3"/>
  <c r="P213" i="3"/>
  <c r="S213" i="3" s="1"/>
  <c r="T213" i="3" s="1"/>
  <c r="P198" i="3"/>
  <c r="R229" i="3"/>
  <c r="P227" i="3"/>
  <c r="S227" i="3" s="1"/>
  <c r="T227" i="3" s="1"/>
  <c r="P230" i="3"/>
  <c r="R327" i="3"/>
  <c r="P292" i="3"/>
  <c r="R201" i="3"/>
  <c r="S201" i="3" s="1"/>
  <c r="T201" i="3" s="1"/>
  <c r="R205" i="3"/>
  <c r="P293" i="3"/>
  <c r="R230" i="3"/>
  <c r="R214" i="3"/>
  <c r="R253" i="3"/>
  <c r="R297" i="3"/>
  <c r="P226" i="3"/>
  <c r="R257" i="3"/>
  <c r="R266" i="3"/>
  <c r="R315" i="3"/>
  <c r="R325" i="3"/>
  <c r="P193" i="3"/>
  <c r="S193" i="3" s="1"/>
  <c r="T193" i="3" s="1"/>
  <c r="R225" i="3"/>
  <c r="R292" i="3"/>
  <c r="R194" i="3"/>
  <c r="S194" i="3" s="1"/>
  <c r="T194" i="3" s="1"/>
  <c r="P328" i="3"/>
  <c r="P214" i="3"/>
  <c r="R196" i="3"/>
  <c r="P210" i="3"/>
  <c r="R215" i="3"/>
  <c r="R251" i="3"/>
  <c r="P266" i="3"/>
  <c r="R313" i="3"/>
  <c r="R254" i="3"/>
  <c r="R255" i="3"/>
  <c r="R203" i="3"/>
  <c r="P296" i="3"/>
  <c r="R293" i="3"/>
  <c r="R265" i="3"/>
  <c r="S265" i="3" s="1"/>
  <c r="T265" i="3" s="1"/>
  <c r="R323" i="3"/>
  <c r="P324" i="3"/>
  <c r="P205" i="3"/>
  <c r="P256" i="3"/>
  <c r="R199" i="3"/>
  <c r="R326" i="3"/>
  <c r="R249" i="3"/>
  <c r="R296" i="3"/>
  <c r="R198" i="3"/>
  <c r="R329" i="3"/>
  <c r="R330" i="3"/>
  <c r="R207" i="3"/>
  <c r="R298" i="3"/>
  <c r="P204" i="3"/>
  <c r="S204" i="3" s="1"/>
  <c r="T204" i="3" s="1"/>
  <c r="P212" i="3"/>
  <c r="R212" i="3"/>
  <c r="R324" i="3"/>
  <c r="P330" i="3"/>
  <c r="S330" i="3" s="1"/>
  <c r="T330" i="3" s="1"/>
  <c r="R202" i="3"/>
  <c r="S202" i="3" s="1"/>
  <c r="T202" i="3" s="1"/>
  <c r="P207" i="3"/>
  <c r="S207" i="3" s="1"/>
  <c r="T207" i="3" s="1"/>
  <c r="P229" i="3"/>
  <c r="P323" i="3"/>
  <c r="S323" i="3" s="1"/>
  <c r="T323" i="3" s="1"/>
  <c r="P250" i="3"/>
  <c r="S250" i="3" s="1"/>
  <c r="T250" i="3" s="1"/>
  <c r="P297" i="3"/>
  <c r="S297" i="3" s="1"/>
  <c r="T297" i="3" s="1"/>
  <c r="P254" i="3"/>
  <c r="S254" i="3" s="1"/>
  <c r="T254" i="3" s="1"/>
  <c r="P298" i="3"/>
  <c r="S298" i="3" s="1"/>
  <c r="T298" i="3" s="1"/>
  <c r="P315" i="3"/>
  <c r="S315" i="3" s="1"/>
  <c r="T315" i="3" s="1"/>
  <c r="P327" i="3"/>
  <c r="S327" i="3" s="1"/>
  <c r="T327" i="3" s="1"/>
  <c r="P329" i="3"/>
  <c r="P215" i="3"/>
  <c r="S215" i="3" s="1"/>
  <c r="T215" i="3" s="1"/>
  <c r="P203" i="3"/>
  <c r="S203" i="3" s="1"/>
  <c r="T203" i="3" s="1"/>
  <c r="P208" i="3"/>
  <c r="S208" i="3" s="1"/>
  <c r="T208" i="3" s="1"/>
  <c r="P199" i="3"/>
  <c r="S199" i="3" s="1"/>
  <c r="T199" i="3" s="1"/>
  <c r="P195" i="3"/>
  <c r="P211" i="3"/>
  <c r="S211" i="3" s="1"/>
  <c r="T211" i="3" s="1"/>
  <c r="P257" i="3"/>
  <c r="S257" i="3" s="1"/>
  <c r="T257" i="3" s="1"/>
  <c r="P253" i="3"/>
  <c r="P326" i="3"/>
  <c r="S326" i="3" s="1"/>
  <c r="T326" i="3" s="1"/>
  <c r="P225" i="3"/>
  <c r="P249" i="3"/>
  <c r="S249" i="3" s="1"/>
  <c r="T249" i="3" s="1"/>
  <c r="P255" i="3"/>
  <c r="S255" i="3" s="1"/>
  <c r="T255" i="3" s="1"/>
  <c r="P196" i="3"/>
  <c r="S196" i="3" s="1"/>
  <c r="T196" i="3" s="1"/>
  <c r="P322" i="3"/>
  <c r="S44" i="4"/>
  <c r="T44" i="4" s="1"/>
  <c r="S52" i="4"/>
  <c r="T52" i="4" s="1"/>
  <c r="S46" i="4"/>
  <c r="T46" i="4" s="1"/>
  <c r="S68" i="4"/>
  <c r="T68" i="4" s="1"/>
  <c r="S48" i="4"/>
  <c r="T48" i="4" s="1"/>
  <c r="AU19" i="6"/>
  <c r="AV19" i="6" s="1"/>
  <c r="AU39" i="6"/>
  <c r="AV39" i="6" s="1"/>
  <c r="AU37" i="6"/>
  <c r="AV37" i="6" s="1"/>
  <c r="AU30" i="6"/>
  <c r="AV30" i="6" s="1"/>
  <c r="AU15" i="6"/>
  <c r="AV15" i="6" s="1"/>
  <c r="AU38" i="6"/>
  <c r="AV38" i="6" s="1"/>
  <c r="AU35" i="6"/>
  <c r="AV35" i="6" s="1"/>
  <c r="AU18" i="6"/>
  <c r="AV18" i="6" s="1"/>
  <c r="AU36" i="6"/>
  <c r="AV36" i="6" s="1"/>
  <c r="AU32" i="6"/>
  <c r="AV32" i="6" s="1"/>
  <c r="AU42" i="6"/>
  <c r="AV42" i="6" s="1"/>
  <c r="AU34" i="6"/>
  <c r="AV34" i="6" s="1"/>
  <c r="AU16" i="6"/>
  <c r="AV16" i="6" s="1"/>
  <c r="AU43" i="6"/>
  <c r="AV43" i="6" s="1"/>
  <c r="AU22" i="6"/>
  <c r="AV22" i="6" s="1"/>
  <c r="S49" i="4"/>
  <c r="T49" i="4" s="1"/>
  <c r="S61" i="4"/>
  <c r="T61" i="4" s="1"/>
  <c r="S60" i="4"/>
  <c r="T60" i="4" s="1"/>
  <c r="S45" i="4"/>
  <c r="T45" i="4" s="1"/>
  <c r="S54" i="4"/>
  <c r="T54" i="4" s="1"/>
  <c r="S69" i="4"/>
  <c r="T69" i="4" s="1"/>
  <c r="L20" i="1"/>
  <c r="S198" i="3" l="1"/>
  <c r="T198" i="3" s="1"/>
  <c r="S246" i="3"/>
  <c r="T246" i="3" s="1"/>
  <c r="S309" i="3"/>
  <c r="T309" i="3" s="1"/>
  <c r="S225" i="3"/>
  <c r="T225" i="3" s="1"/>
  <c r="S212" i="3"/>
  <c r="T212" i="3" s="1"/>
  <c r="S214" i="3"/>
  <c r="T214" i="3" s="1"/>
  <c r="S288" i="3"/>
  <c r="T288" i="3" s="1"/>
  <c r="S230" i="3"/>
  <c r="T230" i="3" s="1"/>
  <c r="S256" i="3"/>
  <c r="T256" i="3" s="1"/>
  <c r="S286" i="3"/>
  <c r="T286" i="3" s="1"/>
  <c r="S276" i="3"/>
  <c r="T276" i="3" s="1"/>
  <c r="S285" i="3"/>
  <c r="T285" i="3" s="1"/>
  <c r="S247" i="3"/>
  <c r="T247" i="3" s="1"/>
  <c r="S321" i="3"/>
  <c r="T321" i="3" s="1"/>
  <c r="S253" i="3"/>
  <c r="T253" i="3" s="1"/>
  <c r="S284" i="3"/>
  <c r="T284" i="3" s="1"/>
  <c r="S328" i="3"/>
  <c r="T328" i="3" s="1"/>
  <c r="S238" i="3"/>
  <c r="T238" i="3" s="1"/>
  <c r="S320" i="3"/>
  <c r="T320" i="3" s="1"/>
  <c r="S195" i="3"/>
  <c r="T195" i="3" s="1"/>
  <c r="S324" i="3"/>
  <c r="T324" i="3" s="1"/>
  <c r="S313" i="3"/>
  <c r="T313" i="3" s="1"/>
  <c r="S306" i="3"/>
  <c r="T306" i="3" s="1"/>
  <c r="S239" i="3"/>
  <c r="T239" i="3" s="1"/>
  <c r="S223" i="3"/>
  <c r="T223" i="3" s="1"/>
  <c r="S282" i="3"/>
  <c r="T282" i="3" s="1"/>
  <c r="S322" i="3"/>
  <c r="T322" i="3" s="1"/>
  <c r="S294" i="3"/>
  <c r="T294" i="3" s="1"/>
  <c r="S307" i="3"/>
  <c r="T307" i="3" s="1"/>
  <c r="S190" i="3"/>
  <c r="T190" i="3" s="1"/>
  <c r="S289" i="3"/>
  <c r="T289" i="3" s="1"/>
  <c r="S292" i="3"/>
  <c r="T292" i="3" s="1"/>
  <c r="S251" i="3"/>
  <c r="T251" i="3" s="1"/>
  <c r="S280" i="3"/>
  <c r="T280" i="3" s="1"/>
  <c r="S248" i="3"/>
  <c r="T248" i="3" s="1"/>
  <c r="S237" i="3"/>
  <c r="T237" i="3" s="1"/>
  <c r="S236" i="3"/>
  <c r="T236" i="3" s="1"/>
  <c r="S296" i="3"/>
  <c r="T296" i="3" s="1"/>
  <c r="S210" i="3"/>
  <c r="T210" i="3" s="1"/>
  <c r="S252" i="3"/>
  <c r="T252" i="3" s="1"/>
  <c r="S278" i="3"/>
  <c r="T278" i="3" s="1"/>
  <c r="S290" i="3"/>
  <c r="T290" i="3" s="1"/>
  <c r="S192" i="3"/>
  <c r="T192" i="3" s="1"/>
  <c r="S303" i="3"/>
  <c r="T303" i="3" s="1"/>
  <c r="S226" i="3"/>
  <c r="T226" i="3" s="1"/>
  <c r="S263" i="3"/>
  <c r="T263" i="3" s="1"/>
  <c r="S311" i="3"/>
  <c r="T311" i="3" s="1"/>
  <c r="S224" i="3"/>
  <c r="T224" i="3" s="1"/>
  <c r="S222" i="3"/>
  <c r="T222" i="3" s="1"/>
  <c r="S188" i="3"/>
  <c r="T188" i="3" s="1"/>
  <c r="S325" i="3"/>
  <c r="T325" i="3" s="1"/>
  <c r="S329" i="3"/>
  <c r="T329" i="3" s="1"/>
  <c r="S229" i="3"/>
  <c r="T229" i="3" s="1"/>
  <c r="S293" i="3"/>
  <c r="T293" i="3" s="1"/>
  <c r="S206" i="3"/>
  <c r="T206" i="3" s="1"/>
  <c r="S209" i="3"/>
  <c r="T209" i="3" s="1"/>
  <c r="S245" i="3"/>
  <c r="T245" i="3" s="1"/>
  <c r="S242" i="3"/>
  <c r="T242" i="3" s="1"/>
  <c r="S266" i="3"/>
  <c r="T266" i="3" s="1"/>
  <c r="S205" i="3"/>
  <c r="T205" i="3" s="1"/>
  <c r="S228" i="3"/>
  <c r="T228" i="3" s="1"/>
  <c r="S240" i="3"/>
  <c r="T240" i="3" s="1"/>
  <c r="S221" i="3"/>
  <c r="T221" i="3" s="1"/>
  <c r="S191" i="3"/>
  <c r="T191" i="3" s="1"/>
  <c r="S277" i="3"/>
  <c r="T277" i="3" s="1"/>
  <c r="L81" i="4"/>
  <c r="M81" i="4" s="1"/>
  <c r="M83" i="4" s="1"/>
  <c r="D20" i="1" s="1"/>
  <c r="AE20" i="1" s="1"/>
  <c r="J81" i="4"/>
  <c r="Q83" i="4"/>
  <c r="L83" i="4" l="1"/>
  <c r="B20" i="1" s="1"/>
  <c r="C20" i="1" s="1"/>
  <c r="AD20" i="1" s="1"/>
  <c r="N83" i="4"/>
  <c r="K81" i="4"/>
  <c r="AI48" i="1"/>
  <c r="AH48" i="1"/>
  <c r="AG48" i="1"/>
  <c r="AF48" i="1"/>
  <c r="M48" i="1"/>
  <c r="AE48" i="1" s="1"/>
  <c r="AI47" i="1"/>
  <c r="AH47" i="1"/>
  <c r="AG47" i="1"/>
  <c r="AF47" i="1"/>
  <c r="M47" i="1"/>
  <c r="AE47" i="1" s="1"/>
  <c r="AI45" i="1"/>
  <c r="AH45" i="1"/>
  <c r="AG45" i="1"/>
  <c r="AF45" i="1"/>
  <c r="M45" i="1"/>
  <c r="AE45" i="1" s="1"/>
  <c r="M43" i="1"/>
  <c r="M39" i="1"/>
  <c r="M37" i="1"/>
  <c r="M35" i="1"/>
  <c r="M31" i="1"/>
  <c r="M29" i="1"/>
  <c r="M27" i="1"/>
  <c r="M25" i="1"/>
  <c r="M18" i="1"/>
  <c r="M16" i="1"/>
  <c r="M14" i="1"/>
  <c r="M12" i="1"/>
  <c r="AC20" i="1" l="1"/>
  <c r="O83" i="4"/>
  <c r="O22" i="1"/>
  <c r="P22" i="1"/>
  <c r="Q22" i="1"/>
  <c r="N22" i="1"/>
  <c r="AC47" i="1"/>
  <c r="AC45" i="1"/>
  <c r="AC48" i="1"/>
  <c r="L48" i="1"/>
  <c r="AD48" i="1" s="1"/>
  <c r="L47" i="1"/>
  <c r="AD47" i="1" s="1"/>
  <c r="L45" i="1"/>
  <c r="AD45" i="1" s="1"/>
  <c r="L43" i="1"/>
  <c r="AD43" i="1" s="1"/>
  <c r="L39" i="1"/>
  <c r="L37" i="1"/>
  <c r="L35" i="1"/>
  <c r="L31" i="1"/>
  <c r="L29" i="1"/>
  <c r="AD29" i="1" s="1"/>
  <c r="L27" i="1"/>
  <c r="AD27" i="1" s="1"/>
  <c r="L25" i="1"/>
  <c r="AD25" i="1" s="1"/>
  <c r="L18" i="1"/>
  <c r="L16" i="1"/>
  <c r="L14" i="1"/>
  <c r="L12" i="1"/>
  <c r="M10" i="1" l="1"/>
  <c r="M22" i="1" s="1"/>
  <c r="K22" i="1"/>
  <c r="L10" i="1" l="1"/>
  <c r="L22" i="1" s="1"/>
  <c r="V2" i="6"/>
  <c r="B3" i="6"/>
  <c r="M3" i="6" l="1"/>
  <c r="S3" i="6"/>
  <c r="AB3" i="6"/>
  <c r="Y3" i="6"/>
  <c r="M4" i="6" l="1"/>
  <c r="X4" i="6"/>
  <c r="U4" i="6"/>
  <c r="I5" i="6" l="1"/>
  <c r="AD49" i="1" l="1"/>
  <c r="Z49" i="1"/>
  <c r="Y49" i="1"/>
  <c r="X49" i="1"/>
  <c r="W49" i="1"/>
  <c r="V49" i="1"/>
  <c r="U49" i="1"/>
  <c r="T49" i="1"/>
  <c r="Z41" i="1"/>
  <c r="Y41" i="1"/>
  <c r="X41" i="1"/>
  <c r="W41" i="1"/>
  <c r="V41" i="1"/>
  <c r="U41" i="1"/>
  <c r="T41" i="1"/>
  <c r="Z33" i="1"/>
  <c r="Y33" i="1"/>
  <c r="X33" i="1"/>
  <c r="W33" i="1"/>
  <c r="V33" i="1"/>
  <c r="U33" i="1"/>
  <c r="T33" i="1"/>
  <c r="P8" i="1"/>
  <c r="Y8" i="1" s="1"/>
  <c r="AH8" i="1" s="1"/>
  <c r="O8" i="1"/>
  <c r="X8" i="1" s="1"/>
  <c r="AG8" i="1" s="1"/>
  <c r="O49" i="1"/>
  <c r="N49" i="1"/>
  <c r="L49" i="1"/>
  <c r="Q49" i="1"/>
  <c r="P49" i="1"/>
  <c r="M49" i="1"/>
  <c r="K49" i="1"/>
  <c r="K41" i="1"/>
  <c r="Q41" i="1"/>
  <c r="P41" i="1"/>
  <c r="O41" i="1"/>
  <c r="N41" i="1"/>
  <c r="M41" i="1"/>
  <c r="P33" i="1"/>
  <c r="L33" i="1"/>
  <c r="M33" i="1"/>
  <c r="Q33" i="1"/>
  <c r="O33" i="1"/>
  <c r="N33" i="1"/>
  <c r="K33" i="1"/>
  <c r="T51" i="1" l="1"/>
  <c r="U51" i="1"/>
  <c r="W51" i="1"/>
  <c r="Y51" i="1"/>
  <c r="V51" i="1"/>
  <c r="Z51" i="1"/>
  <c r="X51" i="1"/>
  <c r="K51" i="1"/>
  <c r="K52" i="1" s="1"/>
  <c r="M51" i="1"/>
  <c r="O51" i="1"/>
  <c r="N51" i="1"/>
  <c r="P51" i="1"/>
  <c r="L41" i="1"/>
  <c r="Q51" i="1"/>
  <c r="L51" i="1" l="1"/>
  <c r="Q333" i="3" l="1"/>
  <c r="Q317" i="3"/>
  <c r="Q300" i="3"/>
  <c r="Q268" i="3"/>
  <c r="Q259" i="3"/>
  <c r="Q232" i="3"/>
  <c r="Q218" i="3"/>
  <c r="Q78" i="4"/>
  <c r="Q72" i="4"/>
  <c r="Q63" i="4"/>
  <c r="Q56" i="4"/>
  <c r="Q85" i="4" l="1"/>
  <c r="Q336" i="3"/>
  <c r="M296" i="3" l="1"/>
  <c r="J296" i="3"/>
  <c r="M257" i="3"/>
  <c r="J257" i="3"/>
  <c r="M315" i="3"/>
  <c r="J315" i="3"/>
  <c r="J216" i="3"/>
  <c r="K216" i="3" s="1"/>
  <c r="J215" i="3"/>
  <c r="K215" i="3" s="1"/>
  <c r="M216" i="3"/>
  <c r="M215" i="3"/>
  <c r="K296" i="3" l="1"/>
  <c r="K315" i="3"/>
  <c r="K257" i="3"/>
  <c r="M214" i="3"/>
  <c r="J214" i="3"/>
  <c r="K214" i="3" s="1"/>
  <c r="J213" i="3"/>
  <c r="K213" i="3" s="1"/>
  <c r="M213" i="3"/>
  <c r="J171" i="3"/>
  <c r="K171" i="3" s="1"/>
  <c r="J172" i="3"/>
  <c r="K172" i="3" s="1"/>
  <c r="J173" i="3"/>
  <c r="K173" i="3" s="1"/>
  <c r="J174" i="3"/>
  <c r="K174" i="3" s="1"/>
  <c r="J175" i="3"/>
  <c r="K175" i="3" s="1"/>
  <c r="J176" i="3"/>
  <c r="K176" i="3" s="1"/>
  <c r="J177" i="3"/>
  <c r="K177" i="3" s="1"/>
  <c r="J178" i="3"/>
  <c r="K178" i="3" s="1"/>
  <c r="J179" i="3"/>
  <c r="K179" i="3" s="1"/>
  <c r="J180" i="3"/>
  <c r="K180" i="3" s="1"/>
  <c r="J181" i="3"/>
  <c r="K181" i="3" s="1"/>
  <c r="M171" i="3"/>
  <c r="N171" i="3" s="1"/>
  <c r="O171" i="3" s="1"/>
  <c r="M172" i="3"/>
  <c r="N172" i="3" s="1"/>
  <c r="O172" i="3" s="1"/>
  <c r="M173" i="3"/>
  <c r="N173" i="3" s="1"/>
  <c r="O173" i="3" s="1"/>
  <c r="M174" i="3"/>
  <c r="N174" i="3" s="1"/>
  <c r="O174" i="3" s="1"/>
  <c r="M175" i="3"/>
  <c r="N175" i="3" s="1"/>
  <c r="O175" i="3" s="1"/>
  <c r="M176" i="3"/>
  <c r="N176" i="3" s="1"/>
  <c r="O176" i="3" s="1"/>
  <c r="P176" i="3" s="1"/>
  <c r="M177" i="3"/>
  <c r="N177" i="3" s="1"/>
  <c r="O177" i="3" s="1"/>
  <c r="M178" i="3"/>
  <c r="N178" i="3" s="1"/>
  <c r="M179" i="3"/>
  <c r="N179" i="3" s="1"/>
  <c r="O179" i="3" s="1"/>
  <c r="P179" i="3" s="1"/>
  <c r="M180" i="3"/>
  <c r="N180" i="3" s="1"/>
  <c r="M181" i="3"/>
  <c r="N181" i="3" s="1"/>
  <c r="O181" i="3" s="1"/>
  <c r="P181" i="3" s="1"/>
  <c r="M35" i="4"/>
  <c r="N35" i="4" s="1"/>
  <c r="M36" i="4"/>
  <c r="N36" i="4" s="1"/>
  <c r="O36" i="4" s="1"/>
  <c r="J36" i="4"/>
  <c r="K36" i="4" s="1"/>
  <c r="J35" i="4"/>
  <c r="K35" i="4" s="1"/>
  <c r="M34" i="4"/>
  <c r="N34" i="4" s="1"/>
  <c r="O34" i="4" s="1"/>
  <c r="P34" i="4" s="1"/>
  <c r="J34" i="4"/>
  <c r="K34" i="4" s="1"/>
  <c r="R34" i="4" s="1"/>
  <c r="S34" i="4" l="1"/>
  <c r="T34" i="4" s="1"/>
  <c r="R175" i="3"/>
  <c r="R174" i="3"/>
  <c r="P174" i="3"/>
  <c r="S174" i="3" s="1"/>
  <c r="T174" i="3" s="1"/>
  <c r="R180" i="3"/>
  <c r="O180" i="3"/>
  <c r="P180" i="3" s="1"/>
  <c r="R181" i="3"/>
  <c r="S181" i="3" s="1"/>
  <c r="T181" i="3" s="1"/>
  <c r="R173" i="3"/>
  <c r="P173" i="3"/>
  <c r="P172" i="3"/>
  <c r="R172" i="3"/>
  <c r="R179" i="3"/>
  <c r="S179" i="3" s="1"/>
  <c r="T179" i="3" s="1"/>
  <c r="P171" i="3"/>
  <c r="R171" i="3"/>
  <c r="R178" i="3"/>
  <c r="O178" i="3"/>
  <c r="P178" i="3" s="1"/>
  <c r="P175" i="3"/>
  <c r="P177" i="3"/>
  <c r="R177" i="3"/>
  <c r="R176" i="3"/>
  <c r="S176" i="3" s="1"/>
  <c r="T176" i="3" s="1"/>
  <c r="R36" i="4"/>
  <c r="P36" i="4"/>
  <c r="R35" i="4"/>
  <c r="O35" i="4"/>
  <c r="P35" i="4" s="1"/>
  <c r="S175" i="3" l="1"/>
  <c r="T175" i="3" s="1"/>
  <c r="S36" i="4"/>
  <c r="T36" i="4" s="1"/>
  <c r="S35" i="4"/>
  <c r="T35" i="4" s="1"/>
  <c r="S178" i="3"/>
  <c r="T178" i="3" s="1"/>
  <c r="S173" i="3"/>
  <c r="T173" i="3" s="1"/>
  <c r="S171" i="3"/>
  <c r="T171" i="3" s="1"/>
  <c r="S180" i="3"/>
  <c r="T180" i="3" s="1"/>
  <c r="S177" i="3"/>
  <c r="T177" i="3" s="1"/>
  <c r="S172" i="3"/>
  <c r="T172" i="3" s="1"/>
  <c r="M33" i="4"/>
  <c r="N33" i="4" s="1"/>
  <c r="O33" i="4" s="1"/>
  <c r="J33" i="4"/>
  <c r="K33" i="4" s="1"/>
  <c r="R33" i="4" s="1"/>
  <c r="M212" i="3"/>
  <c r="J212" i="3"/>
  <c r="K212" i="3" s="1"/>
  <c r="M211" i="3"/>
  <c r="J211" i="3"/>
  <c r="K211" i="3" s="1"/>
  <c r="M256" i="3"/>
  <c r="J256" i="3"/>
  <c r="J32" i="4"/>
  <c r="K32" i="4" s="1"/>
  <c r="M210" i="3"/>
  <c r="J210" i="3"/>
  <c r="K210" i="3" s="1"/>
  <c r="P33" i="4" l="1"/>
  <c r="S33" i="4" s="1"/>
  <c r="T33" i="4" s="1"/>
  <c r="K256" i="3"/>
  <c r="M32" i="4"/>
  <c r="N32" i="4" s="1"/>
  <c r="O32" i="4" s="1"/>
  <c r="P32" i="4" s="1"/>
  <c r="R32" i="4" l="1"/>
  <c r="S32" i="4" s="1"/>
  <c r="T32" i="4" s="1"/>
  <c r="J170" i="3"/>
  <c r="K170" i="3" s="1"/>
  <c r="M170" i="3"/>
  <c r="N170" i="3" s="1"/>
  <c r="M169" i="3"/>
  <c r="N169" i="3" s="1"/>
  <c r="O169" i="3" s="1"/>
  <c r="J169" i="3"/>
  <c r="K169" i="3" s="1"/>
  <c r="M168" i="3"/>
  <c r="N168" i="3" s="1"/>
  <c r="J168" i="3"/>
  <c r="M230" i="3"/>
  <c r="J230" i="3"/>
  <c r="K230" i="3" s="1"/>
  <c r="M209" i="3"/>
  <c r="J209" i="3"/>
  <c r="K209" i="3" s="1"/>
  <c r="L31" i="4"/>
  <c r="M31" i="4" s="1"/>
  <c r="N31" i="4" s="1"/>
  <c r="J31" i="4"/>
  <c r="K31" i="4" s="1"/>
  <c r="L30" i="4"/>
  <c r="M30" i="4" s="1"/>
  <c r="N30" i="4" s="1"/>
  <c r="O30" i="4" s="1"/>
  <c r="J30" i="4"/>
  <c r="K30" i="4" s="1"/>
  <c r="R30" i="4" s="1"/>
  <c r="O168" i="3" l="1"/>
  <c r="P169" i="3"/>
  <c r="R169" i="3"/>
  <c r="R170" i="3"/>
  <c r="O170" i="3"/>
  <c r="P170" i="3" s="1"/>
  <c r="R31" i="4"/>
  <c r="O31" i="4"/>
  <c r="P31" i="4" s="1"/>
  <c r="P30" i="4"/>
  <c r="S30" i="4" s="1"/>
  <c r="T30" i="4" s="1"/>
  <c r="K168" i="3"/>
  <c r="R168" i="3" s="1"/>
  <c r="S170" i="3" l="1"/>
  <c r="T170" i="3" s="1"/>
  <c r="S31" i="4"/>
  <c r="T31" i="4" s="1"/>
  <c r="S169" i="3"/>
  <c r="T169" i="3" s="1"/>
  <c r="P168" i="3"/>
  <c r="S168" i="3" s="1"/>
  <c r="T168" i="3" s="1"/>
  <c r="M314" i="3"/>
  <c r="J314" i="3"/>
  <c r="K314" i="3" s="1"/>
  <c r="M295" i="3"/>
  <c r="J295" i="3"/>
  <c r="M294" i="3"/>
  <c r="J294" i="3"/>
  <c r="M167" i="3"/>
  <c r="N167" i="3" s="1"/>
  <c r="O167" i="3" s="1"/>
  <c r="J167" i="3"/>
  <c r="M350" i="3"/>
  <c r="N350" i="3" s="1"/>
  <c r="O350" i="3" s="1"/>
  <c r="J350" i="3"/>
  <c r="K350" i="3" s="1"/>
  <c r="M166" i="3"/>
  <c r="N166" i="3" s="1"/>
  <c r="O166" i="3" s="1"/>
  <c r="J166" i="3"/>
  <c r="K166" i="3" s="1"/>
  <c r="M165" i="3"/>
  <c r="N165" i="3" s="1"/>
  <c r="O165" i="3" s="1"/>
  <c r="J165" i="3"/>
  <c r="K165" i="3" s="1"/>
  <c r="M164" i="3"/>
  <c r="N164" i="3" s="1"/>
  <c r="O164" i="3" s="1"/>
  <c r="J164" i="3"/>
  <c r="M163" i="3"/>
  <c r="N163" i="3" s="1"/>
  <c r="J163" i="3"/>
  <c r="M162" i="3"/>
  <c r="N162" i="3" s="1"/>
  <c r="O162" i="3" s="1"/>
  <c r="J162" i="3"/>
  <c r="M161" i="3"/>
  <c r="N161" i="3" s="1"/>
  <c r="O161" i="3" s="1"/>
  <c r="J161" i="3"/>
  <c r="K161" i="3" s="1"/>
  <c r="R161" i="3" s="1"/>
  <c r="M160" i="3"/>
  <c r="N160" i="3" s="1"/>
  <c r="O160" i="3" s="1"/>
  <c r="P160" i="3" s="1"/>
  <c r="J160" i="3"/>
  <c r="K160" i="3" s="1"/>
  <c r="R160" i="3" s="1"/>
  <c r="M159" i="3"/>
  <c r="N159" i="3" s="1"/>
  <c r="J159" i="3"/>
  <c r="K159" i="3" s="1"/>
  <c r="M255" i="3"/>
  <c r="J255" i="3"/>
  <c r="K255" i="3" s="1"/>
  <c r="M254" i="3"/>
  <c r="J254" i="3"/>
  <c r="M208" i="3"/>
  <c r="J208" i="3"/>
  <c r="K208" i="3" s="1"/>
  <c r="M207" i="3"/>
  <c r="J207" i="3"/>
  <c r="K207" i="3" s="1"/>
  <c r="S160" i="3" l="1"/>
  <c r="T160" i="3" s="1"/>
  <c r="R166" i="3"/>
  <c r="P166" i="3"/>
  <c r="S166" i="3" s="1"/>
  <c r="T166" i="3" s="1"/>
  <c r="P161" i="3"/>
  <c r="S161" i="3" s="1"/>
  <c r="T161" i="3" s="1"/>
  <c r="R159" i="3"/>
  <c r="O159" i="3"/>
  <c r="P159" i="3" s="1"/>
  <c r="R163" i="3"/>
  <c r="O163" i="3"/>
  <c r="P163" i="3" s="1"/>
  <c r="P165" i="3"/>
  <c r="R165" i="3"/>
  <c r="K162" i="3"/>
  <c r="R162" i="3" s="1"/>
  <c r="K163" i="3"/>
  <c r="K164" i="3"/>
  <c r="K295" i="3"/>
  <c r="K167" i="3"/>
  <c r="K294" i="3"/>
  <c r="K254" i="3"/>
  <c r="M293" i="3"/>
  <c r="J293" i="3"/>
  <c r="K293" i="3"/>
  <c r="M292" i="3"/>
  <c r="J292" i="3"/>
  <c r="K292" i="3" s="1"/>
  <c r="M206" i="3"/>
  <c r="J206" i="3"/>
  <c r="K206" i="3" s="1"/>
  <c r="S159" i="3" l="1"/>
  <c r="T159" i="3" s="1"/>
  <c r="S163" i="3"/>
  <c r="T163" i="3" s="1"/>
  <c r="P167" i="3"/>
  <c r="R167" i="3"/>
  <c r="P164" i="3"/>
  <c r="R164" i="3"/>
  <c r="P162" i="3"/>
  <c r="S162" i="3" s="1"/>
  <c r="T162" i="3" s="1"/>
  <c r="S165" i="3"/>
  <c r="T165" i="3" s="1"/>
  <c r="J29" i="4"/>
  <c r="K29" i="4" s="1"/>
  <c r="K18" i="2"/>
  <c r="P18" i="2"/>
  <c r="Q18" i="2" s="1"/>
  <c r="AD18" i="2"/>
  <c r="AE18" i="2"/>
  <c r="AF18" i="2"/>
  <c r="AG18" i="2"/>
  <c r="AH18" i="2"/>
  <c r="S164" i="3" l="1"/>
  <c r="T164" i="3" s="1"/>
  <c r="S167" i="3"/>
  <c r="T167" i="3" s="1"/>
  <c r="P29" i="4"/>
  <c r="X18" i="2"/>
  <c r="Y18" i="2" s="1"/>
  <c r="AA18" i="2" s="1"/>
  <c r="R18" i="2"/>
  <c r="M205" i="3"/>
  <c r="M204" i="3"/>
  <c r="M203" i="3"/>
  <c r="M202" i="3"/>
  <c r="M201" i="3"/>
  <c r="M200" i="3"/>
  <c r="M156" i="3"/>
  <c r="N156" i="3" s="1"/>
  <c r="O156" i="3" s="1"/>
  <c r="J156" i="3"/>
  <c r="M291" i="3"/>
  <c r="J291" i="3"/>
  <c r="M253" i="3"/>
  <c r="J253" i="3"/>
  <c r="K253" i="3" s="1"/>
  <c r="M266" i="3"/>
  <c r="J266" i="3"/>
  <c r="K266" i="3" s="1"/>
  <c r="M229" i="3"/>
  <c r="J229" i="3"/>
  <c r="K229" i="3" s="1"/>
  <c r="J200" i="3"/>
  <c r="K200" i="3" s="1"/>
  <c r="J201" i="3"/>
  <c r="K201" i="3" s="1"/>
  <c r="J202" i="3"/>
  <c r="K202" i="3" s="1"/>
  <c r="J203" i="3"/>
  <c r="K203" i="3" s="1"/>
  <c r="J204" i="3"/>
  <c r="K204" i="3" s="1"/>
  <c r="J205" i="3"/>
  <c r="P83" i="4" l="1"/>
  <c r="R83" i="4"/>
  <c r="K156" i="3"/>
  <c r="R156" i="3" s="1"/>
  <c r="P350" i="3"/>
  <c r="K291" i="3"/>
  <c r="T18" i="2"/>
  <c r="V18" i="2"/>
  <c r="AB18" i="2" s="1"/>
  <c r="AC18" i="2" s="1"/>
  <c r="K205" i="3"/>
  <c r="P343" i="3"/>
  <c r="P342" i="3"/>
  <c r="P345" i="3"/>
  <c r="P344" i="3"/>
  <c r="M54" i="4"/>
  <c r="J54" i="4"/>
  <c r="K54" i="4" s="1"/>
  <c r="M70" i="4"/>
  <c r="J70" i="4"/>
  <c r="M69" i="4"/>
  <c r="J69" i="4"/>
  <c r="K69" i="4" s="1"/>
  <c r="L53" i="4"/>
  <c r="M53" i="4" s="1"/>
  <c r="L52" i="4"/>
  <c r="M52" i="4" s="1"/>
  <c r="L28" i="4"/>
  <c r="L27" i="4"/>
  <c r="M27" i="4" s="1"/>
  <c r="N27" i="4" s="1"/>
  <c r="L26" i="4"/>
  <c r="J68" i="4"/>
  <c r="K68" i="4" s="1"/>
  <c r="L68" i="4"/>
  <c r="M68" i="4" s="1"/>
  <c r="K53" i="4"/>
  <c r="J52" i="4"/>
  <c r="K52" i="4" s="1"/>
  <c r="K27" i="4"/>
  <c r="J26" i="4"/>
  <c r="M155" i="3"/>
  <c r="N155" i="3" s="1"/>
  <c r="J155" i="3"/>
  <c r="M157" i="3"/>
  <c r="N157" i="3" s="1"/>
  <c r="O157" i="3" s="1"/>
  <c r="J157" i="3"/>
  <c r="M158" i="3"/>
  <c r="N158" i="3" s="1"/>
  <c r="O158" i="3" s="1"/>
  <c r="J158" i="3"/>
  <c r="O155" i="3" l="1"/>
  <c r="P156" i="3"/>
  <c r="S156" i="3" s="1"/>
  <c r="T156" i="3" s="1"/>
  <c r="R27" i="4"/>
  <c r="O27" i="4"/>
  <c r="P27" i="4" s="1"/>
  <c r="S27" i="4" s="1"/>
  <c r="T27" i="4" s="1"/>
  <c r="F20" i="1"/>
  <c r="AG20" i="1" s="1"/>
  <c r="E20" i="1"/>
  <c r="AF20" i="1" s="1"/>
  <c r="M72" i="4"/>
  <c r="R350" i="3"/>
  <c r="S350" i="3" s="1"/>
  <c r="T350" i="3" s="1"/>
  <c r="M26" i="4"/>
  <c r="N26" i="4" s="1"/>
  <c r="O26" i="4" s="1"/>
  <c r="P26" i="4" s="1"/>
  <c r="K157" i="3"/>
  <c r="R157" i="3" s="1"/>
  <c r="K158" i="3"/>
  <c r="K155" i="3"/>
  <c r="R155" i="3" s="1"/>
  <c r="K26" i="4"/>
  <c r="K70" i="4"/>
  <c r="R158" i="3" l="1"/>
  <c r="P158" i="3"/>
  <c r="P155" i="3"/>
  <c r="S155" i="3" s="1"/>
  <c r="T155" i="3" s="1"/>
  <c r="P157" i="3"/>
  <c r="S157" i="3" s="1"/>
  <c r="T157" i="3" s="1"/>
  <c r="R26" i="4"/>
  <c r="S26" i="4" s="1"/>
  <c r="T26" i="4" s="1"/>
  <c r="R72" i="4"/>
  <c r="T83" i="4"/>
  <c r="S83" i="4"/>
  <c r="O72" i="4"/>
  <c r="N72" i="4"/>
  <c r="J343" i="3"/>
  <c r="I344" i="3"/>
  <c r="J344" i="3" s="1"/>
  <c r="M28" i="4"/>
  <c r="N28" i="4" s="1"/>
  <c r="O28" i="4" s="1"/>
  <c r="J28" i="4"/>
  <c r="K28" i="4" s="1"/>
  <c r="S158" i="3" l="1"/>
  <c r="T158" i="3" s="1"/>
  <c r="R28" i="4"/>
  <c r="P28" i="4"/>
  <c r="P72" i="4"/>
  <c r="G20" i="1"/>
  <c r="AH20" i="1" s="1"/>
  <c r="H20" i="1"/>
  <c r="AI20" i="1" s="1"/>
  <c r="T72" i="4"/>
  <c r="S72" i="4"/>
  <c r="L51" i="4"/>
  <c r="S28" i="4" l="1"/>
  <c r="T28" i="4" s="1"/>
  <c r="M265" i="3"/>
  <c r="J265" i="3"/>
  <c r="M153" i="3"/>
  <c r="N153" i="3" s="1"/>
  <c r="O153" i="3" s="1"/>
  <c r="J153" i="3"/>
  <c r="M154" i="3"/>
  <c r="N154" i="3" s="1"/>
  <c r="O154" i="3" s="1"/>
  <c r="J154" i="3"/>
  <c r="M152" i="3"/>
  <c r="N152" i="3" s="1"/>
  <c r="O152" i="3" s="1"/>
  <c r="J152" i="3"/>
  <c r="J264" i="3" l="1"/>
  <c r="N264" i="3"/>
  <c r="O264" i="3" s="1"/>
  <c r="J275" i="3"/>
  <c r="K275" i="3" s="1"/>
  <c r="R275" i="3" s="1"/>
  <c r="N275" i="3"/>
  <c r="O275" i="3" s="1"/>
  <c r="J273" i="3"/>
  <c r="K273" i="3" s="1"/>
  <c r="N273" i="3"/>
  <c r="K152" i="3"/>
  <c r="R152" i="3" s="1"/>
  <c r="K153" i="3"/>
  <c r="R153" i="3" s="1"/>
  <c r="K264" i="3"/>
  <c r="R264" i="3" s="1"/>
  <c r="K154" i="3"/>
  <c r="R154" i="3" s="1"/>
  <c r="K265" i="3"/>
  <c r="P275" i="3" l="1"/>
  <c r="S275" i="3" s="1"/>
  <c r="T275" i="3" s="1"/>
  <c r="P264" i="3"/>
  <c r="S264" i="3" s="1"/>
  <c r="T264" i="3" s="1"/>
  <c r="R273" i="3"/>
  <c r="O273" i="3"/>
  <c r="P273" i="3" s="1"/>
  <c r="P153" i="3"/>
  <c r="S153" i="3" s="1"/>
  <c r="T153" i="3" s="1"/>
  <c r="P154" i="3"/>
  <c r="S154" i="3" s="1"/>
  <c r="T154" i="3" s="1"/>
  <c r="P152" i="3"/>
  <c r="S152" i="3" s="1"/>
  <c r="T152" i="3" s="1"/>
  <c r="M107" i="4"/>
  <c r="M108" i="4"/>
  <c r="M109" i="4"/>
  <c r="M49" i="4"/>
  <c r="M50" i="4"/>
  <c r="M51" i="4"/>
  <c r="M48" i="4"/>
  <c r="S273" i="3" l="1"/>
  <c r="T273" i="3" s="1"/>
  <c r="N107" i="4"/>
  <c r="O107" i="4" s="1"/>
  <c r="N109" i="4"/>
  <c r="O109" i="4" s="1"/>
  <c r="N108" i="4"/>
  <c r="O108" i="4" s="1"/>
  <c r="M199" i="3"/>
  <c r="J199" i="3"/>
  <c r="J48" i="4"/>
  <c r="J51" i="4"/>
  <c r="K51" i="4" s="1"/>
  <c r="J75" i="4"/>
  <c r="L95" i="4"/>
  <c r="J95" i="4"/>
  <c r="J103" i="4"/>
  <c r="J50" i="4"/>
  <c r="J49" i="4"/>
  <c r="L114" i="4"/>
  <c r="J114" i="4"/>
  <c r="J109" i="4"/>
  <c r="J108" i="4"/>
  <c r="J107" i="4"/>
  <c r="J105" i="4"/>
  <c r="J46" i="4"/>
  <c r="J44" i="4"/>
  <c r="J42" i="4"/>
  <c r="M122" i="4"/>
  <c r="N122" i="4" s="1"/>
  <c r="O122" i="4" s="1"/>
  <c r="J122" i="4"/>
  <c r="L24" i="4"/>
  <c r="J24" i="4"/>
  <c r="K126" i="4"/>
  <c r="K20" i="4"/>
  <c r="M19" i="4"/>
  <c r="N19" i="4" s="1"/>
  <c r="O19" i="4" s="1"/>
  <c r="J17" i="4"/>
  <c r="J60" i="4"/>
  <c r="J15" i="4"/>
  <c r="J13" i="4"/>
  <c r="J130" i="4"/>
  <c r="J120" i="4"/>
  <c r="M119" i="4"/>
  <c r="J119" i="4"/>
  <c r="J112" i="4"/>
  <c r="J117" i="4"/>
  <c r="J96" i="4"/>
  <c r="J101" i="4"/>
  <c r="M12" i="4"/>
  <c r="J12" i="4"/>
  <c r="J99" i="4"/>
  <c r="M98" i="4"/>
  <c r="J98" i="4"/>
  <c r="R11" i="4"/>
  <c r="N98" i="4" l="1"/>
  <c r="O98" i="4" s="1"/>
  <c r="N12" i="4"/>
  <c r="O12" i="4" s="1"/>
  <c r="N119" i="4"/>
  <c r="O119" i="4" s="1"/>
  <c r="K199" i="3"/>
  <c r="K60" i="4"/>
  <c r="K96" i="4"/>
  <c r="K120" i="4"/>
  <c r="K108" i="4"/>
  <c r="P108" i="4" s="1"/>
  <c r="R108" i="4" s="1"/>
  <c r="S108" i="4" s="1"/>
  <c r="T108" i="4" s="1"/>
  <c r="K98" i="4"/>
  <c r="P98" i="4" s="1"/>
  <c r="R98" i="4" s="1"/>
  <c r="S98" i="4" s="1"/>
  <c r="T98" i="4" s="1"/>
  <c r="K112" i="4"/>
  <c r="K17" i="4"/>
  <c r="J25" i="4"/>
  <c r="K25" i="4" s="1"/>
  <c r="K122" i="4"/>
  <c r="P122" i="4" s="1"/>
  <c r="R122" i="4" s="1"/>
  <c r="S122" i="4" s="1"/>
  <c r="T122" i="4" s="1"/>
  <c r="K46" i="4"/>
  <c r="K109" i="4"/>
  <c r="P109" i="4" s="1"/>
  <c r="R109" i="4" s="1"/>
  <c r="S109" i="4" s="1"/>
  <c r="T109" i="4" s="1"/>
  <c r="K50" i="4"/>
  <c r="K75" i="4"/>
  <c r="K99" i="4"/>
  <c r="K15" i="4"/>
  <c r="K24" i="4"/>
  <c r="K42" i="4"/>
  <c r="K107" i="4"/>
  <c r="P107" i="4" s="1"/>
  <c r="R107" i="4" s="1"/>
  <c r="S107" i="4" s="1"/>
  <c r="T107" i="4" s="1"/>
  <c r="K95" i="4"/>
  <c r="K48" i="4"/>
  <c r="K12" i="4"/>
  <c r="K117" i="4"/>
  <c r="K44" i="4"/>
  <c r="K49" i="4"/>
  <c r="K130" i="4"/>
  <c r="K101" i="4"/>
  <c r="K119" i="4"/>
  <c r="K13" i="4"/>
  <c r="K19" i="4"/>
  <c r="K105" i="4"/>
  <c r="K114" i="4"/>
  <c r="K103" i="4"/>
  <c r="M114" i="4"/>
  <c r="N114" i="4" s="1"/>
  <c r="O114" i="4" s="1"/>
  <c r="M95" i="4"/>
  <c r="M24" i="4"/>
  <c r="N24" i="4" s="1"/>
  <c r="O24" i="4" s="1"/>
  <c r="I121" i="4"/>
  <c r="J121" i="4" s="1"/>
  <c r="K121" i="4" s="1"/>
  <c r="I104" i="4"/>
  <c r="I76" i="4"/>
  <c r="I106" i="4"/>
  <c r="I47" i="4"/>
  <c r="I45" i="4"/>
  <c r="I43" i="4"/>
  <c r="J23" i="4"/>
  <c r="K23" i="4" s="1"/>
  <c r="I127" i="4"/>
  <c r="J127" i="4" s="1"/>
  <c r="K127" i="4" s="1"/>
  <c r="J21" i="4"/>
  <c r="K21" i="4" s="1"/>
  <c r="J18" i="4"/>
  <c r="K18" i="4" s="1"/>
  <c r="I61" i="4"/>
  <c r="J16" i="4"/>
  <c r="K16" i="4" s="1"/>
  <c r="J14" i="4"/>
  <c r="K14" i="4" s="1"/>
  <c r="I131" i="4"/>
  <c r="J131" i="4" s="1"/>
  <c r="K131" i="4" s="1"/>
  <c r="I113" i="4"/>
  <c r="J113" i="4" s="1"/>
  <c r="K113" i="4" s="1"/>
  <c r="I118" i="4"/>
  <c r="I97" i="4"/>
  <c r="J97" i="4" s="1"/>
  <c r="K97" i="4" s="1"/>
  <c r="I102" i="4"/>
  <c r="J102" i="4" s="1"/>
  <c r="K102" i="4" s="1"/>
  <c r="I100" i="4"/>
  <c r="M331" i="3"/>
  <c r="J331" i="3"/>
  <c r="M330" i="3"/>
  <c r="J330" i="3"/>
  <c r="M329" i="3"/>
  <c r="J329" i="3"/>
  <c r="M328" i="3"/>
  <c r="J328" i="3"/>
  <c r="M327" i="3"/>
  <c r="J327" i="3"/>
  <c r="M326" i="3"/>
  <c r="J326" i="3"/>
  <c r="M325" i="3"/>
  <c r="J325" i="3"/>
  <c r="L324" i="3"/>
  <c r="M324" i="3" s="1"/>
  <c r="J324" i="3"/>
  <c r="L323" i="3"/>
  <c r="J323" i="3"/>
  <c r="M322" i="3"/>
  <c r="J322" i="3"/>
  <c r="M321" i="3"/>
  <c r="J321" i="3"/>
  <c r="M320" i="3"/>
  <c r="J320" i="3"/>
  <c r="M313" i="3"/>
  <c r="J313" i="3"/>
  <c r="L312" i="3"/>
  <c r="M312" i="3" s="1"/>
  <c r="J312" i="3"/>
  <c r="M311" i="3"/>
  <c r="J311" i="3"/>
  <c r="M310" i="3"/>
  <c r="J310" i="3"/>
  <c r="M309" i="3"/>
  <c r="J309" i="3"/>
  <c r="M308" i="3"/>
  <c r="J308" i="3"/>
  <c r="M307" i="3"/>
  <c r="J307" i="3"/>
  <c r="M306" i="3"/>
  <c r="J306" i="3"/>
  <c r="L305" i="3"/>
  <c r="J305" i="3"/>
  <c r="M304" i="3"/>
  <c r="J304" i="3"/>
  <c r="M303" i="3"/>
  <c r="J303" i="3"/>
  <c r="M290" i="3"/>
  <c r="J290" i="3"/>
  <c r="M289" i="3"/>
  <c r="J289" i="3"/>
  <c r="L288" i="3"/>
  <c r="J288" i="3"/>
  <c r="M287" i="3"/>
  <c r="J287" i="3"/>
  <c r="M286" i="3"/>
  <c r="J286" i="3"/>
  <c r="M285" i="3"/>
  <c r="J285" i="3"/>
  <c r="M284" i="3"/>
  <c r="J284" i="3"/>
  <c r="M342" i="3"/>
  <c r="J342" i="3"/>
  <c r="M283" i="3"/>
  <c r="J283" i="3"/>
  <c r="M282" i="3"/>
  <c r="J282" i="3"/>
  <c r="M281" i="3"/>
  <c r="J281" i="3"/>
  <c r="M280" i="3"/>
  <c r="J280" i="3"/>
  <c r="M279" i="3"/>
  <c r="J279" i="3"/>
  <c r="M278" i="3"/>
  <c r="J278" i="3"/>
  <c r="M277" i="3"/>
  <c r="J277" i="3"/>
  <c r="M276" i="3"/>
  <c r="J276" i="3"/>
  <c r="J274" i="3"/>
  <c r="J272" i="3"/>
  <c r="J263" i="3"/>
  <c r="C259" i="3"/>
  <c r="M252" i="3"/>
  <c r="J252" i="3"/>
  <c r="M251" i="3"/>
  <c r="J251" i="3"/>
  <c r="M250" i="3"/>
  <c r="J250" i="3"/>
  <c r="M249" i="3"/>
  <c r="J249" i="3"/>
  <c r="M248" i="3"/>
  <c r="J248" i="3"/>
  <c r="M247" i="3"/>
  <c r="J247" i="3"/>
  <c r="M246" i="3"/>
  <c r="J246" i="3"/>
  <c r="M245" i="3"/>
  <c r="J245" i="3"/>
  <c r="M244" i="3"/>
  <c r="J244" i="3"/>
  <c r="M243" i="3"/>
  <c r="J243" i="3"/>
  <c r="L242" i="3"/>
  <c r="J242" i="3"/>
  <c r="M241" i="3"/>
  <c r="J241" i="3"/>
  <c r="M240" i="3"/>
  <c r="J240" i="3"/>
  <c r="M239" i="3"/>
  <c r="J239" i="3"/>
  <c r="M238" i="3"/>
  <c r="J238" i="3"/>
  <c r="M237" i="3"/>
  <c r="J237" i="3"/>
  <c r="D237" i="3"/>
  <c r="D238" i="3" s="1"/>
  <c r="M236" i="3"/>
  <c r="J236" i="3"/>
  <c r="M228" i="3"/>
  <c r="J228" i="3"/>
  <c r="M227" i="3"/>
  <c r="J227" i="3"/>
  <c r="M226" i="3"/>
  <c r="J226" i="3"/>
  <c r="M225" i="3"/>
  <c r="J225" i="3"/>
  <c r="L224" i="3"/>
  <c r="M224" i="3" s="1"/>
  <c r="J224" i="3"/>
  <c r="L223" i="3"/>
  <c r="M223" i="3" s="1"/>
  <c r="J223" i="3"/>
  <c r="M222" i="3"/>
  <c r="J222" i="3"/>
  <c r="M221" i="3"/>
  <c r="J221" i="3"/>
  <c r="M198" i="3"/>
  <c r="J198" i="3"/>
  <c r="M197" i="3"/>
  <c r="J197" i="3"/>
  <c r="M196" i="3"/>
  <c r="J196" i="3"/>
  <c r="M195" i="3"/>
  <c r="J195" i="3"/>
  <c r="M194" i="3"/>
  <c r="J194" i="3"/>
  <c r="M193" i="3"/>
  <c r="J193" i="3"/>
  <c r="L192" i="3"/>
  <c r="M192" i="3" s="1"/>
  <c r="J192" i="3"/>
  <c r="L191" i="3"/>
  <c r="J191" i="3"/>
  <c r="L190" i="3"/>
  <c r="J190" i="3"/>
  <c r="M189" i="3"/>
  <c r="J189" i="3"/>
  <c r="M188" i="3"/>
  <c r="J188" i="3"/>
  <c r="M187" i="3"/>
  <c r="J187" i="3"/>
  <c r="M345" i="3"/>
  <c r="R345" i="3" s="1"/>
  <c r="S345" i="3" s="1"/>
  <c r="T345" i="3" s="1"/>
  <c r="J345" i="3"/>
  <c r="C345" i="3"/>
  <c r="M149" i="3"/>
  <c r="N149" i="3" s="1"/>
  <c r="O149" i="3" s="1"/>
  <c r="J149" i="3"/>
  <c r="M151" i="3"/>
  <c r="N151" i="3" s="1"/>
  <c r="J151" i="3"/>
  <c r="M150" i="3"/>
  <c r="N150" i="3" s="1"/>
  <c r="O150" i="3" s="1"/>
  <c r="J150" i="3"/>
  <c r="M148" i="3"/>
  <c r="N148" i="3" s="1"/>
  <c r="O148" i="3" s="1"/>
  <c r="J148" i="3"/>
  <c r="M146" i="3"/>
  <c r="N146" i="3" s="1"/>
  <c r="O146" i="3" s="1"/>
  <c r="J146" i="3"/>
  <c r="M147" i="3"/>
  <c r="N147" i="3" s="1"/>
  <c r="J147" i="3"/>
  <c r="M142" i="3"/>
  <c r="N142" i="3" s="1"/>
  <c r="O142" i="3" s="1"/>
  <c r="J142" i="3"/>
  <c r="M145" i="3"/>
  <c r="N145" i="3" s="1"/>
  <c r="O145" i="3" s="1"/>
  <c r="J145" i="3"/>
  <c r="M144" i="3"/>
  <c r="N144" i="3" s="1"/>
  <c r="O144" i="3" s="1"/>
  <c r="J144" i="3"/>
  <c r="M143" i="3"/>
  <c r="N143" i="3" s="1"/>
  <c r="J143" i="3"/>
  <c r="M141" i="3"/>
  <c r="N141" i="3" s="1"/>
  <c r="O141" i="3" s="1"/>
  <c r="J141" i="3"/>
  <c r="M140" i="3"/>
  <c r="N140" i="3" s="1"/>
  <c r="O140" i="3" s="1"/>
  <c r="J140" i="3"/>
  <c r="M139" i="3"/>
  <c r="N139" i="3" s="1"/>
  <c r="J139" i="3"/>
  <c r="M138" i="3"/>
  <c r="N138" i="3" s="1"/>
  <c r="O138" i="3" s="1"/>
  <c r="J138" i="3"/>
  <c r="M137" i="3"/>
  <c r="N137" i="3" s="1"/>
  <c r="O137" i="3" s="1"/>
  <c r="J137" i="3"/>
  <c r="M136" i="3"/>
  <c r="N136" i="3" s="1"/>
  <c r="J136" i="3"/>
  <c r="M135" i="3"/>
  <c r="N135" i="3" s="1"/>
  <c r="O135" i="3" s="1"/>
  <c r="J135" i="3"/>
  <c r="M134" i="3"/>
  <c r="N134" i="3" s="1"/>
  <c r="O134" i="3" s="1"/>
  <c r="J134" i="3"/>
  <c r="M133" i="3"/>
  <c r="N133" i="3" s="1"/>
  <c r="O133" i="3" s="1"/>
  <c r="J133" i="3"/>
  <c r="M132" i="3"/>
  <c r="N132" i="3" s="1"/>
  <c r="O132" i="3" s="1"/>
  <c r="J132" i="3"/>
  <c r="M131" i="3"/>
  <c r="N131" i="3" s="1"/>
  <c r="O131" i="3" s="1"/>
  <c r="J131" i="3"/>
  <c r="M130" i="3"/>
  <c r="N130" i="3" s="1"/>
  <c r="O130" i="3" s="1"/>
  <c r="J130" i="3"/>
  <c r="M129" i="3"/>
  <c r="N129" i="3" s="1"/>
  <c r="O129" i="3" s="1"/>
  <c r="J129" i="3"/>
  <c r="M128" i="3"/>
  <c r="N128" i="3" s="1"/>
  <c r="O128" i="3" s="1"/>
  <c r="J128" i="3"/>
  <c r="M127" i="3"/>
  <c r="N127" i="3" s="1"/>
  <c r="O127" i="3" s="1"/>
  <c r="J127" i="3"/>
  <c r="M126" i="3"/>
  <c r="N126" i="3" s="1"/>
  <c r="O126" i="3" s="1"/>
  <c r="J126" i="3"/>
  <c r="M125" i="3"/>
  <c r="N125" i="3" s="1"/>
  <c r="O125" i="3" s="1"/>
  <c r="J125" i="3"/>
  <c r="J124" i="3"/>
  <c r="L123" i="3"/>
  <c r="J123" i="3"/>
  <c r="L122" i="3"/>
  <c r="M122" i="3" s="1"/>
  <c r="N122" i="3" s="1"/>
  <c r="O122" i="3" s="1"/>
  <c r="J122" i="3"/>
  <c r="L121" i="3"/>
  <c r="M121" i="3" s="1"/>
  <c r="N121" i="3" s="1"/>
  <c r="O121" i="3" s="1"/>
  <c r="J121" i="3"/>
  <c r="L120" i="3"/>
  <c r="J120" i="3"/>
  <c r="M119" i="3"/>
  <c r="N119" i="3" s="1"/>
  <c r="O119" i="3" s="1"/>
  <c r="J119" i="3"/>
  <c r="M118" i="3"/>
  <c r="N118" i="3" s="1"/>
  <c r="O118" i="3" s="1"/>
  <c r="J118" i="3"/>
  <c r="M117" i="3"/>
  <c r="N117" i="3" s="1"/>
  <c r="O117" i="3" s="1"/>
  <c r="J117" i="3"/>
  <c r="M116" i="3"/>
  <c r="N116" i="3" s="1"/>
  <c r="O116" i="3" s="1"/>
  <c r="J116" i="3"/>
  <c r="M115" i="3"/>
  <c r="N115" i="3" s="1"/>
  <c r="O115" i="3" s="1"/>
  <c r="J115" i="3"/>
  <c r="M114" i="3"/>
  <c r="N114" i="3" s="1"/>
  <c r="O114" i="3" s="1"/>
  <c r="J114" i="3"/>
  <c r="L113" i="3"/>
  <c r="M113" i="3" s="1"/>
  <c r="N113" i="3" s="1"/>
  <c r="O113" i="3" s="1"/>
  <c r="J113" i="3"/>
  <c r="L112" i="3"/>
  <c r="M112" i="3" s="1"/>
  <c r="N112" i="3" s="1"/>
  <c r="O112" i="3" s="1"/>
  <c r="J112" i="3"/>
  <c r="L111" i="3"/>
  <c r="J111" i="3"/>
  <c r="M110" i="3"/>
  <c r="N110" i="3" s="1"/>
  <c r="O110" i="3" s="1"/>
  <c r="J110" i="3"/>
  <c r="M109" i="3"/>
  <c r="N109" i="3" s="1"/>
  <c r="O109" i="3" s="1"/>
  <c r="J109" i="3"/>
  <c r="M108" i="3"/>
  <c r="N108" i="3" s="1"/>
  <c r="O108" i="3" s="1"/>
  <c r="J108" i="3"/>
  <c r="M107" i="3"/>
  <c r="N107" i="3" s="1"/>
  <c r="O107" i="3" s="1"/>
  <c r="J107" i="3"/>
  <c r="M106" i="3"/>
  <c r="N106" i="3" s="1"/>
  <c r="O106" i="3" s="1"/>
  <c r="J106" i="3"/>
  <c r="M105" i="3"/>
  <c r="N105" i="3" s="1"/>
  <c r="O105" i="3" s="1"/>
  <c r="J105" i="3"/>
  <c r="M104" i="3"/>
  <c r="N104" i="3" s="1"/>
  <c r="O104" i="3" s="1"/>
  <c r="J104" i="3"/>
  <c r="M103" i="3"/>
  <c r="N103" i="3" s="1"/>
  <c r="O103" i="3" s="1"/>
  <c r="J103" i="3"/>
  <c r="M102" i="3"/>
  <c r="N102" i="3" s="1"/>
  <c r="O102" i="3" s="1"/>
  <c r="J102" i="3"/>
  <c r="M101" i="3"/>
  <c r="N101" i="3" s="1"/>
  <c r="O101" i="3" s="1"/>
  <c r="J101" i="3"/>
  <c r="M100" i="3"/>
  <c r="N100" i="3" s="1"/>
  <c r="O100" i="3" s="1"/>
  <c r="J100" i="3"/>
  <c r="M99" i="3"/>
  <c r="N99" i="3" s="1"/>
  <c r="O99" i="3" s="1"/>
  <c r="J99" i="3"/>
  <c r="M98" i="3"/>
  <c r="N98" i="3" s="1"/>
  <c r="O98" i="3" s="1"/>
  <c r="J98" i="3"/>
  <c r="M97" i="3"/>
  <c r="N97" i="3" s="1"/>
  <c r="O97" i="3" s="1"/>
  <c r="J97" i="3"/>
  <c r="M96" i="3"/>
  <c r="N96" i="3" s="1"/>
  <c r="O96" i="3" s="1"/>
  <c r="J96" i="3"/>
  <c r="M95" i="3"/>
  <c r="N95" i="3" s="1"/>
  <c r="O95" i="3" s="1"/>
  <c r="J95" i="3"/>
  <c r="M94" i="3"/>
  <c r="N94" i="3" s="1"/>
  <c r="O94" i="3" s="1"/>
  <c r="J94" i="3"/>
  <c r="M93" i="3"/>
  <c r="N93" i="3" s="1"/>
  <c r="O93" i="3" s="1"/>
  <c r="J93" i="3"/>
  <c r="M92" i="3"/>
  <c r="N92" i="3" s="1"/>
  <c r="O92" i="3" s="1"/>
  <c r="J92" i="3"/>
  <c r="M91" i="3"/>
  <c r="N91" i="3" s="1"/>
  <c r="O91" i="3" s="1"/>
  <c r="J91" i="3"/>
  <c r="M90" i="3"/>
  <c r="N90" i="3" s="1"/>
  <c r="O90" i="3" s="1"/>
  <c r="J90" i="3"/>
  <c r="L89" i="3"/>
  <c r="J89" i="3"/>
  <c r="L88" i="3"/>
  <c r="M88" i="3" s="1"/>
  <c r="N88" i="3" s="1"/>
  <c r="O88" i="3" s="1"/>
  <c r="J88" i="3"/>
  <c r="M87" i="3"/>
  <c r="N87" i="3" s="1"/>
  <c r="O87" i="3" s="1"/>
  <c r="J87" i="3"/>
  <c r="L86" i="3"/>
  <c r="M86" i="3" s="1"/>
  <c r="N86" i="3" s="1"/>
  <c r="O86" i="3" s="1"/>
  <c r="J86" i="3"/>
  <c r="L85" i="3"/>
  <c r="J85" i="3"/>
  <c r="M84" i="3"/>
  <c r="N84" i="3" s="1"/>
  <c r="O84" i="3" s="1"/>
  <c r="J84" i="3"/>
  <c r="M83" i="3"/>
  <c r="N83" i="3" s="1"/>
  <c r="O83" i="3" s="1"/>
  <c r="J83" i="3"/>
  <c r="M82" i="3"/>
  <c r="N82" i="3" s="1"/>
  <c r="O82" i="3" s="1"/>
  <c r="J82" i="3"/>
  <c r="M81" i="3"/>
  <c r="N81" i="3" s="1"/>
  <c r="O81" i="3" s="1"/>
  <c r="J81" i="3"/>
  <c r="M80" i="3"/>
  <c r="N80" i="3" s="1"/>
  <c r="O80" i="3" s="1"/>
  <c r="J80" i="3"/>
  <c r="M79" i="3"/>
  <c r="N79" i="3" s="1"/>
  <c r="O79" i="3" s="1"/>
  <c r="J79" i="3"/>
  <c r="M78" i="3"/>
  <c r="N78" i="3" s="1"/>
  <c r="O78" i="3" s="1"/>
  <c r="J78" i="3"/>
  <c r="M77" i="3"/>
  <c r="N77" i="3" s="1"/>
  <c r="O77" i="3" s="1"/>
  <c r="J77" i="3"/>
  <c r="M76" i="3"/>
  <c r="N76" i="3" s="1"/>
  <c r="O76" i="3" s="1"/>
  <c r="J76" i="3"/>
  <c r="M75" i="3"/>
  <c r="N75" i="3" s="1"/>
  <c r="O75" i="3" s="1"/>
  <c r="J75" i="3"/>
  <c r="M74" i="3"/>
  <c r="N74" i="3" s="1"/>
  <c r="O74" i="3" s="1"/>
  <c r="J74" i="3"/>
  <c r="M73" i="3"/>
  <c r="N73" i="3" s="1"/>
  <c r="O73" i="3" s="1"/>
  <c r="J73" i="3"/>
  <c r="M72" i="3"/>
  <c r="N72" i="3" s="1"/>
  <c r="O72" i="3" s="1"/>
  <c r="J72" i="3"/>
  <c r="M71" i="3"/>
  <c r="N71" i="3" s="1"/>
  <c r="O71" i="3" s="1"/>
  <c r="J71" i="3"/>
  <c r="D71" i="3"/>
  <c r="D73" i="3" s="1"/>
  <c r="D74" i="3" s="1"/>
  <c r="D75" i="3" s="1"/>
  <c r="M70" i="3"/>
  <c r="N70" i="3" s="1"/>
  <c r="O70" i="3" s="1"/>
  <c r="J70" i="3"/>
  <c r="M69" i="3"/>
  <c r="N69" i="3" s="1"/>
  <c r="O69" i="3" s="1"/>
  <c r="J69" i="3"/>
  <c r="M68" i="3"/>
  <c r="N68" i="3" s="1"/>
  <c r="O68" i="3" s="1"/>
  <c r="J68" i="3"/>
  <c r="M67" i="3"/>
  <c r="N67" i="3" s="1"/>
  <c r="O67" i="3" s="1"/>
  <c r="J67" i="3"/>
  <c r="M66" i="3"/>
  <c r="N66" i="3" s="1"/>
  <c r="O66" i="3" s="1"/>
  <c r="J66" i="3"/>
  <c r="M65" i="3"/>
  <c r="N65" i="3" s="1"/>
  <c r="O65" i="3" s="1"/>
  <c r="J65" i="3"/>
  <c r="M64" i="3"/>
  <c r="N64" i="3" s="1"/>
  <c r="O64" i="3" s="1"/>
  <c r="J64" i="3"/>
  <c r="M63" i="3"/>
  <c r="N63" i="3" s="1"/>
  <c r="O63" i="3" s="1"/>
  <c r="J63" i="3"/>
  <c r="M62" i="3"/>
  <c r="N62" i="3" s="1"/>
  <c r="O62" i="3" s="1"/>
  <c r="J62" i="3"/>
  <c r="M60" i="3"/>
  <c r="N60" i="3" s="1"/>
  <c r="O60" i="3" s="1"/>
  <c r="J60" i="3"/>
  <c r="M61" i="3"/>
  <c r="N61" i="3" s="1"/>
  <c r="O61" i="3" s="1"/>
  <c r="J61" i="3"/>
  <c r="M59" i="3"/>
  <c r="N59" i="3" s="1"/>
  <c r="O59" i="3" s="1"/>
  <c r="J59" i="3"/>
  <c r="D59" i="3"/>
  <c r="D61" i="3" s="1"/>
  <c r="D72" i="3" s="1"/>
  <c r="M58" i="3"/>
  <c r="N58" i="3" s="1"/>
  <c r="O58" i="3" s="1"/>
  <c r="J58" i="3"/>
  <c r="M57" i="3"/>
  <c r="N57" i="3" s="1"/>
  <c r="O57" i="3" s="1"/>
  <c r="J57" i="3"/>
  <c r="M56" i="3"/>
  <c r="N56" i="3" s="1"/>
  <c r="O56" i="3" s="1"/>
  <c r="J56" i="3"/>
  <c r="M55" i="3"/>
  <c r="N55" i="3" s="1"/>
  <c r="O55" i="3" s="1"/>
  <c r="J55" i="3"/>
  <c r="M54" i="3"/>
  <c r="N54" i="3" s="1"/>
  <c r="O54" i="3" s="1"/>
  <c r="J54" i="3"/>
  <c r="M53" i="3"/>
  <c r="N53" i="3" s="1"/>
  <c r="O53" i="3" s="1"/>
  <c r="J53" i="3"/>
  <c r="M52" i="3"/>
  <c r="N52" i="3" s="1"/>
  <c r="O52" i="3" s="1"/>
  <c r="J52" i="3"/>
  <c r="M51" i="3"/>
  <c r="N51" i="3" s="1"/>
  <c r="O51" i="3" s="1"/>
  <c r="J51" i="3"/>
  <c r="M50" i="3"/>
  <c r="N50" i="3" s="1"/>
  <c r="O50" i="3" s="1"/>
  <c r="J50" i="3"/>
  <c r="D50" i="3"/>
  <c r="D52" i="3" s="1"/>
  <c r="D53" i="3" s="1"/>
  <c r="D54" i="3" s="1"/>
  <c r="M49" i="3"/>
  <c r="N49" i="3" s="1"/>
  <c r="O49" i="3" s="1"/>
  <c r="J49" i="3"/>
  <c r="M48" i="3"/>
  <c r="N48" i="3" s="1"/>
  <c r="O48" i="3" s="1"/>
  <c r="J48" i="3"/>
  <c r="M47" i="3"/>
  <c r="N47" i="3" s="1"/>
  <c r="O47" i="3" s="1"/>
  <c r="J47" i="3"/>
  <c r="D47" i="3"/>
  <c r="M46" i="3"/>
  <c r="N46" i="3" s="1"/>
  <c r="O46" i="3" s="1"/>
  <c r="J46" i="3"/>
  <c r="M45" i="3"/>
  <c r="N45" i="3" s="1"/>
  <c r="O45" i="3" s="1"/>
  <c r="J45" i="3"/>
  <c r="M44" i="3"/>
  <c r="N44" i="3" s="1"/>
  <c r="O44" i="3" s="1"/>
  <c r="J44" i="3"/>
  <c r="M43" i="3"/>
  <c r="N43" i="3" s="1"/>
  <c r="O43" i="3" s="1"/>
  <c r="J43" i="3"/>
  <c r="M42" i="3"/>
  <c r="N42" i="3" s="1"/>
  <c r="O42" i="3" s="1"/>
  <c r="J42" i="3"/>
  <c r="M41" i="3"/>
  <c r="N41" i="3" s="1"/>
  <c r="O41" i="3" s="1"/>
  <c r="J41" i="3"/>
  <c r="M40" i="3"/>
  <c r="N40" i="3" s="1"/>
  <c r="O40" i="3" s="1"/>
  <c r="J40" i="3"/>
  <c r="D40" i="3"/>
  <c r="M39" i="3"/>
  <c r="N39" i="3" s="1"/>
  <c r="O39" i="3" s="1"/>
  <c r="J39" i="3"/>
  <c r="M38" i="3"/>
  <c r="N38" i="3" s="1"/>
  <c r="O38" i="3" s="1"/>
  <c r="J38" i="3"/>
  <c r="M37" i="3"/>
  <c r="N37" i="3" s="1"/>
  <c r="O37" i="3" s="1"/>
  <c r="J37" i="3"/>
  <c r="D37" i="3"/>
  <c r="D39" i="3" s="1"/>
  <c r="M36" i="3"/>
  <c r="N36" i="3" s="1"/>
  <c r="O36" i="3" s="1"/>
  <c r="J36" i="3"/>
  <c r="M35" i="3"/>
  <c r="N35" i="3" s="1"/>
  <c r="O35" i="3" s="1"/>
  <c r="J35" i="3"/>
  <c r="M34" i="3"/>
  <c r="N34" i="3" s="1"/>
  <c r="O34" i="3" s="1"/>
  <c r="J34" i="3"/>
  <c r="D34" i="3"/>
  <c r="M33" i="3"/>
  <c r="N33" i="3" s="1"/>
  <c r="O33" i="3" s="1"/>
  <c r="J33" i="3"/>
  <c r="M32" i="3"/>
  <c r="N32" i="3" s="1"/>
  <c r="O32" i="3" s="1"/>
  <c r="J32" i="3"/>
  <c r="M31" i="3"/>
  <c r="N31" i="3" s="1"/>
  <c r="O31" i="3" s="1"/>
  <c r="J31" i="3"/>
  <c r="D31" i="3"/>
  <c r="D41" i="3" s="1"/>
  <c r="M30" i="3"/>
  <c r="N30" i="3" s="1"/>
  <c r="O30" i="3" s="1"/>
  <c r="J30" i="3"/>
  <c r="M29" i="3"/>
  <c r="N29" i="3" s="1"/>
  <c r="O29" i="3" s="1"/>
  <c r="J29" i="3"/>
  <c r="M28" i="3"/>
  <c r="N28" i="3" s="1"/>
  <c r="O28" i="3" s="1"/>
  <c r="J28" i="3"/>
  <c r="M27" i="3"/>
  <c r="N27" i="3" s="1"/>
  <c r="O27" i="3" s="1"/>
  <c r="J27" i="3"/>
  <c r="M26" i="3"/>
  <c r="N26" i="3" s="1"/>
  <c r="O26" i="3" s="1"/>
  <c r="J26" i="3"/>
  <c r="D26" i="3"/>
  <c r="M25" i="3"/>
  <c r="N25" i="3" s="1"/>
  <c r="O25" i="3" s="1"/>
  <c r="J25" i="3"/>
  <c r="M24" i="3"/>
  <c r="N24" i="3" s="1"/>
  <c r="O24" i="3" s="1"/>
  <c r="J24" i="3"/>
  <c r="M23" i="3"/>
  <c r="N23" i="3" s="1"/>
  <c r="O23" i="3" s="1"/>
  <c r="J23" i="3"/>
  <c r="M22" i="3"/>
  <c r="N22" i="3" s="1"/>
  <c r="O22" i="3" s="1"/>
  <c r="J22" i="3"/>
  <c r="M21" i="3"/>
  <c r="N21" i="3" s="1"/>
  <c r="O21" i="3" s="1"/>
  <c r="J21" i="3"/>
  <c r="M20" i="3"/>
  <c r="N20" i="3" s="1"/>
  <c r="O20" i="3" s="1"/>
  <c r="J20" i="3"/>
  <c r="M19" i="3"/>
  <c r="N19" i="3" s="1"/>
  <c r="O19" i="3" s="1"/>
  <c r="J19" i="3"/>
  <c r="M18" i="3"/>
  <c r="N18" i="3" s="1"/>
  <c r="O18" i="3" s="1"/>
  <c r="J18" i="3"/>
  <c r="D18" i="3"/>
  <c r="D24" i="3" s="1"/>
  <c r="M17" i="3"/>
  <c r="N17" i="3" s="1"/>
  <c r="O17" i="3" s="1"/>
  <c r="J17" i="3"/>
  <c r="M16" i="3"/>
  <c r="N16" i="3" s="1"/>
  <c r="O16" i="3" s="1"/>
  <c r="J16" i="3"/>
  <c r="M15" i="3"/>
  <c r="N15" i="3" s="1"/>
  <c r="O15" i="3" s="1"/>
  <c r="J15" i="3"/>
  <c r="M14" i="3"/>
  <c r="N14" i="3" s="1"/>
  <c r="O14" i="3" s="1"/>
  <c r="J14" i="3"/>
  <c r="M13" i="3"/>
  <c r="J13" i="3"/>
  <c r="R11" i="3"/>
  <c r="M89" i="3" l="1"/>
  <c r="N89" i="3" s="1"/>
  <c r="O89" i="3" s="1"/>
  <c r="O143" i="3"/>
  <c r="O147" i="3"/>
  <c r="O151" i="3"/>
  <c r="O139" i="3"/>
  <c r="M111" i="3"/>
  <c r="N111" i="3" s="1"/>
  <c r="O111" i="3" s="1"/>
  <c r="L124" i="3"/>
  <c r="O136" i="3"/>
  <c r="P148" i="3"/>
  <c r="P150" i="3"/>
  <c r="P16" i="4"/>
  <c r="R24" i="4"/>
  <c r="P24" i="4"/>
  <c r="P18" i="4"/>
  <c r="P17" i="4"/>
  <c r="P21" i="4"/>
  <c r="R19" i="4"/>
  <c r="P19" i="4"/>
  <c r="S19" i="4" s="1"/>
  <c r="T19" i="4" s="1"/>
  <c r="P14" i="4"/>
  <c r="P15" i="4"/>
  <c r="P13" i="4"/>
  <c r="P23" i="4"/>
  <c r="P25" i="4"/>
  <c r="P119" i="4"/>
  <c r="R119" i="4" s="1"/>
  <c r="S119" i="4" s="1"/>
  <c r="T119" i="4" s="1"/>
  <c r="P130" i="4"/>
  <c r="R12" i="4"/>
  <c r="P12" i="4"/>
  <c r="P114" i="4"/>
  <c r="R114" i="4" s="1"/>
  <c r="S114" i="4" s="1"/>
  <c r="T114" i="4" s="1"/>
  <c r="M232" i="3"/>
  <c r="D29" i="1" s="1"/>
  <c r="AE29" i="1" s="1"/>
  <c r="N95" i="4"/>
  <c r="O95" i="4" s="1"/>
  <c r="P95" i="4" s="1"/>
  <c r="R95" i="4" s="1"/>
  <c r="S95" i="4" s="1"/>
  <c r="T95" i="4" s="1"/>
  <c r="N342" i="3"/>
  <c r="O342" i="3" s="1"/>
  <c r="R342" i="3"/>
  <c r="S342" i="3" s="1"/>
  <c r="T342" i="3" s="1"/>
  <c r="K13" i="3"/>
  <c r="K18" i="3"/>
  <c r="K20" i="3"/>
  <c r="K47" i="3"/>
  <c r="K64" i="3"/>
  <c r="K24" i="3"/>
  <c r="K61" i="3"/>
  <c r="K68" i="3"/>
  <c r="K33" i="3"/>
  <c r="K22" i="3"/>
  <c r="K38" i="3"/>
  <c r="K49" i="3"/>
  <c r="K62" i="3"/>
  <c r="K66" i="3"/>
  <c r="K70" i="3"/>
  <c r="K31" i="3"/>
  <c r="K15" i="3"/>
  <c r="K19" i="3"/>
  <c r="K21" i="3"/>
  <c r="K23" i="3"/>
  <c r="K25" i="3"/>
  <c r="K14" i="3"/>
  <c r="K16" i="3"/>
  <c r="K27" i="3"/>
  <c r="K29" i="3"/>
  <c r="K34" i="3"/>
  <c r="K36" i="3"/>
  <c r="K41" i="3"/>
  <c r="K43" i="3"/>
  <c r="K45" i="3"/>
  <c r="K50" i="3"/>
  <c r="K52" i="3"/>
  <c r="K54" i="3"/>
  <c r="K56" i="3"/>
  <c r="K58" i="3"/>
  <c r="K71" i="3"/>
  <c r="K73" i="3"/>
  <c r="K75" i="3"/>
  <c r="K77" i="3"/>
  <c r="K79" i="3"/>
  <c r="K81" i="3"/>
  <c r="K83" i="3"/>
  <c r="K85" i="3"/>
  <c r="K87" i="3"/>
  <c r="K89" i="3"/>
  <c r="K91" i="3"/>
  <c r="K93" i="3"/>
  <c r="K95" i="3"/>
  <c r="K97" i="3"/>
  <c r="K99" i="3"/>
  <c r="K101" i="3"/>
  <c r="K103" i="3"/>
  <c r="K105" i="3"/>
  <c r="K107" i="3"/>
  <c r="K109" i="3"/>
  <c r="K111" i="3"/>
  <c r="K113" i="3"/>
  <c r="K115" i="3"/>
  <c r="K117" i="3"/>
  <c r="K119" i="3"/>
  <c r="K121" i="3"/>
  <c r="K123" i="3"/>
  <c r="K187" i="3"/>
  <c r="K189" i="3"/>
  <c r="K191" i="3"/>
  <c r="K193" i="3"/>
  <c r="K195" i="3"/>
  <c r="K197" i="3"/>
  <c r="K221" i="3"/>
  <c r="K223" i="3"/>
  <c r="K225" i="3"/>
  <c r="K227" i="3"/>
  <c r="K236" i="3"/>
  <c r="K263" i="3"/>
  <c r="K128" i="3"/>
  <c r="K130" i="3"/>
  <c r="K132" i="3"/>
  <c r="K134" i="3"/>
  <c r="K136" i="3"/>
  <c r="R136" i="3" s="1"/>
  <c r="K138" i="3"/>
  <c r="R138" i="3" s="1"/>
  <c r="K140" i="3"/>
  <c r="R140" i="3" s="1"/>
  <c r="K143" i="3"/>
  <c r="R143" i="3" s="1"/>
  <c r="K145" i="3"/>
  <c r="K147" i="3"/>
  <c r="R147" i="3" s="1"/>
  <c r="K148" i="3"/>
  <c r="R148" i="3" s="1"/>
  <c r="K238" i="3"/>
  <c r="K240" i="3"/>
  <c r="K242" i="3"/>
  <c r="K244" i="3"/>
  <c r="K246" i="3"/>
  <c r="K248" i="3"/>
  <c r="K250" i="3"/>
  <c r="K252" i="3"/>
  <c r="K272" i="3"/>
  <c r="K277" i="3"/>
  <c r="K279" i="3"/>
  <c r="K281" i="3"/>
  <c r="K283" i="3"/>
  <c r="K284" i="3"/>
  <c r="K286" i="3"/>
  <c r="K288" i="3"/>
  <c r="K290" i="3"/>
  <c r="K304" i="3"/>
  <c r="K306" i="3"/>
  <c r="K308" i="3"/>
  <c r="K310" i="3"/>
  <c r="K312" i="3"/>
  <c r="K320" i="3"/>
  <c r="K322" i="3"/>
  <c r="K324" i="3"/>
  <c r="K326" i="3"/>
  <c r="K328" i="3"/>
  <c r="K330" i="3"/>
  <c r="K126" i="3"/>
  <c r="K151" i="3"/>
  <c r="R151" i="3" s="1"/>
  <c r="K17" i="3"/>
  <c r="K28" i="3"/>
  <c r="K30" i="3"/>
  <c r="K35" i="3"/>
  <c r="K40" i="3"/>
  <c r="K42" i="3"/>
  <c r="K44" i="3"/>
  <c r="K46" i="3"/>
  <c r="K51" i="3"/>
  <c r="K53" i="3"/>
  <c r="K55" i="3"/>
  <c r="K57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K118" i="3"/>
  <c r="K120" i="3"/>
  <c r="K122" i="3"/>
  <c r="K124" i="3"/>
  <c r="K188" i="3"/>
  <c r="K190" i="3"/>
  <c r="K192" i="3"/>
  <c r="K194" i="3"/>
  <c r="K196" i="3"/>
  <c r="K198" i="3"/>
  <c r="K222" i="3"/>
  <c r="K224" i="3"/>
  <c r="K226" i="3"/>
  <c r="K228" i="3"/>
  <c r="K274" i="3"/>
  <c r="K26" i="3"/>
  <c r="K32" i="3"/>
  <c r="K37" i="3"/>
  <c r="K39" i="3"/>
  <c r="K48" i="3"/>
  <c r="K59" i="3"/>
  <c r="K60" i="3"/>
  <c r="K63" i="3"/>
  <c r="K65" i="3"/>
  <c r="K67" i="3"/>
  <c r="K69" i="3"/>
  <c r="K125" i="3"/>
  <c r="K127" i="3"/>
  <c r="K129" i="3"/>
  <c r="K131" i="3"/>
  <c r="K133" i="3"/>
  <c r="K135" i="3"/>
  <c r="K137" i="3"/>
  <c r="K139" i="3"/>
  <c r="R139" i="3" s="1"/>
  <c r="K141" i="3"/>
  <c r="R141" i="3" s="1"/>
  <c r="K144" i="3"/>
  <c r="R144" i="3" s="1"/>
  <c r="K142" i="3"/>
  <c r="R142" i="3" s="1"/>
  <c r="K146" i="3"/>
  <c r="R146" i="3" s="1"/>
  <c r="K150" i="3"/>
  <c r="R150" i="3" s="1"/>
  <c r="K149" i="3"/>
  <c r="K237" i="3"/>
  <c r="K239" i="3"/>
  <c r="K241" i="3"/>
  <c r="K243" i="3"/>
  <c r="K245" i="3"/>
  <c r="K247" i="3"/>
  <c r="K249" i="3"/>
  <c r="K251" i="3"/>
  <c r="K276" i="3"/>
  <c r="K278" i="3"/>
  <c r="K280" i="3"/>
  <c r="K282" i="3"/>
  <c r="K285" i="3"/>
  <c r="K287" i="3"/>
  <c r="K289" i="3"/>
  <c r="K303" i="3"/>
  <c r="K305" i="3"/>
  <c r="K307" i="3"/>
  <c r="K309" i="3"/>
  <c r="K311" i="3"/>
  <c r="K313" i="3"/>
  <c r="K321" i="3"/>
  <c r="K323" i="3"/>
  <c r="K325" i="3"/>
  <c r="K327" i="3"/>
  <c r="K329" i="3"/>
  <c r="K331" i="3"/>
  <c r="L183" i="3"/>
  <c r="L317" i="3"/>
  <c r="L333" i="3"/>
  <c r="B43" i="1" s="1"/>
  <c r="AC43" i="1" s="1"/>
  <c r="J76" i="4"/>
  <c r="K76" i="4" s="1"/>
  <c r="J106" i="4"/>
  <c r="K106" i="4" s="1"/>
  <c r="J43" i="4"/>
  <c r="K43" i="4" s="1"/>
  <c r="J104" i="4"/>
  <c r="K104" i="4" s="1"/>
  <c r="J47" i="4"/>
  <c r="K47" i="4" s="1"/>
  <c r="J45" i="4"/>
  <c r="K45" i="4" s="1"/>
  <c r="J61" i="4"/>
  <c r="K61" i="4" s="1"/>
  <c r="J118" i="4"/>
  <c r="K118" i="4" s="1"/>
  <c r="J100" i="4"/>
  <c r="K100" i="4" s="1"/>
  <c r="M288" i="3"/>
  <c r="D240" i="3"/>
  <c r="L218" i="3"/>
  <c r="N232" i="3"/>
  <c r="L232" i="3"/>
  <c r="N13" i="3"/>
  <c r="D43" i="3"/>
  <c r="D45" i="3" s="1"/>
  <c r="D42" i="3"/>
  <c r="M120" i="3"/>
  <c r="N120" i="3" s="1"/>
  <c r="O120" i="3" s="1"/>
  <c r="M85" i="3"/>
  <c r="N85" i="3" s="1"/>
  <c r="O85" i="3" s="1"/>
  <c r="M124" i="3"/>
  <c r="N124" i="3" s="1"/>
  <c r="O124" i="3" s="1"/>
  <c r="M123" i="3"/>
  <c r="N123" i="3" s="1"/>
  <c r="O123" i="3" s="1"/>
  <c r="M191" i="3"/>
  <c r="N345" i="3"/>
  <c r="O345" i="3" s="1"/>
  <c r="M190" i="3"/>
  <c r="M242" i="3"/>
  <c r="L259" i="3"/>
  <c r="M305" i="3"/>
  <c r="M323" i="3"/>
  <c r="AH302" i="2"/>
  <c r="AG302" i="2"/>
  <c r="AE302" i="2"/>
  <c r="AD302" i="2"/>
  <c r="P302" i="2"/>
  <c r="Q302" i="2" s="1"/>
  <c r="K302" i="2"/>
  <c r="AF302" i="2" s="1"/>
  <c r="AH31" i="2"/>
  <c r="AG31" i="2"/>
  <c r="AE31" i="2"/>
  <c r="AD31" i="2"/>
  <c r="P31" i="2"/>
  <c r="Q31" i="2" s="1"/>
  <c r="K31" i="2"/>
  <c r="AF31" i="2" s="1"/>
  <c r="AH222" i="2"/>
  <c r="AG222" i="2"/>
  <c r="AE222" i="2"/>
  <c r="AD222" i="2"/>
  <c r="P222" i="2"/>
  <c r="Q222" i="2" s="1"/>
  <c r="K222" i="2"/>
  <c r="AF222" i="2" s="1"/>
  <c r="AH221" i="2"/>
  <c r="AG221" i="2"/>
  <c r="AE221" i="2"/>
  <c r="AD221" i="2"/>
  <c r="P221" i="2"/>
  <c r="Q221" i="2" s="1"/>
  <c r="K221" i="2"/>
  <c r="AF221" i="2" s="1"/>
  <c r="AH256" i="2"/>
  <c r="AG256" i="2"/>
  <c r="AE256" i="2"/>
  <c r="AD256" i="2"/>
  <c r="P256" i="2"/>
  <c r="Q256" i="2" s="1"/>
  <c r="K256" i="2"/>
  <c r="AF256" i="2" s="1"/>
  <c r="AH318" i="2"/>
  <c r="AG318" i="2"/>
  <c r="AE318" i="2"/>
  <c r="AD318" i="2"/>
  <c r="P318" i="2"/>
  <c r="Q318" i="2" s="1"/>
  <c r="K318" i="2"/>
  <c r="AF318" i="2" s="1"/>
  <c r="AH317" i="2"/>
  <c r="AG317" i="2"/>
  <c r="AE317" i="2"/>
  <c r="AD317" i="2"/>
  <c r="P317" i="2"/>
  <c r="Q317" i="2" s="1"/>
  <c r="K317" i="2"/>
  <c r="AF317" i="2" s="1"/>
  <c r="S24" i="4" l="1"/>
  <c r="T24" i="4" s="1"/>
  <c r="S150" i="3"/>
  <c r="T150" i="3" s="1"/>
  <c r="P80" i="3"/>
  <c r="R80" i="3"/>
  <c r="P87" i="3"/>
  <c r="R87" i="3"/>
  <c r="P49" i="3"/>
  <c r="R49" i="3"/>
  <c r="R145" i="3"/>
  <c r="P145" i="3"/>
  <c r="P128" i="3"/>
  <c r="R128" i="3"/>
  <c r="R117" i="3"/>
  <c r="P117" i="3"/>
  <c r="S117" i="3" s="1"/>
  <c r="T117" i="3" s="1"/>
  <c r="P101" i="3"/>
  <c r="R101" i="3"/>
  <c r="P85" i="3"/>
  <c r="S85" i="3" s="1"/>
  <c r="T85" i="3" s="1"/>
  <c r="R85" i="3"/>
  <c r="P58" i="3"/>
  <c r="R58" i="3"/>
  <c r="P36" i="3"/>
  <c r="R36" i="3"/>
  <c r="P21" i="3"/>
  <c r="R21" i="3"/>
  <c r="P38" i="3"/>
  <c r="S38" i="3" s="1"/>
  <c r="T38" i="3" s="1"/>
  <c r="R38" i="3"/>
  <c r="P20" i="3"/>
  <c r="R20" i="3"/>
  <c r="P119" i="3"/>
  <c r="R119" i="3"/>
  <c r="P41" i="3"/>
  <c r="R41" i="3"/>
  <c r="P129" i="3"/>
  <c r="S129" i="3" s="1"/>
  <c r="T129" i="3" s="1"/>
  <c r="R129" i="3"/>
  <c r="P110" i="3"/>
  <c r="R110" i="3"/>
  <c r="R127" i="3"/>
  <c r="P127" i="3"/>
  <c r="S127" i="3" s="1"/>
  <c r="T127" i="3" s="1"/>
  <c r="R48" i="3"/>
  <c r="P48" i="3"/>
  <c r="R124" i="3"/>
  <c r="P124" i="3"/>
  <c r="P108" i="3"/>
  <c r="R108" i="3"/>
  <c r="R92" i="3"/>
  <c r="P92" i="3"/>
  <c r="S92" i="3" s="1"/>
  <c r="T92" i="3" s="1"/>
  <c r="R76" i="3"/>
  <c r="P76" i="3"/>
  <c r="P44" i="3"/>
  <c r="S44" i="3" s="1"/>
  <c r="T44" i="3" s="1"/>
  <c r="R44" i="3"/>
  <c r="P126" i="3"/>
  <c r="R126" i="3"/>
  <c r="R115" i="3"/>
  <c r="P115" i="3"/>
  <c r="S115" i="3" s="1"/>
  <c r="T115" i="3" s="1"/>
  <c r="P99" i="3"/>
  <c r="R99" i="3"/>
  <c r="P83" i="3"/>
  <c r="R83" i="3"/>
  <c r="P56" i="3"/>
  <c r="R56" i="3"/>
  <c r="R34" i="3"/>
  <c r="P34" i="3"/>
  <c r="S34" i="3" s="1"/>
  <c r="T34" i="3" s="1"/>
  <c r="P19" i="3"/>
  <c r="R19" i="3"/>
  <c r="P22" i="3"/>
  <c r="R22" i="3"/>
  <c r="R18" i="3"/>
  <c r="P18" i="3"/>
  <c r="P140" i="3"/>
  <c r="P146" i="3"/>
  <c r="S146" i="3" s="1"/>
  <c r="T146" i="3" s="1"/>
  <c r="P143" i="3"/>
  <c r="S143" i="3" s="1"/>
  <c r="T143" i="3" s="1"/>
  <c r="R60" i="3"/>
  <c r="P60" i="3"/>
  <c r="P17" i="3"/>
  <c r="R17" i="3"/>
  <c r="P130" i="3"/>
  <c r="R130" i="3"/>
  <c r="P71" i="3"/>
  <c r="R71" i="3"/>
  <c r="R46" i="3"/>
  <c r="P46" i="3"/>
  <c r="P125" i="3"/>
  <c r="R125" i="3"/>
  <c r="R39" i="3"/>
  <c r="P39" i="3"/>
  <c r="R122" i="3"/>
  <c r="P122" i="3"/>
  <c r="P106" i="3"/>
  <c r="R106" i="3"/>
  <c r="P90" i="3"/>
  <c r="R90" i="3"/>
  <c r="S90" i="3" s="1"/>
  <c r="T90" i="3" s="1"/>
  <c r="R74" i="3"/>
  <c r="P74" i="3"/>
  <c r="P42" i="3"/>
  <c r="R42" i="3"/>
  <c r="S140" i="3"/>
  <c r="T140" i="3" s="1"/>
  <c r="P113" i="3"/>
  <c r="S113" i="3" s="1"/>
  <c r="T113" i="3" s="1"/>
  <c r="R113" i="3"/>
  <c r="P97" i="3"/>
  <c r="R97" i="3"/>
  <c r="P81" i="3"/>
  <c r="R81" i="3"/>
  <c r="P54" i="3"/>
  <c r="R54" i="3"/>
  <c r="R29" i="3"/>
  <c r="P29" i="3"/>
  <c r="R15" i="3"/>
  <c r="P15" i="3"/>
  <c r="P33" i="3"/>
  <c r="R33" i="3"/>
  <c r="P144" i="3"/>
  <c r="S144" i="3" s="1"/>
  <c r="T144" i="3" s="1"/>
  <c r="P96" i="3"/>
  <c r="R96" i="3"/>
  <c r="P147" i="3"/>
  <c r="S147" i="3" s="1"/>
  <c r="T147" i="3" s="1"/>
  <c r="P59" i="3"/>
  <c r="R59" i="3"/>
  <c r="P78" i="3"/>
  <c r="R78" i="3"/>
  <c r="P69" i="3"/>
  <c r="R69" i="3"/>
  <c r="R37" i="3"/>
  <c r="P37" i="3"/>
  <c r="P120" i="3"/>
  <c r="R120" i="3"/>
  <c r="P104" i="3"/>
  <c r="R104" i="3"/>
  <c r="P88" i="3"/>
  <c r="R88" i="3"/>
  <c r="R72" i="3"/>
  <c r="P72" i="3"/>
  <c r="P40" i="3"/>
  <c r="R40" i="3"/>
  <c r="R111" i="3"/>
  <c r="P111" i="3"/>
  <c r="S111" i="3" s="1"/>
  <c r="T111" i="3" s="1"/>
  <c r="P95" i="3"/>
  <c r="R95" i="3"/>
  <c r="P79" i="3"/>
  <c r="S79" i="3" s="1"/>
  <c r="T79" i="3" s="1"/>
  <c r="R79" i="3"/>
  <c r="P52" i="3"/>
  <c r="R52" i="3"/>
  <c r="R27" i="3"/>
  <c r="P27" i="3"/>
  <c r="S27" i="3" s="1"/>
  <c r="T27" i="3" s="1"/>
  <c r="P31" i="3"/>
  <c r="R31" i="3"/>
  <c r="P68" i="3"/>
  <c r="S68" i="3" s="1"/>
  <c r="T68" i="3" s="1"/>
  <c r="R68" i="3"/>
  <c r="P136" i="3"/>
  <c r="S136" i="3" s="1"/>
  <c r="T136" i="3" s="1"/>
  <c r="P139" i="3"/>
  <c r="S139" i="3" s="1"/>
  <c r="T139" i="3" s="1"/>
  <c r="P138" i="3"/>
  <c r="S138" i="3" s="1"/>
  <c r="T138" i="3" s="1"/>
  <c r="R94" i="3"/>
  <c r="P94" i="3"/>
  <c r="R137" i="3"/>
  <c r="P137" i="3"/>
  <c r="P67" i="3"/>
  <c r="R67" i="3"/>
  <c r="R32" i="3"/>
  <c r="P32" i="3"/>
  <c r="P118" i="3"/>
  <c r="R118" i="3"/>
  <c r="R102" i="3"/>
  <c r="P102" i="3"/>
  <c r="P86" i="3"/>
  <c r="R86" i="3"/>
  <c r="P57" i="3"/>
  <c r="R57" i="3"/>
  <c r="P35" i="3"/>
  <c r="R35" i="3"/>
  <c r="P109" i="3"/>
  <c r="R109" i="3"/>
  <c r="P93" i="3"/>
  <c r="R93" i="3"/>
  <c r="P77" i="3"/>
  <c r="R77" i="3"/>
  <c r="R50" i="3"/>
  <c r="P50" i="3"/>
  <c r="R16" i="3"/>
  <c r="P16" i="3"/>
  <c r="P70" i="3"/>
  <c r="R70" i="3"/>
  <c r="P61" i="3"/>
  <c r="R61" i="3"/>
  <c r="P141" i="3"/>
  <c r="S141" i="3" s="1"/>
  <c r="T141" i="3" s="1"/>
  <c r="P142" i="3"/>
  <c r="S142" i="3" s="1"/>
  <c r="T142" i="3" s="1"/>
  <c r="R131" i="3"/>
  <c r="P131" i="3"/>
  <c r="P51" i="3"/>
  <c r="R51" i="3"/>
  <c r="P103" i="3"/>
  <c r="R103" i="3"/>
  <c r="P23" i="3"/>
  <c r="R23" i="3"/>
  <c r="P47" i="3"/>
  <c r="R47" i="3"/>
  <c r="P149" i="3"/>
  <c r="R149" i="3"/>
  <c r="R135" i="3"/>
  <c r="P135" i="3"/>
  <c r="P65" i="3"/>
  <c r="R65" i="3"/>
  <c r="R26" i="3"/>
  <c r="P26" i="3"/>
  <c r="P116" i="3"/>
  <c r="R116" i="3"/>
  <c r="P100" i="3"/>
  <c r="R100" i="3"/>
  <c r="P84" i="3"/>
  <c r="R84" i="3"/>
  <c r="R55" i="3"/>
  <c r="P55" i="3"/>
  <c r="P30" i="3"/>
  <c r="R30" i="3"/>
  <c r="P134" i="3"/>
  <c r="R134" i="3"/>
  <c r="P123" i="3"/>
  <c r="R123" i="3"/>
  <c r="P107" i="3"/>
  <c r="R107" i="3"/>
  <c r="R91" i="3"/>
  <c r="P91" i="3"/>
  <c r="S91" i="3" s="1"/>
  <c r="T91" i="3" s="1"/>
  <c r="P75" i="3"/>
  <c r="R75" i="3"/>
  <c r="P45" i="3"/>
  <c r="R45" i="3"/>
  <c r="P14" i="3"/>
  <c r="R14" i="3"/>
  <c r="P66" i="3"/>
  <c r="R66" i="3"/>
  <c r="S66" i="3" s="1"/>
  <c r="T66" i="3" s="1"/>
  <c r="R24" i="3"/>
  <c r="P24" i="3"/>
  <c r="P151" i="3"/>
  <c r="S151" i="3" s="1"/>
  <c r="T151" i="3" s="1"/>
  <c r="P112" i="3"/>
  <c r="R112" i="3"/>
  <c r="P133" i="3"/>
  <c r="S133" i="3" s="1"/>
  <c r="T133" i="3" s="1"/>
  <c r="R133" i="3"/>
  <c r="P63" i="3"/>
  <c r="R63" i="3"/>
  <c r="P114" i="3"/>
  <c r="R114" i="3"/>
  <c r="S114" i="3" s="1"/>
  <c r="T114" i="3" s="1"/>
  <c r="P98" i="3"/>
  <c r="R98" i="3"/>
  <c r="P82" i="3"/>
  <c r="R82" i="3"/>
  <c r="R53" i="3"/>
  <c r="P53" i="3"/>
  <c r="P28" i="3"/>
  <c r="R28" i="3"/>
  <c r="S148" i="3"/>
  <c r="T148" i="3" s="1"/>
  <c r="R132" i="3"/>
  <c r="P132" i="3"/>
  <c r="R121" i="3"/>
  <c r="P121" i="3"/>
  <c r="S121" i="3" s="1"/>
  <c r="T121" i="3" s="1"/>
  <c r="R105" i="3"/>
  <c r="P105" i="3"/>
  <c r="R89" i="3"/>
  <c r="P89" i="3"/>
  <c r="P73" i="3"/>
  <c r="R73" i="3"/>
  <c r="P43" i="3"/>
  <c r="R43" i="3"/>
  <c r="P25" i="3"/>
  <c r="R25" i="3"/>
  <c r="P62" i="3"/>
  <c r="R62" i="3"/>
  <c r="P64" i="3"/>
  <c r="R64" i="3"/>
  <c r="B29" i="1"/>
  <c r="AC29" i="1" s="1"/>
  <c r="B25" i="1"/>
  <c r="AC25" i="1" s="1"/>
  <c r="B27" i="1"/>
  <c r="AC27" i="1" s="1"/>
  <c r="B31" i="1"/>
  <c r="B33" i="1" s="1"/>
  <c r="AC49" i="1"/>
  <c r="P13" i="3"/>
  <c r="R13" i="3"/>
  <c r="M333" i="3"/>
  <c r="D43" i="1" s="1"/>
  <c r="AE43" i="1" s="1"/>
  <c r="AE49" i="1" s="1"/>
  <c r="M183" i="3"/>
  <c r="D25" i="1" s="1"/>
  <c r="AE25" i="1" s="1"/>
  <c r="N333" i="3"/>
  <c r="M317" i="3"/>
  <c r="N317" i="3"/>
  <c r="M218" i="3"/>
  <c r="M259" i="3"/>
  <c r="D31" i="1" s="1"/>
  <c r="AE31" i="1" s="1"/>
  <c r="O13" i="3"/>
  <c r="N218" i="3"/>
  <c r="O259" i="3"/>
  <c r="N259" i="3"/>
  <c r="S12" i="4"/>
  <c r="O232" i="3"/>
  <c r="B39" i="1"/>
  <c r="AC39" i="1" s="1"/>
  <c r="D39" i="1"/>
  <c r="AE39" i="1" s="1"/>
  <c r="X317" i="2"/>
  <c r="Y317" i="2" s="1"/>
  <c r="AA317" i="2" s="1"/>
  <c r="R302" i="2"/>
  <c r="V302" i="2" s="1"/>
  <c r="X302" i="2"/>
  <c r="R31" i="2"/>
  <c r="V31" i="2" s="1"/>
  <c r="R222" i="2"/>
  <c r="T222" i="2" s="1"/>
  <c r="X31" i="2"/>
  <c r="Y31" i="2" s="1"/>
  <c r="AA31" i="2" s="1"/>
  <c r="R256" i="2"/>
  <c r="V256" i="2" s="1"/>
  <c r="X222" i="2"/>
  <c r="Y222" i="2" s="1"/>
  <c r="AA222" i="2" s="1"/>
  <c r="R221" i="2"/>
  <c r="V221" i="2" s="1"/>
  <c r="X221" i="2"/>
  <c r="Y221" i="2" s="1"/>
  <c r="AA221" i="2" s="1"/>
  <c r="R317" i="2"/>
  <c r="T317" i="2" s="1"/>
  <c r="R318" i="2"/>
  <c r="V318" i="2" s="1"/>
  <c r="X256" i="2"/>
  <c r="Y256" i="2" s="1"/>
  <c r="AA256" i="2" s="1"/>
  <c r="X318" i="2"/>
  <c r="Y318" i="2" s="1"/>
  <c r="AA318" i="2" s="1"/>
  <c r="S76" i="3" l="1"/>
  <c r="T76" i="3" s="1"/>
  <c r="S45" i="3"/>
  <c r="T45" i="3" s="1"/>
  <c r="S123" i="3"/>
  <c r="T123" i="3" s="1"/>
  <c r="S84" i="3"/>
  <c r="T84" i="3" s="1"/>
  <c r="S65" i="3"/>
  <c r="T65" i="3" s="1"/>
  <c r="S23" i="3"/>
  <c r="T23" i="3" s="1"/>
  <c r="S50" i="3"/>
  <c r="T50" i="3" s="1"/>
  <c r="S35" i="3"/>
  <c r="T35" i="3" s="1"/>
  <c r="S42" i="3"/>
  <c r="T42" i="3" s="1"/>
  <c r="S122" i="3"/>
  <c r="T122" i="3" s="1"/>
  <c r="S71" i="3"/>
  <c r="T71" i="3" s="1"/>
  <c r="S83" i="3"/>
  <c r="T83" i="3" s="1"/>
  <c r="S132" i="3"/>
  <c r="T132" i="3" s="1"/>
  <c r="S55" i="3"/>
  <c r="T55" i="3" s="1"/>
  <c r="S26" i="3"/>
  <c r="T26" i="3" s="1"/>
  <c r="S131" i="3"/>
  <c r="T131" i="3" s="1"/>
  <c r="S16" i="3"/>
  <c r="T16" i="3" s="1"/>
  <c r="S102" i="3"/>
  <c r="T102" i="3" s="1"/>
  <c r="S137" i="3"/>
  <c r="T137" i="3" s="1"/>
  <c r="S106" i="3"/>
  <c r="T106" i="3" s="1"/>
  <c r="S46" i="3"/>
  <c r="T46" i="3" s="1"/>
  <c r="S60" i="3"/>
  <c r="T60" i="3" s="1"/>
  <c r="S120" i="3"/>
  <c r="T120" i="3" s="1"/>
  <c r="S48" i="3"/>
  <c r="T48" i="3" s="1"/>
  <c r="S59" i="3"/>
  <c r="T59" i="3" s="1"/>
  <c r="S18" i="3"/>
  <c r="T18" i="3" s="1"/>
  <c r="S63" i="3"/>
  <c r="T63" i="3" s="1"/>
  <c r="S40" i="3"/>
  <c r="T40" i="3" s="1"/>
  <c r="S97" i="3"/>
  <c r="T97" i="3" s="1"/>
  <c r="S108" i="3"/>
  <c r="T108" i="3" s="1"/>
  <c r="S105" i="3"/>
  <c r="T105" i="3" s="1"/>
  <c r="S24" i="3"/>
  <c r="T24" i="3" s="1"/>
  <c r="S134" i="3"/>
  <c r="T134" i="3" s="1"/>
  <c r="S135" i="3"/>
  <c r="T135" i="3" s="1"/>
  <c r="S32" i="3"/>
  <c r="T32" i="3" s="1"/>
  <c r="S39" i="3"/>
  <c r="T39" i="3" s="1"/>
  <c r="S130" i="3"/>
  <c r="T130" i="3" s="1"/>
  <c r="S56" i="3"/>
  <c r="T56" i="3" s="1"/>
  <c r="S52" i="3"/>
  <c r="T52" i="3" s="1"/>
  <c r="S20" i="3"/>
  <c r="T20" i="3" s="1"/>
  <c r="R183" i="3"/>
  <c r="S98" i="3"/>
  <c r="T98" i="3" s="1"/>
  <c r="S58" i="3"/>
  <c r="T58" i="3" s="1"/>
  <c r="S64" i="3"/>
  <c r="T64" i="3" s="1"/>
  <c r="S73" i="3"/>
  <c r="T73" i="3" s="1"/>
  <c r="S14" i="3"/>
  <c r="T14" i="3" s="1"/>
  <c r="S107" i="3"/>
  <c r="T107" i="3" s="1"/>
  <c r="S47" i="3"/>
  <c r="T47" i="3" s="1"/>
  <c r="S109" i="3"/>
  <c r="T109" i="3" s="1"/>
  <c r="S96" i="3"/>
  <c r="T96" i="3" s="1"/>
  <c r="S62" i="3"/>
  <c r="T62" i="3" s="1"/>
  <c r="S89" i="3"/>
  <c r="T89" i="3" s="1"/>
  <c r="S112" i="3"/>
  <c r="T112" i="3" s="1"/>
  <c r="S118" i="3"/>
  <c r="T118" i="3" s="1"/>
  <c r="S94" i="3"/>
  <c r="T94" i="3" s="1"/>
  <c r="S31" i="3"/>
  <c r="T31" i="3" s="1"/>
  <c r="S95" i="3"/>
  <c r="T95" i="3" s="1"/>
  <c r="S88" i="3"/>
  <c r="T88" i="3" s="1"/>
  <c r="S69" i="3"/>
  <c r="T69" i="3" s="1"/>
  <c r="S54" i="3"/>
  <c r="T54" i="3" s="1"/>
  <c r="S19" i="3"/>
  <c r="T19" i="3" s="1"/>
  <c r="S99" i="3"/>
  <c r="T99" i="3" s="1"/>
  <c r="S41" i="3"/>
  <c r="T41" i="3" s="1"/>
  <c r="S21" i="3"/>
  <c r="T21" i="3" s="1"/>
  <c r="S101" i="3"/>
  <c r="T101" i="3" s="1"/>
  <c r="S49" i="3"/>
  <c r="T49" i="3" s="1"/>
  <c r="S28" i="3"/>
  <c r="T28" i="3" s="1"/>
  <c r="S104" i="3"/>
  <c r="T104" i="3" s="1"/>
  <c r="S78" i="3"/>
  <c r="T78" i="3" s="1"/>
  <c r="S33" i="3"/>
  <c r="T33" i="3" s="1"/>
  <c r="S81" i="3"/>
  <c r="T81" i="3" s="1"/>
  <c r="S119" i="3"/>
  <c r="T119" i="3" s="1"/>
  <c r="S36" i="3"/>
  <c r="T36" i="3" s="1"/>
  <c r="S87" i="3"/>
  <c r="T87" i="3" s="1"/>
  <c r="S25" i="3"/>
  <c r="T25" i="3" s="1"/>
  <c r="S53" i="3"/>
  <c r="T53" i="3" s="1"/>
  <c r="S75" i="3"/>
  <c r="T75" i="3" s="1"/>
  <c r="S100" i="3"/>
  <c r="T100" i="3" s="1"/>
  <c r="S103" i="3"/>
  <c r="T103" i="3" s="1"/>
  <c r="S61" i="3"/>
  <c r="T61" i="3" s="1"/>
  <c r="S77" i="3"/>
  <c r="T77" i="3" s="1"/>
  <c r="S57" i="3"/>
  <c r="T57" i="3" s="1"/>
  <c r="S15" i="3"/>
  <c r="T15" i="3" s="1"/>
  <c r="S74" i="3"/>
  <c r="T74" i="3" s="1"/>
  <c r="S126" i="3"/>
  <c r="T126" i="3" s="1"/>
  <c r="S110" i="3"/>
  <c r="T110" i="3" s="1"/>
  <c r="S128" i="3"/>
  <c r="T128" i="3" s="1"/>
  <c r="S80" i="3"/>
  <c r="T80" i="3" s="1"/>
  <c r="S43" i="3"/>
  <c r="T43" i="3" s="1"/>
  <c r="S82" i="3"/>
  <c r="T82" i="3" s="1"/>
  <c r="S30" i="3"/>
  <c r="T30" i="3" s="1"/>
  <c r="S116" i="3"/>
  <c r="T116" i="3" s="1"/>
  <c r="S149" i="3"/>
  <c r="T149" i="3" s="1"/>
  <c r="S51" i="3"/>
  <c r="T51" i="3" s="1"/>
  <c r="S70" i="3"/>
  <c r="T70" i="3" s="1"/>
  <c r="S93" i="3"/>
  <c r="T93" i="3" s="1"/>
  <c r="S86" i="3"/>
  <c r="T86" i="3" s="1"/>
  <c r="S67" i="3"/>
  <c r="T67" i="3" s="1"/>
  <c r="S72" i="3"/>
  <c r="T72" i="3" s="1"/>
  <c r="S37" i="3"/>
  <c r="T37" i="3" s="1"/>
  <c r="S29" i="3"/>
  <c r="T29" i="3" s="1"/>
  <c r="S125" i="3"/>
  <c r="T125" i="3" s="1"/>
  <c r="S17" i="3"/>
  <c r="T17" i="3" s="1"/>
  <c r="S22" i="3"/>
  <c r="T22" i="3" s="1"/>
  <c r="S124" i="3"/>
  <c r="T124" i="3" s="1"/>
  <c r="S145" i="3"/>
  <c r="T145" i="3" s="1"/>
  <c r="P183" i="3"/>
  <c r="P317" i="3"/>
  <c r="E39" i="1" s="1"/>
  <c r="AF39" i="1" s="1"/>
  <c r="R218" i="3"/>
  <c r="P218" i="3"/>
  <c r="AC31" i="1"/>
  <c r="AC33" i="1"/>
  <c r="R317" i="3"/>
  <c r="O317" i="3"/>
  <c r="O218" i="3"/>
  <c r="N183" i="3"/>
  <c r="O183" i="3"/>
  <c r="O333" i="3"/>
  <c r="P232" i="3"/>
  <c r="E29" i="1" s="1"/>
  <c r="AF29" i="1" s="1"/>
  <c r="P259" i="3"/>
  <c r="E31" i="1" s="1"/>
  <c r="AF31" i="1" s="1"/>
  <c r="T12" i="4"/>
  <c r="D27" i="1"/>
  <c r="AE27" i="1" s="1"/>
  <c r="AE33" i="1" s="1"/>
  <c r="T31" i="2"/>
  <c r="T302" i="2"/>
  <c r="T256" i="2"/>
  <c r="T318" i="2"/>
  <c r="AB221" i="2"/>
  <c r="AC221" i="2" s="1"/>
  <c r="Y302" i="2"/>
  <c r="T221" i="2"/>
  <c r="V222" i="2"/>
  <c r="AB222" i="2" s="1"/>
  <c r="AC222" i="2" s="1"/>
  <c r="AB31" i="2"/>
  <c r="AC31" i="2" s="1"/>
  <c r="V317" i="2"/>
  <c r="AB317" i="2" s="1"/>
  <c r="AC317" i="2" s="1"/>
  <c r="AB318" i="2"/>
  <c r="AC318" i="2" s="1"/>
  <c r="AB256" i="2"/>
  <c r="AC256" i="2" s="1"/>
  <c r="N30" i="2"/>
  <c r="AH278" i="2"/>
  <c r="AG278" i="2"/>
  <c r="AE278" i="2"/>
  <c r="AD278" i="2"/>
  <c r="P278" i="2"/>
  <c r="Q278" i="2" s="1"/>
  <c r="K278" i="2"/>
  <c r="AF278" i="2" s="1"/>
  <c r="AH286" i="2"/>
  <c r="AG286" i="2"/>
  <c r="AE286" i="2"/>
  <c r="AD286" i="2"/>
  <c r="P286" i="2"/>
  <c r="Q286" i="2" s="1"/>
  <c r="K286" i="2"/>
  <c r="AF286" i="2" s="1"/>
  <c r="AH285" i="2"/>
  <c r="AG285" i="2"/>
  <c r="AE285" i="2"/>
  <c r="AD285" i="2"/>
  <c r="K285" i="2"/>
  <c r="AF285" i="2" s="1"/>
  <c r="AH234" i="2"/>
  <c r="AG234" i="2"/>
  <c r="AE234" i="2"/>
  <c r="AD234" i="2"/>
  <c r="P234" i="2"/>
  <c r="Q234" i="2" s="1"/>
  <c r="K234" i="2"/>
  <c r="AF234" i="2" s="1"/>
  <c r="AH220" i="2"/>
  <c r="AG220" i="2"/>
  <c r="AE220" i="2"/>
  <c r="AD220" i="2"/>
  <c r="P220" i="2"/>
  <c r="Q220" i="2" s="1"/>
  <c r="K220" i="2"/>
  <c r="AF220" i="2" s="1"/>
  <c r="AH203" i="2"/>
  <c r="AG203" i="2"/>
  <c r="AE203" i="2"/>
  <c r="AD203" i="2"/>
  <c r="P203" i="2"/>
  <c r="Q203" i="2" s="1"/>
  <c r="K203" i="2"/>
  <c r="AF203" i="2" s="1"/>
  <c r="AH202" i="2"/>
  <c r="AG202" i="2"/>
  <c r="AE202" i="2"/>
  <c r="AD202" i="2"/>
  <c r="P202" i="2"/>
  <c r="Q202" i="2" s="1"/>
  <c r="K202" i="2"/>
  <c r="AF202" i="2" s="1"/>
  <c r="AH201" i="2"/>
  <c r="AG201" i="2"/>
  <c r="AE201" i="2"/>
  <c r="AD201" i="2"/>
  <c r="P201" i="2"/>
  <c r="Q201" i="2" s="1"/>
  <c r="K201" i="2"/>
  <c r="AF201" i="2" s="1"/>
  <c r="AH255" i="2"/>
  <c r="AG255" i="2"/>
  <c r="AE255" i="2"/>
  <c r="AD255" i="2"/>
  <c r="P255" i="2"/>
  <c r="Q255" i="2" s="1"/>
  <c r="K255" i="2"/>
  <c r="AF255" i="2" s="1"/>
  <c r="AH254" i="2"/>
  <c r="AG254" i="2"/>
  <c r="AE254" i="2"/>
  <c r="AD254" i="2"/>
  <c r="P254" i="2"/>
  <c r="Q254" i="2" s="1"/>
  <c r="K254" i="2"/>
  <c r="AF254" i="2" s="1"/>
  <c r="AH200" i="2"/>
  <c r="AG200" i="2"/>
  <c r="AE200" i="2"/>
  <c r="AD200" i="2"/>
  <c r="P200" i="2"/>
  <c r="Q200" i="2" s="1"/>
  <c r="K200" i="2"/>
  <c r="AF200" i="2" s="1"/>
  <c r="P333" i="3" l="1"/>
  <c r="E43" i="1" s="1"/>
  <c r="AF43" i="1" s="1"/>
  <c r="AF49" i="1" s="1"/>
  <c r="F25" i="1"/>
  <c r="AG25" i="1" s="1"/>
  <c r="F39" i="1"/>
  <c r="AG39" i="1" s="1"/>
  <c r="R232" i="3"/>
  <c r="F29" i="1" s="1"/>
  <c r="AG29" i="1" s="1"/>
  <c r="S218" i="3"/>
  <c r="S259" i="3"/>
  <c r="G31" i="1" s="1"/>
  <c r="AH31" i="1" s="1"/>
  <c r="R259" i="3"/>
  <c r="F31" i="1" s="1"/>
  <c r="AG31" i="1" s="1"/>
  <c r="R333" i="3"/>
  <c r="E27" i="1"/>
  <c r="AF27" i="1" s="1"/>
  <c r="AA302" i="2"/>
  <c r="R278" i="2"/>
  <c r="V278" i="2" s="1"/>
  <c r="R286" i="2"/>
  <c r="V286" i="2" s="1"/>
  <c r="X202" i="2"/>
  <c r="Y202" i="2" s="1"/>
  <c r="AA202" i="2" s="1"/>
  <c r="X286" i="2"/>
  <c r="Y286" i="2" s="1"/>
  <c r="AA286" i="2" s="1"/>
  <c r="P285" i="2"/>
  <c r="Q285" i="2" s="1"/>
  <c r="X285" i="2" s="1"/>
  <c r="Y285" i="2" s="1"/>
  <c r="AA285" i="2" s="1"/>
  <c r="X203" i="2"/>
  <c r="Y203" i="2" s="1"/>
  <c r="AA203" i="2" s="1"/>
  <c r="R234" i="2"/>
  <c r="V234" i="2" s="1"/>
  <c r="X234" i="2"/>
  <c r="Y234" i="2" s="1"/>
  <c r="AA234" i="2" s="1"/>
  <c r="R201" i="2"/>
  <c r="V201" i="2" s="1"/>
  <c r="R220" i="2"/>
  <c r="T220" i="2" s="1"/>
  <c r="X220" i="2"/>
  <c r="Y220" i="2" s="1"/>
  <c r="AA220" i="2" s="1"/>
  <c r="R203" i="2"/>
  <c r="R202" i="2"/>
  <c r="T202" i="2" s="1"/>
  <c r="R255" i="2"/>
  <c r="V255" i="2" s="1"/>
  <c r="X255" i="2"/>
  <c r="Y255" i="2" s="1"/>
  <c r="AA255" i="2" s="1"/>
  <c r="X201" i="2"/>
  <c r="Y201" i="2" s="1"/>
  <c r="AA201" i="2" s="1"/>
  <c r="R254" i="2"/>
  <c r="V254" i="2" s="1"/>
  <c r="X200" i="2"/>
  <c r="Y200" i="2" s="1"/>
  <c r="AA200" i="2" s="1"/>
  <c r="X254" i="2"/>
  <c r="Y254" i="2" s="1"/>
  <c r="AA254" i="2" s="1"/>
  <c r="R200" i="2"/>
  <c r="V200" i="2" s="1"/>
  <c r="AH316" i="2"/>
  <c r="AG316" i="2"/>
  <c r="AE316" i="2"/>
  <c r="AD316" i="2"/>
  <c r="P316" i="2"/>
  <c r="Q316" i="2" s="1"/>
  <c r="K316" i="2"/>
  <c r="AF316" i="2" s="1"/>
  <c r="AH315" i="2"/>
  <c r="AG315" i="2"/>
  <c r="AE315" i="2"/>
  <c r="AD315" i="2"/>
  <c r="P315" i="2"/>
  <c r="Q315" i="2" s="1"/>
  <c r="K315" i="2"/>
  <c r="AF315" i="2" s="1"/>
  <c r="AH314" i="2"/>
  <c r="AG314" i="2"/>
  <c r="AE314" i="2"/>
  <c r="AD314" i="2"/>
  <c r="P314" i="2"/>
  <c r="Q314" i="2" s="1"/>
  <c r="K314" i="2"/>
  <c r="AF314" i="2" s="1"/>
  <c r="AH313" i="2"/>
  <c r="AG313" i="2"/>
  <c r="AE313" i="2"/>
  <c r="AD313" i="2"/>
  <c r="P313" i="2"/>
  <c r="Q313" i="2" s="1"/>
  <c r="K313" i="2"/>
  <c r="AF313" i="2" s="1"/>
  <c r="AH312" i="2"/>
  <c r="AG312" i="2"/>
  <c r="AE312" i="2"/>
  <c r="AD312" i="2"/>
  <c r="P312" i="2"/>
  <c r="Q312" i="2" s="1"/>
  <c r="K312" i="2"/>
  <c r="AF312" i="2" s="1"/>
  <c r="AH311" i="2"/>
  <c r="AG311" i="2"/>
  <c r="AE311" i="2"/>
  <c r="AD311" i="2"/>
  <c r="N311" i="2"/>
  <c r="P311" i="2" s="1"/>
  <c r="Q311" i="2" s="1"/>
  <c r="K311" i="2"/>
  <c r="AF311" i="2" s="1"/>
  <c r="AH310" i="2"/>
  <c r="AG310" i="2"/>
  <c r="AE310" i="2"/>
  <c r="AD310" i="2"/>
  <c r="N310" i="2"/>
  <c r="P310" i="2" s="1"/>
  <c r="Q310" i="2" s="1"/>
  <c r="K310" i="2"/>
  <c r="AF310" i="2" s="1"/>
  <c r="AH309" i="2"/>
  <c r="AG309" i="2"/>
  <c r="AE309" i="2"/>
  <c r="AD309" i="2"/>
  <c r="P309" i="2"/>
  <c r="Q309" i="2" s="1"/>
  <c r="K309" i="2"/>
  <c r="AF309" i="2" s="1"/>
  <c r="AH308" i="2"/>
  <c r="AG308" i="2"/>
  <c r="AE308" i="2"/>
  <c r="AD308" i="2"/>
  <c r="P308" i="2"/>
  <c r="Q308" i="2" s="1"/>
  <c r="K308" i="2"/>
  <c r="AF308" i="2" s="1"/>
  <c r="AH307" i="2"/>
  <c r="AG307" i="2"/>
  <c r="AE307" i="2"/>
  <c r="AD307" i="2"/>
  <c r="P307" i="2"/>
  <c r="K307" i="2"/>
  <c r="AF307" i="2" s="1"/>
  <c r="L304" i="2"/>
  <c r="AH301" i="2"/>
  <c r="AG301" i="2"/>
  <c r="AE301" i="2"/>
  <c r="AD301" i="2"/>
  <c r="N301" i="2"/>
  <c r="P301" i="2" s="1"/>
  <c r="Q301" i="2" s="1"/>
  <c r="K301" i="2"/>
  <c r="AF301" i="2" s="1"/>
  <c r="AH300" i="2"/>
  <c r="AG300" i="2"/>
  <c r="AE300" i="2"/>
  <c r="AD300" i="2"/>
  <c r="P300" i="2"/>
  <c r="Q300" i="2" s="1"/>
  <c r="K300" i="2"/>
  <c r="AF300" i="2" s="1"/>
  <c r="AH299" i="2"/>
  <c r="AG299" i="2"/>
  <c r="AE299" i="2"/>
  <c r="AD299" i="2"/>
  <c r="P299" i="2"/>
  <c r="Q299" i="2" s="1"/>
  <c r="K299" i="2"/>
  <c r="AF299" i="2" s="1"/>
  <c r="AH298" i="2"/>
  <c r="AG298" i="2"/>
  <c r="AE298" i="2"/>
  <c r="AD298" i="2"/>
  <c r="P298" i="2"/>
  <c r="Q298" i="2" s="1"/>
  <c r="K298" i="2"/>
  <c r="AF298" i="2" s="1"/>
  <c r="AH297" i="2"/>
  <c r="AG297" i="2"/>
  <c r="AE297" i="2"/>
  <c r="AD297" i="2"/>
  <c r="P297" i="2"/>
  <c r="Q297" i="2" s="1"/>
  <c r="K297" i="2"/>
  <c r="AF297" i="2" s="1"/>
  <c r="AH296" i="2"/>
  <c r="AG296" i="2"/>
  <c r="AE296" i="2"/>
  <c r="AD296" i="2"/>
  <c r="P296" i="2"/>
  <c r="Q296" i="2" s="1"/>
  <c r="K296" i="2"/>
  <c r="AF296" i="2" s="1"/>
  <c r="AH295" i="2"/>
  <c r="AG295" i="2"/>
  <c r="AE295" i="2"/>
  <c r="AD295" i="2"/>
  <c r="P295" i="2"/>
  <c r="Q295" i="2" s="1"/>
  <c r="K295" i="2"/>
  <c r="AF295" i="2" s="1"/>
  <c r="AH294" i="2"/>
  <c r="AG294" i="2"/>
  <c r="AE294" i="2"/>
  <c r="AD294" i="2"/>
  <c r="N294" i="2"/>
  <c r="P294" i="2" s="1"/>
  <c r="Q294" i="2" s="1"/>
  <c r="K294" i="2"/>
  <c r="AF294" i="2" s="1"/>
  <c r="AH293" i="2"/>
  <c r="AG293" i="2"/>
  <c r="AE293" i="2"/>
  <c r="AD293" i="2"/>
  <c r="P293" i="2"/>
  <c r="Q293" i="2" s="1"/>
  <c r="K293" i="2"/>
  <c r="AF293" i="2" s="1"/>
  <c r="AH292" i="2"/>
  <c r="AG292" i="2"/>
  <c r="AE292" i="2"/>
  <c r="AD292" i="2"/>
  <c r="P292" i="2"/>
  <c r="Q292" i="2" s="1"/>
  <c r="K292" i="2"/>
  <c r="AF292" i="2" s="1"/>
  <c r="AH284" i="2"/>
  <c r="AG284" i="2"/>
  <c r="AE284" i="2"/>
  <c r="AD284" i="2"/>
  <c r="N284" i="2"/>
  <c r="P284" i="2" s="1"/>
  <c r="Q284" i="2" s="1"/>
  <c r="K284" i="2"/>
  <c r="AF284" i="2" s="1"/>
  <c r="AH283" i="2"/>
  <c r="AG283" i="2"/>
  <c r="AE283" i="2"/>
  <c r="AD283" i="2"/>
  <c r="P283" i="2"/>
  <c r="Q283" i="2" s="1"/>
  <c r="K283" i="2"/>
  <c r="AF283" i="2" s="1"/>
  <c r="AH282" i="2"/>
  <c r="AG282" i="2"/>
  <c r="AE282" i="2"/>
  <c r="AD282" i="2"/>
  <c r="P282" i="2"/>
  <c r="Q282" i="2" s="1"/>
  <c r="K282" i="2"/>
  <c r="AF282" i="2" s="1"/>
  <c r="AH281" i="2"/>
  <c r="AG281" i="2"/>
  <c r="AE281" i="2"/>
  <c r="AD281" i="2"/>
  <c r="P281" i="2"/>
  <c r="Q281" i="2" s="1"/>
  <c r="K281" i="2"/>
  <c r="AF281" i="2" s="1"/>
  <c r="AH280" i="2"/>
  <c r="AG280" i="2"/>
  <c r="AE280" i="2"/>
  <c r="AD280" i="2"/>
  <c r="P280" i="2"/>
  <c r="K280" i="2"/>
  <c r="AF280" i="2" s="1"/>
  <c r="AH279" i="2"/>
  <c r="AG279" i="2"/>
  <c r="AE279" i="2"/>
  <c r="AD279" i="2"/>
  <c r="P279" i="2"/>
  <c r="Q279" i="2" s="1"/>
  <c r="K279" i="2"/>
  <c r="AF279" i="2" s="1"/>
  <c r="AH277" i="2"/>
  <c r="AG277" i="2"/>
  <c r="AE277" i="2"/>
  <c r="AD277" i="2"/>
  <c r="P277" i="2"/>
  <c r="Q277" i="2" s="1"/>
  <c r="K277" i="2"/>
  <c r="AF277" i="2" s="1"/>
  <c r="AH276" i="2"/>
  <c r="AG276" i="2"/>
  <c r="AE276" i="2"/>
  <c r="AD276" i="2"/>
  <c r="P276" i="2"/>
  <c r="Q276" i="2" s="1"/>
  <c r="K276" i="2"/>
  <c r="AF276" i="2" s="1"/>
  <c r="AH275" i="2"/>
  <c r="AG275" i="2"/>
  <c r="AE275" i="2"/>
  <c r="AD275" i="2"/>
  <c r="P275" i="2"/>
  <c r="Q275" i="2" s="1"/>
  <c r="K275" i="2"/>
  <c r="AF275" i="2" s="1"/>
  <c r="AH274" i="2"/>
  <c r="AG274" i="2"/>
  <c r="AE274" i="2"/>
  <c r="AD274" i="2"/>
  <c r="P274" i="2"/>
  <c r="Q274" i="2" s="1"/>
  <c r="K274" i="2"/>
  <c r="AF274" i="2" s="1"/>
  <c r="AH273" i="2"/>
  <c r="AG273" i="2"/>
  <c r="AE273" i="2"/>
  <c r="AD273" i="2"/>
  <c r="P273" i="2"/>
  <c r="Q273" i="2" s="1"/>
  <c r="K273" i="2"/>
  <c r="AF273" i="2" s="1"/>
  <c r="AH272" i="2"/>
  <c r="AG272" i="2"/>
  <c r="AE272" i="2"/>
  <c r="AD272" i="2"/>
  <c r="P272" i="2"/>
  <c r="Q272" i="2" s="1"/>
  <c r="K272" i="2"/>
  <c r="AF272" i="2" s="1"/>
  <c r="AH271" i="2"/>
  <c r="AG271" i="2"/>
  <c r="AE271" i="2"/>
  <c r="AD271" i="2"/>
  <c r="P271" i="2"/>
  <c r="Q271" i="2" s="1"/>
  <c r="K271" i="2"/>
  <c r="AF271" i="2" s="1"/>
  <c r="AH270" i="2"/>
  <c r="AG270" i="2"/>
  <c r="AE270" i="2"/>
  <c r="AD270" i="2"/>
  <c r="P270" i="2"/>
  <c r="Q270" i="2" s="1"/>
  <c r="K270" i="2"/>
  <c r="AF270" i="2" s="1"/>
  <c r="AH269" i="2"/>
  <c r="AG269" i="2"/>
  <c r="AE269" i="2"/>
  <c r="AD269" i="2"/>
  <c r="P269" i="2"/>
  <c r="K269" i="2"/>
  <c r="AF269" i="2" s="1"/>
  <c r="AH268" i="2"/>
  <c r="AG268" i="2"/>
  <c r="AE268" i="2"/>
  <c r="AD268" i="2"/>
  <c r="P268" i="2"/>
  <c r="L272" i="3" s="1"/>
  <c r="K268" i="2"/>
  <c r="AF268" i="2" s="1"/>
  <c r="AH262" i="2"/>
  <c r="AG262" i="2"/>
  <c r="AE262" i="2"/>
  <c r="AD262" i="2"/>
  <c r="N262" i="2"/>
  <c r="N264" i="2" s="1"/>
  <c r="K262" i="2"/>
  <c r="AF262" i="2" s="1"/>
  <c r="C258" i="2"/>
  <c r="AH253" i="2"/>
  <c r="AG253" i="2"/>
  <c r="AE253" i="2"/>
  <c r="AD253" i="2"/>
  <c r="P253" i="2"/>
  <c r="Q253" i="2" s="1"/>
  <c r="K253" i="2"/>
  <c r="AF253" i="2" s="1"/>
  <c r="AH252" i="2"/>
  <c r="AG252" i="2"/>
  <c r="AE252" i="2"/>
  <c r="AD252" i="2"/>
  <c r="P252" i="2"/>
  <c r="Q252" i="2" s="1"/>
  <c r="K252" i="2"/>
  <c r="AF252" i="2" s="1"/>
  <c r="AH251" i="2"/>
  <c r="AG251" i="2"/>
  <c r="AE251" i="2"/>
  <c r="AD251" i="2"/>
  <c r="P251" i="2"/>
  <c r="Q251" i="2" s="1"/>
  <c r="K251" i="2"/>
  <c r="AF251" i="2" s="1"/>
  <c r="AH250" i="2"/>
  <c r="AG250" i="2"/>
  <c r="AE250" i="2"/>
  <c r="AD250" i="2"/>
  <c r="P250" i="2"/>
  <c r="Q250" i="2" s="1"/>
  <c r="K250" i="2"/>
  <c r="AF250" i="2" s="1"/>
  <c r="AH249" i="2"/>
  <c r="AG249" i="2"/>
  <c r="AE249" i="2"/>
  <c r="AD249" i="2"/>
  <c r="P249" i="2"/>
  <c r="Q249" i="2" s="1"/>
  <c r="K249" i="2"/>
  <c r="AF249" i="2" s="1"/>
  <c r="AH248" i="2"/>
  <c r="AG248" i="2"/>
  <c r="AE248" i="2"/>
  <c r="AD248" i="2"/>
  <c r="P248" i="2"/>
  <c r="Q248" i="2" s="1"/>
  <c r="K248" i="2"/>
  <c r="AF248" i="2" s="1"/>
  <c r="AH247" i="2"/>
  <c r="AG247" i="2"/>
  <c r="AE247" i="2"/>
  <c r="AD247" i="2"/>
  <c r="P247" i="2"/>
  <c r="Q247" i="2" s="1"/>
  <c r="K247" i="2"/>
  <c r="AF247" i="2" s="1"/>
  <c r="AH246" i="2"/>
  <c r="AG246" i="2"/>
  <c r="AE246" i="2"/>
  <c r="AD246" i="2"/>
  <c r="N246" i="2"/>
  <c r="N258" i="2" s="1"/>
  <c r="K246" i="2"/>
  <c r="AF246" i="2" s="1"/>
  <c r="AH245" i="2"/>
  <c r="AG245" i="2"/>
  <c r="AE245" i="2"/>
  <c r="AD245" i="2"/>
  <c r="P245" i="2"/>
  <c r="Q245" i="2" s="1"/>
  <c r="K245" i="2"/>
  <c r="AF245" i="2" s="1"/>
  <c r="AH244" i="2"/>
  <c r="AG244" i="2"/>
  <c r="AE244" i="2"/>
  <c r="AD244" i="2"/>
  <c r="P244" i="2"/>
  <c r="Q244" i="2" s="1"/>
  <c r="K244" i="2"/>
  <c r="AF244" i="2" s="1"/>
  <c r="AH243" i="2"/>
  <c r="AG243" i="2"/>
  <c r="AE243" i="2"/>
  <c r="AD243" i="2"/>
  <c r="P243" i="2"/>
  <c r="Q243" i="2" s="1"/>
  <c r="K243" i="2"/>
  <c r="AF243" i="2" s="1"/>
  <c r="AH242" i="2"/>
  <c r="AG242" i="2"/>
  <c r="AE242" i="2"/>
  <c r="AD242" i="2"/>
  <c r="P242" i="2"/>
  <c r="Q242" i="2" s="1"/>
  <c r="K242" i="2"/>
  <c r="AF242" i="2" s="1"/>
  <c r="AH241" i="2"/>
  <c r="AG241" i="2"/>
  <c r="AE241" i="2"/>
  <c r="AD241" i="2"/>
  <c r="P241" i="2"/>
  <c r="Q241" i="2" s="1"/>
  <c r="K241" i="2"/>
  <c r="AF241" i="2" s="1"/>
  <c r="D241" i="2"/>
  <c r="D244" i="2" s="1"/>
  <c r="AH240" i="2"/>
  <c r="AG240" i="2"/>
  <c r="AE240" i="2"/>
  <c r="AD240" i="2"/>
  <c r="P240" i="2"/>
  <c r="K240" i="2"/>
  <c r="AF240" i="2" s="1"/>
  <c r="Z236" i="2"/>
  <c r="AH233" i="2"/>
  <c r="AG233" i="2"/>
  <c r="AE233" i="2"/>
  <c r="AD233" i="2"/>
  <c r="P233" i="2"/>
  <c r="Q233" i="2" s="1"/>
  <c r="K233" i="2"/>
  <c r="AF233" i="2" s="1"/>
  <c r="AH232" i="2"/>
  <c r="AG232" i="2"/>
  <c r="AE232" i="2"/>
  <c r="AD232" i="2"/>
  <c r="P232" i="2"/>
  <c r="Q232" i="2" s="1"/>
  <c r="K232" i="2"/>
  <c r="AF232" i="2" s="1"/>
  <c r="AH231" i="2"/>
  <c r="AG231" i="2"/>
  <c r="AE231" i="2"/>
  <c r="AD231" i="2"/>
  <c r="P231" i="2"/>
  <c r="Q231" i="2" s="1"/>
  <c r="K231" i="2"/>
  <c r="AF231" i="2" s="1"/>
  <c r="AH230" i="2"/>
  <c r="AG230" i="2"/>
  <c r="AE230" i="2"/>
  <c r="AD230" i="2"/>
  <c r="N230" i="2"/>
  <c r="P230" i="2" s="1"/>
  <c r="Q230" i="2" s="1"/>
  <c r="K230" i="2"/>
  <c r="AF230" i="2" s="1"/>
  <c r="AH229" i="2"/>
  <c r="AG229" i="2"/>
  <c r="AE229" i="2"/>
  <c r="AD229" i="2"/>
  <c r="N229" i="2"/>
  <c r="P229" i="2" s="1"/>
  <c r="K229" i="2"/>
  <c r="AF229" i="2" s="1"/>
  <c r="AH228" i="2"/>
  <c r="AG228" i="2"/>
  <c r="AE228" i="2"/>
  <c r="AD228" i="2"/>
  <c r="P228" i="2"/>
  <c r="Q228" i="2" s="1"/>
  <c r="K228" i="2"/>
  <c r="AF228" i="2" s="1"/>
  <c r="AH227" i="2"/>
  <c r="AG227" i="2"/>
  <c r="AE227" i="2"/>
  <c r="AD227" i="2"/>
  <c r="P227" i="2"/>
  <c r="Q227" i="2" s="1"/>
  <c r="K227" i="2"/>
  <c r="AF227" i="2" s="1"/>
  <c r="Z224" i="2"/>
  <c r="AH219" i="2"/>
  <c r="AG219" i="2"/>
  <c r="AE219" i="2"/>
  <c r="AD219" i="2"/>
  <c r="P219" i="2"/>
  <c r="Q219" i="2" s="1"/>
  <c r="K219" i="2"/>
  <c r="AF219" i="2" s="1"/>
  <c r="AH218" i="2"/>
  <c r="AG218" i="2"/>
  <c r="AE218" i="2"/>
  <c r="AD218" i="2"/>
  <c r="P218" i="2"/>
  <c r="Q218" i="2" s="1"/>
  <c r="K218" i="2"/>
  <c r="AF218" i="2" s="1"/>
  <c r="AH217" i="2"/>
  <c r="AG217" i="2"/>
  <c r="AE217" i="2"/>
  <c r="AD217" i="2"/>
  <c r="P217" i="2"/>
  <c r="Q217" i="2" s="1"/>
  <c r="K217" i="2"/>
  <c r="AF217" i="2" s="1"/>
  <c r="AH216" i="2"/>
  <c r="AG216" i="2"/>
  <c r="AE216" i="2"/>
  <c r="AD216" i="2"/>
  <c r="N216" i="2"/>
  <c r="P216" i="2" s="1"/>
  <c r="Q216" i="2" s="1"/>
  <c r="K216" i="2"/>
  <c r="AF216" i="2" s="1"/>
  <c r="AH215" i="2"/>
  <c r="AG215" i="2"/>
  <c r="AE215" i="2"/>
  <c r="AD215" i="2"/>
  <c r="N215" i="2"/>
  <c r="P215" i="2" s="1"/>
  <c r="Q215" i="2" s="1"/>
  <c r="K215" i="2"/>
  <c r="AF215" i="2" s="1"/>
  <c r="AH214" i="2"/>
  <c r="AG214" i="2"/>
  <c r="AE214" i="2"/>
  <c r="AD214" i="2"/>
  <c r="N214" i="2"/>
  <c r="K214" i="2"/>
  <c r="AF214" i="2" s="1"/>
  <c r="AH213" i="2"/>
  <c r="AG213" i="2"/>
  <c r="AE213" i="2"/>
  <c r="AD213" i="2"/>
  <c r="P213" i="2"/>
  <c r="Q213" i="2" s="1"/>
  <c r="K213" i="2"/>
  <c r="AF213" i="2" s="1"/>
  <c r="AH212" i="2"/>
  <c r="AG212" i="2"/>
  <c r="AE212" i="2"/>
  <c r="AD212" i="2"/>
  <c r="P212" i="2"/>
  <c r="Q212" i="2" s="1"/>
  <c r="K212" i="2"/>
  <c r="AF212" i="2" s="1"/>
  <c r="AH211" i="2"/>
  <c r="AG211" i="2"/>
  <c r="AE211" i="2"/>
  <c r="AD211" i="2"/>
  <c r="P211" i="2"/>
  <c r="Q211" i="2" s="1"/>
  <c r="K211" i="2"/>
  <c r="AF211" i="2" s="1"/>
  <c r="AH210" i="2"/>
  <c r="AG210" i="2"/>
  <c r="AE210" i="2"/>
  <c r="AD210" i="2"/>
  <c r="P210" i="2"/>
  <c r="K210" i="2"/>
  <c r="AF210" i="2" s="1"/>
  <c r="C210" i="2"/>
  <c r="AH199" i="2"/>
  <c r="AG199" i="2"/>
  <c r="AE199" i="2"/>
  <c r="AD199" i="2"/>
  <c r="P199" i="2"/>
  <c r="Q199" i="2" s="1"/>
  <c r="K199" i="2"/>
  <c r="AF199" i="2" s="1"/>
  <c r="AH198" i="2"/>
  <c r="AG198" i="2"/>
  <c r="AE198" i="2"/>
  <c r="AD198" i="2"/>
  <c r="P198" i="2"/>
  <c r="Q198" i="2" s="1"/>
  <c r="K198" i="2"/>
  <c r="AF198" i="2" s="1"/>
  <c r="AH197" i="2"/>
  <c r="AG197" i="2"/>
  <c r="AE197" i="2"/>
  <c r="AD197" i="2"/>
  <c r="P197" i="2"/>
  <c r="Q197" i="2" s="1"/>
  <c r="K197" i="2"/>
  <c r="AF197" i="2" s="1"/>
  <c r="AH196" i="2"/>
  <c r="AG196" i="2"/>
  <c r="AE196" i="2"/>
  <c r="AD196" i="2"/>
  <c r="P196" i="2"/>
  <c r="Q196" i="2" s="1"/>
  <c r="K196" i="2"/>
  <c r="AF196" i="2" s="1"/>
  <c r="AH195" i="2"/>
  <c r="AG195" i="2"/>
  <c r="AE195" i="2"/>
  <c r="AD195" i="2"/>
  <c r="P195" i="2"/>
  <c r="Q195" i="2" s="1"/>
  <c r="K195" i="2"/>
  <c r="AF195" i="2" s="1"/>
  <c r="AH194" i="2"/>
  <c r="AG194" i="2"/>
  <c r="AE194" i="2"/>
  <c r="AD194" i="2"/>
  <c r="P194" i="2"/>
  <c r="Q194" i="2" s="1"/>
  <c r="K194" i="2"/>
  <c r="AF194" i="2" s="1"/>
  <c r="AH193" i="2"/>
  <c r="AG193" i="2"/>
  <c r="AE193" i="2"/>
  <c r="AD193" i="2"/>
  <c r="P193" i="2"/>
  <c r="Q193" i="2" s="1"/>
  <c r="K193" i="2"/>
  <c r="AF193" i="2" s="1"/>
  <c r="AH192" i="2"/>
  <c r="AG192" i="2"/>
  <c r="AE192" i="2"/>
  <c r="AD192" i="2"/>
  <c r="P192" i="2"/>
  <c r="Q192" i="2" s="1"/>
  <c r="K192" i="2"/>
  <c r="AF192" i="2" s="1"/>
  <c r="AH191" i="2"/>
  <c r="AG191" i="2"/>
  <c r="AE191" i="2"/>
  <c r="AD191" i="2"/>
  <c r="P191" i="2"/>
  <c r="Q191" i="2" s="1"/>
  <c r="K191" i="2"/>
  <c r="AF191" i="2" s="1"/>
  <c r="AH190" i="2"/>
  <c r="AG190" i="2"/>
  <c r="AE190" i="2"/>
  <c r="AD190" i="2"/>
  <c r="P190" i="2"/>
  <c r="Q190" i="2" s="1"/>
  <c r="K190" i="2"/>
  <c r="AF190" i="2" s="1"/>
  <c r="AH189" i="2"/>
  <c r="AG189" i="2"/>
  <c r="AE189" i="2"/>
  <c r="AD189" i="2"/>
  <c r="P189" i="2"/>
  <c r="Q189" i="2" s="1"/>
  <c r="K189" i="2"/>
  <c r="AF189" i="2" s="1"/>
  <c r="AH188" i="2"/>
  <c r="AG188" i="2"/>
  <c r="AE188" i="2"/>
  <c r="AD188" i="2"/>
  <c r="P188" i="2"/>
  <c r="Q188" i="2" s="1"/>
  <c r="K188" i="2"/>
  <c r="AF188" i="2" s="1"/>
  <c r="AH187" i="2"/>
  <c r="AG187" i="2"/>
  <c r="AE187" i="2"/>
  <c r="AD187" i="2"/>
  <c r="P187" i="2"/>
  <c r="Q187" i="2" s="1"/>
  <c r="K187" i="2"/>
  <c r="AF187" i="2" s="1"/>
  <c r="AH186" i="2"/>
  <c r="AG186" i="2"/>
  <c r="AE186" i="2"/>
  <c r="AD186" i="2"/>
  <c r="P186" i="2"/>
  <c r="Q186" i="2" s="1"/>
  <c r="K186" i="2"/>
  <c r="AF186" i="2" s="1"/>
  <c r="AH185" i="2"/>
  <c r="AG185" i="2"/>
  <c r="AE185" i="2"/>
  <c r="AD185" i="2"/>
  <c r="P185" i="2"/>
  <c r="Q185" i="2" s="1"/>
  <c r="K185" i="2"/>
  <c r="AF185" i="2" s="1"/>
  <c r="AH184" i="2"/>
  <c r="AG184" i="2"/>
  <c r="AE184" i="2"/>
  <c r="AD184" i="2"/>
  <c r="P184" i="2"/>
  <c r="Q184" i="2" s="1"/>
  <c r="K184" i="2"/>
  <c r="AF184" i="2" s="1"/>
  <c r="AH183" i="2"/>
  <c r="AG183" i="2"/>
  <c r="AE183" i="2"/>
  <c r="AD183" i="2"/>
  <c r="P183" i="2"/>
  <c r="Q183" i="2" s="1"/>
  <c r="K183" i="2"/>
  <c r="AF183" i="2" s="1"/>
  <c r="AH182" i="2"/>
  <c r="AG182" i="2"/>
  <c r="AE182" i="2"/>
  <c r="AD182" i="2"/>
  <c r="P182" i="2"/>
  <c r="Q182" i="2" s="1"/>
  <c r="K182" i="2"/>
  <c r="AF182" i="2" s="1"/>
  <c r="AH181" i="2"/>
  <c r="AG181" i="2"/>
  <c r="AE181" i="2"/>
  <c r="AD181" i="2"/>
  <c r="P181" i="2"/>
  <c r="Q181" i="2" s="1"/>
  <c r="K181" i="2"/>
  <c r="AF181" i="2" s="1"/>
  <c r="AH180" i="2"/>
  <c r="AG180" i="2"/>
  <c r="AE180" i="2"/>
  <c r="AD180" i="2"/>
  <c r="P180" i="2"/>
  <c r="Q180" i="2" s="1"/>
  <c r="K180" i="2"/>
  <c r="AF180" i="2" s="1"/>
  <c r="AH179" i="2"/>
  <c r="AG179" i="2"/>
  <c r="AE179" i="2"/>
  <c r="AD179" i="2"/>
  <c r="P179" i="2"/>
  <c r="Q179" i="2" s="1"/>
  <c r="K179" i="2"/>
  <c r="AF179" i="2" s="1"/>
  <c r="AH178" i="2"/>
  <c r="AG178" i="2"/>
  <c r="AE178" i="2"/>
  <c r="AD178" i="2"/>
  <c r="P178" i="2"/>
  <c r="Q178" i="2" s="1"/>
  <c r="K178" i="2"/>
  <c r="AF178" i="2" s="1"/>
  <c r="AH177" i="2"/>
  <c r="AG177" i="2"/>
  <c r="AE177" i="2"/>
  <c r="AD177" i="2"/>
  <c r="P177" i="2"/>
  <c r="Q177" i="2" s="1"/>
  <c r="K177" i="2"/>
  <c r="AF177" i="2" s="1"/>
  <c r="AH176" i="2"/>
  <c r="AG176" i="2"/>
  <c r="AE176" i="2"/>
  <c r="AD176" i="2"/>
  <c r="K176" i="2"/>
  <c r="AF176" i="2" s="1"/>
  <c r="AH175" i="2"/>
  <c r="AG175" i="2"/>
  <c r="AE175" i="2"/>
  <c r="AD175" i="2"/>
  <c r="N175" i="2"/>
  <c r="N176" i="2" s="1"/>
  <c r="K175" i="2"/>
  <c r="AF175" i="2" s="1"/>
  <c r="AH174" i="2"/>
  <c r="AG174" i="2"/>
  <c r="AE174" i="2"/>
  <c r="AD174" i="2"/>
  <c r="N174" i="2"/>
  <c r="P174" i="2" s="1"/>
  <c r="Q174" i="2" s="1"/>
  <c r="K174" i="2"/>
  <c r="AF174" i="2" s="1"/>
  <c r="AH173" i="2"/>
  <c r="AG173" i="2"/>
  <c r="AE173" i="2"/>
  <c r="AD173" i="2"/>
  <c r="N173" i="2"/>
  <c r="P173" i="2" s="1"/>
  <c r="Q173" i="2" s="1"/>
  <c r="K173" i="2"/>
  <c r="AF173" i="2" s="1"/>
  <c r="AH172" i="2"/>
  <c r="AG172" i="2"/>
  <c r="AE172" i="2"/>
  <c r="AD172" i="2"/>
  <c r="N172" i="2"/>
  <c r="P172" i="2" s="1"/>
  <c r="Q172" i="2" s="1"/>
  <c r="K172" i="2"/>
  <c r="AF172" i="2" s="1"/>
  <c r="AH171" i="2"/>
  <c r="AG171" i="2"/>
  <c r="AE171" i="2"/>
  <c r="AD171" i="2"/>
  <c r="P171" i="2"/>
  <c r="Q171" i="2" s="1"/>
  <c r="K171" i="2"/>
  <c r="AF171" i="2" s="1"/>
  <c r="AH170" i="2"/>
  <c r="AG170" i="2"/>
  <c r="AE170" i="2"/>
  <c r="AD170" i="2"/>
  <c r="P170" i="2"/>
  <c r="Q170" i="2" s="1"/>
  <c r="K170" i="2"/>
  <c r="AF170" i="2" s="1"/>
  <c r="AH169" i="2"/>
  <c r="AG169" i="2"/>
  <c r="AE169" i="2"/>
  <c r="AD169" i="2"/>
  <c r="P169" i="2"/>
  <c r="Q169" i="2" s="1"/>
  <c r="K169" i="2"/>
  <c r="AF169" i="2" s="1"/>
  <c r="AH168" i="2"/>
  <c r="AG168" i="2"/>
  <c r="AE168" i="2"/>
  <c r="AD168" i="2"/>
  <c r="P168" i="2"/>
  <c r="Q168" i="2" s="1"/>
  <c r="K168" i="2"/>
  <c r="AF168" i="2" s="1"/>
  <c r="AH167" i="2"/>
  <c r="AG167" i="2"/>
  <c r="AE167" i="2"/>
  <c r="AD167" i="2"/>
  <c r="P167" i="2"/>
  <c r="Q167" i="2" s="1"/>
  <c r="K167" i="2"/>
  <c r="AF167" i="2" s="1"/>
  <c r="AH166" i="2"/>
  <c r="AG166" i="2"/>
  <c r="AE166" i="2"/>
  <c r="AD166" i="2"/>
  <c r="P166" i="2"/>
  <c r="Q166" i="2" s="1"/>
  <c r="K166" i="2"/>
  <c r="AF166" i="2" s="1"/>
  <c r="AH165" i="2"/>
  <c r="AG165" i="2"/>
  <c r="AE165" i="2"/>
  <c r="AD165" i="2"/>
  <c r="N165" i="2"/>
  <c r="P165" i="2" s="1"/>
  <c r="Q165" i="2" s="1"/>
  <c r="K165" i="2"/>
  <c r="AF165" i="2" s="1"/>
  <c r="AH164" i="2"/>
  <c r="AG164" i="2"/>
  <c r="AE164" i="2"/>
  <c r="AD164" i="2"/>
  <c r="N164" i="2"/>
  <c r="P164" i="2" s="1"/>
  <c r="Q164" i="2" s="1"/>
  <c r="K164" i="2"/>
  <c r="AF164" i="2" s="1"/>
  <c r="AH163" i="2"/>
  <c r="AG163" i="2"/>
  <c r="AE163" i="2"/>
  <c r="AD163" i="2"/>
  <c r="N163" i="2"/>
  <c r="P163" i="2" s="1"/>
  <c r="Q163" i="2" s="1"/>
  <c r="K163" i="2"/>
  <c r="AF163" i="2" s="1"/>
  <c r="AH162" i="2"/>
  <c r="AG162" i="2"/>
  <c r="AE162" i="2"/>
  <c r="AD162" i="2"/>
  <c r="P162" i="2"/>
  <c r="Q162" i="2" s="1"/>
  <c r="K162" i="2"/>
  <c r="AF162" i="2" s="1"/>
  <c r="AH161" i="2"/>
  <c r="AG161" i="2"/>
  <c r="AE161" i="2"/>
  <c r="AD161" i="2"/>
  <c r="P161" i="2"/>
  <c r="Q161" i="2" s="1"/>
  <c r="K161" i="2"/>
  <c r="AF161" i="2" s="1"/>
  <c r="AH160" i="2"/>
  <c r="AG160" i="2"/>
  <c r="AE160" i="2"/>
  <c r="AD160" i="2"/>
  <c r="P160" i="2"/>
  <c r="Q160" i="2" s="1"/>
  <c r="K160" i="2"/>
  <c r="AF160" i="2" s="1"/>
  <c r="AH159" i="2"/>
  <c r="AG159" i="2"/>
  <c r="AE159" i="2"/>
  <c r="AD159" i="2"/>
  <c r="P159" i="2"/>
  <c r="Q159" i="2" s="1"/>
  <c r="K159" i="2"/>
  <c r="AF159" i="2" s="1"/>
  <c r="AH158" i="2"/>
  <c r="AG158" i="2"/>
  <c r="AE158" i="2"/>
  <c r="AD158" i="2"/>
  <c r="P158" i="2"/>
  <c r="Q158" i="2" s="1"/>
  <c r="K158" i="2"/>
  <c r="AF158" i="2" s="1"/>
  <c r="AH157" i="2"/>
  <c r="AG157" i="2"/>
  <c r="AE157" i="2"/>
  <c r="AD157" i="2"/>
  <c r="P157" i="2"/>
  <c r="Q157" i="2" s="1"/>
  <c r="K157" i="2"/>
  <c r="AF157" i="2" s="1"/>
  <c r="AH156" i="2"/>
  <c r="AG156" i="2"/>
  <c r="AE156" i="2"/>
  <c r="AD156" i="2"/>
  <c r="P156" i="2"/>
  <c r="Q156" i="2" s="1"/>
  <c r="K156" i="2"/>
  <c r="AF156" i="2" s="1"/>
  <c r="AH155" i="2"/>
  <c r="AG155" i="2"/>
  <c r="AE155" i="2"/>
  <c r="AD155" i="2"/>
  <c r="P155" i="2"/>
  <c r="Q155" i="2" s="1"/>
  <c r="K155" i="2"/>
  <c r="AF155" i="2" s="1"/>
  <c r="AH154" i="2"/>
  <c r="AG154" i="2"/>
  <c r="AE154" i="2"/>
  <c r="AD154" i="2"/>
  <c r="P154" i="2"/>
  <c r="Q154" i="2" s="1"/>
  <c r="K154" i="2"/>
  <c r="AF154" i="2" s="1"/>
  <c r="AH153" i="2"/>
  <c r="AG153" i="2"/>
  <c r="AE153" i="2"/>
  <c r="AD153" i="2"/>
  <c r="P153" i="2"/>
  <c r="Q153" i="2" s="1"/>
  <c r="K153" i="2"/>
  <c r="AF153" i="2" s="1"/>
  <c r="AH152" i="2"/>
  <c r="AG152" i="2"/>
  <c r="AE152" i="2"/>
  <c r="AD152" i="2"/>
  <c r="P152" i="2"/>
  <c r="Q152" i="2" s="1"/>
  <c r="K152" i="2"/>
  <c r="AF152" i="2" s="1"/>
  <c r="AH151" i="2"/>
  <c r="AG151" i="2"/>
  <c r="AE151" i="2"/>
  <c r="AD151" i="2"/>
  <c r="P151" i="2"/>
  <c r="Q151" i="2" s="1"/>
  <c r="K151" i="2"/>
  <c r="AF151" i="2" s="1"/>
  <c r="AH150" i="2"/>
  <c r="AG150" i="2"/>
  <c r="AE150" i="2"/>
  <c r="AD150" i="2"/>
  <c r="P150" i="2"/>
  <c r="Q150" i="2" s="1"/>
  <c r="K150" i="2"/>
  <c r="AF150" i="2" s="1"/>
  <c r="AH149" i="2"/>
  <c r="AG149" i="2"/>
  <c r="AE149" i="2"/>
  <c r="AD149" i="2"/>
  <c r="P149" i="2"/>
  <c r="Q149" i="2" s="1"/>
  <c r="K149" i="2"/>
  <c r="AF149" i="2" s="1"/>
  <c r="AH148" i="2"/>
  <c r="AG148" i="2"/>
  <c r="AE148" i="2"/>
  <c r="AD148" i="2"/>
  <c r="P148" i="2"/>
  <c r="Q148" i="2" s="1"/>
  <c r="K148" i="2"/>
  <c r="AF148" i="2" s="1"/>
  <c r="AH147" i="2"/>
  <c r="AG147" i="2"/>
  <c r="AE147" i="2"/>
  <c r="AD147" i="2"/>
  <c r="P147" i="2"/>
  <c r="Q147" i="2" s="1"/>
  <c r="K147" i="2"/>
  <c r="AF147" i="2" s="1"/>
  <c r="AH146" i="2"/>
  <c r="AG146" i="2"/>
  <c r="AE146" i="2"/>
  <c r="AD146" i="2"/>
  <c r="P146" i="2"/>
  <c r="Q146" i="2" s="1"/>
  <c r="K146" i="2"/>
  <c r="AF146" i="2" s="1"/>
  <c r="AH145" i="2"/>
  <c r="AG145" i="2"/>
  <c r="AE145" i="2"/>
  <c r="AD145" i="2"/>
  <c r="P145" i="2"/>
  <c r="Q145" i="2" s="1"/>
  <c r="K145" i="2"/>
  <c r="AF145" i="2" s="1"/>
  <c r="AH144" i="2"/>
  <c r="AG144" i="2"/>
  <c r="AE144" i="2"/>
  <c r="AD144" i="2"/>
  <c r="P144" i="2"/>
  <c r="Q144" i="2" s="1"/>
  <c r="K144" i="2"/>
  <c r="AF144" i="2" s="1"/>
  <c r="AH143" i="2"/>
  <c r="AG143" i="2"/>
  <c r="AE143" i="2"/>
  <c r="AD143" i="2"/>
  <c r="P143" i="2"/>
  <c r="Q143" i="2" s="1"/>
  <c r="K143" i="2"/>
  <c r="AF143" i="2" s="1"/>
  <c r="AH142" i="2"/>
  <c r="AG142" i="2"/>
  <c r="AE142" i="2"/>
  <c r="AD142" i="2"/>
  <c r="P142" i="2"/>
  <c r="Q142" i="2" s="1"/>
  <c r="K142" i="2"/>
  <c r="AF142" i="2" s="1"/>
  <c r="AH141" i="2"/>
  <c r="AG141" i="2"/>
  <c r="AE141" i="2"/>
  <c r="AD141" i="2"/>
  <c r="N141" i="2"/>
  <c r="P141" i="2" s="1"/>
  <c r="Q141" i="2" s="1"/>
  <c r="K141" i="2"/>
  <c r="AF141" i="2" s="1"/>
  <c r="AH140" i="2"/>
  <c r="AG140" i="2"/>
  <c r="AE140" i="2"/>
  <c r="AD140" i="2"/>
  <c r="N140" i="2"/>
  <c r="P140" i="2" s="1"/>
  <c r="Q140" i="2" s="1"/>
  <c r="K140" i="2"/>
  <c r="AF140" i="2" s="1"/>
  <c r="AH139" i="2"/>
  <c r="AG139" i="2"/>
  <c r="AE139" i="2"/>
  <c r="AD139" i="2"/>
  <c r="P139" i="2"/>
  <c r="Q139" i="2" s="1"/>
  <c r="K139" i="2"/>
  <c r="AF139" i="2" s="1"/>
  <c r="AH138" i="2"/>
  <c r="AG138" i="2"/>
  <c r="AE138" i="2"/>
  <c r="AD138" i="2"/>
  <c r="N138" i="2"/>
  <c r="P138" i="2" s="1"/>
  <c r="Q138" i="2" s="1"/>
  <c r="K138" i="2"/>
  <c r="AF138" i="2" s="1"/>
  <c r="AH137" i="2"/>
  <c r="AG137" i="2"/>
  <c r="AE137" i="2"/>
  <c r="AD137" i="2"/>
  <c r="N137" i="2"/>
  <c r="P137" i="2" s="1"/>
  <c r="Q137" i="2" s="1"/>
  <c r="K137" i="2"/>
  <c r="AF137" i="2" s="1"/>
  <c r="AH136" i="2"/>
  <c r="AG136" i="2"/>
  <c r="AE136" i="2"/>
  <c r="AD136" i="2"/>
  <c r="P136" i="2"/>
  <c r="Q136" i="2" s="1"/>
  <c r="K136" i="2"/>
  <c r="AF136" i="2" s="1"/>
  <c r="AH135" i="2"/>
  <c r="AG135" i="2"/>
  <c r="AE135" i="2"/>
  <c r="AD135" i="2"/>
  <c r="P135" i="2"/>
  <c r="Q135" i="2" s="1"/>
  <c r="K135" i="2"/>
  <c r="AF135" i="2" s="1"/>
  <c r="AH134" i="2"/>
  <c r="AG134" i="2"/>
  <c r="AE134" i="2"/>
  <c r="AD134" i="2"/>
  <c r="P134" i="2"/>
  <c r="Q134" i="2" s="1"/>
  <c r="K134" i="2"/>
  <c r="AF134" i="2" s="1"/>
  <c r="AH133" i="2"/>
  <c r="AG133" i="2"/>
  <c r="AE133" i="2"/>
  <c r="AD133" i="2"/>
  <c r="P133" i="2"/>
  <c r="Q133" i="2" s="1"/>
  <c r="K133" i="2"/>
  <c r="AF133" i="2" s="1"/>
  <c r="AH132" i="2"/>
  <c r="AG132" i="2"/>
  <c r="AE132" i="2"/>
  <c r="AD132" i="2"/>
  <c r="P132" i="2"/>
  <c r="Q132" i="2" s="1"/>
  <c r="K132" i="2"/>
  <c r="AF132" i="2" s="1"/>
  <c r="AH131" i="2"/>
  <c r="AG131" i="2"/>
  <c r="AE131" i="2"/>
  <c r="AD131" i="2"/>
  <c r="P131" i="2"/>
  <c r="Q131" i="2" s="1"/>
  <c r="K131" i="2"/>
  <c r="AF131" i="2" s="1"/>
  <c r="AH130" i="2"/>
  <c r="AG130" i="2"/>
  <c r="AE130" i="2"/>
  <c r="AD130" i="2"/>
  <c r="P130" i="2"/>
  <c r="K130" i="2"/>
  <c r="AF130" i="2" s="1"/>
  <c r="AH129" i="2"/>
  <c r="AG129" i="2"/>
  <c r="AE129" i="2"/>
  <c r="AD129" i="2"/>
  <c r="P129" i="2"/>
  <c r="Q129" i="2" s="1"/>
  <c r="K129" i="2"/>
  <c r="AF129" i="2" s="1"/>
  <c r="AH128" i="2"/>
  <c r="AG128" i="2"/>
  <c r="AE128" i="2"/>
  <c r="AD128" i="2"/>
  <c r="P128" i="2"/>
  <c r="K128" i="2"/>
  <c r="AF128" i="2" s="1"/>
  <c r="AH127" i="2"/>
  <c r="AG127" i="2"/>
  <c r="AE127" i="2"/>
  <c r="AD127" i="2"/>
  <c r="P127" i="2"/>
  <c r="Q127" i="2" s="1"/>
  <c r="K127" i="2"/>
  <c r="AF127" i="2" s="1"/>
  <c r="AH126" i="2"/>
  <c r="AG126" i="2"/>
  <c r="AE126" i="2"/>
  <c r="AD126" i="2"/>
  <c r="P126" i="2"/>
  <c r="Q126" i="2" s="1"/>
  <c r="K126" i="2"/>
  <c r="AF126" i="2" s="1"/>
  <c r="AH125" i="2"/>
  <c r="AG125" i="2"/>
  <c r="AE125" i="2"/>
  <c r="AD125" i="2"/>
  <c r="P125" i="2"/>
  <c r="Q125" i="2" s="1"/>
  <c r="K125" i="2"/>
  <c r="AF125" i="2" s="1"/>
  <c r="AH124" i="2"/>
  <c r="AG124" i="2"/>
  <c r="AE124" i="2"/>
  <c r="AD124" i="2"/>
  <c r="P124" i="2"/>
  <c r="Q124" i="2" s="1"/>
  <c r="K124" i="2"/>
  <c r="AF124" i="2" s="1"/>
  <c r="AH123" i="2"/>
  <c r="AG123" i="2"/>
  <c r="AE123" i="2"/>
  <c r="AD123" i="2"/>
  <c r="P123" i="2"/>
  <c r="Q123" i="2" s="1"/>
  <c r="K123" i="2"/>
  <c r="AF123" i="2" s="1"/>
  <c r="D123" i="2"/>
  <c r="D125" i="2" s="1"/>
  <c r="D126" i="2" s="1"/>
  <c r="D127" i="2" s="1"/>
  <c r="AH122" i="2"/>
  <c r="AG122" i="2"/>
  <c r="AE122" i="2"/>
  <c r="AD122" i="2"/>
  <c r="P122" i="2"/>
  <c r="Q122" i="2" s="1"/>
  <c r="K122" i="2"/>
  <c r="AF122" i="2" s="1"/>
  <c r="AH121" i="2"/>
  <c r="AG121" i="2"/>
  <c r="AE121" i="2"/>
  <c r="AD121" i="2"/>
  <c r="P121" i="2"/>
  <c r="Q121" i="2" s="1"/>
  <c r="K121" i="2"/>
  <c r="AF121" i="2" s="1"/>
  <c r="AH120" i="2"/>
  <c r="AG120" i="2"/>
  <c r="AE120" i="2"/>
  <c r="AD120" i="2"/>
  <c r="P120" i="2"/>
  <c r="Q120" i="2" s="1"/>
  <c r="K120" i="2"/>
  <c r="AF120" i="2" s="1"/>
  <c r="AH119" i="2"/>
  <c r="AG119" i="2"/>
  <c r="AE119" i="2"/>
  <c r="AD119" i="2"/>
  <c r="P119" i="2"/>
  <c r="Q119" i="2" s="1"/>
  <c r="K119" i="2"/>
  <c r="AF119" i="2" s="1"/>
  <c r="AH118" i="2"/>
  <c r="AG118" i="2"/>
  <c r="AE118" i="2"/>
  <c r="AD118" i="2"/>
  <c r="P118" i="2"/>
  <c r="Q118" i="2" s="1"/>
  <c r="K118" i="2"/>
  <c r="AF118" i="2" s="1"/>
  <c r="AH117" i="2"/>
  <c r="AG117" i="2"/>
  <c r="AE117" i="2"/>
  <c r="AD117" i="2"/>
  <c r="P117" i="2"/>
  <c r="Q117" i="2" s="1"/>
  <c r="K117" i="2"/>
  <c r="AF117" i="2" s="1"/>
  <c r="AH116" i="2"/>
  <c r="AG116" i="2"/>
  <c r="AE116" i="2"/>
  <c r="AD116" i="2"/>
  <c r="P116" i="2"/>
  <c r="Q116" i="2" s="1"/>
  <c r="K116" i="2"/>
  <c r="AF116" i="2" s="1"/>
  <c r="AH115" i="2"/>
  <c r="AG115" i="2"/>
  <c r="AE115" i="2"/>
  <c r="AD115" i="2"/>
  <c r="P115" i="2"/>
  <c r="Q115" i="2" s="1"/>
  <c r="K115" i="2"/>
  <c r="AF115" i="2" s="1"/>
  <c r="AH114" i="2"/>
  <c r="AG114" i="2"/>
  <c r="AE114" i="2"/>
  <c r="AD114" i="2"/>
  <c r="P114" i="2"/>
  <c r="Q114" i="2" s="1"/>
  <c r="K114" i="2"/>
  <c r="AF114" i="2" s="1"/>
  <c r="AH113" i="2"/>
  <c r="AG113" i="2"/>
  <c r="AE113" i="2"/>
  <c r="AD113" i="2"/>
  <c r="P113" i="2"/>
  <c r="Q113" i="2" s="1"/>
  <c r="K113" i="2"/>
  <c r="AF113" i="2" s="1"/>
  <c r="AH112" i="2"/>
  <c r="AG112" i="2"/>
  <c r="AE112" i="2"/>
  <c r="AD112" i="2"/>
  <c r="P112" i="2"/>
  <c r="Q112" i="2" s="1"/>
  <c r="K112" i="2"/>
  <c r="AF112" i="2" s="1"/>
  <c r="AH111" i="2"/>
  <c r="AG111" i="2"/>
  <c r="AE111" i="2"/>
  <c r="AD111" i="2"/>
  <c r="P111" i="2"/>
  <c r="Q111" i="2" s="1"/>
  <c r="K111" i="2"/>
  <c r="AF111" i="2" s="1"/>
  <c r="D111" i="2"/>
  <c r="D112" i="2" s="1"/>
  <c r="D124" i="2" s="1"/>
  <c r="AH110" i="2"/>
  <c r="AG110" i="2"/>
  <c r="AE110" i="2"/>
  <c r="AD110" i="2"/>
  <c r="P110" i="2"/>
  <c r="Q110" i="2" s="1"/>
  <c r="K110" i="2"/>
  <c r="AF110" i="2" s="1"/>
  <c r="AH109" i="2"/>
  <c r="AG109" i="2"/>
  <c r="AE109" i="2"/>
  <c r="AD109" i="2"/>
  <c r="P109" i="2"/>
  <c r="Q109" i="2" s="1"/>
  <c r="K109" i="2"/>
  <c r="AF109" i="2" s="1"/>
  <c r="AH108" i="2"/>
  <c r="AG108" i="2"/>
  <c r="AE108" i="2"/>
  <c r="AD108" i="2"/>
  <c r="P108" i="2"/>
  <c r="Q108" i="2" s="1"/>
  <c r="K108" i="2"/>
  <c r="AF108" i="2" s="1"/>
  <c r="AH107" i="2"/>
  <c r="AG107" i="2"/>
  <c r="AE107" i="2"/>
  <c r="AD107" i="2"/>
  <c r="P107" i="2"/>
  <c r="Q107" i="2" s="1"/>
  <c r="K107" i="2"/>
  <c r="AF107" i="2" s="1"/>
  <c r="AH106" i="2"/>
  <c r="AG106" i="2"/>
  <c r="AE106" i="2"/>
  <c r="AD106" i="2"/>
  <c r="P106" i="2"/>
  <c r="Q106" i="2" s="1"/>
  <c r="K106" i="2"/>
  <c r="AF106" i="2" s="1"/>
  <c r="AH105" i="2"/>
  <c r="AG105" i="2"/>
  <c r="AE105" i="2"/>
  <c r="AD105" i="2"/>
  <c r="P105" i="2"/>
  <c r="Q105" i="2" s="1"/>
  <c r="K105" i="2"/>
  <c r="AF105" i="2" s="1"/>
  <c r="AH104" i="2"/>
  <c r="AG104" i="2"/>
  <c r="AE104" i="2"/>
  <c r="AD104" i="2"/>
  <c r="P104" i="2"/>
  <c r="Q104" i="2" s="1"/>
  <c r="K104" i="2"/>
  <c r="AF104" i="2" s="1"/>
  <c r="AH103" i="2"/>
  <c r="AG103" i="2"/>
  <c r="AE103" i="2"/>
  <c r="AD103" i="2"/>
  <c r="P103" i="2"/>
  <c r="Q103" i="2" s="1"/>
  <c r="K103" i="2"/>
  <c r="AF103" i="2" s="1"/>
  <c r="AH102" i="2"/>
  <c r="AG102" i="2"/>
  <c r="AE102" i="2"/>
  <c r="AD102" i="2"/>
  <c r="P102" i="2"/>
  <c r="Q102" i="2" s="1"/>
  <c r="K102" i="2"/>
  <c r="AF102" i="2" s="1"/>
  <c r="D102" i="2"/>
  <c r="D104" i="2" s="1"/>
  <c r="D105" i="2" s="1"/>
  <c r="D106" i="2" s="1"/>
  <c r="AH101" i="2"/>
  <c r="AG101" i="2"/>
  <c r="AE101" i="2"/>
  <c r="AD101" i="2"/>
  <c r="P101" i="2"/>
  <c r="Q101" i="2" s="1"/>
  <c r="K101" i="2"/>
  <c r="AF101" i="2" s="1"/>
  <c r="AH100" i="2"/>
  <c r="AG100" i="2"/>
  <c r="AE100" i="2"/>
  <c r="AD100" i="2"/>
  <c r="P100" i="2"/>
  <c r="Q100" i="2" s="1"/>
  <c r="K100" i="2"/>
  <c r="AF100" i="2" s="1"/>
  <c r="AH99" i="2"/>
  <c r="AG99" i="2"/>
  <c r="AE99" i="2"/>
  <c r="AD99" i="2"/>
  <c r="P99" i="2"/>
  <c r="Q99" i="2" s="1"/>
  <c r="K99" i="2"/>
  <c r="AF99" i="2" s="1"/>
  <c r="D99" i="2"/>
  <c r="AH98" i="2"/>
  <c r="AG98" i="2"/>
  <c r="AE98" i="2"/>
  <c r="AD98" i="2"/>
  <c r="P98" i="2"/>
  <c r="Q98" i="2" s="1"/>
  <c r="K98" i="2"/>
  <c r="AF98" i="2" s="1"/>
  <c r="AH97" i="2"/>
  <c r="AG97" i="2"/>
  <c r="AE97" i="2"/>
  <c r="AD97" i="2"/>
  <c r="P97" i="2"/>
  <c r="Q97" i="2" s="1"/>
  <c r="K97" i="2"/>
  <c r="AF97" i="2" s="1"/>
  <c r="AH96" i="2"/>
  <c r="AG96" i="2"/>
  <c r="AE96" i="2"/>
  <c r="AD96" i="2"/>
  <c r="P96" i="2"/>
  <c r="Q96" i="2" s="1"/>
  <c r="K96" i="2"/>
  <c r="AF96" i="2" s="1"/>
  <c r="AH95" i="2"/>
  <c r="AG95" i="2"/>
  <c r="AE95" i="2"/>
  <c r="AD95" i="2"/>
  <c r="P95" i="2"/>
  <c r="Q95" i="2" s="1"/>
  <c r="K95" i="2"/>
  <c r="AF95" i="2" s="1"/>
  <c r="AH94" i="2"/>
  <c r="AG94" i="2"/>
  <c r="AE94" i="2"/>
  <c r="AD94" i="2"/>
  <c r="P94" i="2"/>
  <c r="Q94" i="2" s="1"/>
  <c r="K94" i="2"/>
  <c r="AF94" i="2" s="1"/>
  <c r="AH93" i="2"/>
  <c r="AG93" i="2"/>
  <c r="AE93" i="2"/>
  <c r="AD93" i="2"/>
  <c r="P93" i="2"/>
  <c r="Q93" i="2" s="1"/>
  <c r="K93" i="2"/>
  <c r="AF93" i="2" s="1"/>
  <c r="AH92" i="2"/>
  <c r="AG92" i="2"/>
  <c r="AE92" i="2"/>
  <c r="AD92" i="2"/>
  <c r="P92" i="2"/>
  <c r="Q92" i="2" s="1"/>
  <c r="K92" i="2"/>
  <c r="AF92" i="2" s="1"/>
  <c r="D92" i="2"/>
  <c r="AH91" i="2"/>
  <c r="AG91" i="2"/>
  <c r="AE91" i="2"/>
  <c r="AD91" i="2"/>
  <c r="P91" i="2"/>
  <c r="Q91" i="2" s="1"/>
  <c r="K91" i="2"/>
  <c r="AF91" i="2" s="1"/>
  <c r="AH90" i="2"/>
  <c r="AG90" i="2"/>
  <c r="AE90" i="2"/>
  <c r="AD90" i="2"/>
  <c r="P90" i="2"/>
  <c r="Q90" i="2" s="1"/>
  <c r="K90" i="2"/>
  <c r="AF90" i="2" s="1"/>
  <c r="AH89" i="2"/>
  <c r="AG89" i="2"/>
  <c r="AE89" i="2"/>
  <c r="AD89" i="2"/>
  <c r="P89" i="2"/>
  <c r="Q89" i="2" s="1"/>
  <c r="K89" i="2"/>
  <c r="AF89" i="2" s="1"/>
  <c r="D89" i="2"/>
  <c r="D91" i="2" s="1"/>
  <c r="AH88" i="2"/>
  <c r="AG88" i="2"/>
  <c r="AE88" i="2"/>
  <c r="AD88" i="2"/>
  <c r="P88" i="2"/>
  <c r="Q88" i="2" s="1"/>
  <c r="K88" i="2"/>
  <c r="AF88" i="2" s="1"/>
  <c r="AH87" i="2"/>
  <c r="AG87" i="2"/>
  <c r="AE87" i="2"/>
  <c r="AD87" i="2"/>
  <c r="P87" i="2"/>
  <c r="Q87" i="2" s="1"/>
  <c r="K87" i="2"/>
  <c r="AF87" i="2" s="1"/>
  <c r="AH86" i="2"/>
  <c r="AG86" i="2"/>
  <c r="AE86" i="2"/>
  <c r="AD86" i="2"/>
  <c r="P86" i="2"/>
  <c r="Q86" i="2" s="1"/>
  <c r="K86" i="2"/>
  <c r="AF86" i="2" s="1"/>
  <c r="D86" i="2"/>
  <c r="AH85" i="2"/>
  <c r="AG85" i="2"/>
  <c r="AE85" i="2"/>
  <c r="AD85" i="2"/>
  <c r="P85" i="2"/>
  <c r="Q85" i="2" s="1"/>
  <c r="K85" i="2"/>
  <c r="AF85" i="2" s="1"/>
  <c r="AH84" i="2"/>
  <c r="AG84" i="2"/>
  <c r="AE84" i="2"/>
  <c r="AD84" i="2"/>
  <c r="P84" i="2"/>
  <c r="Q84" i="2" s="1"/>
  <c r="K84" i="2"/>
  <c r="AF84" i="2" s="1"/>
  <c r="AH83" i="2"/>
  <c r="AG83" i="2"/>
  <c r="AE83" i="2"/>
  <c r="AD83" i="2"/>
  <c r="P83" i="2"/>
  <c r="Q83" i="2" s="1"/>
  <c r="K83" i="2"/>
  <c r="AF83" i="2" s="1"/>
  <c r="D83" i="2"/>
  <c r="D93" i="2" s="1"/>
  <c r="AH82" i="2"/>
  <c r="AG82" i="2"/>
  <c r="AE82" i="2"/>
  <c r="AD82" i="2"/>
  <c r="P82" i="2"/>
  <c r="Q82" i="2" s="1"/>
  <c r="K82" i="2"/>
  <c r="AF82" i="2" s="1"/>
  <c r="AH81" i="2"/>
  <c r="AG81" i="2"/>
  <c r="AE81" i="2"/>
  <c r="AD81" i="2"/>
  <c r="P81" i="2"/>
  <c r="Q81" i="2" s="1"/>
  <c r="K81" i="2"/>
  <c r="AF81" i="2" s="1"/>
  <c r="AH80" i="2"/>
  <c r="AG80" i="2"/>
  <c r="AE80" i="2"/>
  <c r="AD80" i="2"/>
  <c r="P80" i="2"/>
  <c r="Q80" i="2" s="1"/>
  <c r="K80" i="2"/>
  <c r="AF80" i="2" s="1"/>
  <c r="AH79" i="2"/>
  <c r="AG79" i="2"/>
  <c r="AE79" i="2"/>
  <c r="AD79" i="2"/>
  <c r="P79" i="2"/>
  <c r="Q79" i="2" s="1"/>
  <c r="K79" i="2"/>
  <c r="AF79" i="2" s="1"/>
  <c r="AH78" i="2"/>
  <c r="AG78" i="2"/>
  <c r="AE78" i="2"/>
  <c r="AD78" i="2"/>
  <c r="P78" i="2"/>
  <c r="Q78" i="2" s="1"/>
  <c r="K78" i="2"/>
  <c r="AF78" i="2" s="1"/>
  <c r="D78" i="2"/>
  <c r="AH77" i="2"/>
  <c r="AG77" i="2"/>
  <c r="AE77" i="2"/>
  <c r="AD77" i="2"/>
  <c r="P77" i="2"/>
  <c r="Q77" i="2" s="1"/>
  <c r="K77" i="2"/>
  <c r="AF77" i="2" s="1"/>
  <c r="AH76" i="2"/>
  <c r="AG76" i="2"/>
  <c r="AE76" i="2"/>
  <c r="AD76" i="2"/>
  <c r="P76" i="2"/>
  <c r="Q76" i="2" s="1"/>
  <c r="K76" i="2"/>
  <c r="AF76" i="2" s="1"/>
  <c r="D76" i="2"/>
  <c r="AH75" i="2"/>
  <c r="AG75" i="2"/>
  <c r="AE75" i="2"/>
  <c r="AD75" i="2"/>
  <c r="P75" i="2"/>
  <c r="Q75" i="2" s="1"/>
  <c r="K75" i="2"/>
  <c r="AF75" i="2" s="1"/>
  <c r="AH74" i="2"/>
  <c r="AG74" i="2"/>
  <c r="AE74" i="2"/>
  <c r="AD74" i="2"/>
  <c r="P74" i="2"/>
  <c r="Q74" i="2" s="1"/>
  <c r="K74" i="2"/>
  <c r="AF74" i="2" s="1"/>
  <c r="AH73" i="2"/>
  <c r="AG73" i="2"/>
  <c r="AE73" i="2"/>
  <c r="AD73" i="2"/>
  <c r="P73" i="2"/>
  <c r="Q73" i="2" s="1"/>
  <c r="K73" i="2"/>
  <c r="AF73" i="2" s="1"/>
  <c r="AH72" i="2"/>
  <c r="AG72" i="2"/>
  <c r="AE72" i="2"/>
  <c r="AD72" i="2"/>
  <c r="P72" i="2"/>
  <c r="Q72" i="2" s="1"/>
  <c r="K72" i="2"/>
  <c r="AF72" i="2" s="1"/>
  <c r="AH71" i="2"/>
  <c r="AG71" i="2"/>
  <c r="AE71" i="2"/>
  <c r="AD71" i="2"/>
  <c r="P71" i="2"/>
  <c r="Q71" i="2" s="1"/>
  <c r="K71" i="2"/>
  <c r="AF71" i="2" s="1"/>
  <c r="AH70" i="2"/>
  <c r="AG70" i="2"/>
  <c r="AE70" i="2"/>
  <c r="AD70" i="2"/>
  <c r="P70" i="2"/>
  <c r="Q70" i="2" s="1"/>
  <c r="K70" i="2"/>
  <c r="AF70" i="2" s="1"/>
  <c r="D70" i="2"/>
  <c r="AH69" i="2"/>
  <c r="AG69" i="2"/>
  <c r="AE69" i="2"/>
  <c r="AD69" i="2"/>
  <c r="P69" i="2"/>
  <c r="Q69" i="2" s="1"/>
  <c r="K69" i="2"/>
  <c r="AF69" i="2" s="1"/>
  <c r="AH68" i="2"/>
  <c r="AG68" i="2"/>
  <c r="AE68" i="2"/>
  <c r="AD68" i="2"/>
  <c r="P68" i="2"/>
  <c r="Q68" i="2" s="1"/>
  <c r="K68" i="2"/>
  <c r="AF68" i="2" s="1"/>
  <c r="AH67" i="2"/>
  <c r="AG67" i="2"/>
  <c r="AE67" i="2"/>
  <c r="AD67" i="2"/>
  <c r="P67" i="2"/>
  <c r="Q67" i="2" s="1"/>
  <c r="K67" i="2"/>
  <c r="AF67" i="2" s="1"/>
  <c r="AH66" i="2"/>
  <c r="AG66" i="2"/>
  <c r="AE66" i="2"/>
  <c r="AD66" i="2"/>
  <c r="P66" i="2"/>
  <c r="Q66" i="2" s="1"/>
  <c r="K66" i="2"/>
  <c r="AF66" i="2" s="1"/>
  <c r="AH65" i="2"/>
  <c r="AG65" i="2"/>
  <c r="AE65" i="2"/>
  <c r="AD65" i="2"/>
  <c r="P65" i="2"/>
  <c r="Q65" i="2" s="1"/>
  <c r="K65" i="2"/>
  <c r="AF65" i="2" s="1"/>
  <c r="N60" i="2"/>
  <c r="AH58" i="2"/>
  <c r="AG58" i="2"/>
  <c r="AE58" i="2"/>
  <c r="AD58" i="2"/>
  <c r="P58" i="2"/>
  <c r="K58" i="2"/>
  <c r="AF58" i="2" s="1"/>
  <c r="AH53" i="2"/>
  <c r="AG53" i="2"/>
  <c r="AE53" i="2"/>
  <c r="AD53" i="2"/>
  <c r="N53" i="2"/>
  <c r="N55" i="2" s="1"/>
  <c r="K53" i="2"/>
  <c r="AF53" i="2" s="1"/>
  <c r="AH52" i="2"/>
  <c r="AG52" i="2"/>
  <c r="AE52" i="2"/>
  <c r="AD52" i="2"/>
  <c r="P52" i="2"/>
  <c r="K52" i="2"/>
  <c r="AF52" i="2" s="1"/>
  <c r="AH46" i="2"/>
  <c r="AG46" i="2"/>
  <c r="AE46" i="2"/>
  <c r="AD46" i="2"/>
  <c r="P46" i="2"/>
  <c r="Q46" i="2" s="1"/>
  <c r="K46" i="2"/>
  <c r="AF46" i="2" s="1"/>
  <c r="AH45" i="2"/>
  <c r="AG45" i="2"/>
  <c r="AE45" i="2"/>
  <c r="AD45" i="2"/>
  <c r="P45" i="2"/>
  <c r="Q45" i="2" s="1"/>
  <c r="K45" i="2"/>
  <c r="AF45" i="2" s="1"/>
  <c r="AH44" i="2"/>
  <c r="AG44" i="2"/>
  <c r="AE44" i="2"/>
  <c r="AD44" i="2"/>
  <c r="N44" i="2"/>
  <c r="N48" i="2" s="1"/>
  <c r="K44" i="2"/>
  <c r="AF44" i="2" s="1"/>
  <c r="AH43" i="2"/>
  <c r="AG43" i="2"/>
  <c r="AE43" i="2"/>
  <c r="AD43" i="2"/>
  <c r="P43" i="2"/>
  <c r="Q43" i="2" s="1"/>
  <c r="K43" i="2"/>
  <c r="AF43" i="2" s="1"/>
  <c r="AH42" i="2"/>
  <c r="AG42" i="2"/>
  <c r="AE42" i="2"/>
  <c r="AD42" i="2"/>
  <c r="P42" i="2"/>
  <c r="Q42" i="2" s="1"/>
  <c r="K42" i="2"/>
  <c r="AF42" i="2" s="1"/>
  <c r="AH41" i="2"/>
  <c r="AG41" i="2"/>
  <c r="AE41" i="2"/>
  <c r="AD41" i="2"/>
  <c r="P41" i="2"/>
  <c r="Q41" i="2" s="1"/>
  <c r="K41" i="2"/>
  <c r="AF41" i="2" s="1"/>
  <c r="AH40" i="2"/>
  <c r="AG40" i="2"/>
  <c r="AE40" i="2"/>
  <c r="AD40" i="2"/>
  <c r="P40" i="2"/>
  <c r="K40" i="2"/>
  <c r="AF40" i="2" s="1"/>
  <c r="AH39" i="2"/>
  <c r="AG39" i="2"/>
  <c r="AE39" i="2"/>
  <c r="AD39" i="2"/>
  <c r="P39" i="2"/>
  <c r="K39" i="2"/>
  <c r="AF39" i="2" s="1"/>
  <c r="AH38" i="2"/>
  <c r="AG38" i="2"/>
  <c r="AE38" i="2"/>
  <c r="AD38" i="2"/>
  <c r="P38" i="2"/>
  <c r="K38" i="2"/>
  <c r="AF38" i="2" s="1"/>
  <c r="AH37" i="2"/>
  <c r="AG37" i="2"/>
  <c r="AE37" i="2"/>
  <c r="AD37" i="2"/>
  <c r="P37" i="2"/>
  <c r="K37" i="2"/>
  <c r="AF37" i="2" s="1"/>
  <c r="AH30" i="2"/>
  <c r="AG30" i="2"/>
  <c r="AE30" i="2"/>
  <c r="AD30" i="2"/>
  <c r="P30" i="2"/>
  <c r="Q30" i="2" s="1"/>
  <c r="K30" i="2"/>
  <c r="AF30" i="2" s="1"/>
  <c r="AH29" i="2"/>
  <c r="AG29" i="2"/>
  <c r="AE29" i="2"/>
  <c r="AD29" i="2"/>
  <c r="N29" i="2"/>
  <c r="P29" i="2" s="1"/>
  <c r="K29" i="2"/>
  <c r="AF29" i="2" s="1"/>
  <c r="AH28" i="2"/>
  <c r="AG28" i="2"/>
  <c r="AE28" i="2"/>
  <c r="AD28" i="2"/>
  <c r="N28" i="2"/>
  <c r="P28" i="2" s="1"/>
  <c r="K28" i="2"/>
  <c r="AF28" i="2" s="1"/>
  <c r="AH27" i="2"/>
  <c r="AG27" i="2"/>
  <c r="AE27" i="2"/>
  <c r="AD27" i="2"/>
  <c r="N27" i="2"/>
  <c r="P27" i="2" s="1"/>
  <c r="K27" i="2"/>
  <c r="AF27" i="2" s="1"/>
  <c r="AH26" i="2"/>
  <c r="AG26" i="2"/>
  <c r="AE26" i="2"/>
  <c r="AD26" i="2"/>
  <c r="P26" i="2"/>
  <c r="Q26" i="2" s="1"/>
  <c r="K26" i="2"/>
  <c r="AF26" i="2" s="1"/>
  <c r="AH25" i="2"/>
  <c r="AG25" i="2"/>
  <c r="AE25" i="2"/>
  <c r="AD25" i="2"/>
  <c r="N25" i="2"/>
  <c r="P25" i="2" s="1"/>
  <c r="K25" i="2"/>
  <c r="AF25" i="2" s="1"/>
  <c r="AH24" i="2"/>
  <c r="AG24" i="2"/>
  <c r="AE24" i="2"/>
  <c r="AD24" i="2"/>
  <c r="N24" i="2"/>
  <c r="K24" i="2"/>
  <c r="AF24" i="2" s="1"/>
  <c r="AH23" i="2"/>
  <c r="AG23" i="2"/>
  <c r="AE23" i="2"/>
  <c r="AD23" i="2"/>
  <c r="N23" i="2"/>
  <c r="P23" i="2" s="1"/>
  <c r="K23" i="2"/>
  <c r="AF23" i="2" s="1"/>
  <c r="AH22" i="2"/>
  <c r="AG22" i="2"/>
  <c r="AE22" i="2"/>
  <c r="AD22" i="2"/>
  <c r="P22" i="2"/>
  <c r="K22" i="2"/>
  <c r="AF22" i="2" s="1"/>
  <c r="AH21" i="2"/>
  <c r="AG21" i="2"/>
  <c r="AE21" i="2"/>
  <c r="AD21" i="2"/>
  <c r="P21" i="2"/>
  <c r="K21" i="2"/>
  <c r="AF21" i="2" s="1"/>
  <c r="AH20" i="2"/>
  <c r="AG20" i="2"/>
  <c r="AE20" i="2"/>
  <c r="AD20" i="2"/>
  <c r="P20" i="2"/>
  <c r="K20" i="2"/>
  <c r="AF20" i="2" s="1"/>
  <c r="AH19" i="2"/>
  <c r="AG19" i="2"/>
  <c r="AE19" i="2"/>
  <c r="AD19" i="2"/>
  <c r="P19" i="2"/>
  <c r="Q19" i="2" s="1"/>
  <c r="K19" i="2"/>
  <c r="AF19" i="2" s="1"/>
  <c r="AH17" i="2"/>
  <c r="AG17" i="2"/>
  <c r="AE17" i="2"/>
  <c r="AD17" i="2"/>
  <c r="N17" i="2"/>
  <c r="P17" i="2" s="1"/>
  <c r="K17" i="2"/>
  <c r="AF17" i="2" s="1"/>
  <c r="AH16" i="2"/>
  <c r="AG16" i="2"/>
  <c r="AE16" i="2"/>
  <c r="AD16" i="2"/>
  <c r="P16" i="2"/>
  <c r="K16" i="2"/>
  <c r="AF16" i="2" s="1"/>
  <c r="AH15" i="2"/>
  <c r="AG15" i="2"/>
  <c r="AE15" i="2"/>
  <c r="AD15" i="2"/>
  <c r="N15" i="2"/>
  <c r="K15" i="2"/>
  <c r="AF15" i="2" s="1"/>
  <c r="AH14" i="2"/>
  <c r="AG14" i="2"/>
  <c r="AE14" i="2"/>
  <c r="AD14" i="2"/>
  <c r="P14" i="2"/>
  <c r="Q14" i="2" s="1"/>
  <c r="K14" i="2"/>
  <c r="AF14" i="2" s="1"/>
  <c r="AH13" i="2"/>
  <c r="AG13" i="2"/>
  <c r="AE13" i="2"/>
  <c r="AD13" i="2"/>
  <c r="P13" i="2"/>
  <c r="L99" i="4" s="1"/>
  <c r="K13" i="2"/>
  <c r="AF13" i="2" s="1"/>
  <c r="AH12" i="2"/>
  <c r="AG12" i="2"/>
  <c r="AE12" i="2"/>
  <c r="AD12" i="2"/>
  <c r="P12" i="2"/>
  <c r="Q12" i="2" s="1"/>
  <c r="K12" i="2"/>
  <c r="AF12" i="2" s="1"/>
  <c r="X11" i="2"/>
  <c r="AA11" i="2" s="1"/>
  <c r="C49" i="1"/>
  <c r="H8" i="1"/>
  <c r="Q8" i="1" s="1"/>
  <c r="Z8" i="1" s="1"/>
  <c r="AI8" i="1" s="1"/>
  <c r="T259" i="3" l="1"/>
  <c r="H31" i="1" s="1"/>
  <c r="AI31" i="1" s="1"/>
  <c r="T218" i="3"/>
  <c r="S317" i="3"/>
  <c r="G39" i="1" s="1"/>
  <c r="AH39" i="1" s="1"/>
  <c r="F43" i="1"/>
  <c r="AG43" i="1" s="1"/>
  <c r="AG49" i="1" s="1"/>
  <c r="S333" i="3"/>
  <c r="T232" i="3"/>
  <c r="H29" i="1" s="1"/>
  <c r="AI29" i="1" s="1"/>
  <c r="S232" i="3"/>
  <c r="G29" i="1" s="1"/>
  <c r="AH29" i="1" s="1"/>
  <c r="Q29" i="2"/>
  <c r="L22" i="4"/>
  <c r="Q37" i="2"/>
  <c r="L42" i="4"/>
  <c r="Q39" i="2"/>
  <c r="L46" i="4"/>
  <c r="Q52" i="2"/>
  <c r="L103" i="4"/>
  <c r="P60" i="2"/>
  <c r="L75" i="4"/>
  <c r="Q16" i="2"/>
  <c r="L96" i="4"/>
  <c r="L112" i="4"/>
  <c r="Q20" i="2"/>
  <c r="L120" i="4"/>
  <c r="Q22" i="2"/>
  <c r="L13" i="4"/>
  <c r="P24" i="2"/>
  <c r="Q269" i="2"/>
  <c r="L274" i="3"/>
  <c r="Q280" i="2"/>
  <c r="L343" i="3"/>
  <c r="Q28" i="2"/>
  <c r="X28" i="2" s="1"/>
  <c r="Y28" i="2" s="1"/>
  <c r="AA28" i="2" s="1"/>
  <c r="L126" i="4"/>
  <c r="Q38" i="2"/>
  <c r="L44" i="4"/>
  <c r="Q40" i="2"/>
  <c r="L105" i="4"/>
  <c r="L100" i="4"/>
  <c r="M99" i="4"/>
  <c r="Q17" i="2"/>
  <c r="L117" i="4"/>
  <c r="Q21" i="2"/>
  <c r="L130" i="4"/>
  <c r="R130" i="4" s="1"/>
  <c r="Q23" i="2"/>
  <c r="R23" i="2" s="1"/>
  <c r="L15" i="4"/>
  <c r="R15" i="4" s="1"/>
  <c r="S15" i="4" s="1"/>
  <c r="T15" i="4" s="1"/>
  <c r="Q25" i="2"/>
  <c r="R25" i="2" s="1"/>
  <c r="L17" i="4"/>
  <c r="R17" i="4" s="1"/>
  <c r="S17" i="4" s="1"/>
  <c r="T17" i="4" s="1"/>
  <c r="Q27" i="2"/>
  <c r="R27" i="2" s="1"/>
  <c r="V27" i="2" s="1"/>
  <c r="L20" i="4"/>
  <c r="L273" i="3"/>
  <c r="M273" i="3" s="1"/>
  <c r="M272" i="3"/>
  <c r="F27" i="1"/>
  <c r="AG27" i="1" s="1"/>
  <c r="AG33" i="1" s="1"/>
  <c r="B3" i="2"/>
  <c r="Y11" i="2" s="1"/>
  <c r="B3" i="4"/>
  <c r="B3" i="3"/>
  <c r="P304" i="2"/>
  <c r="Q304" i="2"/>
  <c r="D242" i="2"/>
  <c r="P320" i="2"/>
  <c r="D49" i="1" s="1"/>
  <c r="AB302" i="2"/>
  <c r="P53" i="2"/>
  <c r="Q53" i="2" s="1"/>
  <c r="P44" i="2"/>
  <c r="Q44" i="2" s="1"/>
  <c r="P289" i="2"/>
  <c r="X58" i="2"/>
  <c r="N236" i="2"/>
  <c r="P246" i="2"/>
  <c r="Q246" i="2" s="1"/>
  <c r="N320" i="2"/>
  <c r="B49" i="1" s="1"/>
  <c r="Q307" i="2"/>
  <c r="X248" i="2"/>
  <c r="Y248" i="2" s="1"/>
  <c r="AA248" i="2" s="1"/>
  <c r="X250" i="2"/>
  <c r="Y250" i="2" s="1"/>
  <c r="AA250" i="2" s="1"/>
  <c r="R285" i="2"/>
  <c r="V285" i="2" s="1"/>
  <c r="AB285" i="2" s="1"/>
  <c r="AC285" i="2" s="1"/>
  <c r="AB201" i="2"/>
  <c r="AC201" i="2" s="1"/>
  <c r="T286" i="2"/>
  <c r="R262" i="2"/>
  <c r="V262" i="2" s="1"/>
  <c r="AB286" i="2"/>
  <c r="AC286" i="2" s="1"/>
  <c r="T278" i="2"/>
  <c r="X278" i="2" s="1"/>
  <c r="Y278" i="2" s="1"/>
  <c r="AA278" i="2" s="1"/>
  <c r="AB278" i="2" s="1"/>
  <c r="AC278" i="2" s="1"/>
  <c r="T201" i="2"/>
  <c r="X52" i="2"/>
  <c r="X312" i="2"/>
  <c r="Y312" i="2" s="1"/>
  <c r="AA312" i="2" s="1"/>
  <c r="T255" i="2"/>
  <c r="V202" i="2"/>
  <c r="AB202" i="2" s="1"/>
  <c r="AC202" i="2" s="1"/>
  <c r="V220" i="2"/>
  <c r="AB220" i="2" s="1"/>
  <c r="AC220" i="2" s="1"/>
  <c r="T234" i="2"/>
  <c r="AB234" i="2"/>
  <c r="AC234" i="2" s="1"/>
  <c r="R17" i="2"/>
  <c r="V17" i="2" s="1"/>
  <c r="V203" i="2"/>
  <c r="AB203" i="2" s="1"/>
  <c r="AC203" i="2" s="1"/>
  <c r="T203" i="2"/>
  <c r="R101" i="2"/>
  <c r="V101" i="2" s="1"/>
  <c r="AB255" i="2"/>
  <c r="AC255" i="2" s="1"/>
  <c r="X308" i="2"/>
  <c r="Y308" i="2" s="1"/>
  <c r="AA308" i="2" s="1"/>
  <c r="R184" i="2"/>
  <c r="V184" i="2" s="1"/>
  <c r="R188" i="2"/>
  <c r="V188" i="2" s="1"/>
  <c r="R215" i="2"/>
  <c r="X271" i="2"/>
  <c r="Y271" i="2" s="1"/>
  <c r="AA271" i="2" s="1"/>
  <c r="R20" i="2"/>
  <c r="V20" i="2" s="1"/>
  <c r="R299" i="2"/>
  <c r="X42" i="2"/>
  <c r="Y42" i="2" s="1"/>
  <c r="AA42" i="2" s="1"/>
  <c r="R67" i="2"/>
  <c r="V67" i="2" s="1"/>
  <c r="R75" i="2"/>
  <c r="T75" i="2" s="1"/>
  <c r="R87" i="2"/>
  <c r="V87" i="2" s="1"/>
  <c r="R115" i="2"/>
  <c r="T115" i="2" s="1"/>
  <c r="X144" i="2"/>
  <c r="Y144" i="2" s="1"/>
  <c r="AA144" i="2" s="1"/>
  <c r="R146" i="2"/>
  <c r="T146" i="2" s="1"/>
  <c r="X244" i="2"/>
  <c r="Y244" i="2" s="1"/>
  <c r="AA244" i="2" s="1"/>
  <c r="X38" i="2"/>
  <c r="Y38" i="2" s="1"/>
  <c r="AA38" i="2" s="1"/>
  <c r="X46" i="2"/>
  <c r="Y46" i="2" s="1"/>
  <c r="AA46" i="2" s="1"/>
  <c r="R68" i="2"/>
  <c r="V68" i="2" s="1"/>
  <c r="R73" i="2"/>
  <c r="V73" i="2" s="1"/>
  <c r="X40" i="2"/>
  <c r="Y40" i="2" s="1"/>
  <c r="AA40" i="2" s="1"/>
  <c r="R52" i="2"/>
  <c r="V52" i="2" s="1"/>
  <c r="X76" i="2"/>
  <c r="Y76" i="2" s="1"/>
  <c r="AA76" i="2" s="1"/>
  <c r="X90" i="2"/>
  <c r="Y90" i="2" s="1"/>
  <c r="AA90" i="2" s="1"/>
  <c r="R97" i="2"/>
  <c r="V97" i="2" s="1"/>
  <c r="R109" i="2"/>
  <c r="V109" i="2" s="1"/>
  <c r="R122" i="2"/>
  <c r="V122" i="2" s="1"/>
  <c r="X240" i="2"/>
  <c r="Y240" i="2" s="1"/>
  <c r="AA240" i="2" s="1"/>
  <c r="T200" i="2"/>
  <c r="X71" i="2"/>
  <c r="Y71" i="2" s="1"/>
  <c r="AA71" i="2" s="1"/>
  <c r="R140" i="2"/>
  <c r="V140" i="2" s="1"/>
  <c r="T254" i="2"/>
  <c r="X215" i="2"/>
  <c r="Y215" i="2" s="1"/>
  <c r="AA215" i="2" s="1"/>
  <c r="X43" i="2"/>
  <c r="Y43" i="2" s="1"/>
  <c r="AA43" i="2" s="1"/>
  <c r="X111" i="2"/>
  <c r="Y111" i="2" s="1"/>
  <c r="AA111" i="2" s="1"/>
  <c r="R121" i="2"/>
  <c r="V121" i="2" s="1"/>
  <c r="X145" i="2"/>
  <c r="Y145" i="2" s="1"/>
  <c r="AA145" i="2" s="1"/>
  <c r="X149" i="2"/>
  <c r="Y149" i="2" s="1"/>
  <c r="AA149" i="2" s="1"/>
  <c r="R166" i="2"/>
  <c r="T166" i="2" s="1"/>
  <c r="X166" i="2" s="1"/>
  <c r="Y166" i="2" s="1"/>
  <c r="AA166" i="2" s="1"/>
  <c r="R240" i="2"/>
  <c r="V240" i="2" s="1"/>
  <c r="R249" i="2"/>
  <c r="V249" i="2" s="1"/>
  <c r="AB254" i="2"/>
  <c r="AC254" i="2" s="1"/>
  <c r="X41" i="2"/>
  <c r="Y41" i="2" s="1"/>
  <c r="AA41" i="2" s="1"/>
  <c r="X45" i="2"/>
  <c r="Y45" i="2" s="1"/>
  <c r="AA45" i="2" s="1"/>
  <c r="X74" i="2"/>
  <c r="Y74" i="2" s="1"/>
  <c r="AA74" i="2" s="1"/>
  <c r="X75" i="2"/>
  <c r="Y75" i="2" s="1"/>
  <c r="AA75" i="2" s="1"/>
  <c r="R99" i="2"/>
  <c r="V99" i="2" s="1"/>
  <c r="X103" i="2"/>
  <c r="Y103" i="2" s="1"/>
  <c r="AA103" i="2" s="1"/>
  <c r="R106" i="2"/>
  <c r="V106" i="2" s="1"/>
  <c r="R107" i="2"/>
  <c r="V107" i="2" s="1"/>
  <c r="X146" i="2"/>
  <c r="Y146" i="2" s="1"/>
  <c r="AA146" i="2" s="1"/>
  <c r="R185" i="2"/>
  <c r="T185" i="2" s="1"/>
  <c r="R219" i="2"/>
  <c r="P236" i="2"/>
  <c r="R244" i="2"/>
  <c r="X309" i="2"/>
  <c r="Y309" i="2" s="1"/>
  <c r="AA309" i="2" s="1"/>
  <c r="X12" i="2"/>
  <c r="Y12" i="2" s="1"/>
  <c r="R19" i="2"/>
  <c r="V19" i="2" s="1"/>
  <c r="R38" i="2"/>
  <c r="T38" i="2" s="1"/>
  <c r="R71" i="2"/>
  <c r="T71" i="2" s="1"/>
  <c r="X72" i="2"/>
  <c r="Y72" i="2" s="1"/>
  <c r="AA72" i="2" s="1"/>
  <c r="X73" i="2"/>
  <c r="Y73" i="2" s="1"/>
  <c r="AA73" i="2" s="1"/>
  <c r="X89" i="2"/>
  <c r="Y89" i="2" s="1"/>
  <c r="AA89" i="2" s="1"/>
  <c r="R110" i="2"/>
  <c r="V110" i="2" s="1"/>
  <c r="X127" i="2"/>
  <c r="Y127" i="2" s="1"/>
  <c r="AA127" i="2" s="1"/>
  <c r="X129" i="2"/>
  <c r="Y129" i="2" s="1"/>
  <c r="AA129" i="2" s="1"/>
  <c r="X131" i="2"/>
  <c r="Y131" i="2" s="1"/>
  <c r="AA131" i="2" s="1"/>
  <c r="R143" i="2"/>
  <c r="V143" i="2" s="1"/>
  <c r="R147" i="2"/>
  <c r="V147" i="2" s="1"/>
  <c r="X151" i="2"/>
  <c r="Y151" i="2" s="1"/>
  <c r="AA151" i="2" s="1"/>
  <c r="R170" i="2"/>
  <c r="T170" i="2" s="1"/>
  <c r="X170" i="2" s="1"/>
  <c r="Y170" i="2" s="1"/>
  <c r="AA170" i="2" s="1"/>
  <c r="R181" i="2"/>
  <c r="V181" i="2" s="1"/>
  <c r="R186" i="2"/>
  <c r="V186" i="2" s="1"/>
  <c r="R218" i="2"/>
  <c r="V218" i="2" s="1"/>
  <c r="Q229" i="2"/>
  <c r="Q236" i="2" s="1"/>
  <c r="R297" i="2"/>
  <c r="V297" i="2" s="1"/>
  <c r="AB200" i="2"/>
  <c r="AC200" i="2" s="1"/>
  <c r="X39" i="2"/>
  <c r="Y39" i="2" s="1"/>
  <c r="AA39" i="2" s="1"/>
  <c r="R42" i="2"/>
  <c r="T42" i="2" s="1"/>
  <c r="X70" i="2"/>
  <c r="Y70" i="2" s="1"/>
  <c r="AA70" i="2" s="1"/>
  <c r="X150" i="2"/>
  <c r="Y150" i="2" s="1"/>
  <c r="AA150" i="2" s="1"/>
  <c r="R217" i="2"/>
  <c r="T217" i="2" s="1"/>
  <c r="R243" i="2"/>
  <c r="T243" i="2" s="1"/>
  <c r="X245" i="2"/>
  <c r="Y245" i="2" s="1"/>
  <c r="AA245" i="2" s="1"/>
  <c r="R246" i="2"/>
  <c r="T246" i="2" s="1"/>
  <c r="R250" i="2"/>
  <c r="T250" i="2" s="1"/>
  <c r="X301" i="2"/>
  <c r="Y301" i="2" s="1"/>
  <c r="AA301" i="2" s="1"/>
  <c r="R310" i="2"/>
  <c r="V310" i="2" s="1"/>
  <c r="X148" i="2"/>
  <c r="Y148" i="2" s="1"/>
  <c r="AA148" i="2" s="1"/>
  <c r="R148" i="2"/>
  <c r="T148" i="2" s="1"/>
  <c r="X37" i="2"/>
  <c r="X142" i="2"/>
  <c r="Y142" i="2" s="1"/>
  <c r="AA142" i="2" s="1"/>
  <c r="R142" i="2"/>
  <c r="R144" i="2"/>
  <c r="T144" i="2" s="1"/>
  <c r="X77" i="2"/>
  <c r="Y77" i="2" s="1"/>
  <c r="AA77" i="2" s="1"/>
  <c r="X94" i="2"/>
  <c r="Y94" i="2" s="1"/>
  <c r="AA94" i="2" s="1"/>
  <c r="R39" i="2"/>
  <c r="R43" i="2"/>
  <c r="V43" i="2" s="1"/>
  <c r="R65" i="2"/>
  <c r="T65" i="2" s="1"/>
  <c r="R94" i="2"/>
  <c r="T94" i="2" s="1"/>
  <c r="R98" i="2"/>
  <c r="V98" i="2" s="1"/>
  <c r="R102" i="2"/>
  <c r="T102" i="2" s="1"/>
  <c r="R103" i="2"/>
  <c r="T103" i="2" s="1"/>
  <c r="R104" i="2"/>
  <c r="T104" i="2" s="1"/>
  <c r="R111" i="2"/>
  <c r="T111" i="2" s="1"/>
  <c r="R112" i="2"/>
  <c r="V112" i="2" s="1"/>
  <c r="R119" i="2"/>
  <c r="V119" i="2" s="1"/>
  <c r="X130" i="2"/>
  <c r="Y130" i="2" s="1"/>
  <c r="AA130" i="2" s="1"/>
  <c r="Q130" i="2"/>
  <c r="R141" i="2"/>
  <c r="V141" i="2" s="1"/>
  <c r="X141" i="2"/>
  <c r="Y141" i="2" s="1"/>
  <c r="AA141" i="2" s="1"/>
  <c r="X29" i="2"/>
  <c r="Y29" i="2" s="1"/>
  <c r="AA29" i="2" s="1"/>
  <c r="R40" i="2"/>
  <c r="V40" i="2" s="1"/>
  <c r="R45" i="2"/>
  <c r="T45" i="2" s="1"/>
  <c r="R53" i="2"/>
  <c r="T53" i="2" s="1"/>
  <c r="R70" i="2"/>
  <c r="T70" i="2" s="1"/>
  <c r="R72" i="2"/>
  <c r="V72" i="2" s="1"/>
  <c r="R74" i="2"/>
  <c r="T74" i="2" s="1"/>
  <c r="R76" i="2"/>
  <c r="R89" i="2"/>
  <c r="T89" i="2" s="1"/>
  <c r="R120" i="2"/>
  <c r="T120" i="2" s="1"/>
  <c r="X121" i="2"/>
  <c r="Y121" i="2" s="1"/>
  <c r="AA121" i="2" s="1"/>
  <c r="X122" i="2"/>
  <c r="Y122" i="2" s="1"/>
  <c r="AA122" i="2" s="1"/>
  <c r="X137" i="2"/>
  <c r="Y137" i="2" s="1"/>
  <c r="AA137" i="2" s="1"/>
  <c r="X143" i="2"/>
  <c r="Y143" i="2" s="1"/>
  <c r="AA143" i="2" s="1"/>
  <c r="X147" i="2"/>
  <c r="Y147" i="2" s="1"/>
  <c r="AA147" i="2" s="1"/>
  <c r="R22" i="2"/>
  <c r="T22" i="2" s="1"/>
  <c r="R37" i="2"/>
  <c r="T37" i="2" s="1"/>
  <c r="R41" i="2"/>
  <c r="V41" i="2" s="1"/>
  <c r="R44" i="2"/>
  <c r="V44" i="2" s="1"/>
  <c r="X53" i="2"/>
  <c r="Y53" i="2" s="1"/>
  <c r="AA53" i="2" s="1"/>
  <c r="R69" i="2"/>
  <c r="V69" i="2" s="1"/>
  <c r="R85" i="2"/>
  <c r="V85" i="2" s="1"/>
  <c r="R91" i="2"/>
  <c r="T91" i="2" s="1"/>
  <c r="R96" i="2"/>
  <c r="T96" i="2" s="1"/>
  <c r="X102" i="2"/>
  <c r="Y102" i="2" s="1"/>
  <c r="AA102" i="2" s="1"/>
  <c r="R108" i="2"/>
  <c r="V108" i="2" s="1"/>
  <c r="R117" i="2"/>
  <c r="T117" i="2" s="1"/>
  <c r="X128" i="2"/>
  <c r="Y128" i="2" s="1"/>
  <c r="AA128" i="2" s="1"/>
  <c r="Q128" i="2"/>
  <c r="R145" i="2"/>
  <c r="V145" i="2" s="1"/>
  <c r="AB145" i="2" s="1"/>
  <c r="AC145" i="2" s="1"/>
  <c r="R149" i="2"/>
  <c r="V149" i="2" s="1"/>
  <c r="R150" i="2"/>
  <c r="V150" i="2" s="1"/>
  <c r="R151" i="2"/>
  <c r="V151" i="2" s="1"/>
  <c r="X177" i="2"/>
  <c r="Y177" i="2" s="1"/>
  <c r="AA177" i="2" s="1"/>
  <c r="R66" i="2"/>
  <c r="T66" i="2" s="1"/>
  <c r="R77" i="2"/>
  <c r="R92" i="2"/>
  <c r="V92" i="2" s="1"/>
  <c r="R95" i="2"/>
  <c r="T95" i="2" s="1"/>
  <c r="R113" i="2"/>
  <c r="T113" i="2" s="1"/>
  <c r="R116" i="2"/>
  <c r="V116" i="2" s="1"/>
  <c r="R123" i="2"/>
  <c r="V123" i="2" s="1"/>
  <c r="X126" i="2"/>
  <c r="Y126" i="2" s="1"/>
  <c r="AA126" i="2" s="1"/>
  <c r="R182" i="2"/>
  <c r="V182" i="2" s="1"/>
  <c r="R164" i="2"/>
  <c r="V164" i="2" s="1"/>
  <c r="R165" i="2"/>
  <c r="V165" i="2" s="1"/>
  <c r="R168" i="2"/>
  <c r="V168" i="2" s="1"/>
  <c r="R173" i="2"/>
  <c r="T173" i="2" s="1"/>
  <c r="X173" i="2" s="1"/>
  <c r="Y173" i="2" s="1"/>
  <c r="AA173" i="2" s="1"/>
  <c r="R230" i="2"/>
  <c r="V230" i="2" s="1"/>
  <c r="R247" i="2"/>
  <c r="V247" i="2" s="1"/>
  <c r="R251" i="2"/>
  <c r="T251" i="2" s="1"/>
  <c r="X251" i="2" s="1"/>
  <c r="Y251" i="2" s="1"/>
  <c r="AA251" i="2" s="1"/>
  <c r="R167" i="2"/>
  <c r="T167" i="2" s="1"/>
  <c r="X167" i="2" s="1"/>
  <c r="Y167" i="2" s="1"/>
  <c r="AA167" i="2" s="1"/>
  <c r="R171" i="2"/>
  <c r="T171" i="2" s="1"/>
  <c r="R177" i="2"/>
  <c r="T177" i="2" s="1"/>
  <c r="R183" i="2"/>
  <c r="V183" i="2" s="1"/>
  <c r="R211" i="2"/>
  <c r="V211" i="2" s="1"/>
  <c r="R213" i="2"/>
  <c r="T213" i="2" s="1"/>
  <c r="X213" i="2" s="1"/>
  <c r="Y213" i="2" s="1"/>
  <c r="AA213" i="2" s="1"/>
  <c r="X216" i="2"/>
  <c r="Y216" i="2" s="1"/>
  <c r="AA216" i="2" s="1"/>
  <c r="R227" i="2"/>
  <c r="V227" i="2" s="1"/>
  <c r="R228" i="2"/>
  <c r="T228" i="2" s="1"/>
  <c r="R242" i="2"/>
  <c r="T242" i="2" s="1"/>
  <c r="X247" i="2"/>
  <c r="Y247" i="2" s="1"/>
  <c r="AA247" i="2" s="1"/>
  <c r="X268" i="2"/>
  <c r="Y268" i="2" s="1"/>
  <c r="R284" i="2"/>
  <c r="V284" i="2" s="1"/>
  <c r="R294" i="2"/>
  <c r="V294" i="2" s="1"/>
  <c r="R296" i="2"/>
  <c r="R300" i="2"/>
  <c r="T300" i="2" s="1"/>
  <c r="X311" i="2"/>
  <c r="Y311" i="2" s="1"/>
  <c r="AA311" i="2" s="1"/>
  <c r="R114" i="2"/>
  <c r="T114" i="2" s="1"/>
  <c r="R118" i="2"/>
  <c r="V118" i="2" s="1"/>
  <c r="R127" i="2"/>
  <c r="V127" i="2" s="1"/>
  <c r="R129" i="2"/>
  <c r="T129" i="2" s="1"/>
  <c r="R131" i="2"/>
  <c r="V131" i="2" s="1"/>
  <c r="X132" i="2"/>
  <c r="Y132" i="2" s="1"/>
  <c r="AA132" i="2" s="1"/>
  <c r="X133" i="2"/>
  <c r="Y133" i="2" s="1"/>
  <c r="AA133" i="2" s="1"/>
  <c r="X134" i="2"/>
  <c r="Y134" i="2" s="1"/>
  <c r="AA134" i="2" s="1"/>
  <c r="X135" i="2"/>
  <c r="Y135" i="2" s="1"/>
  <c r="AA135" i="2" s="1"/>
  <c r="X136" i="2"/>
  <c r="Y136" i="2" s="1"/>
  <c r="AA136" i="2" s="1"/>
  <c r="R152" i="2"/>
  <c r="T152" i="2" s="1"/>
  <c r="R153" i="2"/>
  <c r="V153" i="2" s="1"/>
  <c r="R154" i="2"/>
  <c r="T154" i="2" s="1"/>
  <c r="R155" i="2"/>
  <c r="V155" i="2" s="1"/>
  <c r="R156" i="2"/>
  <c r="V156" i="2" s="1"/>
  <c r="R157" i="2"/>
  <c r="V157" i="2" s="1"/>
  <c r="R158" i="2"/>
  <c r="T158" i="2" s="1"/>
  <c r="R160" i="2"/>
  <c r="V160" i="2" s="1"/>
  <c r="R162" i="2"/>
  <c r="V162" i="2" s="1"/>
  <c r="R169" i="2"/>
  <c r="V169" i="2" s="1"/>
  <c r="R178" i="2"/>
  <c r="T178" i="2" s="1"/>
  <c r="R187" i="2"/>
  <c r="T187" i="2" s="1"/>
  <c r="R231" i="2"/>
  <c r="V231" i="2" s="1"/>
  <c r="R245" i="2"/>
  <c r="V245" i="2" s="1"/>
  <c r="R248" i="2"/>
  <c r="V248" i="2" s="1"/>
  <c r="X249" i="2"/>
  <c r="Y249" i="2" s="1"/>
  <c r="AA249" i="2" s="1"/>
  <c r="R252" i="2"/>
  <c r="T252" i="2" s="1"/>
  <c r="X252" i="2" s="1"/>
  <c r="Y252" i="2" s="1"/>
  <c r="AA252" i="2" s="1"/>
  <c r="R269" i="2"/>
  <c r="T269" i="2" s="1"/>
  <c r="X270" i="2"/>
  <c r="Y270" i="2" s="1"/>
  <c r="AA270" i="2" s="1"/>
  <c r="R298" i="2"/>
  <c r="V298" i="2" s="1"/>
  <c r="R301" i="2"/>
  <c r="T301" i="2" s="1"/>
  <c r="X313" i="2"/>
  <c r="Y313" i="2" s="1"/>
  <c r="AA313" i="2" s="1"/>
  <c r="Y58" i="2"/>
  <c r="X60" i="2"/>
  <c r="T17" i="2"/>
  <c r="R13" i="2"/>
  <c r="X13" i="2"/>
  <c r="Y13" i="2" s="1"/>
  <c r="AA13" i="2" s="1"/>
  <c r="T41" i="2"/>
  <c r="Q13" i="2"/>
  <c r="R12" i="2"/>
  <c r="R14" i="2"/>
  <c r="X14" i="2"/>
  <c r="Y14" i="2" s="1"/>
  <c r="AA14" i="2" s="1"/>
  <c r="N33" i="2"/>
  <c r="P15" i="2"/>
  <c r="R15" i="2"/>
  <c r="X17" i="2"/>
  <c r="Y17" i="2" s="1"/>
  <c r="AA17" i="2" s="1"/>
  <c r="R26" i="2"/>
  <c r="R30" i="2"/>
  <c r="V42" i="2"/>
  <c r="R16" i="2"/>
  <c r="X16" i="2"/>
  <c r="Y16" i="2" s="1"/>
  <c r="AA16" i="2" s="1"/>
  <c r="R21" i="2"/>
  <c r="R28" i="2"/>
  <c r="R29" i="2"/>
  <c r="V39" i="2"/>
  <c r="T39" i="2"/>
  <c r="R46" i="2"/>
  <c r="P55" i="2"/>
  <c r="X68" i="2"/>
  <c r="Y68" i="2" s="1"/>
  <c r="AA68" i="2" s="1"/>
  <c r="R79" i="2"/>
  <c r="T99" i="2"/>
  <c r="X100" i="2"/>
  <c r="Y100" i="2" s="1"/>
  <c r="AA100" i="2" s="1"/>
  <c r="Y37" i="2"/>
  <c r="Y52" i="2"/>
  <c r="X67" i="2"/>
  <c r="Y67" i="2" s="1"/>
  <c r="AA67" i="2" s="1"/>
  <c r="R78" i="2"/>
  <c r="X86" i="2"/>
  <c r="Y86" i="2" s="1"/>
  <c r="AA86" i="2" s="1"/>
  <c r="X88" i="2"/>
  <c r="Y88" i="2" s="1"/>
  <c r="AA88" i="2" s="1"/>
  <c r="X93" i="2"/>
  <c r="Y93" i="2" s="1"/>
  <c r="AA93" i="2" s="1"/>
  <c r="T97" i="2"/>
  <c r="V103" i="2"/>
  <c r="AB103" i="2" s="1"/>
  <c r="AC103" i="2" s="1"/>
  <c r="V104" i="2"/>
  <c r="V111" i="2"/>
  <c r="X26" i="2"/>
  <c r="Y26" i="2" s="1"/>
  <c r="AA26" i="2" s="1"/>
  <c r="Q58" i="2"/>
  <c r="Q60" i="2" s="1"/>
  <c r="R58" i="2"/>
  <c r="X66" i="2"/>
  <c r="Y66" i="2" s="1"/>
  <c r="AA66" i="2" s="1"/>
  <c r="R81" i="2"/>
  <c r="R83" i="2"/>
  <c r="T98" i="2"/>
  <c r="X99" i="2"/>
  <c r="Y99" i="2" s="1"/>
  <c r="AA99" i="2" s="1"/>
  <c r="R100" i="2"/>
  <c r="R105" i="2"/>
  <c r="V115" i="2"/>
  <c r="T123" i="2"/>
  <c r="X19" i="2"/>
  <c r="Y19" i="2" s="1"/>
  <c r="AA19" i="2" s="1"/>
  <c r="X22" i="2"/>
  <c r="Y22" i="2" s="1"/>
  <c r="AA22" i="2" s="1"/>
  <c r="X27" i="2"/>
  <c r="Y27" i="2" s="1"/>
  <c r="AA27" i="2" s="1"/>
  <c r="X65" i="2"/>
  <c r="X69" i="2"/>
  <c r="Y69" i="2" s="1"/>
  <c r="AA69" i="2" s="1"/>
  <c r="V71" i="2"/>
  <c r="AB71" i="2" s="1"/>
  <c r="AC71" i="2" s="1"/>
  <c r="V74" i="2"/>
  <c r="AB74" i="2" s="1"/>
  <c r="AC74" i="2" s="1"/>
  <c r="R80" i="2"/>
  <c r="R82" i="2"/>
  <c r="R84" i="2"/>
  <c r="R86" i="2"/>
  <c r="X87" i="2"/>
  <c r="Y87" i="2" s="1"/>
  <c r="AA87" i="2" s="1"/>
  <c r="R88" i="2"/>
  <c r="R90" i="2"/>
  <c r="D95" i="2"/>
  <c r="D97" i="2" s="1"/>
  <c r="D94" i="2"/>
  <c r="R93" i="2"/>
  <c r="X101" i="2"/>
  <c r="Y101" i="2" s="1"/>
  <c r="AA101" i="2" s="1"/>
  <c r="AB101" i="2" s="1"/>
  <c r="X106" i="2"/>
  <c r="Y106" i="2" s="1"/>
  <c r="AA106" i="2" s="1"/>
  <c r="AB106" i="2" s="1"/>
  <c r="X107" i="2"/>
  <c r="Y107" i="2" s="1"/>
  <c r="AA107" i="2" s="1"/>
  <c r="X108" i="2"/>
  <c r="Y108" i="2" s="1"/>
  <c r="AA108" i="2" s="1"/>
  <c r="X109" i="2"/>
  <c r="Y109" i="2" s="1"/>
  <c r="AA109" i="2" s="1"/>
  <c r="X110" i="2"/>
  <c r="Y110" i="2" s="1"/>
  <c r="AA110" i="2" s="1"/>
  <c r="AB110" i="2" s="1"/>
  <c r="R124" i="2"/>
  <c r="R137" i="2"/>
  <c r="R138" i="2"/>
  <c r="V142" i="2"/>
  <c r="T142" i="2"/>
  <c r="T145" i="2"/>
  <c r="V146" i="2"/>
  <c r="X152" i="2"/>
  <c r="Y152" i="2" s="1"/>
  <c r="AA152" i="2" s="1"/>
  <c r="X154" i="2"/>
  <c r="Y154" i="2" s="1"/>
  <c r="AA154" i="2" s="1"/>
  <c r="X158" i="2"/>
  <c r="Y158" i="2" s="1"/>
  <c r="AA158" i="2" s="1"/>
  <c r="R172" i="2"/>
  <c r="P176" i="2"/>
  <c r="Q176" i="2" s="1"/>
  <c r="X120" i="2"/>
  <c r="Y120" i="2" s="1"/>
  <c r="AA120" i="2" s="1"/>
  <c r="X123" i="2"/>
  <c r="Y123" i="2" s="1"/>
  <c r="AA123" i="2" s="1"/>
  <c r="X125" i="2"/>
  <c r="Y125" i="2" s="1"/>
  <c r="AA125" i="2" s="1"/>
  <c r="X140" i="2"/>
  <c r="Y140" i="2" s="1"/>
  <c r="AA140" i="2" s="1"/>
  <c r="AB140" i="2" s="1"/>
  <c r="V154" i="2"/>
  <c r="T160" i="2"/>
  <c r="X160" i="2" s="1"/>
  <c r="Y160" i="2" s="1"/>
  <c r="AA160" i="2" s="1"/>
  <c r="R163" i="2"/>
  <c r="X78" i="2"/>
  <c r="Y78" i="2" s="1"/>
  <c r="AA78" i="2" s="1"/>
  <c r="X79" i="2"/>
  <c r="Y79" i="2" s="1"/>
  <c r="AA79" i="2" s="1"/>
  <c r="X80" i="2"/>
  <c r="Y80" i="2" s="1"/>
  <c r="AA80" i="2" s="1"/>
  <c r="X81" i="2"/>
  <c r="Y81" i="2" s="1"/>
  <c r="AA81" i="2" s="1"/>
  <c r="X82" i="2"/>
  <c r="Y82" i="2" s="1"/>
  <c r="AA82" i="2" s="1"/>
  <c r="X91" i="2"/>
  <c r="Y91" i="2" s="1"/>
  <c r="AA91" i="2" s="1"/>
  <c r="X95" i="2"/>
  <c r="Y95" i="2" s="1"/>
  <c r="AA95" i="2" s="1"/>
  <c r="X96" i="2"/>
  <c r="Y96" i="2" s="1"/>
  <c r="AA96" i="2" s="1"/>
  <c r="T101" i="2"/>
  <c r="X104" i="2"/>
  <c r="Y104" i="2" s="1"/>
  <c r="AA104" i="2" s="1"/>
  <c r="T106" i="2"/>
  <c r="X112" i="2"/>
  <c r="Y112" i="2" s="1"/>
  <c r="AA112" i="2" s="1"/>
  <c r="X113" i="2"/>
  <c r="Y113" i="2" s="1"/>
  <c r="AA113" i="2" s="1"/>
  <c r="X114" i="2"/>
  <c r="Y114" i="2" s="1"/>
  <c r="AA114" i="2" s="1"/>
  <c r="X115" i="2"/>
  <c r="Y115" i="2" s="1"/>
  <c r="AA115" i="2" s="1"/>
  <c r="X116" i="2"/>
  <c r="Y116" i="2" s="1"/>
  <c r="AA116" i="2" s="1"/>
  <c r="X117" i="2"/>
  <c r="Y117" i="2" s="1"/>
  <c r="AA117" i="2" s="1"/>
  <c r="X118" i="2"/>
  <c r="Y118" i="2" s="1"/>
  <c r="AA118" i="2" s="1"/>
  <c r="X119" i="2"/>
  <c r="Y119" i="2" s="1"/>
  <c r="AA119" i="2" s="1"/>
  <c r="R126" i="2"/>
  <c r="R128" i="2"/>
  <c r="R130" i="2"/>
  <c r="R132" i="2"/>
  <c r="R133" i="2"/>
  <c r="R134" i="2"/>
  <c r="R135" i="2"/>
  <c r="R136" i="2"/>
  <c r="X153" i="2"/>
  <c r="Y153" i="2" s="1"/>
  <c r="AA153" i="2" s="1"/>
  <c r="X155" i="2"/>
  <c r="Y155" i="2" s="1"/>
  <c r="AA155" i="2" s="1"/>
  <c r="V166" i="2"/>
  <c r="V170" i="2"/>
  <c r="X83" i="2"/>
  <c r="Y83" i="2" s="1"/>
  <c r="AA83" i="2" s="1"/>
  <c r="X84" i="2"/>
  <c r="Y84" i="2" s="1"/>
  <c r="AA84" i="2" s="1"/>
  <c r="X85" i="2"/>
  <c r="Y85" i="2" s="1"/>
  <c r="AA85" i="2" s="1"/>
  <c r="X92" i="2"/>
  <c r="Y92" i="2" s="1"/>
  <c r="AA92" i="2" s="1"/>
  <c r="X97" i="2"/>
  <c r="Y97" i="2" s="1"/>
  <c r="AA97" i="2" s="1"/>
  <c r="AB97" i="2" s="1"/>
  <c r="X98" i="2"/>
  <c r="Y98" i="2" s="1"/>
  <c r="AA98" i="2" s="1"/>
  <c r="AB98" i="2" s="1"/>
  <c r="X105" i="2"/>
  <c r="Y105" i="2" s="1"/>
  <c r="AA105" i="2" s="1"/>
  <c r="X124" i="2"/>
  <c r="Y124" i="2" s="1"/>
  <c r="AA124" i="2" s="1"/>
  <c r="R125" i="2"/>
  <c r="R139" i="2"/>
  <c r="T155" i="2"/>
  <c r="R159" i="2"/>
  <c r="R161" i="2"/>
  <c r="R174" i="2"/>
  <c r="X179" i="2"/>
  <c r="Y179" i="2" s="1"/>
  <c r="AA179" i="2" s="1"/>
  <c r="X184" i="2"/>
  <c r="Y184" i="2" s="1"/>
  <c r="AA184" i="2" s="1"/>
  <c r="X186" i="2"/>
  <c r="Y186" i="2" s="1"/>
  <c r="AA186" i="2" s="1"/>
  <c r="R189" i="2"/>
  <c r="R190" i="2"/>
  <c r="R191" i="2"/>
  <c r="R192" i="2"/>
  <c r="R193" i="2"/>
  <c r="R194" i="2"/>
  <c r="R195" i="2"/>
  <c r="R196" i="2"/>
  <c r="R197" i="2"/>
  <c r="R198" i="2"/>
  <c r="R199" i="2"/>
  <c r="V215" i="2"/>
  <c r="T215" i="2"/>
  <c r="X180" i="2"/>
  <c r="Y180" i="2" s="1"/>
  <c r="AA180" i="2" s="1"/>
  <c r="T211" i="2"/>
  <c r="X211" i="2" s="1"/>
  <c r="Y211" i="2" s="1"/>
  <c r="AA211" i="2" s="1"/>
  <c r="V213" i="2"/>
  <c r="T227" i="2"/>
  <c r="X227" i="2" s="1"/>
  <c r="V228" i="2"/>
  <c r="X138" i="2"/>
  <c r="Y138" i="2" s="1"/>
  <c r="AA138" i="2" s="1"/>
  <c r="X139" i="2"/>
  <c r="Y139" i="2" s="1"/>
  <c r="AA139" i="2" s="1"/>
  <c r="P175" i="2"/>
  <c r="Q175" i="2" s="1"/>
  <c r="R175" i="2" s="1"/>
  <c r="R179" i="2"/>
  <c r="X181" i="2"/>
  <c r="Y181" i="2" s="1"/>
  <c r="AA181" i="2" s="1"/>
  <c r="X183" i="2"/>
  <c r="Y183" i="2" s="1"/>
  <c r="AA183" i="2" s="1"/>
  <c r="X185" i="2"/>
  <c r="Y185" i="2" s="1"/>
  <c r="AA185" i="2" s="1"/>
  <c r="X187" i="2"/>
  <c r="Y187" i="2" s="1"/>
  <c r="AA187" i="2" s="1"/>
  <c r="V217" i="2"/>
  <c r="N206" i="2"/>
  <c r="X171" i="2"/>
  <c r="Y171" i="2" s="1"/>
  <c r="AA171" i="2" s="1"/>
  <c r="X178" i="2"/>
  <c r="Y178" i="2" s="1"/>
  <c r="AA178" i="2" s="1"/>
  <c r="R180" i="2"/>
  <c r="X182" i="2"/>
  <c r="Y182" i="2" s="1"/>
  <c r="AA182" i="2" s="1"/>
  <c r="R210" i="2"/>
  <c r="R212" i="2"/>
  <c r="V219" i="2"/>
  <c r="T219" i="2"/>
  <c r="T230" i="2"/>
  <c r="V243" i="2"/>
  <c r="V251" i="2"/>
  <c r="N224" i="2"/>
  <c r="X217" i="2"/>
  <c r="Y217" i="2" s="1"/>
  <c r="AA217" i="2" s="1"/>
  <c r="R233" i="2"/>
  <c r="T240" i="2"/>
  <c r="R241" i="2"/>
  <c r="V242" i="2"/>
  <c r="V250" i="2"/>
  <c r="AB250" i="2" s="1"/>
  <c r="AC250" i="2" s="1"/>
  <c r="X188" i="2"/>
  <c r="Y188" i="2" s="1"/>
  <c r="AA188" i="2" s="1"/>
  <c r="X189" i="2"/>
  <c r="Y189" i="2" s="1"/>
  <c r="AA189" i="2" s="1"/>
  <c r="X190" i="2"/>
  <c r="Y190" i="2" s="1"/>
  <c r="AA190" i="2" s="1"/>
  <c r="X191" i="2"/>
  <c r="Y191" i="2" s="1"/>
  <c r="AA191" i="2" s="1"/>
  <c r="X192" i="2"/>
  <c r="Y192" i="2" s="1"/>
  <c r="AA192" i="2" s="1"/>
  <c r="X193" i="2"/>
  <c r="Y193" i="2" s="1"/>
  <c r="AA193" i="2" s="1"/>
  <c r="X194" i="2"/>
  <c r="Y194" i="2" s="1"/>
  <c r="AA194" i="2" s="1"/>
  <c r="X195" i="2"/>
  <c r="Y195" i="2" s="1"/>
  <c r="AA195" i="2" s="1"/>
  <c r="X196" i="2"/>
  <c r="Y196" i="2" s="1"/>
  <c r="AA196" i="2" s="1"/>
  <c r="X197" i="2"/>
  <c r="Y197" i="2" s="1"/>
  <c r="AA197" i="2" s="1"/>
  <c r="X198" i="2"/>
  <c r="Y198" i="2" s="1"/>
  <c r="AA198" i="2" s="1"/>
  <c r="X199" i="2"/>
  <c r="Y199" i="2" s="1"/>
  <c r="AA199" i="2" s="1"/>
  <c r="Q210" i="2"/>
  <c r="P214" i="2"/>
  <c r="Q214" i="2" s="1"/>
  <c r="R214" i="2" s="1"/>
  <c r="R216" i="2"/>
  <c r="X218" i="2"/>
  <c r="Y218" i="2" s="1"/>
  <c r="AA218" i="2" s="1"/>
  <c r="AB218" i="2" s="1"/>
  <c r="X219" i="2"/>
  <c r="Y219" i="2" s="1"/>
  <c r="AA219" i="2" s="1"/>
  <c r="R232" i="2"/>
  <c r="V244" i="2"/>
  <c r="T244" i="2"/>
  <c r="T249" i="2"/>
  <c r="R253" i="2"/>
  <c r="T248" i="2"/>
  <c r="V252" i="2"/>
  <c r="X253" i="2"/>
  <c r="Y253" i="2" s="1"/>
  <c r="AA253" i="2" s="1"/>
  <c r="R264" i="2"/>
  <c r="T262" i="2"/>
  <c r="X272" i="2"/>
  <c r="Y272" i="2" s="1"/>
  <c r="AA272" i="2" s="1"/>
  <c r="X276" i="2"/>
  <c r="Y276" i="2" s="1"/>
  <c r="AA276" i="2" s="1"/>
  <c r="X281" i="2"/>
  <c r="Y281" i="2" s="1"/>
  <c r="AA281" i="2" s="1"/>
  <c r="X230" i="2"/>
  <c r="Y230" i="2" s="1"/>
  <c r="AA230" i="2" s="1"/>
  <c r="X231" i="2"/>
  <c r="Y231" i="2" s="1"/>
  <c r="AA231" i="2" s="1"/>
  <c r="X232" i="2"/>
  <c r="Y232" i="2" s="1"/>
  <c r="AA232" i="2" s="1"/>
  <c r="X233" i="2"/>
  <c r="Y233" i="2" s="1"/>
  <c r="AA233" i="2" s="1"/>
  <c r="Q240" i="2"/>
  <c r="Q268" i="2"/>
  <c r="Q289" i="2" s="1"/>
  <c r="X273" i="2"/>
  <c r="Y273" i="2" s="1"/>
  <c r="AA273" i="2" s="1"/>
  <c r="X277" i="2"/>
  <c r="Y277" i="2" s="1"/>
  <c r="AA277" i="2" s="1"/>
  <c r="T284" i="2"/>
  <c r="V296" i="2"/>
  <c r="T296" i="2"/>
  <c r="X296" i="2" s="1"/>
  <c r="Y296" i="2" s="1"/>
  <c r="AA296" i="2" s="1"/>
  <c r="V300" i="2"/>
  <c r="X241" i="2"/>
  <c r="Y241" i="2" s="1"/>
  <c r="AA241" i="2" s="1"/>
  <c r="P262" i="2"/>
  <c r="X269" i="2"/>
  <c r="Y269" i="2" s="1"/>
  <c r="AA269" i="2" s="1"/>
  <c r="R270" i="2"/>
  <c r="X274" i="2"/>
  <c r="Y274" i="2" s="1"/>
  <c r="AA274" i="2" s="1"/>
  <c r="X279" i="2"/>
  <c r="Y279" i="2" s="1"/>
  <c r="AA279" i="2" s="1"/>
  <c r="X283" i="2"/>
  <c r="Y283" i="2" s="1"/>
  <c r="AA283" i="2" s="1"/>
  <c r="V299" i="2"/>
  <c r="T299" i="2"/>
  <c r="T310" i="2"/>
  <c r="X228" i="2"/>
  <c r="Y228" i="2" s="1"/>
  <c r="AA228" i="2" s="1"/>
  <c r="X242" i="2"/>
  <c r="Y242" i="2" s="1"/>
  <c r="AA242" i="2" s="1"/>
  <c r="X243" i="2"/>
  <c r="Y243" i="2" s="1"/>
  <c r="AA243" i="2" s="1"/>
  <c r="R268" i="2"/>
  <c r="R271" i="2"/>
  <c r="X275" i="2"/>
  <c r="Y275" i="2" s="1"/>
  <c r="AA275" i="2" s="1"/>
  <c r="X292" i="2"/>
  <c r="R295" i="2"/>
  <c r="X307" i="2"/>
  <c r="R272" i="2"/>
  <c r="R273" i="2"/>
  <c r="R274" i="2"/>
  <c r="R275" i="2"/>
  <c r="R276" i="2"/>
  <c r="R277" i="2"/>
  <c r="R279" i="2"/>
  <c r="R280" i="2"/>
  <c r="R281" i="2"/>
  <c r="R282" i="2"/>
  <c r="R283" i="2"/>
  <c r="X284" i="2"/>
  <c r="Y284" i="2" s="1"/>
  <c r="AA284" i="2" s="1"/>
  <c r="R292" i="2"/>
  <c r="R293" i="2"/>
  <c r="X297" i="2"/>
  <c r="Y297" i="2" s="1"/>
  <c r="AA297" i="2" s="1"/>
  <c r="X298" i="2"/>
  <c r="Y298" i="2" s="1"/>
  <c r="AA298" i="2" s="1"/>
  <c r="X299" i="2"/>
  <c r="Y299" i="2" s="1"/>
  <c r="AA299" i="2" s="1"/>
  <c r="X300" i="2"/>
  <c r="Y300" i="2" s="1"/>
  <c r="AA300" i="2" s="1"/>
  <c r="N304" i="2"/>
  <c r="C39" i="1" s="1"/>
  <c r="AD39" i="1" s="1"/>
  <c r="R314" i="2"/>
  <c r="X314" i="2"/>
  <c r="Y314" i="2" s="1"/>
  <c r="AA314" i="2" s="1"/>
  <c r="R316" i="2"/>
  <c r="Q320" i="2"/>
  <c r="R307" i="2"/>
  <c r="X310" i="2"/>
  <c r="Y310" i="2" s="1"/>
  <c r="AA310" i="2" s="1"/>
  <c r="R312" i="2"/>
  <c r="R315" i="2"/>
  <c r="X315" i="2"/>
  <c r="Y315" i="2" s="1"/>
  <c r="AA315" i="2" s="1"/>
  <c r="N289" i="2"/>
  <c r="R311" i="2"/>
  <c r="R308" i="2"/>
  <c r="R309" i="2"/>
  <c r="R313" i="2"/>
  <c r="X316" i="2"/>
  <c r="Y316" i="2" s="1"/>
  <c r="AA316" i="2" s="1"/>
  <c r="R13" i="4" l="1"/>
  <c r="S13" i="4" s="1"/>
  <c r="T13" i="4" s="1"/>
  <c r="T333" i="3"/>
  <c r="T317" i="3"/>
  <c r="H39" i="1" s="1"/>
  <c r="AI39" i="1" s="1"/>
  <c r="R229" i="2"/>
  <c r="T298" i="2"/>
  <c r="T122" i="2"/>
  <c r="T168" i="2"/>
  <c r="X168" i="2" s="1"/>
  <c r="Y168" i="2" s="1"/>
  <c r="AA168" i="2" s="1"/>
  <c r="AB142" i="2"/>
  <c r="AC142" i="2" s="1"/>
  <c r="V70" i="2"/>
  <c r="AB39" i="2"/>
  <c r="AC39" i="2" s="1"/>
  <c r="V301" i="2"/>
  <c r="AB301" i="2" s="1"/>
  <c r="AC301" i="2" s="1"/>
  <c r="T297" i="2"/>
  <c r="V185" i="2"/>
  <c r="T109" i="2"/>
  <c r="V94" i="2"/>
  <c r="AB94" i="2" s="1"/>
  <c r="AC94" i="2" s="1"/>
  <c r="AB228" i="2"/>
  <c r="AB188" i="2"/>
  <c r="AC188" i="2" s="1"/>
  <c r="V187" i="2"/>
  <c r="T182" i="2"/>
  <c r="T108" i="2"/>
  <c r="T118" i="2"/>
  <c r="T112" i="2"/>
  <c r="T85" i="2"/>
  <c r="V53" i="2"/>
  <c r="Q48" i="2"/>
  <c r="AB251" i="2"/>
  <c r="AC251" i="2" s="1"/>
  <c r="T231" i="2"/>
  <c r="V148" i="2"/>
  <c r="AB148" i="2" s="1"/>
  <c r="AC148" i="2" s="1"/>
  <c r="T44" i="2"/>
  <c r="V45" i="2"/>
  <c r="Q55" i="2"/>
  <c r="AB146" i="2"/>
  <c r="AC146" i="2" s="1"/>
  <c r="V75" i="2"/>
  <c r="AB75" i="2" s="1"/>
  <c r="AC75" i="2" s="1"/>
  <c r="G43" i="1"/>
  <c r="AH43" i="1" s="1"/>
  <c r="AB11" i="2"/>
  <c r="N99" i="4"/>
  <c r="O99" i="4" s="1"/>
  <c r="P99" i="4" s="1"/>
  <c r="R99" i="4" s="1"/>
  <c r="S99" i="4" s="1"/>
  <c r="T99" i="4" s="1"/>
  <c r="V113" i="2"/>
  <c r="T27" i="2"/>
  <c r="M100" i="4"/>
  <c r="N100" i="4" s="1"/>
  <c r="O100" i="4" s="1"/>
  <c r="P100" i="4" s="1"/>
  <c r="M126" i="4"/>
  <c r="N126" i="4" s="1"/>
  <c r="O126" i="4" s="1"/>
  <c r="P126" i="4" s="1"/>
  <c r="R126" i="4" s="1"/>
  <c r="S126" i="4" s="1"/>
  <c r="T126" i="4" s="1"/>
  <c r="V167" i="2"/>
  <c r="AB167" i="2" s="1"/>
  <c r="AC167" i="2" s="1"/>
  <c r="T149" i="2"/>
  <c r="V173" i="2"/>
  <c r="L121" i="4"/>
  <c r="M120" i="4"/>
  <c r="L97" i="4"/>
  <c r="M96" i="4"/>
  <c r="L104" i="4"/>
  <c r="M103" i="4"/>
  <c r="L43" i="4"/>
  <c r="M42" i="4"/>
  <c r="L18" i="4"/>
  <c r="M17" i="4"/>
  <c r="N17" i="4" s="1"/>
  <c r="O17" i="4" s="1"/>
  <c r="L131" i="4"/>
  <c r="M130" i="4"/>
  <c r="L106" i="4"/>
  <c r="M105" i="4"/>
  <c r="L275" i="3"/>
  <c r="M274" i="3"/>
  <c r="Q24" i="2"/>
  <c r="L60" i="4"/>
  <c r="X262" i="2"/>
  <c r="Y262" i="2" s="1"/>
  <c r="AA262" i="2" s="1"/>
  <c r="L263" i="3"/>
  <c r="L14" i="4"/>
  <c r="M13" i="4"/>
  <c r="L113" i="4"/>
  <c r="L29" i="4" s="1"/>
  <c r="M112" i="4"/>
  <c r="L76" i="4"/>
  <c r="M75" i="4"/>
  <c r="L47" i="4"/>
  <c r="M46" i="4"/>
  <c r="L23" i="4"/>
  <c r="R23" i="4" s="1"/>
  <c r="S23" i="4" s="1"/>
  <c r="T23" i="4" s="1"/>
  <c r="M22" i="4"/>
  <c r="Q15" i="2"/>
  <c r="L101" i="4"/>
  <c r="L21" i="4"/>
  <c r="R21" i="4" s="1"/>
  <c r="S21" i="4" s="1"/>
  <c r="T21" i="4" s="1"/>
  <c r="M20" i="4"/>
  <c r="N20" i="4" s="1"/>
  <c r="L16" i="4"/>
  <c r="R16" i="4" s="1"/>
  <c r="S16" i="4" s="1"/>
  <c r="T16" i="4" s="1"/>
  <c r="M15" i="4"/>
  <c r="N15" i="4" s="1"/>
  <c r="O15" i="4" s="1"/>
  <c r="L118" i="4"/>
  <c r="M117" i="4"/>
  <c r="L45" i="4"/>
  <c r="M44" i="4"/>
  <c r="M343" i="3"/>
  <c r="R343" i="3" s="1"/>
  <c r="S343" i="3" s="1"/>
  <c r="T343" i="3" s="1"/>
  <c r="L344" i="3"/>
  <c r="M344" i="3" s="1"/>
  <c r="L127" i="4"/>
  <c r="L72" i="4" s="1"/>
  <c r="B16" i="1" s="1"/>
  <c r="G27" i="1"/>
  <c r="AH27" i="1" s="1"/>
  <c r="AC11" i="2"/>
  <c r="S11" i="3"/>
  <c r="T11" i="3"/>
  <c r="T11" i="4"/>
  <c r="S11" i="4"/>
  <c r="R304" i="2"/>
  <c r="AB252" i="2"/>
  <c r="AC252" i="2" s="1"/>
  <c r="AC302" i="2"/>
  <c r="V171" i="2"/>
  <c r="T162" i="2"/>
  <c r="X162" i="2" s="1"/>
  <c r="Y162" i="2" s="1"/>
  <c r="AA162" i="2" s="1"/>
  <c r="AB162" i="2" s="1"/>
  <c r="AC162" i="2" s="1"/>
  <c r="V152" i="2"/>
  <c r="AB152" i="2" s="1"/>
  <c r="AC152" i="2" s="1"/>
  <c r="T127" i="2"/>
  <c r="AB111" i="2"/>
  <c r="AC111" i="2" s="1"/>
  <c r="T147" i="2"/>
  <c r="V144" i="2"/>
  <c r="AB144" i="2" s="1"/>
  <c r="AC144" i="2" s="1"/>
  <c r="AB109" i="2"/>
  <c r="AB70" i="2"/>
  <c r="AC70" i="2" s="1"/>
  <c r="T67" i="2"/>
  <c r="T52" i="2"/>
  <c r="T285" i="2"/>
  <c r="X229" i="2"/>
  <c r="Y229" i="2" s="1"/>
  <c r="AA229" i="2" s="1"/>
  <c r="T188" i="2"/>
  <c r="AB215" i="2"/>
  <c r="AC215" i="2" s="1"/>
  <c r="AB186" i="2"/>
  <c r="V178" i="2"/>
  <c r="AB178" i="2" s="1"/>
  <c r="AC178" i="2" s="1"/>
  <c r="T140" i="2"/>
  <c r="T107" i="2"/>
  <c r="T183" i="2"/>
  <c r="T156" i="2"/>
  <c r="X156" i="2" s="1"/>
  <c r="Y156" i="2" s="1"/>
  <c r="AA156" i="2" s="1"/>
  <c r="AB156" i="2" s="1"/>
  <c r="AC156" i="2" s="1"/>
  <c r="AB173" i="2"/>
  <c r="AC173" i="2" s="1"/>
  <c r="T164" i="2"/>
  <c r="X164" i="2" s="1"/>
  <c r="Y164" i="2" s="1"/>
  <c r="AA164" i="2" s="1"/>
  <c r="AB164" i="2" s="1"/>
  <c r="AC164" i="2" s="1"/>
  <c r="T150" i="2"/>
  <c r="T143" i="2"/>
  <c r="T131" i="2"/>
  <c r="V95" i="2"/>
  <c r="AB95" i="2" s="1"/>
  <c r="AC95" i="2" s="1"/>
  <c r="V89" i="2"/>
  <c r="AB89" i="2" s="1"/>
  <c r="AC89" i="2" s="1"/>
  <c r="V120" i="2"/>
  <c r="AB120" i="2" s="1"/>
  <c r="AC120" i="2" s="1"/>
  <c r="R55" i="2"/>
  <c r="T19" i="2"/>
  <c r="AB149" i="2"/>
  <c r="AC149" i="2" s="1"/>
  <c r="AB121" i="2"/>
  <c r="AC121" i="2" s="1"/>
  <c r="AB73" i="2"/>
  <c r="AC73" i="2" s="1"/>
  <c r="AB181" i="2"/>
  <c r="AC181" i="2" s="1"/>
  <c r="T181" i="2"/>
  <c r="T153" i="2"/>
  <c r="AB107" i="2"/>
  <c r="AC107" i="2" s="1"/>
  <c r="V129" i="2"/>
  <c r="AB129" i="2" s="1"/>
  <c r="AC129" i="2" s="1"/>
  <c r="T141" i="2"/>
  <c r="AB67" i="2"/>
  <c r="AC67" i="2" s="1"/>
  <c r="AB248" i="2"/>
  <c r="AC248" i="2" s="1"/>
  <c r="AB244" i="2"/>
  <c r="AC244" i="2" s="1"/>
  <c r="T73" i="2"/>
  <c r="T119" i="2"/>
  <c r="T87" i="2"/>
  <c r="T121" i="2"/>
  <c r="P48" i="2"/>
  <c r="T20" i="2"/>
  <c r="X20" i="2" s="1"/>
  <c r="Y20" i="2" s="1"/>
  <c r="AA20" i="2" s="1"/>
  <c r="AB20" i="2" s="1"/>
  <c r="AB42" i="2"/>
  <c r="AC42" i="2" s="1"/>
  <c r="T40" i="2"/>
  <c r="AB150" i="2"/>
  <c r="AC150" i="2" s="1"/>
  <c r="AB141" i="2"/>
  <c r="AC141" i="2" s="1"/>
  <c r="T294" i="2"/>
  <c r="X294" i="2" s="1"/>
  <c r="Y294" i="2" s="1"/>
  <c r="AA294" i="2" s="1"/>
  <c r="AB294" i="2" s="1"/>
  <c r="AC294" i="2" s="1"/>
  <c r="Q258" i="2"/>
  <c r="V246" i="2"/>
  <c r="T218" i="2"/>
  <c r="T184" i="2"/>
  <c r="T157" i="2"/>
  <c r="X157" i="2" s="1"/>
  <c r="Y157" i="2" s="1"/>
  <c r="AA157" i="2" s="1"/>
  <c r="AB157" i="2" s="1"/>
  <c r="AC157" i="2" s="1"/>
  <c r="V177" i="2"/>
  <c r="AB177" i="2" s="1"/>
  <c r="AC177" i="2" s="1"/>
  <c r="T151" i="2"/>
  <c r="V65" i="2"/>
  <c r="V38" i="2"/>
  <c r="AB38" i="2" s="1"/>
  <c r="AC38" i="2" s="1"/>
  <c r="T69" i="2"/>
  <c r="V37" i="2"/>
  <c r="P258" i="2"/>
  <c r="C31" i="1" s="1"/>
  <c r="X44" i="2"/>
  <c r="Y44" i="2" s="1"/>
  <c r="AA44" i="2" s="1"/>
  <c r="AB44" i="2" s="1"/>
  <c r="AC44" i="2" s="1"/>
  <c r="V269" i="2"/>
  <c r="T245" i="2"/>
  <c r="T247" i="2"/>
  <c r="AB184" i="2"/>
  <c r="AC184" i="2" s="1"/>
  <c r="AB92" i="2"/>
  <c r="AC92" i="2" s="1"/>
  <c r="T72" i="2"/>
  <c r="X246" i="2"/>
  <c r="Y246" i="2" s="1"/>
  <c r="AA246" i="2" s="1"/>
  <c r="AB168" i="2"/>
  <c r="AC168" i="2" s="1"/>
  <c r="V96" i="2"/>
  <c r="AB96" i="2" s="1"/>
  <c r="AC96" i="2" s="1"/>
  <c r="V102" i="2"/>
  <c r="AB102" i="2" s="1"/>
  <c r="AC102" i="2" s="1"/>
  <c r="AB53" i="2"/>
  <c r="AC53" i="2" s="1"/>
  <c r="AB122" i="2"/>
  <c r="AC122" i="2" s="1"/>
  <c r="AB230" i="2"/>
  <c r="AC230" i="2" s="1"/>
  <c r="T116" i="2"/>
  <c r="X55" i="2"/>
  <c r="T43" i="2"/>
  <c r="T186" i="2"/>
  <c r="AB104" i="2"/>
  <c r="AC104" i="2" s="1"/>
  <c r="V158" i="2"/>
  <c r="AB158" i="2" s="1"/>
  <c r="AC158" i="2" s="1"/>
  <c r="V114" i="2"/>
  <c r="AB114" i="2" s="1"/>
  <c r="AC114" i="2" s="1"/>
  <c r="V91" i="2"/>
  <c r="AB91" i="2" s="1"/>
  <c r="AC91" i="2" s="1"/>
  <c r="V66" i="2"/>
  <c r="AB245" i="2"/>
  <c r="AC245" i="2" s="1"/>
  <c r="AB151" i="2"/>
  <c r="AC151" i="2" s="1"/>
  <c r="AB72" i="2"/>
  <c r="AC72" i="2" s="1"/>
  <c r="AB40" i="2"/>
  <c r="AC40" i="2" s="1"/>
  <c r="AB113" i="2"/>
  <c r="AC113" i="2" s="1"/>
  <c r="T169" i="2"/>
  <c r="X169" i="2" s="1"/>
  <c r="Y169" i="2" s="1"/>
  <c r="AA169" i="2" s="1"/>
  <c r="AB169" i="2" s="1"/>
  <c r="AC169" i="2" s="1"/>
  <c r="AB112" i="2"/>
  <c r="T165" i="2"/>
  <c r="X165" i="2" s="1"/>
  <c r="Y165" i="2" s="1"/>
  <c r="AA165" i="2" s="1"/>
  <c r="AB165" i="2" s="1"/>
  <c r="AC165" i="2" s="1"/>
  <c r="T92" i="2"/>
  <c r="AB45" i="2"/>
  <c r="AC45" i="2" s="1"/>
  <c r="AB131" i="2"/>
  <c r="AC131" i="2" s="1"/>
  <c r="AB41" i="2"/>
  <c r="AC41" i="2" s="1"/>
  <c r="V117" i="2"/>
  <c r="AB117" i="2" s="1"/>
  <c r="AC117" i="2" s="1"/>
  <c r="V22" i="2"/>
  <c r="AB22" i="2" s="1"/>
  <c r="AC22" i="2" s="1"/>
  <c r="N62" i="2"/>
  <c r="N323" i="2" s="1"/>
  <c r="AB213" i="2"/>
  <c r="AC213" i="2" s="1"/>
  <c r="AB249" i="2"/>
  <c r="AC249" i="2" s="1"/>
  <c r="AB147" i="2"/>
  <c r="AC147" i="2" s="1"/>
  <c r="V55" i="2"/>
  <c r="AB143" i="2"/>
  <c r="AC143" i="2" s="1"/>
  <c r="AB247" i="2"/>
  <c r="AC247" i="2" s="1"/>
  <c r="AB182" i="2"/>
  <c r="AC182" i="2" s="1"/>
  <c r="AB85" i="2"/>
  <c r="AC85" i="2" s="1"/>
  <c r="AB119" i="2"/>
  <c r="AC119" i="2" s="1"/>
  <c r="T110" i="2"/>
  <c r="AB108" i="2"/>
  <c r="AC108" i="2" s="1"/>
  <c r="AB127" i="2"/>
  <c r="AC127" i="2" s="1"/>
  <c r="AB69" i="2"/>
  <c r="AC69" i="2" s="1"/>
  <c r="T68" i="2"/>
  <c r="AB68" i="2"/>
  <c r="AC68" i="2" s="1"/>
  <c r="AB43" i="2"/>
  <c r="AC43" i="2" s="1"/>
  <c r="AB123" i="2"/>
  <c r="AC123" i="2" s="1"/>
  <c r="AB299" i="2"/>
  <c r="AC299" i="2" s="1"/>
  <c r="AB116" i="2"/>
  <c r="AC116" i="2" s="1"/>
  <c r="AB27" i="2"/>
  <c r="AC27" i="2" s="1"/>
  <c r="AB187" i="2"/>
  <c r="AC187" i="2" s="1"/>
  <c r="AB115" i="2"/>
  <c r="AC115" i="2" s="1"/>
  <c r="AB19" i="2"/>
  <c r="AC19" i="2" s="1"/>
  <c r="AB17" i="2"/>
  <c r="AC17" i="2" s="1"/>
  <c r="AB87" i="2"/>
  <c r="AC87" i="2" s="1"/>
  <c r="AB296" i="2"/>
  <c r="AC296" i="2" s="1"/>
  <c r="AB99" i="2"/>
  <c r="AC99" i="2" s="1"/>
  <c r="AB242" i="2"/>
  <c r="AC242" i="2" s="1"/>
  <c r="AB300" i="2"/>
  <c r="AC300" i="2" s="1"/>
  <c r="AB171" i="2"/>
  <c r="AC171" i="2" s="1"/>
  <c r="AB183" i="2"/>
  <c r="AC183" i="2" s="1"/>
  <c r="AB66" i="2"/>
  <c r="AC66" i="2" s="1"/>
  <c r="AB170" i="2"/>
  <c r="AC170" i="2" s="1"/>
  <c r="AB211" i="2"/>
  <c r="AC211" i="2" s="1"/>
  <c r="AB284" i="2"/>
  <c r="AC284" i="2" s="1"/>
  <c r="X214" i="2"/>
  <c r="Y214" i="2" s="1"/>
  <c r="AA214" i="2" s="1"/>
  <c r="Q224" i="2"/>
  <c r="R258" i="2"/>
  <c r="AB298" i="2"/>
  <c r="AC298" i="2" s="1"/>
  <c r="R176" i="2"/>
  <c r="AA258" i="2"/>
  <c r="T77" i="2"/>
  <c r="V77" i="2"/>
  <c r="AB77" i="2" s="1"/>
  <c r="AC77" i="2" s="1"/>
  <c r="T76" i="2"/>
  <c r="V76" i="2"/>
  <c r="AB76" i="2" s="1"/>
  <c r="AC76" i="2" s="1"/>
  <c r="V214" i="2"/>
  <c r="T214" i="2"/>
  <c r="V175" i="2"/>
  <c r="T175" i="2"/>
  <c r="X175" i="2" s="1"/>
  <c r="Y175" i="2" s="1"/>
  <c r="AA175" i="2" s="1"/>
  <c r="R320" i="2"/>
  <c r="V307" i="2"/>
  <c r="T307" i="2"/>
  <c r="V292" i="2"/>
  <c r="T292" i="2"/>
  <c r="T272" i="2"/>
  <c r="V272" i="2"/>
  <c r="AB272" i="2" s="1"/>
  <c r="AC272" i="2" s="1"/>
  <c r="T270" i="2"/>
  <c r="V270" i="2"/>
  <c r="AB270" i="2" s="1"/>
  <c r="AC270" i="2" s="1"/>
  <c r="V314" i="2"/>
  <c r="T314" i="2"/>
  <c r="T275" i="2"/>
  <c r="V275" i="2"/>
  <c r="AB275" i="2" s="1"/>
  <c r="AC275" i="2" s="1"/>
  <c r="R289" i="2"/>
  <c r="T268" i="2"/>
  <c r="V268" i="2"/>
  <c r="AB269" i="2"/>
  <c r="AC269" i="2" s="1"/>
  <c r="V316" i="2"/>
  <c r="AB316" i="2" s="1"/>
  <c r="AC316" i="2" s="1"/>
  <c r="T316" i="2"/>
  <c r="AB297" i="2"/>
  <c r="AC297" i="2" s="1"/>
  <c r="V293" i="2"/>
  <c r="T293" i="2"/>
  <c r="X293" i="2" s="1"/>
  <c r="Y293" i="2" s="1"/>
  <c r="AA293" i="2" s="1"/>
  <c r="V282" i="2"/>
  <c r="T282" i="2"/>
  <c r="X282" i="2" s="1"/>
  <c r="Y282" i="2" s="1"/>
  <c r="AA282" i="2" s="1"/>
  <c r="T277" i="2"/>
  <c r="V277" i="2"/>
  <c r="AB277" i="2" s="1"/>
  <c r="AC277" i="2" s="1"/>
  <c r="T273" i="2"/>
  <c r="V273" i="2"/>
  <c r="AB273" i="2" s="1"/>
  <c r="AC273" i="2" s="1"/>
  <c r="Y307" i="2"/>
  <c r="X320" i="2"/>
  <c r="Y292" i="2"/>
  <c r="T271" i="2"/>
  <c r="V271" i="2"/>
  <c r="AB271" i="2" s="1"/>
  <c r="AC271" i="2" s="1"/>
  <c r="Q262" i="2"/>
  <c r="Q264" i="2" s="1"/>
  <c r="P264" i="2"/>
  <c r="T253" i="2"/>
  <c r="V253" i="2"/>
  <c r="AB253" i="2" s="1"/>
  <c r="AC253" i="2" s="1"/>
  <c r="AC228" i="2"/>
  <c r="R224" i="2"/>
  <c r="V210" i="2"/>
  <c r="T210" i="2"/>
  <c r="X210" i="2" s="1"/>
  <c r="Y210" i="2" s="1"/>
  <c r="AB166" i="2"/>
  <c r="AC166" i="2" s="1"/>
  <c r="V197" i="2"/>
  <c r="AB197" i="2" s="1"/>
  <c r="AC197" i="2" s="1"/>
  <c r="T197" i="2"/>
  <c r="V193" i="2"/>
  <c r="AB193" i="2" s="1"/>
  <c r="AC193" i="2" s="1"/>
  <c r="T193" i="2"/>
  <c r="V189" i="2"/>
  <c r="AB189" i="2" s="1"/>
  <c r="AC189" i="2" s="1"/>
  <c r="T189" i="2"/>
  <c r="V174" i="2"/>
  <c r="T174" i="2"/>
  <c r="X174" i="2" s="1"/>
  <c r="Y174" i="2" s="1"/>
  <c r="AA174" i="2" s="1"/>
  <c r="Q206" i="2"/>
  <c r="V134" i="2"/>
  <c r="AB134" i="2" s="1"/>
  <c r="AC134" i="2" s="1"/>
  <c r="T134" i="2"/>
  <c r="T128" i="2"/>
  <c r="V128" i="2"/>
  <c r="AB128" i="2" s="1"/>
  <c r="AC128" i="2" s="1"/>
  <c r="AB118" i="2"/>
  <c r="AC118" i="2" s="1"/>
  <c r="T163" i="2"/>
  <c r="X163" i="2" s="1"/>
  <c r="Y163" i="2" s="1"/>
  <c r="AA163" i="2" s="1"/>
  <c r="V163" i="2"/>
  <c r="V172" i="2"/>
  <c r="T172" i="2"/>
  <c r="X172" i="2" s="1"/>
  <c r="Y172" i="2" s="1"/>
  <c r="AA172" i="2" s="1"/>
  <c r="T138" i="2"/>
  <c r="V138" i="2"/>
  <c r="AB138" i="2" s="1"/>
  <c r="AC138" i="2" s="1"/>
  <c r="V84" i="2"/>
  <c r="AB84" i="2" s="1"/>
  <c r="AC84" i="2" s="1"/>
  <c r="T84" i="2"/>
  <c r="V105" i="2"/>
  <c r="AB105" i="2" s="1"/>
  <c r="AC105" i="2" s="1"/>
  <c r="T105" i="2"/>
  <c r="V83" i="2"/>
  <c r="AB83" i="2" s="1"/>
  <c r="AC83" i="2" s="1"/>
  <c r="T83" i="2"/>
  <c r="AC109" i="2"/>
  <c r="AC112" i="2"/>
  <c r="T46" i="2"/>
  <c r="V46" i="2"/>
  <c r="AB46" i="2" s="1"/>
  <c r="AC46" i="2" s="1"/>
  <c r="V28" i="2"/>
  <c r="AB28" i="2" s="1"/>
  <c r="AC28" i="2" s="1"/>
  <c r="T28" i="2"/>
  <c r="T30" i="2"/>
  <c r="X30" i="2" s="1"/>
  <c r="Y30" i="2" s="1"/>
  <c r="AA30" i="2" s="1"/>
  <c r="V30" i="2"/>
  <c r="X15" i="2"/>
  <c r="Y15" i="2" s="1"/>
  <c r="AA15" i="2" s="1"/>
  <c r="T13" i="2"/>
  <c r="V13" i="2"/>
  <c r="AB13" i="2" s="1"/>
  <c r="AC13" i="2" s="1"/>
  <c r="Y60" i="2"/>
  <c r="AA58" i="2"/>
  <c r="V309" i="2"/>
  <c r="AB309" i="2" s="1"/>
  <c r="AC309" i="2" s="1"/>
  <c r="T309" i="2"/>
  <c r="Y227" i="2"/>
  <c r="AA268" i="2"/>
  <c r="V241" i="2"/>
  <c r="T241" i="2"/>
  <c r="T233" i="2"/>
  <c r="V233" i="2"/>
  <c r="AB233" i="2" s="1"/>
  <c r="AC233" i="2" s="1"/>
  <c r="AB217" i="2"/>
  <c r="AC217" i="2" s="1"/>
  <c r="T179" i="2"/>
  <c r="V179" i="2"/>
  <c r="AB179" i="2" s="1"/>
  <c r="AC179" i="2" s="1"/>
  <c r="V196" i="2"/>
  <c r="AB196" i="2" s="1"/>
  <c r="AC196" i="2" s="1"/>
  <c r="T196" i="2"/>
  <c r="V192" i="2"/>
  <c r="AB192" i="2" s="1"/>
  <c r="AC192" i="2" s="1"/>
  <c r="T192" i="2"/>
  <c r="V161" i="2"/>
  <c r="T161" i="2"/>
  <c r="X161" i="2" s="1"/>
  <c r="Y161" i="2" s="1"/>
  <c r="AA161" i="2" s="1"/>
  <c r="V139" i="2"/>
  <c r="AB139" i="2" s="1"/>
  <c r="AC139" i="2" s="1"/>
  <c r="T139" i="2"/>
  <c r="V133" i="2"/>
  <c r="AB133" i="2" s="1"/>
  <c r="AC133" i="2" s="1"/>
  <c r="T133" i="2"/>
  <c r="V126" i="2"/>
  <c r="AB126" i="2" s="1"/>
  <c r="AC126" i="2" s="1"/>
  <c r="T126" i="2"/>
  <c r="AB154" i="2"/>
  <c r="AC154" i="2" s="1"/>
  <c r="T137" i="2"/>
  <c r="V137" i="2"/>
  <c r="AB137" i="2" s="1"/>
  <c r="AC137" i="2" s="1"/>
  <c r="V93" i="2"/>
  <c r="AB93" i="2" s="1"/>
  <c r="AC93" i="2" s="1"/>
  <c r="T93" i="2"/>
  <c r="T90" i="2"/>
  <c r="V90" i="2"/>
  <c r="AB90" i="2" s="1"/>
  <c r="AC90" i="2" s="1"/>
  <c r="T82" i="2"/>
  <c r="V82" i="2"/>
  <c r="AB82" i="2" s="1"/>
  <c r="AC82" i="2" s="1"/>
  <c r="V78" i="2"/>
  <c r="AB78" i="2" s="1"/>
  <c r="AC78" i="2" s="1"/>
  <c r="T78" i="2"/>
  <c r="AA52" i="2"/>
  <c r="Y55" i="2"/>
  <c r="AC98" i="2"/>
  <c r="V26" i="2"/>
  <c r="AB26" i="2" s="1"/>
  <c r="AC26" i="2" s="1"/>
  <c r="T26" i="2"/>
  <c r="V15" i="2"/>
  <c r="T15" i="2"/>
  <c r="V23" i="2"/>
  <c r="T23" i="2"/>
  <c r="X23" i="2" s="1"/>
  <c r="Y23" i="2" s="1"/>
  <c r="AA23" i="2" s="1"/>
  <c r="P33" i="2"/>
  <c r="R48" i="2"/>
  <c r="AA12" i="2"/>
  <c r="AB314" i="2"/>
  <c r="AC314" i="2" s="1"/>
  <c r="T276" i="2"/>
  <c r="V276" i="2"/>
  <c r="AB276" i="2" s="1"/>
  <c r="AC276" i="2" s="1"/>
  <c r="AA264" i="2"/>
  <c r="AB262" i="2"/>
  <c r="AB264" i="2" s="1"/>
  <c r="V312" i="2"/>
  <c r="AB312" i="2" s="1"/>
  <c r="AC312" i="2" s="1"/>
  <c r="T312" i="2"/>
  <c r="V295" i="2"/>
  <c r="T295" i="2"/>
  <c r="X295" i="2" s="1"/>
  <c r="Y295" i="2" s="1"/>
  <c r="AA295" i="2" s="1"/>
  <c r="V216" i="2"/>
  <c r="AB216" i="2" s="1"/>
  <c r="AC216" i="2" s="1"/>
  <c r="T216" i="2"/>
  <c r="V199" i="2"/>
  <c r="AB199" i="2" s="1"/>
  <c r="AC199" i="2" s="1"/>
  <c r="T199" i="2"/>
  <c r="V195" i="2"/>
  <c r="AB195" i="2" s="1"/>
  <c r="AC195" i="2" s="1"/>
  <c r="T195" i="2"/>
  <c r="V191" i="2"/>
  <c r="AB191" i="2" s="1"/>
  <c r="AC191" i="2" s="1"/>
  <c r="T191" i="2"/>
  <c r="AC186" i="2"/>
  <c r="V159" i="2"/>
  <c r="T159" i="2"/>
  <c r="X159" i="2" s="1"/>
  <c r="Y159" i="2" s="1"/>
  <c r="AA159" i="2" s="1"/>
  <c r="AB155" i="2"/>
  <c r="AC155" i="2" s="1"/>
  <c r="V136" i="2"/>
  <c r="AB136" i="2" s="1"/>
  <c r="AC136" i="2" s="1"/>
  <c r="T136" i="2"/>
  <c r="V132" i="2"/>
  <c r="AB132" i="2" s="1"/>
  <c r="AC132" i="2" s="1"/>
  <c r="T132" i="2"/>
  <c r="P206" i="2"/>
  <c r="V176" i="2"/>
  <c r="T176" i="2"/>
  <c r="X176" i="2" s="1"/>
  <c r="Y176" i="2" s="1"/>
  <c r="AA176" i="2" s="1"/>
  <c r="AC140" i="2"/>
  <c r="AB160" i="2"/>
  <c r="AC160" i="2" s="1"/>
  <c r="V124" i="2"/>
  <c r="AB124" i="2" s="1"/>
  <c r="AC124" i="2" s="1"/>
  <c r="T124" i="2"/>
  <c r="V86" i="2"/>
  <c r="AB86" i="2" s="1"/>
  <c r="AC86" i="2" s="1"/>
  <c r="T86" i="2"/>
  <c r="V80" i="2"/>
  <c r="AB80" i="2" s="1"/>
  <c r="AC80" i="2" s="1"/>
  <c r="T80" i="2"/>
  <c r="Y65" i="2"/>
  <c r="AC110" i="2"/>
  <c r="V81" i="2"/>
  <c r="AB81" i="2" s="1"/>
  <c r="AC81" i="2" s="1"/>
  <c r="T81" i="2"/>
  <c r="R60" i="2"/>
  <c r="T58" i="2"/>
  <c r="T60" i="2" s="1"/>
  <c r="V58" i="2"/>
  <c r="V60" i="2" s="1"/>
  <c r="AC101" i="2"/>
  <c r="AA37" i="2"/>
  <c r="T29" i="2"/>
  <c r="V29" i="2"/>
  <c r="AB29" i="2" s="1"/>
  <c r="AC29" i="2" s="1"/>
  <c r="V25" i="2"/>
  <c r="T25" i="2"/>
  <c r="X25" i="2" s="1"/>
  <c r="Y25" i="2" s="1"/>
  <c r="AA25" i="2" s="1"/>
  <c r="V16" i="2"/>
  <c r="AB16" i="2" s="1"/>
  <c r="AC16" i="2" s="1"/>
  <c r="T16" i="2"/>
  <c r="T14" i="2"/>
  <c r="V14" i="2"/>
  <c r="AB14" i="2" s="1"/>
  <c r="AC14" i="2" s="1"/>
  <c r="V315" i="2"/>
  <c r="AB315" i="2" s="1"/>
  <c r="AC315" i="2" s="1"/>
  <c r="T315" i="2"/>
  <c r="V281" i="2"/>
  <c r="AB281" i="2" s="1"/>
  <c r="AC281" i="2" s="1"/>
  <c r="T281" i="2"/>
  <c r="V308" i="2"/>
  <c r="AB308" i="2" s="1"/>
  <c r="AC308" i="2" s="1"/>
  <c r="T308" i="2"/>
  <c r="V280" i="2"/>
  <c r="T280" i="2"/>
  <c r="X280" i="2" s="1"/>
  <c r="Y280" i="2" s="1"/>
  <c r="AA280" i="2" s="1"/>
  <c r="AB231" i="2"/>
  <c r="AC231" i="2" s="1"/>
  <c r="T232" i="2"/>
  <c r="V232" i="2"/>
  <c r="AB232" i="2" s="1"/>
  <c r="AC232" i="2" s="1"/>
  <c r="V313" i="2"/>
  <c r="AB313" i="2" s="1"/>
  <c r="AC313" i="2" s="1"/>
  <c r="T313" i="2"/>
  <c r="V311" i="2"/>
  <c r="AB311" i="2" s="1"/>
  <c r="AC311" i="2" s="1"/>
  <c r="T311" i="2"/>
  <c r="AB310" i="2"/>
  <c r="AC310" i="2" s="1"/>
  <c r="V283" i="2"/>
  <c r="AB283" i="2" s="1"/>
  <c r="AC283" i="2" s="1"/>
  <c r="T283" i="2"/>
  <c r="T279" i="2"/>
  <c r="V279" i="2"/>
  <c r="AB279" i="2" s="1"/>
  <c r="AC279" i="2" s="1"/>
  <c r="T274" i="2"/>
  <c r="V274" i="2"/>
  <c r="AB274" i="2" s="1"/>
  <c r="AC274" i="2" s="1"/>
  <c r="AB243" i="2"/>
  <c r="AC243" i="2" s="1"/>
  <c r="AB240" i="2"/>
  <c r="AB219" i="2"/>
  <c r="AC219" i="2" s="1"/>
  <c r="AC218" i="2"/>
  <c r="P224" i="2"/>
  <c r="V229" i="2"/>
  <c r="T229" i="2"/>
  <c r="V212" i="2"/>
  <c r="T212" i="2"/>
  <c r="X212" i="2" s="1"/>
  <c r="Y212" i="2" s="1"/>
  <c r="AA212" i="2" s="1"/>
  <c r="V180" i="2"/>
  <c r="AB180" i="2" s="1"/>
  <c r="AC180" i="2" s="1"/>
  <c r="T180" i="2"/>
  <c r="AB185" i="2"/>
  <c r="AC185" i="2" s="1"/>
  <c r="R236" i="2"/>
  <c r="V198" i="2"/>
  <c r="AB198" i="2" s="1"/>
  <c r="AC198" i="2" s="1"/>
  <c r="T198" i="2"/>
  <c r="V194" i="2"/>
  <c r="AB194" i="2" s="1"/>
  <c r="AC194" i="2" s="1"/>
  <c r="T194" i="2"/>
  <c r="V190" i="2"/>
  <c r="AB190" i="2" s="1"/>
  <c r="AC190" i="2" s="1"/>
  <c r="T190" i="2"/>
  <c r="V125" i="2"/>
  <c r="AB125" i="2" s="1"/>
  <c r="AC125" i="2" s="1"/>
  <c r="T125" i="2"/>
  <c r="AB153" i="2"/>
  <c r="AC153" i="2" s="1"/>
  <c r="V135" i="2"/>
  <c r="AB135" i="2" s="1"/>
  <c r="AC135" i="2" s="1"/>
  <c r="T135" i="2"/>
  <c r="T130" i="2"/>
  <c r="V130" i="2"/>
  <c r="AB130" i="2" s="1"/>
  <c r="AC130" i="2" s="1"/>
  <c r="AC97" i="2"/>
  <c r="V88" i="2"/>
  <c r="AB88" i="2" s="1"/>
  <c r="AC88" i="2" s="1"/>
  <c r="T88" i="2"/>
  <c r="AC106" i="2"/>
  <c r="V100" i="2"/>
  <c r="AB100" i="2" s="1"/>
  <c r="AC100" i="2" s="1"/>
  <c r="T100" i="2"/>
  <c r="T79" i="2"/>
  <c r="V79" i="2"/>
  <c r="AB79" i="2" s="1"/>
  <c r="AC79" i="2" s="1"/>
  <c r="R206" i="2"/>
  <c r="V21" i="2"/>
  <c r="T21" i="2"/>
  <c r="X21" i="2" s="1"/>
  <c r="Y21" i="2" s="1"/>
  <c r="AA21" i="2" s="1"/>
  <c r="T55" i="2"/>
  <c r="V12" i="2"/>
  <c r="T12" i="2"/>
  <c r="R29" i="4" l="1"/>
  <c r="S29" i="4" s="1"/>
  <c r="T29" i="4" s="1"/>
  <c r="N22" i="4"/>
  <c r="O22" i="4" s="1"/>
  <c r="P22" i="4" s="1"/>
  <c r="R22" i="4"/>
  <c r="N13" i="4"/>
  <c r="O13" i="4" s="1"/>
  <c r="R14" i="4"/>
  <c r="S14" i="4" s="1"/>
  <c r="T14" i="4" s="1"/>
  <c r="R20" i="4"/>
  <c r="O20" i="4"/>
  <c r="P20" i="4"/>
  <c r="R18" i="4"/>
  <c r="S18" i="4" s="1"/>
  <c r="T18" i="4" s="1"/>
  <c r="H43" i="1"/>
  <c r="AI43" i="1" s="1"/>
  <c r="AI49" i="1" s="1"/>
  <c r="AH49" i="1"/>
  <c r="M29" i="4"/>
  <c r="N29" i="4" s="1"/>
  <c r="O29" i="4" s="1"/>
  <c r="C33" i="1"/>
  <c r="AD31" i="1"/>
  <c r="AD33" i="1" s="1"/>
  <c r="V258" i="2"/>
  <c r="N96" i="4"/>
  <c r="O96" i="4" s="1"/>
  <c r="P96" i="4" s="1"/>
  <c r="R96" i="4" s="1"/>
  <c r="S96" i="4" s="1"/>
  <c r="T96" i="4" s="1"/>
  <c r="R100" i="4"/>
  <c r="S100" i="4" s="1"/>
  <c r="T100" i="4" s="1"/>
  <c r="N117" i="4"/>
  <c r="O117" i="4" s="1"/>
  <c r="P117" i="4" s="1"/>
  <c r="R117" i="4" s="1"/>
  <c r="S117" i="4" s="1"/>
  <c r="T117" i="4" s="1"/>
  <c r="N105" i="4"/>
  <c r="O105" i="4" s="1"/>
  <c r="P105" i="4" s="1"/>
  <c r="R105" i="4" s="1"/>
  <c r="S105" i="4" s="1"/>
  <c r="T105" i="4" s="1"/>
  <c r="N103" i="4"/>
  <c r="O103" i="4" s="1"/>
  <c r="P103" i="4" s="1"/>
  <c r="R103" i="4" s="1"/>
  <c r="S103" i="4" s="1"/>
  <c r="T103" i="4" s="1"/>
  <c r="N120" i="4"/>
  <c r="O120" i="4" s="1"/>
  <c r="P120" i="4" s="1"/>
  <c r="R120" i="4" s="1"/>
  <c r="S120" i="4" s="1"/>
  <c r="T120" i="4" s="1"/>
  <c r="N112" i="4"/>
  <c r="O112" i="4" s="1"/>
  <c r="P112" i="4" s="1"/>
  <c r="R112" i="4" s="1"/>
  <c r="S112" i="4" s="1"/>
  <c r="T112" i="4" s="1"/>
  <c r="N130" i="4"/>
  <c r="O130" i="4" s="1"/>
  <c r="N344" i="3"/>
  <c r="O344" i="3" s="1"/>
  <c r="R344" i="3"/>
  <c r="S344" i="3" s="1"/>
  <c r="T344" i="3" s="1"/>
  <c r="M76" i="4"/>
  <c r="M106" i="4"/>
  <c r="N106" i="4" s="1"/>
  <c r="O106" i="4" s="1"/>
  <c r="P106" i="4" s="1"/>
  <c r="R106" i="4" s="1"/>
  <c r="S106" i="4" s="1"/>
  <c r="T106" i="4" s="1"/>
  <c r="M104" i="4"/>
  <c r="N104" i="4" s="1"/>
  <c r="O104" i="4" s="1"/>
  <c r="P104" i="4" s="1"/>
  <c r="L25" i="4"/>
  <c r="L38" i="4" s="1"/>
  <c r="B10" i="1" s="1"/>
  <c r="M45" i="4"/>
  <c r="M47" i="4"/>
  <c r="M43" i="4"/>
  <c r="M97" i="4"/>
  <c r="N97" i="4" s="1"/>
  <c r="O97" i="4" s="1"/>
  <c r="P97" i="4" s="1"/>
  <c r="R97" i="4" s="1"/>
  <c r="S97" i="4" s="1"/>
  <c r="T97" i="4" s="1"/>
  <c r="M16" i="4"/>
  <c r="N16" i="4" s="1"/>
  <c r="O16" i="4" s="1"/>
  <c r="M113" i="4"/>
  <c r="N113" i="4" s="1"/>
  <c r="O113" i="4" s="1"/>
  <c r="P113" i="4" s="1"/>
  <c r="R113" i="4" s="1"/>
  <c r="S113" i="4" s="1"/>
  <c r="T113" i="4" s="1"/>
  <c r="M18" i="4"/>
  <c r="N18" i="4" s="1"/>
  <c r="O18" i="4" s="1"/>
  <c r="M118" i="4"/>
  <c r="N118" i="4" s="1"/>
  <c r="O118" i="4" s="1"/>
  <c r="P118" i="4" s="1"/>
  <c r="R118" i="4" s="1"/>
  <c r="S118" i="4" s="1"/>
  <c r="T118" i="4" s="1"/>
  <c r="M21" i="4"/>
  <c r="N21" i="4" s="1"/>
  <c r="O21" i="4" s="1"/>
  <c r="M23" i="4"/>
  <c r="N23" i="4" s="1"/>
  <c r="O23" i="4" s="1"/>
  <c r="M14" i="4"/>
  <c r="N14" i="4" s="1"/>
  <c r="O14" i="4" s="1"/>
  <c r="M131" i="4"/>
  <c r="M121" i="4"/>
  <c r="N121" i="4" s="1"/>
  <c r="O121" i="4" s="1"/>
  <c r="P121" i="4" s="1"/>
  <c r="Q33" i="2"/>
  <c r="Q62" i="2" s="1"/>
  <c r="AB229" i="2"/>
  <c r="AC229" i="2" s="1"/>
  <c r="X236" i="2"/>
  <c r="M275" i="3"/>
  <c r="L300" i="3"/>
  <c r="AB23" i="2"/>
  <c r="AC23" i="2" s="1"/>
  <c r="N343" i="3"/>
  <c r="O343" i="3" s="1"/>
  <c r="M60" i="4"/>
  <c r="L61" i="4"/>
  <c r="X24" i="2"/>
  <c r="Y24" i="2" s="1"/>
  <c r="AA24" i="2" s="1"/>
  <c r="AA33" i="2" s="1"/>
  <c r="R24" i="2"/>
  <c r="AC16" i="1"/>
  <c r="M127" i="4"/>
  <c r="L102" i="4"/>
  <c r="M101" i="4"/>
  <c r="L78" i="4"/>
  <c r="B18" i="1" s="1"/>
  <c r="L264" i="3"/>
  <c r="M264" i="3" s="1"/>
  <c r="M263" i="3"/>
  <c r="L56" i="4"/>
  <c r="AB25" i="2"/>
  <c r="AC25" i="2" s="1"/>
  <c r="AB282" i="2"/>
  <c r="AC282" i="2" s="1"/>
  <c r="AB176" i="2"/>
  <c r="AC176" i="2" s="1"/>
  <c r="AB174" i="2"/>
  <c r="AC174" i="2" s="1"/>
  <c r="AB293" i="2"/>
  <c r="AC293" i="2" s="1"/>
  <c r="T304" i="2"/>
  <c r="X304" i="2"/>
  <c r="V304" i="2"/>
  <c r="AB30" i="2"/>
  <c r="AC30" i="2" s="1"/>
  <c r="AB172" i="2"/>
  <c r="AC172" i="2" s="1"/>
  <c r="Y304" i="2"/>
  <c r="AB214" i="2"/>
  <c r="AC214" i="2" s="1"/>
  <c r="AB241" i="2"/>
  <c r="AC241" i="2" s="1"/>
  <c r="Y48" i="2"/>
  <c r="AB175" i="2"/>
  <c r="AC175" i="2" s="1"/>
  <c r="X48" i="2"/>
  <c r="AC20" i="2"/>
  <c r="T48" i="2"/>
  <c r="AB246" i="2"/>
  <c r="AC246" i="2" s="1"/>
  <c r="T258" i="2"/>
  <c r="AB21" i="2"/>
  <c r="AC21" i="2" s="1"/>
  <c r="V48" i="2"/>
  <c r="Q323" i="2"/>
  <c r="T236" i="2"/>
  <c r="T206" i="2"/>
  <c r="P62" i="2"/>
  <c r="P323" i="2" s="1"/>
  <c r="V236" i="2"/>
  <c r="AB212" i="2"/>
  <c r="AC212" i="2" s="1"/>
  <c r="X224" i="2"/>
  <c r="AB159" i="2"/>
  <c r="AC159" i="2" s="1"/>
  <c r="AB12" i="2"/>
  <c r="AB52" i="2"/>
  <c r="AB55" i="2" s="1"/>
  <c r="AA55" i="2"/>
  <c r="T224" i="2"/>
  <c r="V206" i="2"/>
  <c r="AA48" i="2"/>
  <c r="AB37" i="2"/>
  <c r="AB48" i="2" s="1"/>
  <c r="X289" i="2"/>
  <c r="AB58" i="2"/>
  <c r="AC58" i="2" s="1"/>
  <c r="AA60" i="2"/>
  <c r="V224" i="2"/>
  <c r="V289" i="2"/>
  <c r="T320" i="2"/>
  <c r="D33" i="1"/>
  <c r="AA289" i="2"/>
  <c r="AB268" i="2"/>
  <c r="AC268" i="2" s="1"/>
  <c r="AB163" i="2"/>
  <c r="AC163" i="2" s="1"/>
  <c r="Y320" i="2"/>
  <c r="AA307" i="2"/>
  <c r="T289" i="2"/>
  <c r="V320" i="2"/>
  <c r="AC262" i="2"/>
  <c r="AC264" i="2" s="1"/>
  <c r="AC240" i="2"/>
  <c r="AB280" i="2"/>
  <c r="AC280" i="2" s="1"/>
  <c r="Y206" i="2"/>
  <c r="AA65" i="2"/>
  <c r="Y224" i="2"/>
  <c r="AA210" i="2"/>
  <c r="X206" i="2"/>
  <c r="AB295" i="2"/>
  <c r="AC295" i="2" s="1"/>
  <c r="AB161" i="2"/>
  <c r="AC161" i="2" s="1"/>
  <c r="Y289" i="2"/>
  <c r="Y236" i="2"/>
  <c r="AA227" i="2"/>
  <c r="AB15" i="2"/>
  <c r="AC15" i="2" s="1"/>
  <c r="AA292" i="2"/>
  <c r="AA304" i="2" s="1"/>
  <c r="S20" i="4" l="1"/>
  <c r="T20" i="4" s="1"/>
  <c r="M25" i="4"/>
  <c r="N25" i="4" s="1"/>
  <c r="O25" i="4" s="1"/>
  <c r="R25" i="4"/>
  <c r="S25" i="4" s="1"/>
  <c r="T25" i="4" s="1"/>
  <c r="S22" i="4"/>
  <c r="T22" i="4" s="1"/>
  <c r="B12" i="1"/>
  <c r="AC12" i="1" s="1"/>
  <c r="N131" i="4"/>
  <c r="R131" i="4" s="1"/>
  <c r="M56" i="4"/>
  <c r="D12" i="1" s="1"/>
  <c r="AE12" i="1" s="1"/>
  <c r="M268" i="3"/>
  <c r="D35" i="1" s="1"/>
  <c r="AE35" i="1" s="1"/>
  <c r="M300" i="3"/>
  <c r="M78" i="4"/>
  <c r="N300" i="3"/>
  <c r="S130" i="4"/>
  <c r="N101" i="4"/>
  <c r="O101" i="4" s="1"/>
  <c r="P101" i="4" s="1"/>
  <c r="R101" i="4" s="1"/>
  <c r="S101" i="4" s="1"/>
  <c r="T101" i="4" s="1"/>
  <c r="R121" i="4"/>
  <c r="S121" i="4" s="1"/>
  <c r="T121" i="4" s="1"/>
  <c r="D16" i="1"/>
  <c r="AE16" i="1" s="1"/>
  <c r="N127" i="4"/>
  <c r="O127" i="4" s="1"/>
  <c r="P127" i="4" s="1"/>
  <c r="R127" i="4" s="1"/>
  <c r="S127" i="4" s="1"/>
  <c r="T127" i="4" s="1"/>
  <c r="R104" i="4"/>
  <c r="S104" i="4" s="1"/>
  <c r="T104" i="4" s="1"/>
  <c r="M61" i="4"/>
  <c r="M102" i="4"/>
  <c r="N102" i="4" s="1"/>
  <c r="O102" i="4" s="1"/>
  <c r="P102" i="4" s="1"/>
  <c r="L268" i="3"/>
  <c r="B35" i="1" s="1"/>
  <c r="AC35" i="1" s="1"/>
  <c r="X33" i="2"/>
  <c r="X62" i="2" s="1"/>
  <c r="X323" i="2" s="1"/>
  <c r="AC258" i="2"/>
  <c r="Y33" i="2"/>
  <c r="Y62" i="2" s="1"/>
  <c r="Y323" i="2" s="1"/>
  <c r="L63" i="4"/>
  <c r="N268" i="3"/>
  <c r="AC18" i="1"/>
  <c r="B37" i="1"/>
  <c r="AC37" i="1" s="1"/>
  <c r="V24" i="2"/>
  <c r="V33" i="2" s="1"/>
  <c r="V62" i="2" s="1"/>
  <c r="V323" i="2" s="1"/>
  <c r="T24" i="2"/>
  <c r="T33" i="2" s="1"/>
  <c r="T62" i="2" s="1"/>
  <c r="T323" i="2" s="1"/>
  <c r="R33" i="2"/>
  <c r="R62" i="2" s="1"/>
  <c r="R323" i="2" s="1"/>
  <c r="H27" i="1"/>
  <c r="AI27" i="1" s="1"/>
  <c r="AB258" i="2"/>
  <c r="AA62" i="2"/>
  <c r="AA206" i="2"/>
  <c r="AB65" i="2"/>
  <c r="AB206" i="2" s="1"/>
  <c r="E49" i="1"/>
  <c r="AC289" i="2"/>
  <c r="AB60" i="2"/>
  <c r="AC60" i="2"/>
  <c r="AC37" i="2"/>
  <c r="AC48" i="2" s="1"/>
  <c r="AB292" i="2"/>
  <c r="AB227" i="2"/>
  <c r="AB236" i="2" s="1"/>
  <c r="AA236" i="2"/>
  <c r="AA224" i="2"/>
  <c r="AB210" i="2"/>
  <c r="AB224" i="2" s="1"/>
  <c r="AA320" i="2"/>
  <c r="AB307" i="2"/>
  <c r="AB320" i="2" s="1"/>
  <c r="AB289" i="2"/>
  <c r="AC52" i="2"/>
  <c r="AC55" i="2" s="1"/>
  <c r="AC12" i="2"/>
  <c r="O131" i="4" l="1"/>
  <c r="P131" i="4" s="1"/>
  <c r="M336" i="3"/>
  <c r="B14" i="1"/>
  <c r="AC14" i="1" s="1"/>
  <c r="M38" i="4"/>
  <c r="D10" i="1" s="1"/>
  <c r="R78" i="4"/>
  <c r="N78" i="4"/>
  <c r="AE10" i="1"/>
  <c r="L85" i="4"/>
  <c r="N56" i="4"/>
  <c r="N38" i="4"/>
  <c r="AC10" i="1"/>
  <c r="B22" i="1"/>
  <c r="D18" i="1"/>
  <c r="AE18" i="1" s="1"/>
  <c r="AC41" i="1"/>
  <c r="D37" i="1"/>
  <c r="AE37" i="1" s="1"/>
  <c r="AE41" i="1" s="1"/>
  <c r="N336" i="3"/>
  <c r="M63" i="4"/>
  <c r="D14" i="1" s="1"/>
  <c r="AE14" i="1" s="1"/>
  <c r="O300" i="3"/>
  <c r="O56" i="4"/>
  <c r="O78" i="4"/>
  <c r="O38" i="4"/>
  <c r="T130" i="4"/>
  <c r="C12" i="1"/>
  <c r="AD12" i="1" s="1"/>
  <c r="C16" i="1"/>
  <c r="AD16" i="1" s="1"/>
  <c r="R102" i="4"/>
  <c r="S102" i="4" s="1"/>
  <c r="T102" i="4" s="1"/>
  <c r="O268" i="3"/>
  <c r="C35" i="1"/>
  <c r="AD35" i="1" s="1"/>
  <c r="L336" i="3"/>
  <c r="C10" i="1"/>
  <c r="AB24" i="2"/>
  <c r="B41" i="1"/>
  <c r="AB304" i="2"/>
  <c r="AC65" i="2"/>
  <c r="AC206" i="2" s="1"/>
  <c r="AA323" i="2"/>
  <c r="F49" i="1"/>
  <c r="F33" i="1"/>
  <c r="G49" i="1"/>
  <c r="AC227" i="2"/>
  <c r="AC236" i="2" s="1"/>
  <c r="IM12" i="2"/>
  <c r="AC307" i="2"/>
  <c r="AC320" i="2" s="1"/>
  <c r="AC210" i="2"/>
  <c r="AC224" i="2" s="1"/>
  <c r="AC292" i="2"/>
  <c r="C18" i="1" l="1"/>
  <c r="AD18" i="1" s="1"/>
  <c r="AC22" i="1"/>
  <c r="AC51" i="1" s="1"/>
  <c r="AE22" i="1"/>
  <c r="C37" i="1"/>
  <c r="AD37" i="1" s="1"/>
  <c r="AD41" i="1" s="1"/>
  <c r="T38" i="4"/>
  <c r="D22" i="1"/>
  <c r="M85" i="4"/>
  <c r="AD10" i="1"/>
  <c r="N63" i="4"/>
  <c r="N85" i="4" s="1"/>
  <c r="O336" i="3"/>
  <c r="B51" i="1"/>
  <c r="B52" i="1" s="1"/>
  <c r="D41" i="1"/>
  <c r="AE51" i="1"/>
  <c r="P38" i="4"/>
  <c r="P78" i="4"/>
  <c r="P300" i="3"/>
  <c r="P268" i="3"/>
  <c r="E35" i="1" s="1"/>
  <c r="AF35" i="1" s="1"/>
  <c r="P56" i="4"/>
  <c r="E12" i="1" s="1"/>
  <c r="AF12" i="1" s="1"/>
  <c r="O63" i="4"/>
  <c r="O85" i="4" s="1"/>
  <c r="C14" i="1"/>
  <c r="C22" i="1" s="1"/>
  <c r="AC24" i="2"/>
  <c r="AC33" i="2" s="1"/>
  <c r="AC62" i="2" s="1"/>
  <c r="AB33" i="2"/>
  <c r="AC304" i="2"/>
  <c r="C41" i="1" l="1"/>
  <c r="C51" i="1" s="1"/>
  <c r="AC52" i="1"/>
  <c r="E18" i="1"/>
  <c r="AF18" i="1" s="1"/>
  <c r="D51" i="1"/>
  <c r="D52" i="1" s="1"/>
  <c r="AD14" i="1"/>
  <c r="P63" i="4"/>
  <c r="E14" i="1" s="1"/>
  <c r="AF14" i="1" s="1"/>
  <c r="R268" i="3"/>
  <c r="F35" i="1" s="1"/>
  <c r="AG35" i="1" s="1"/>
  <c r="R300" i="3"/>
  <c r="R56" i="4"/>
  <c r="F12" i="1" s="1"/>
  <c r="AG12" i="1" s="1"/>
  <c r="E37" i="1"/>
  <c r="S131" i="4"/>
  <c r="R38" i="4"/>
  <c r="F10" i="1" s="1"/>
  <c r="AB62" i="2"/>
  <c r="AB323" i="2" s="1"/>
  <c r="E16" i="1"/>
  <c r="AF16" i="1" s="1"/>
  <c r="AC323" i="2"/>
  <c r="H49" i="1"/>
  <c r="AD22" i="1" l="1"/>
  <c r="AD51" i="1" s="1"/>
  <c r="AD52" i="1" s="1"/>
  <c r="P85" i="4"/>
  <c r="F18" i="1"/>
  <c r="AG18" i="1" s="1"/>
  <c r="AG10" i="1"/>
  <c r="AE52" i="1"/>
  <c r="E41" i="1"/>
  <c r="AF37" i="1"/>
  <c r="AF41" i="1" s="1"/>
  <c r="S300" i="3"/>
  <c r="T300" i="3"/>
  <c r="T78" i="4"/>
  <c r="S78" i="4"/>
  <c r="T131" i="4"/>
  <c r="H10" i="1" s="1"/>
  <c r="S38" i="4"/>
  <c r="G10" i="1" s="1"/>
  <c r="T56" i="4"/>
  <c r="H12" i="1" s="1"/>
  <c r="AI12" i="1" s="1"/>
  <c r="S56" i="4"/>
  <c r="G12" i="1" s="1"/>
  <c r="AH12" i="1" s="1"/>
  <c r="F37" i="1"/>
  <c r="AG37" i="1" s="1"/>
  <c r="AG41" i="1" s="1"/>
  <c r="R336" i="3"/>
  <c r="T268" i="3"/>
  <c r="S268" i="3"/>
  <c r="G35" i="1" s="1"/>
  <c r="AH35" i="1" s="1"/>
  <c r="S63" i="4"/>
  <c r="R63" i="4"/>
  <c r="F14" i="1" s="1"/>
  <c r="AG14" i="1" s="1"/>
  <c r="G16" i="1"/>
  <c r="AH16" i="1" s="1"/>
  <c r="AI10" i="1" l="1"/>
  <c r="AH10" i="1"/>
  <c r="H18" i="1"/>
  <c r="AI18" i="1" s="1"/>
  <c r="G18" i="1"/>
  <c r="AH18" i="1" s="1"/>
  <c r="R85" i="4"/>
  <c r="F41" i="1"/>
  <c r="H37" i="1"/>
  <c r="AI37" i="1" s="1"/>
  <c r="T63" i="4"/>
  <c r="H14" i="1" s="1"/>
  <c r="AI14" i="1" s="1"/>
  <c r="G14" i="1"/>
  <c r="G37" i="1"/>
  <c r="H35" i="1"/>
  <c r="AI35" i="1" s="1"/>
  <c r="F16" i="1"/>
  <c r="AG16" i="1" s="1"/>
  <c r="AG22" i="1" s="1"/>
  <c r="HS98" i="4"/>
  <c r="G22" i="1" l="1"/>
  <c r="AG51" i="1"/>
  <c r="F22" i="1"/>
  <c r="F51" i="1" s="1"/>
  <c r="S85" i="4"/>
  <c r="T85" i="4"/>
  <c r="AI41" i="1"/>
  <c r="G41" i="1"/>
  <c r="AH37" i="1"/>
  <c r="AH14" i="1"/>
  <c r="H16" i="1"/>
  <c r="H22" i="1" s="1"/>
  <c r="H41" i="1"/>
  <c r="AH41" i="1" l="1"/>
  <c r="AG52" i="1"/>
  <c r="AH22" i="1"/>
  <c r="AI16" i="1"/>
  <c r="E10" i="1"/>
  <c r="AF10" i="1" l="1"/>
  <c r="E22" i="1"/>
  <c r="AI22" i="1"/>
  <c r="AF22" i="1" l="1"/>
  <c r="S13" i="3" l="1"/>
  <c r="P336" i="3"/>
  <c r="T13" i="3" l="1"/>
  <c r="S183" i="3"/>
  <c r="S336" i="3" s="1"/>
  <c r="E25" i="1"/>
  <c r="T183" i="3" l="1"/>
  <c r="H25" i="1" s="1"/>
  <c r="AI25" i="1" s="1"/>
  <c r="AI33" i="1" s="1"/>
  <c r="AI51" i="1" s="1"/>
  <c r="G25" i="1"/>
  <c r="AH25" i="1" s="1"/>
  <c r="E33" i="1"/>
  <c r="E51" i="1" s="1"/>
  <c r="E52" i="1" s="1"/>
  <c r="AF25" i="1"/>
  <c r="AF33" i="1" s="1"/>
  <c r="AF51" i="1" s="1"/>
  <c r="H33" i="1" l="1"/>
  <c r="H51" i="1" s="1"/>
  <c r="T336" i="3"/>
  <c r="G33" i="1"/>
  <c r="G51" i="1" s="1"/>
  <c r="AH33" i="1"/>
  <c r="AH51" i="1" s="1"/>
  <c r="AF52" i="1"/>
  <c r="AI52" i="1"/>
  <c r="H52" i="1" l="1"/>
  <c r="AH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Cheesman</author>
  </authors>
  <commentList>
    <comment ref="B4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Shop and Office
Based on preivoius owers bases (purchase) of the property. Property address - 905 N Sumner, Colfax, WA 99111
</t>
        </r>
      </text>
    </comment>
    <comment ref="B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Empty lots used to store containers.
Based on preivoius owers bases (purchase) of the property. Property has no address. Approx location is 1/2 mile form the Main Yard - SR 26, Mile Marker 34, Whitman County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Puryear</author>
  </authors>
  <commentList>
    <comment ref="R10" authorId="0" shapeId="0" xr:uid="{00000000-0006-0000-0100-000001000000}">
      <text>
        <r>
          <rPr>
            <sz val="9"/>
            <color indexed="81"/>
            <rFont val="Tahoma"/>
            <family val="2"/>
          </rPr>
          <t>Multiple accounts are allowed
Example: 14110,15110 
or a range of accounts 
Example:
14110..15110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  <author>Heather Garland</author>
  </authors>
  <commentList>
    <comment ref="A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Transferred from 2180 - 9/2017.</t>
        </r>
      </text>
    </comment>
    <comment ref="B9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Will be retired when new 2018 REL arrives.</t>
        </r>
      </text>
    </comment>
    <comment ref="B10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Will be retired when new 2018 REL is received.</t>
        </r>
      </text>
    </comment>
    <comment ref="B10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Will be retired when we receive the new 2018 RO truck.</t>
        </r>
      </text>
    </comment>
    <comment ref="B126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Transferred to 2146.</t>
        </r>
      </text>
    </comment>
    <comment ref="B130" authorId="0" shapeId="0" xr:uid="{665C34A7-FEFF-48A5-98CB-2C701614207B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Replaced by Truck 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Cheesman</author>
    <author>Heather Garland</author>
  </authors>
  <commentList>
    <comment ref="D7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Company does not know what the actual amount of purchased containers prior to its purchase of Empire in 2004.
Without a phyiscial count, there is no way to determine the actual number of containers in service.</t>
        </r>
      </text>
    </comment>
    <comment ref="D220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65 Gallons are used for both garbage and recycling.  A sticker is applied to the cart to indicate recycilng.</t>
        </r>
      </text>
    </comment>
    <comment ref="I28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10 years based on Metalworking Machinery and Weilding Equipment, see source - http://www.ofm.wa.gov/policy/30.50.htm</t>
        </r>
      </text>
    </comment>
    <comment ref="I28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10 years based on Metalworking Machinery and Weilding Equipment, see source - http://www.ofm.wa.gov/policy/30.50.htm</t>
        </r>
      </text>
    </comment>
    <comment ref="I32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based on parking lot construction
http://www.gfoa.org/services/nl/GAAFRmay-2002-focusarticle.pdf</t>
        </r>
      </text>
    </comment>
    <comment ref="I323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based on parking lot construction
http://www.gfoa.org/services/nl/GAAFRmay-2002-focusarticle.pdf</t>
        </r>
      </text>
    </comment>
    <comment ref="I3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25 years based on http://www.ohiohome.org/lihtc/CapitalNeeds.pdf</t>
        </r>
      </text>
    </comment>
    <comment ref="I3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12 years 10 years based on energy efficient lighting, see source - http://www.ofm.wa.gov/policy/30.50.htm</t>
        </r>
      </text>
    </comment>
    <comment ref="C34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Per Aaron Lawhead on 2/5/18 they no longer have this truck.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Cheesman</author>
    <author>Heather Garland</author>
  </authors>
  <commentList>
    <comment ref="D12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Company does not know what the actual amount of purchased containers prior to its purchase of Empire in 2004.
Without a phyiscial count, there is no way to determine the actual number of containers in service.</t>
        </r>
      </text>
    </comment>
    <comment ref="D226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65 Gallons are used for both garbage and recycling.  A sticker is applied to the cart to indicate recycilng.</t>
        </r>
      </text>
    </comment>
    <comment ref="J27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10 years based on Metalworking Machinery and Weilding Equipment, see source - http://www.ofm.wa.gov/policy/30.50.htm</t>
        </r>
      </text>
    </comment>
    <comment ref="J28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10 years based on Metalworking Machinery and Weilding Equipment, see source - http://www.ofm.wa.gov/policy/30.50.htm</t>
        </r>
      </text>
    </comment>
    <comment ref="J30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based on parking lot construction
http://www.gfoa.org/services/nl/GAAFRmay-2002-focusarticle.pdf</t>
        </r>
      </text>
    </comment>
    <comment ref="J3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based on parking lot construction
http://www.gfoa.org/services/nl/GAAFRmay-2002-focusarticle.pdf</t>
        </r>
      </text>
    </comment>
    <comment ref="J3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25 years based on http://www.ohiohome.org/lihtc/CapitalNeeds.pdf</t>
        </r>
      </text>
    </comment>
    <comment ref="J31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12 years 10 years based on energy efficient lighting, see source - http://www.ofm.wa.gov/policy/30.50.htm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Rodriguez</author>
  </authors>
  <commentList>
    <comment ref="O28" authorId="0" shapeId="0" xr:uid="{B4051BF0-2702-44C4-AD27-1A8EC87B21D3}">
      <text>
        <r>
          <rPr>
            <b/>
            <sz val="9"/>
            <color indexed="81"/>
            <rFont val="Tahoma"/>
            <family val="2"/>
          </rPr>
          <t>Add / Replace</t>
        </r>
      </text>
    </comment>
    <comment ref="P28" authorId="0" shapeId="0" xr:uid="{9E157BF6-F5B4-4F9E-8DBE-A928B318FB6F}">
      <text>
        <r>
          <rPr>
            <b/>
            <sz val="9"/>
            <color indexed="81"/>
            <rFont val="Tahoma"/>
            <family val="2"/>
          </rPr>
          <t>New / Used</t>
        </r>
      </text>
    </comment>
    <comment ref="AG28" authorId="0" shapeId="0" xr:uid="{D7EC61C3-2C31-43DF-A458-8A39F68EA76B}">
      <text>
        <r>
          <rPr>
            <sz val="9"/>
            <color indexed="81"/>
            <rFont val="Tahoma"/>
            <family val="2"/>
          </rPr>
          <t>Required if PO Item is marked as 'R' and if Heavy Equipment or Truck</t>
        </r>
      </text>
    </comment>
    <comment ref="AI28" authorId="0" shapeId="0" xr:uid="{FD71C032-BD77-4CFE-BFC0-48E50AA22CB6}">
      <text>
        <r>
          <rPr>
            <sz val="9"/>
            <color indexed="81"/>
            <rFont val="Tahoma"/>
            <family val="2"/>
          </rPr>
          <t>Required if PO Item is marked as 'R' and if Heavy Equipment or Truck</t>
        </r>
      </text>
    </comment>
    <comment ref="AK28" authorId="0" shapeId="0" xr:uid="{5ABE9529-6D5C-4960-A8A3-261AFDD288B6}">
      <text>
        <r>
          <rPr>
            <b/>
            <sz val="9"/>
            <color indexed="81"/>
            <rFont val="Tahoma"/>
            <family val="2"/>
          </rPr>
          <t>This field will not be uploaded to DMS</t>
        </r>
      </text>
    </comment>
    <comment ref="AM28" authorId="0" shapeId="0" xr:uid="{1A4E8897-AE7A-4125-AE66-F6ABC31BE7FA}">
      <text>
        <r>
          <rPr>
            <b/>
            <sz val="9"/>
            <color indexed="81"/>
            <rFont val="Tahoma"/>
            <family val="2"/>
          </rPr>
          <t xml:space="preserve">This field will not be uploaded to DMS
</t>
        </r>
        <r>
          <rPr>
            <sz val="9"/>
            <color indexed="81"/>
            <rFont val="Tahoma"/>
            <family val="2"/>
          </rPr>
          <t>Text will become a hyperlink when you pull again</t>
        </r>
      </text>
    </comment>
  </commentList>
</comments>
</file>

<file path=xl/sharedStrings.xml><?xml version="1.0" encoding="utf-8"?>
<sst xmlns="http://schemas.openxmlformats.org/spreadsheetml/2006/main" count="5589" uniqueCount="1342">
  <si>
    <t>Depreciation &amp; Average Investment Summary:</t>
  </si>
  <si>
    <t>Empire Disposal</t>
  </si>
  <si>
    <t>Beginning</t>
  </si>
  <si>
    <t>Ending</t>
  </si>
  <si>
    <t>Average</t>
  </si>
  <si>
    <t>Equipment</t>
  </si>
  <si>
    <t>Cost</t>
  </si>
  <si>
    <t>Salvage</t>
  </si>
  <si>
    <t>Depr</t>
  </si>
  <si>
    <t>Test Year</t>
  </si>
  <si>
    <t>Accum Depr</t>
  </si>
  <si>
    <t>Investment</t>
  </si>
  <si>
    <t>Trucks</t>
  </si>
  <si>
    <t>Garbage - Shared</t>
  </si>
  <si>
    <t>Roll-off</t>
  </si>
  <si>
    <t>Med Waste</t>
  </si>
  <si>
    <t>Total Trucks</t>
  </si>
  <si>
    <t xml:space="preserve"> </t>
  </si>
  <si>
    <t>Containers:</t>
  </si>
  <si>
    <t>Garbage Carts</t>
  </si>
  <si>
    <t>Garbage/Recycling Carts</t>
  </si>
  <si>
    <t>Drop Boxes</t>
  </si>
  <si>
    <t>Total Cont, Carts,</t>
  </si>
  <si>
    <t>Service Equipment</t>
  </si>
  <si>
    <t>Shop Equipment</t>
  </si>
  <si>
    <t>Office Equipment</t>
  </si>
  <si>
    <t>Total Equipment</t>
  </si>
  <si>
    <t>Structures</t>
  </si>
  <si>
    <t>Land</t>
  </si>
  <si>
    <t xml:space="preserve">Land, Lot Colfax </t>
  </si>
  <si>
    <t>Container Storage</t>
  </si>
  <si>
    <t>Total Land &amp; LH</t>
  </si>
  <si>
    <t>Total</t>
  </si>
  <si>
    <t>Empire Disposal Co</t>
  </si>
  <si>
    <t>Depreciation Schedule</t>
  </si>
  <si>
    <t>Months in first year</t>
  </si>
  <si>
    <t>CONVENTIONS</t>
  </si>
  <si>
    <t>Months in second year</t>
  </si>
  <si>
    <t>A.</t>
  </si>
  <si>
    <t>Purchase date</t>
  </si>
  <si>
    <t>First year</t>
  </si>
  <si>
    <t>B.</t>
  </si>
  <si>
    <t>End of Test Period</t>
  </si>
  <si>
    <t xml:space="preserve">Calendar year test period: </t>
  </si>
  <si>
    <t>mos in first year</t>
  </si>
  <si>
    <t>Second year</t>
  </si>
  <si>
    <t>C</t>
  </si>
  <si>
    <t>Date fully Depr</t>
  </si>
  <si>
    <t>mos in 2nd year</t>
  </si>
  <si>
    <t>D.</t>
  </si>
  <si>
    <t>Beg of Test Period</t>
  </si>
  <si>
    <t>E.</t>
  </si>
  <si>
    <t>Disposition Date</t>
  </si>
  <si>
    <t>Second Year</t>
  </si>
  <si>
    <t>Disposal</t>
  </si>
  <si>
    <t>Allocated</t>
  </si>
  <si>
    <t>GARBAGE - SHARED</t>
  </si>
  <si>
    <t>Date in</t>
  </si>
  <si>
    <t>Year</t>
  </si>
  <si>
    <t>Asset</t>
  </si>
  <si>
    <t>%</t>
  </si>
  <si>
    <t>Accumulated</t>
  </si>
  <si>
    <t>Branch</t>
  </si>
  <si>
    <t>Accum.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</si>
  <si>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</si>
  <si>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</si>
  <si>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</si>
  <si>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</si>
  <si>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</si>
  <si>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</si>
  <si>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 xml:space="preserve"> Mo.</t>
  </si>
  <si>
    <t xml:space="preserve">Monthly </t>
  </si>
  <si>
    <t>Depn</t>
  </si>
  <si>
    <t>Test yr.</t>
  </si>
  <si>
    <t>Allo.</t>
  </si>
  <si>
    <t>Test year</t>
  </si>
  <si>
    <t>Depreciation</t>
  </si>
  <si>
    <t>Depr.</t>
  </si>
  <si>
    <t>B</t>
  </si>
  <si>
    <t>C.</t>
  </si>
  <si>
    <t>Dispositions must be in test period</t>
  </si>
  <si>
    <t>FAR #</t>
  </si>
  <si>
    <t>Trk #</t>
  </si>
  <si>
    <t>No</t>
  </si>
  <si>
    <t>Asset Classification</t>
  </si>
  <si>
    <t>Mo</t>
  </si>
  <si>
    <t>-</t>
  </si>
  <si>
    <t>M</t>
  </si>
  <si>
    <t>Years</t>
  </si>
  <si>
    <t>Depn.</t>
  </si>
  <si>
    <t>Del</t>
  </si>
  <si>
    <t>1/2 ton PU F-450 (U)</t>
  </si>
  <si>
    <t>SL</t>
  </si>
  <si>
    <t>Trailer</t>
  </si>
  <si>
    <t>Container</t>
  </si>
  <si>
    <t>LH 200 Self Dump Hopper</t>
  </si>
  <si>
    <t>RL-R,C</t>
  </si>
  <si>
    <t>Peterbilt M330-20 yd Leach</t>
  </si>
  <si>
    <t>SL-R</t>
  </si>
  <si>
    <t>Isusu FRR-10 yd Heil</t>
  </si>
  <si>
    <t>Peterbilt M330-25 yd Heil</t>
  </si>
  <si>
    <t>SP</t>
  </si>
  <si>
    <t>Capital Repair</t>
  </si>
  <si>
    <t>RL</t>
  </si>
  <si>
    <t>2008 Int'l w/McNeilus Pckr</t>
  </si>
  <si>
    <t>2010 Trk w/Pckr (N)</t>
  </si>
  <si>
    <t xml:space="preserve">2-Men </t>
  </si>
  <si>
    <t>2 Cart Tippers (N)</t>
  </si>
  <si>
    <t>19 Drive Cams</t>
  </si>
  <si>
    <t>SL Retriver</t>
  </si>
  <si>
    <t>2012 Peterbilt w/10 Pckr (N)</t>
  </si>
  <si>
    <t>REL</t>
  </si>
  <si>
    <t>2011 Int'l  w/Pckr (U)</t>
  </si>
  <si>
    <t>In-fram, Engine Repair</t>
  </si>
  <si>
    <t>Peterbilt REL Truck (N)</t>
  </si>
  <si>
    <t>McNeilus REL Truck (N)</t>
  </si>
  <si>
    <t>2016 Peterbilt REL Truck (N)</t>
  </si>
  <si>
    <t>TOTAL SHARED GARBAGE TRUCKS</t>
  </si>
  <si>
    <t>ROLL-OFF</t>
  </si>
  <si>
    <t xml:space="preserve">87LNT 8000   </t>
  </si>
  <si>
    <t xml:space="preserve">Leach 2R II Int'l </t>
  </si>
  <si>
    <t>Stock #7-928-1 Roll-off</t>
  </si>
  <si>
    <t>Pete Rolloff</t>
  </si>
  <si>
    <t>Engine (Jim's Pacific)</t>
  </si>
  <si>
    <t>Rathburn FM Radio</t>
  </si>
  <si>
    <t>Inframe Engine</t>
  </si>
  <si>
    <t>Winch Upgrade, Multiple Boxes (N)</t>
  </si>
  <si>
    <t>Trasmission Truck #7</t>
  </si>
  <si>
    <t>TOTAL ROLL-OFF</t>
  </si>
  <si>
    <t>RESIDENTIAL RECYCLING</t>
  </si>
  <si>
    <t>Isusu NQR-6 yd Heil</t>
  </si>
  <si>
    <t>111336/111337</t>
  </si>
  <si>
    <t xml:space="preserve">RL </t>
  </si>
  <si>
    <t>Peterbilt w/Leach 25 yd Pcker (U)</t>
  </si>
  <si>
    <t>TOTAL RESI RECYCLING</t>
  </si>
  <si>
    <t>MEDICAL WASTE</t>
  </si>
  <si>
    <t>GMC Truck</t>
  </si>
  <si>
    <t>TOTAL MED WASTE</t>
  </si>
  <si>
    <t>TOTAL TRUCKS</t>
  </si>
  <si>
    <t>CONTAINERS:</t>
  </si>
  <si>
    <t>Containers 10</t>
  </si>
  <si>
    <t>Containers 4</t>
  </si>
  <si>
    <t>Containers 12</t>
  </si>
  <si>
    <t xml:space="preserve">Containers </t>
  </si>
  <si>
    <t>Containers 1</t>
  </si>
  <si>
    <t>Containers 8</t>
  </si>
  <si>
    <t>Containers 23</t>
  </si>
  <si>
    <t>Containers 2</t>
  </si>
  <si>
    <t>Containers 6</t>
  </si>
  <si>
    <t>Containers &amp; Lids</t>
  </si>
  <si>
    <t>Containers 13</t>
  </si>
  <si>
    <t>Containers 43</t>
  </si>
  <si>
    <t>Rolloff 1</t>
  </si>
  <si>
    <t xml:space="preserve">Lids </t>
  </si>
  <si>
    <t>Wheels &amp; Lids</t>
  </si>
  <si>
    <t>6 Yd. Containers 1</t>
  </si>
  <si>
    <t>Caution Labels</t>
  </si>
  <si>
    <t>Lids &amp; Wheels</t>
  </si>
  <si>
    <t>1-4 Yd. Container</t>
  </si>
  <si>
    <t>Lids</t>
  </si>
  <si>
    <t>4 Yd. Cont.</t>
  </si>
  <si>
    <t>1-2 Yd. Container</t>
  </si>
  <si>
    <t>8 Lids</t>
  </si>
  <si>
    <t>4-2Yd.</t>
  </si>
  <si>
    <t>6-1.5Yd.</t>
  </si>
  <si>
    <t>10-5 Yard Containers</t>
  </si>
  <si>
    <t>1 Yd. Container</t>
  </si>
  <si>
    <t>2-4 Yd. Containers</t>
  </si>
  <si>
    <t>Saftey Decals</t>
  </si>
  <si>
    <t>Containers</t>
  </si>
  <si>
    <t>Solid Waste System</t>
  </si>
  <si>
    <t>2 Yd Cont.,</t>
  </si>
  <si>
    <t>3 Yd Cont.</t>
  </si>
  <si>
    <t>Containers (Western Sys.)</t>
  </si>
  <si>
    <t>4-RL Containers</t>
  </si>
  <si>
    <t>2-1 Yd. WSF RL-1</t>
  </si>
  <si>
    <t>2-1.5 Yd.WSF RL-1/2</t>
  </si>
  <si>
    <t>2-1 Yd.WSF RL-1</t>
  </si>
  <si>
    <t>2-2 Yd. WSF RL-2</t>
  </si>
  <si>
    <t>3-RL Containers</t>
  </si>
  <si>
    <t>1-3 yd RS Container</t>
  </si>
  <si>
    <t xml:space="preserve">4-1.5 yd RL Container </t>
  </si>
  <si>
    <t>3-1 yd RL Container</t>
  </si>
  <si>
    <t>15-2 yd RL Container</t>
  </si>
  <si>
    <t>2-2 yd RL Container</t>
  </si>
  <si>
    <t>13-1.5 yd + 19-2 yd Cont (U)</t>
  </si>
  <si>
    <t>1-6 yd RL Container</t>
  </si>
  <si>
    <t>Misc-Lids, Caster, Caution Label</t>
  </si>
  <si>
    <t>2-3 yd RL Container</t>
  </si>
  <si>
    <t>10-1.5 Yd RL Containers</t>
  </si>
  <si>
    <t>4-3 Yd RL Tall Containers</t>
  </si>
  <si>
    <t>5-1 Yd RL Containers</t>
  </si>
  <si>
    <t>6-3 Yd RL Long Containers</t>
  </si>
  <si>
    <t>3-4 Yd RL Containers</t>
  </si>
  <si>
    <t>8-1 RL, 5-1.5 RL, 2-2 RL</t>
  </si>
  <si>
    <t>3 Yd RL Cont w/Lids (N)</t>
  </si>
  <si>
    <t>4 Yd RL Cont w/Lids (N)</t>
  </si>
  <si>
    <t>2 Yd RL Cont w/Lids (N)</t>
  </si>
  <si>
    <t>1 Yd RL Cont w/Lids (N)</t>
  </si>
  <si>
    <t>1.5 Yd RL Cont w/Lids (N)</t>
  </si>
  <si>
    <t>1 Yd RL Cont w/Lids (U)</t>
  </si>
  <si>
    <t>1.5 Yd RL Cont w/Lids (U)</t>
  </si>
  <si>
    <t>2 Yd RL Cont w/Lids (U)</t>
  </si>
  <si>
    <t>3 Yd RL Cont w/Lids (U)</t>
  </si>
  <si>
    <t>1.5 yd REL Metal Containers</t>
  </si>
  <si>
    <t>3 yd REL Metal Containers</t>
  </si>
  <si>
    <t>4 yd REL Metal Containers</t>
  </si>
  <si>
    <t>1 yd Metal REL Containers</t>
  </si>
  <si>
    <t>8 yd REL Metal Container</t>
  </si>
  <si>
    <t>6 yd REL Metal Containers</t>
  </si>
  <si>
    <t>TOTAL CONTAINER</t>
  </si>
  <si>
    <t>GARBAGE CARTS</t>
  </si>
  <si>
    <t>325-98 Gal, 350-65 Gal</t>
  </si>
  <si>
    <t>96-Gal Cart (Schaefer) Gr (N)</t>
  </si>
  <si>
    <t>95-Gal Cart  (N)</t>
  </si>
  <si>
    <t>95-Gal Cart Gr (N)</t>
  </si>
  <si>
    <t>96-Gal Cart (N)</t>
  </si>
  <si>
    <t>TOTAL CARTS</t>
  </si>
  <si>
    <t>GARBAGE/RECYCLING CARTS</t>
  </si>
  <si>
    <t>65-Gal Cart (Schaefer) Gr (N)</t>
  </si>
  <si>
    <t>65-Gal Cart  (N)</t>
  </si>
  <si>
    <t>65-Gal Cart Gr (N)</t>
  </si>
  <si>
    <t>64-Gal Cart (N)</t>
  </si>
  <si>
    <t>TOTAL GARBAGE/RECYLING CARTS</t>
  </si>
  <si>
    <t>1-25 Yd Rolloff</t>
  </si>
  <si>
    <t>Rollofff Frame</t>
  </si>
  <si>
    <t>1-20 yd drop box</t>
  </si>
  <si>
    <t>3-40 yd drop box</t>
  </si>
  <si>
    <t>Roll-off hooks, Casters, etc</t>
  </si>
  <si>
    <t>1-40 Yd Rolloff</t>
  </si>
  <si>
    <t>25 yrd drop box</t>
  </si>
  <si>
    <t>1-2 Way Dome Screen Lid 25yd</t>
  </si>
  <si>
    <t>40 yd drop box</t>
  </si>
  <si>
    <t>25 yrd drop box (N)</t>
  </si>
  <si>
    <t>TOTAL ROLL OFF</t>
  </si>
  <si>
    <t>Service Equipment:</t>
  </si>
  <si>
    <t xml:space="preserve">Chevy Lilverado PU M2500 HD </t>
  </si>
  <si>
    <t>SHOP EQUIPMENT:</t>
  </si>
  <si>
    <t>Ford Pickup F450</t>
  </si>
  <si>
    <t>Ford F450 Deisel Tr.</t>
  </si>
  <si>
    <t>Air Compressor</t>
  </si>
  <si>
    <t>Steam Washer</t>
  </si>
  <si>
    <t>Hyster Forklift - Small</t>
  </si>
  <si>
    <t>Exit Awareness Sings,Lockout</t>
  </si>
  <si>
    <t>Eyewash Station</t>
  </si>
  <si>
    <t>Storage Cabinet</t>
  </si>
  <si>
    <t>Fire Extinguisher Signs</t>
  </si>
  <si>
    <t>Farm Plan</t>
  </si>
  <si>
    <t xml:space="preserve">Plasma Cutter </t>
  </si>
  <si>
    <t>2001 Ford F-150 (U)</t>
  </si>
  <si>
    <t>Gas Welder for Serv Trk</t>
  </si>
  <si>
    <t>RTA Equipment</t>
  </si>
  <si>
    <t>Fleet Diognostic Soltw. Laptop</t>
  </si>
  <si>
    <t>99980, 102020, 102021</t>
  </si>
  <si>
    <t>CAT Diognostic Softw installed</t>
  </si>
  <si>
    <t>TOTAL SHOP EQUIPMENT</t>
  </si>
  <si>
    <t>OFFICE EQUIPMENT:</t>
  </si>
  <si>
    <t>RM License</t>
  </si>
  <si>
    <t>HP Notebook</t>
  </si>
  <si>
    <t xml:space="preserve">Marlin Board </t>
  </si>
  <si>
    <t>HP ProBook</t>
  </si>
  <si>
    <t>Sony Internet TV</t>
  </si>
  <si>
    <t>HP ProBook 6570b (N)</t>
  </si>
  <si>
    <t>HP ProBook 600 G1 (N)</t>
  </si>
  <si>
    <t>HP ProBook 640 G1 (N)</t>
  </si>
  <si>
    <t>(5) Winterms</t>
  </si>
  <si>
    <t>Grandstream Phone System</t>
  </si>
  <si>
    <t>TOTAL OFFICE</t>
  </si>
  <si>
    <t>LH IMPROVEMENTS</t>
  </si>
  <si>
    <t>LH and Improvements</t>
  </si>
  <si>
    <t>Sewer Repair</t>
  </si>
  <si>
    <t>Planning &amp; Permitting Washpad for Shop</t>
  </si>
  <si>
    <t>Washpad for Shop</t>
  </si>
  <si>
    <t>Gutters, Shop-Office</t>
  </si>
  <si>
    <t>High Effic Lighting, Shop-Office</t>
  </si>
  <si>
    <t>Coat Metal Roof</t>
  </si>
  <si>
    <t>Paint Office &amp; Shop</t>
  </si>
  <si>
    <t>Paving - 5,250 Sq. Ft.</t>
  </si>
  <si>
    <t>Paving and Catch Basin- Stormwater</t>
  </si>
  <si>
    <t>TOTAL Leasehold Improvements</t>
  </si>
  <si>
    <t>TOTAL ASSETS</t>
  </si>
  <si>
    <t>2 YD Metal REL Containers</t>
  </si>
  <si>
    <t>25 Yd Lidded RO Boxes</t>
  </si>
  <si>
    <t>40 Yd Lidded RO Boxes</t>
  </si>
  <si>
    <t>1 Yd Metal REL Containers</t>
  </si>
  <si>
    <t>95 Gal Resi MSW Carts</t>
  </si>
  <si>
    <t>64 Gal Resi Recycle Carts</t>
  </si>
  <si>
    <t>Hot Water Pressure Washer</t>
  </si>
  <si>
    <t>12.75 HP Gas Air Compressor</t>
  </si>
  <si>
    <t>1989 Nissan Truck/MP</t>
  </si>
  <si>
    <t>Truck Tablets &amp; Mounts</t>
  </si>
  <si>
    <t>139928/166669</t>
  </si>
  <si>
    <t>185018 /184583</t>
  </si>
  <si>
    <t>Install of Security Cameras</t>
  </si>
  <si>
    <t>Perimeter Security Cameras</t>
  </si>
  <si>
    <t>40 Yd Lidded RO Box</t>
  </si>
  <si>
    <t>64 Gal Resi MSW Carts</t>
  </si>
  <si>
    <t>96 Gal Resi MSW Carts</t>
  </si>
  <si>
    <t>179264 / 58452</t>
  </si>
  <si>
    <t>Engine Rebuild Truck 8</t>
  </si>
  <si>
    <t>Grandstream GSP2135 Phone</t>
  </si>
  <si>
    <t>2018 Retriever Truck</t>
  </si>
  <si>
    <t>2001 Type H Drop R/O</t>
  </si>
  <si>
    <t>Retirements/Transfers 2017</t>
  </si>
  <si>
    <t>Annual</t>
  </si>
  <si>
    <t>4 Yd Metal REL Containers</t>
  </si>
  <si>
    <t>8 Yd Metal REL Container</t>
  </si>
  <si>
    <t>6 Yd Metal REL Containers</t>
  </si>
  <si>
    <t>2018 Chevy P/U - 4X4 Double Cab</t>
  </si>
  <si>
    <t>188921/189288/189649/190225</t>
  </si>
  <si>
    <t xml:space="preserve">Chevy Silverado PU M2500 HD </t>
  </si>
  <si>
    <t>Retired 2017</t>
  </si>
  <si>
    <t>RESIDENTIAL RECYCLING/GARBAGE</t>
  </si>
  <si>
    <t>Resi Recycling/Garbage - Shared</t>
  </si>
  <si>
    <t>COMM RECYCLING/GARBAGE</t>
  </si>
  <si>
    <t>Truck #67 Amort of salvage</t>
  </si>
  <si>
    <t>Truck #5 Amort of salvage</t>
  </si>
  <si>
    <t>Truck #8 Amort of salvage</t>
  </si>
  <si>
    <t>Truck #10 Amort of salvage</t>
  </si>
  <si>
    <t>Cart Tippers Amort of salvage</t>
  </si>
  <si>
    <t>Drive Cams Amort of salvage</t>
  </si>
  <si>
    <t>Truck #11 Amort of salvage</t>
  </si>
  <si>
    <t>Truck #14 Amort of salvage</t>
  </si>
  <si>
    <t>Truck #16 Amort of salvage</t>
  </si>
  <si>
    <t>Truck #7 Amort of salvage</t>
  </si>
  <si>
    <t>Truck #33 Amort of salvage</t>
  </si>
  <si>
    <t>Truck #1 Amort of salvage</t>
  </si>
  <si>
    <t>Truck #15 Amort of salvage</t>
  </si>
  <si>
    <t>Truck #25 Amort of salvage</t>
  </si>
  <si>
    <t>Truck #6 Amort of salvage</t>
  </si>
  <si>
    <t>Truck #74 Amort of salvage</t>
  </si>
  <si>
    <t>Truck #65 Amort of salvage</t>
  </si>
  <si>
    <t>Truck Chevy PU M2500 Amort of salvage</t>
  </si>
  <si>
    <t>Truck Ford F450 Amort of salvage</t>
  </si>
  <si>
    <t>Truck Ford F450 Diesel Amort of salvage</t>
  </si>
  <si>
    <t>2001 Ford F-150 (U) Amort of salvage</t>
  </si>
  <si>
    <t>Comm Recycling/Garbage - Shared</t>
  </si>
  <si>
    <t>TOTAL RESI RECYCLING/GARBAGE</t>
  </si>
  <si>
    <t>TOTAL COMM RECYCLING/GARBAGE</t>
  </si>
  <si>
    <t>Qty</t>
  </si>
  <si>
    <t>3 Yd Metal REL Containers</t>
  </si>
  <si>
    <t>2 Yd Metal REL Containers</t>
  </si>
  <si>
    <t>1.5 Yd Metal REL Containers</t>
  </si>
  <si>
    <t>Year/Mo</t>
  </si>
  <si>
    <t>Fully</t>
  </si>
  <si>
    <t>197308/199415/199288</t>
  </si>
  <si>
    <t>2019 REL Truck</t>
  </si>
  <si>
    <t>197308/197582/197492</t>
  </si>
  <si>
    <t>Drive Cam &amp; Radio Truck #18</t>
  </si>
  <si>
    <t>First Year</t>
  </si>
  <si>
    <t>200785/200988</t>
  </si>
  <si>
    <t>207231/208022/208021</t>
  </si>
  <si>
    <t>2018 RO Truck</t>
  </si>
  <si>
    <t>207231/207436</t>
  </si>
  <si>
    <t>Toolbox, Radio &amp; Drive Cam for RO Truck</t>
  </si>
  <si>
    <t>2000 Peterbilt 320 Chasis</t>
  </si>
  <si>
    <t>202893/202894</t>
  </si>
  <si>
    <t>Engine Replacement truck #245</t>
  </si>
  <si>
    <t>Transmission Replacement</t>
  </si>
  <si>
    <t>202893/202896</t>
  </si>
  <si>
    <t>202893/202895</t>
  </si>
  <si>
    <t>25787/197218</t>
  </si>
  <si>
    <t>Cap Repair Engine Rebuild - Truck 7</t>
  </si>
  <si>
    <t>65 Gal Resi MSW Carts</t>
  </si>
  <si>
    <t>2018 Chevrolet 1500 Silverado</t>
  </si>
  <si>
    <t>40 yd RO Boxes</t>
  </si>
  <si>
    <t>Shop Laptop - HP Probook 640</t>
  </si>
  <si>
    <t>2018 Retirements/Transfers</t>
  </si>
  <si>
    <t>2018 Amort of salvage of disposed of assets</t>
  </si>
  <si>
    <t>95 Gallon Resi MSW Carts</t>
  </si>
  <si>
    <t>Diagnostic Software - Cummins</t>
  </si>
  <si>
    <t>Diagnostic Software - Noregon Systems Software</t>
  </si>
  <si>
    <t>2019 Retirements/Transfers</t>
  </si>
  <si>
    <t>65 Gallon Resi MSW Cart</t>
  </si>
  <si>
    <t>25 Yd RO Box</t>
  </si>
  <si>
    <t>40 Yd RO Boxes</t>
  </si>
  <si>
    <t>4 yd Metal REL</t>
  </si>
  <si>
    <t>3 yd Metal REL</t>
  </si>
  <si>
    <t>1.5 Yd Metal REL</t>
  </si>
  <si>
    <t>1.5 Yd REL Containers</t>
  </si>
  <si>
    <t>3 Yd RL Dumpsters</t>
  </si>
  <si>
    <t>4 Yd REL Containers</t>
  </si>
  <si>
    <t>1 Yd RL Containers, Duraflex Lids, Green</t>
  </si>
  <si>
    <t>2 Yd Rearload Containers</t>
  </si>
  <si>
    <t>Diagnostic Software - Davie4</t>
  </si>
  <si>
    <t>225915/ 224135</t>
  </si>
  <si>
    <t>Diagnositc Software - Allison</t>
  </si>
  <si>
    <t>Panasonic Toughbook 54 Lite</t>
  </si>
  <si>
    <t>230179/ 232182/ 233144</t>
  </si>
  <si>
    <t>2020 Peterbilt REL Truck</t>
  </si>
  <si>
    <t>230179/ 232181/233652</t>
  </si>
  <si>
    <t xml:space="preserve">Drive Cam &amp; Radio </t>
  </si>
  <si>
    <t>65 Gallon Roll Carts</t>
  </si>
  <si>
    <t>2 Yd REL Containers</t>
  </si>
  <si>
    <t>Drive Cam - Qty 4</t>
  </si>
  <si>
    <t>40 Yd Metal RO Containers</t>
  </si>
  <si>
    <t>95 Gal Resi MSW Cart -</t>
  </si>
  <si>
    <t>65 Gal Resi MSW Cart - v</t>
  </si>
  <si>
    <t xml:space="preserve">Transfer </t>
  </si>
  <si>
    <t>2020 Retirements/Transfers</t>
  </si>
  <si>
    <t>243663/246248</t>
  </si>
  <si>
    <t>Registration &amp; Taxes</t>
  </si>
  <si>
    <t>2021 Peterbilt Retriever Truck- Chassis</t>
  </si>
  <si>
    <t>251929/251930</t>
  </si>
  <si>
    <t>2021 Peterbilt Retriever Truck- Body</t>
  </si>
  <si>
    <t>1 Yard Containers</t>
  </si>
  <si>
    <t>1 Yard FEL Containers</t>
  </si>
  <si>
    <t>2YD Rearload Containers</t>
  </si>
  <si>
    <t>3 YD Container</t>
  </si>
  <si>
    <t>1.5 YD Container</t>
  </si>
  <si>
    <t>3 YD REL Containers</t>
  </si>
  <si>
    <t>1.5 YD REL Containers</t>
  </si>
  <si>
    <t>1 YD REL Containers</t>
  </si>
  <si>
    <t>4 YD REL Container</t>
  </si>
  <si>
    <t>3 YD REL Container</t>
  </si>
  <si>
    <t>95 Gallon Resi MSW Cart</t>
  </si>
  <si>
    <t>HP ProBook 635 Aero G7 - S#5CG116106J</t>
  </si>
  <si>
    <t>40 YD RO Boxes</t>
  </si>
  <si>
    <t>2022 Container Trailer</t>
  </si>
  <si>
    <t>256980/259342</t>
  </si>
  <si>
    <t>+</t>
  </si>
  <si>
    <t>Proforma Adds</t>
  </si>
  <si>
    <t>=</t>
  </si>
  <si>
    <t>Combined Summary - This Section to Proforma</t>
  </si>
  <si>
    <t>WCNX</t>
  </si>
  <si>
    <t>A</t>
  </si>
  <si>
    <t>Internal</t>
  </si>
  <si>
    <t>P</t>
  </si>
  <si>
    <t>2120-21-0014-1</t>
  </si>
  <si>
    <t>6 YD REL Container</t>
  </si>
  <si>
    <t>ENTERPRISE SALES INC</t>
  </si>
  <si>
    <t>6yd REL Containers</t>
  </si>
  <si>
    <t>3yd REL Containers</t>
  </si>
  <si>
    <t>2 YD REL Container</t>
  </si>
  <si>
    <t>2yd REL Containers</t>
  </si>
  <si>
    <t>1 YD REL Container</t>
  </si>
  <si>
    <t>1yd REL Containers</t>
  </si>
  <si>
    <t>1.5 YD REL Container</t>
  </si>
  <si>
    <t>1.5yd REL Containers</t>
  </si>
  <si>
    <t>2120-21-0013-1</t>
  </si>
  <si>
    <t>4yd REL Containers</t>
  </si>
  <si>
    <t>0039433-IN</t>
  </si>
  <si>
    <t>2120-21-0010-1</t>
  </si>
  <si>
    <t>40 YD RO Box</t>
  </si>
  <si>
    <t>RULE STEEL TANKS INC</t>
  </si>
  <si>
    <t>40yd RO boxes</t>
  </si>
  <si>
    <t>5866-388510</t>
  </si>
  <si>
    <t>2120-21-0004-1</t>
  </si>
  <si>
    <t>Non-Rolling Stock</t>
  </si>
  <si>
    <t>Jones Truck and Implement</t>
  </si>
  <si>
    <t>battery cable, led flood and junction box for new trailer</t>
  </si>
  <si>
    <t>WA DOL PULLMAN VEHICLE VE</t>
  </si>
  <si>
    <t>3CV1U2227N2631018</t>
  </si>
  <si>
    <t>TITLE, LICENSE AND SALES TAX FOR UTILITY TRAILER</t>
  </si>
  <si>
    <t>FREEBURG SALES &amp; SERVICE</t>
  </si>
  <si>
    <t>94-3283464</t>
  </si>
  <si>
    <t>2120-21-0012-1</t>
  </si>
  <si>
    <t>Non-Container Audit</t>
  </si>
  <si>
    <t>REHRIG PACIFIC COMPANY IN</t>
  </si>
  <si>
    <t>Evergreen</t>
  </si>
  <si>
    <t>a</t>
  </si>
  <si>
    <t>1 YD FEL/REL/SL Metal</t>
  </si>
  <si>
    <t>06-15588</t>
  </si>
  <si>
    <t>06-2146-003</t>
  </si>
  <si>
    <t>1.5 YD FEL/REL/SL Metal</t>
  </si>
  <si>
    <t>WESTERN SYSTEMS &amp; FABRICA</t>
  </si>
  <si>
    <t>2146-10-0001-1</t>
  </si>
  <si>
    <t>WASTEQUIP - OREGON</t>
  </si>
  <si>
    <t>Lakeside Disposal</t>
  </si>
  <si>
    <t>2 YD FEL/REL/SL Metal</t>
  </si>
  <si>
    <t>2120-11-0003-1</t>
  </si>
  <si>
    <t>Grouped Containers</t>
  </si>
  <si>
    <t>Enterprise Sales, Inc.</t>
  </si>
  <si>
    <t>L393288</t>
  </si>
  <si>
    <t>2120-21-0009-1</t>
  </si>
  <si>
    <t>CDW DIR #2120-21-0009</t>
  </si>
  <si>
    <t>docking station for laptop S/N# 2TK135Z0Y8</t>
  </si>
  <si>
    <t>2120-21-0009</t>
  </si>
  <si>
    <t>2120-21-0005</t>
  </si>
  <si>
    <t>2NP2HJ6X5MM744769</t>
  </si>
  <si>
    <t>2120-20-0002</t>
  </si>
  <si>
    <t>Retriever Truck</t>
  </si>
  <si>
    <t>20INV000015004</t>
  </si>
  <si>
    <t>2120-21-0007-1</t>
  </si>
  <si>
    <t>WASTEQUIP LLC</t>
  </si>
  <si>
    <t>20INV000015176</t>
  </si>
  <si>
    <t>2120-21-0008-1</t>
  </si>
  <si>
    <t>0038893-IN</t>
  </si>
  <si>
    <t>2120-21-0006-1</t>
  </si>
  <si>
    <t>2125-20-0006-1</t>
  </si>
  <si>
    <t>Compressor World LLC</t>
  </si>
  <si>
    <t>2120-20-0013</t>
  </si>
  <si>
    <t>REL Truck</t>
  </si>
  <si>
    <t>McNeilus</t>
  </si>
  <si>
    <t>Peterbilt</t>
  </si>
  <si>
    <t>90180RP</t>
  </si>
  <si>
    <t>2NP3LJ0X6LM672541</t>
  </si>
  <si>
    <t>2020 Peterbilt 348 25cy REL</t>
  </si>
  <si>
    <t>2120-20-0012-1</t>
  </si>
  <si>
    <t>0038292-IN</t>
  </si>
  <si>
    <t>2120-20-0005-1</t>
  </si>
  <si>
    <t>40 YD Metal RO Containers</t>
  </si>
  <si>
    <t>2120-20-0011-1</t>
  </si>
  <si>
    <t>Lytx</t>
  </si>
  <si>
    <t>Drive Cam- Qt 4</t>
  </si>
  <si>
    <t>2120-20-0010-1</t>
  </si>
  <si>
    <t>2120-20-0009-1</t>
  </si>
  <si>
    <t>4 YD FEL/REL/SL Metal</t>
  </si>
  <si>
    <t>4 Yard REL Container</t>
  </si>
  <si>
    <t>2 Yard REL Container</t>
  </si>
  <si>
    <t>1.5 Yard REL Container</t>
  </si>
  <si>
    <t>01-2011-001</t>
  </si>
  <si>
    <t>Otto Industries</t>
  </si>
  <si>
    <t>6150000001-6150000100</t>
  </si>
  <si>
    <t>2120-20-0008-1</t>
  </si>
  <si>
    <t>2120-20-0007-1</t>
  </si>
  <si>
    <t>CLARK COMMUNICATIONS, INC</t>
  </si>
  <si>
    <t>Radio for REL Truck</t>
  </si>
  <si>
    <t>WA DOL LIC &amp; REG</t>
  </si>
  <si>
    <t>Licensing/Registration - New Peterbilt REL</t>
  </si>
  <si>
    <t>The Sign Man</t>
  </si>
  <si>
    <t>Decals</t>
  </si>
  <si>
    <t>Drive Cam</t>
  </si>
  <si>
    <t>2120-20-0007</t>
  </si>
  <si>
    <t>C63951S</t>
  </si>
  <si>
    <t>2NP3LJ0X2LM700271</t>
  </si>
  <si>
    <t>2120-19-0011-2</t>
  </si>
  <si>
    <t>PACCAR</t>
  </si>
  <si>
    <t>Diagnostic Software - Davie 4</t>
  </si>
  <si>
    <t>2120-19-0012</t>
  </si>
  <si>
    <t>INV00019169</t>
  </si>
  <si>
    <t>NOREGON SYSTEMS INC</t>
  </si>
  <si>
    <t>Diagnostic Software - Allison</t>
  </si>
  <si>
    <t>VTL2069</t>
  </si>
  <si>
    <t>2120-19-0011-1</t>
  </si>
  <si>
    <t>CDW</t>
  </si>
  <si>
    <t>2120-19-0012-1</t>
  </si>
  <si>
    <t>2120-19-0007-1</t>
  </si>
  <si>
    <t>25 YD RO Box</t>
  </si>
  <si>
    <t>2120-19-0008-1</t>
  </si>
  <si>
    <t>6 YD FEL/REL/SL Metal</t>
  </si>
  <si>
    <t>6 YD REL Metal Container</t>
  </si>
  <si>
    <t>4 YD Metal REL</t>
  </si>
  <si>
    <t>3 YD FEL/REL/SL Metal</t>
  </si>
  <si>
    <t>3 YD Metal REL</t>
  </si>
  <si>
    <t>1.5 YD Metal REL</t>
  </si>
  <si>
    <t>1 YD Metal REL</t>
  </si>
  <si>
    <t>06-15921</t>
  </si>
  <si>
    <t>06-2146-004</t>
  </si>
  <si>
    <t>Bill of Sale 1</t>
  </si>
  <si>
    <t>U042146004</t>
  </si>
  <si>
    <t>City of Olympia</t>
  </si>
  <si>
    <t>3 YD RL Dumpsters</t>
  </si>
  <si>
    <t>DA-43742</t>
  </si>
  <si>
    <t>2120-19-0009-1</t>
  </si>
  <si>
    <t>Cummins</t>
  </si>
  <si>
    <t>2120-19-0006-1</t>
  </si>
  <si>
    <t>2120-18-0008-1</t>
  </si>
  <si>
    <t>SWS</t>
  </si>
  <si>
    <t>2018 Peterbilt RO Truck - Licensing</t>
  </si>
  <si>
    <t>2018 Peterbilt RO Truck - Decals</t>
  </si>
  <si>
    <t>0110078-IN</t>
  </si>
  <si>
    <t>Toolbox for Truck</t>
  </si>
  <si>
    <t>Radio</t>
  </si>
  <si>
    <t>R/O Truck</t>
  </si>
  <si>
    <t>GalFab</t>
  </si>
  <si>
    <t>C96677M</t>
  </si>
  <si>
    <t>1NPCX4EX6KD605621</t>
  </si>
  <si>
    <t>2019 Peterbilt 567 Roll Off Truck</t>
  </si>
  <si>
    <t>LA227893</t>
  </si>
  <si>
    <t>2120-18-0016-1</t>
  </si>
  <si>
    <t>65 Gallon Resi MSW Carts</t>
  </si>
  <si>
    <t>2120-18-0012-1</t>
  </si>
  <si>
    <t>2120-18-0015-1</t>
  </si>
  <si>
    <t>Pick Up Truck</t>
  </si>
  <si>
    <t>Chevrolet</t>
  </si>
  <si>
    <t>C96526M</t>
  </si>
  <si>
    <t>1GCNKNEC8JZ272986</t>
  </si>
  <si>
    <t>2018 Chevrolet Silverado 1500</t>
  </si>
  <si>
    <t>2120-18-0013-1</t>
  </si>
  <si>
    <t>TOTER LLC</t>
  </si>
  <si>
    <t>PDC7552</t>
  </si>
  <si>
    <t>2120-18-0014-1</t>
  </si>
  <si>
    <t>2120-18-0011-4</t>
  </si>
  <si>
    <t>2120-18-0011-3</t>
  </si>
  <si>
    <t>2120-18-0011-2</t>
  </si>
  <si>
    <t>2120-18-0011-1</t>
  </si>
  <si>
    <t>WO 17222</t>
  </si>
  <si>
    <t>2010-9-0060-1</t>
  </si>
  <si>
    <t>Engine Replacement on truck #245 (Engine &amp; Labor)</t>
  </si>
  <si>
    <t>5193408-00</t>
  </si>
  <si>
    <t>2010-9-0041-1</t>
  </si>
  <si>
    <t>Transmission replacement on front-line recycle truck #245</t>
  </si>
  <si>
    <t>00-2010-B</t>
  </si>
  <si>
    <t>1- Labrie Top Select 1000 Recycler</t>
  </si>
  <si>
    <t>2000-2010-F003</t>
  </si>
  <si>
    <t>Recycle Truck</t>
  </si>
  <si>
    <t>Hew Van Body</t>
  </si>
  <si>
    <t>Peterbilt 320</t>
  </si>
  <si>
    <t>C18883G</t>
  </si>
  <si>
    <t>1NPZHZ7X0YD712979</t>
  </si>
  <si>
    <t>2000 Peterbilt 320 Storage Truck</t>
  </si>
  <si>
    <t>2120-18-0007-1</t>
  </si>
  <si>
    <t>2018 Pete/McNeilus REL Truck-Decaling</t>
  </si>
  <si>
    <t>Mcneilus</t>
  </si>
  <si>
    <t>C96889M</t>
  </si>
  <si>
    <t>2NP3LJ0X7KM274088</t>
  </si>
  <si>
    <t>2019 Peterbilt 348 25cy REL</t>
  </si>
  <si>
    <t>2120-18-0001-1</t>
  </si>
  <si>
    <t>The Signman Signs</t>
  </si>
  <si>
    <t>Signage for Truck # 18</t>
  </si>
  <si>
    <t>WA Dept of Licensing</t>
  </si>
  <si>
    <t>Licensing for Truck # 18</t>
  </si>
  <si>
    <t>Drivecam for 2018 REL Truck # 18</t>
  </si>
  <si>
    <t>Clark Communications</t>
  </si>
  <si>
    <t>Radio for REL Truck # 18</t>
  </si>
  <si>
    <t>C05128L</t>
  </si>
  <si>
    <t>2NP3LJ0X5KM264045</t>
  </si>
  <si>
    <t>2120-18-0009-1</t>
  </si>
  <si>
    <t>64 Gal Resi MSWCarts</t>
  </si>
  <si>
    <t>2120-18-0009-2</t>
  </si>
  <si>
    <t>2120-17-0013-1</t>
  </si>
  <si>
    <t>2120-17-0012-1</t>
  </si>
  <si>
    <t>2120-17-0012-3</t>
  </si>
  <si>
    <t>8 YD FEL/REL/SL Metal</t>
  </si>
  <si>
    <t>2120-17-0012-2</t>
  </si>
  <si>
    <t>2120-17-0016-1</t>
  </si>
  <si>
    <t>C04586L</t>
  </si>
  <si>
    <t>1GC2KUEG0JZ186443</t>
  </si>
  <si>
    <t>2018 Chevrolet Silverado 2500HD</t>
  </si>
  <si>
    <t>2120-17-0006-1</t>
  </si>
  <si>
    <t>Signage for Truck</t>
  </si>
  <si>
    <t>Addl Sales Tax on Retriever Truck Radio</t>
  </si>
  <si>
    <t>Licensing for New Retriever Truck #17</t>
  </si>
  <si>
    <t>P591590</t>
  </si>
  <si>
    <t>Heil</t>
  </si>
  <si>
    <t>C18588K</t>
  </si>
  <si>
    <t>3BPPHM6XXJF591590</t>
  </si>
  <si>
    <t>2018 Peterbilt 220 10cy Retriever</t>
  </si>
  <si>
    <t>Empire</t>
  </si>
  <si>
    <t>Opening Entry</t>
  </si>
  <si>
    <t>2120-17-0011-1</t>
  </si>
  <si>
    <t>2120-17-0010-1</t>
  </si>
  <si>
    <t>STEVEN B BRETVELD</t>
  </si>
  <si>
    <t>B&amp;H Photo</t>
  </si>
  <si>
    <t>2120-17-0009-1</t>
  </si>
  <si>
    <t>WESTERN SYSTEMS AND FABRI</t>
  </si>
  <si>
    <t>2120-17-0007-1</t>
  </si>
  <si>
    <t>2120-17-0007-2</t>
  </si>
  <si>
    <t>FQC7433</t>
  </si>
  <si>
    <t>2120-16-0015-1</t>
  </si>
  <si>
    <t>5866-239133</t>
  </si>
  <si>
    <t>2120-16-0020-1</t>
  </si>
  <si>
    <t>2120-16-0018-3</t>
  </si>
  <si>
    <t>2120-16-0018-2</t>
  </si>
  <si>
    <t>2120-16-0017-1</t>
  </si>
  <si>
    <t>2120-16-0017-3</t>
  </si>
  <si>
    <t>2120-16-0017-2</t>
  </si>
  <si>
    <t>2120-16-0004-1</t>
  </si>
  <si>
    <t>The Pressure Doctor</t>
  </si>
  <si>
    <t>2120-16-0016-2</t>
  </si>
  <si>
    <t>2120-16-0016-1</t>
  </si>
  <si>
    <t>2120-16-0019-1</t>
  </si>
  <si>
    <t>SI-1139372</t>
  </si>
  <si>
    <t>2120-16-0011-1</t>
  </si>
  <si>
    <t>ProClip USA, Inc.</t>
  </si>
  <si>
    <t>(13) Pedestal Mounts and Sleeves for Route Tablets</t>
  </si>
  <si>
    <t>MB7000005138317</t>
  </si>
  <si>
    <t>Verizon</t>
  </si>
  <si>
    <t>(13) Tablets for Routed Trucks</t>
  </si>
  <si>
    <t>104-1534689-4913826</t>
  </si>
  <si>
    <t>2190-16-0043-1</t>
  </si>
  <si>
    <t>Amazon.com</t>
  </si>
  <si>
    <t>PBX Appliance</t>
  </si>
  <si>
    <t>114-1609993-8374628</t>
  </si>
  <si>
    <t>2120-16-0010-1</t>
  </si>
  <si>
    <t>Install of Decals on Truck 16</t>
  </si>
  <si>
    <t>C23599E</t>
  </si>
  <si>
    <t>WA DOL</t>
  </si>
  <si>
    <t>Licensing for Truck # 16</t>
  </si>
  <si>
    <t>Lytx, Inc.</t>
  </si>
  <si>
    <t>Drivecam for Truck # 16</t>
  </si>
  <si>
    <t>Radio and install for Truck # 16</t>
  </si>
  <si>
    <t>P360740</t>
  </si>
  <si>
    <t>2NP3LJ0X0GM360740</t>
  </si>
  <si>
    <t>2016 Peterbilt 348 25cy REL</t>
  </si>
  <si>
    <t>2120-15-0009-1</t>
  </si>
  <si>
    <t>TOTER INCORPORATED</t>
  </si>
  <si>
    <t>96 Gal Resi Carts</t>
  </si>
  <si>
    <t>64 Gal Resi Carts</t>
  </si>
  <si>
    <t>2120-15-0007-1</t>
  </si>
  <si>
    <t>6 Yd REL Metal Containers</t>
  </si>
  <si>
    <t>8 Yd REL Metal Container</t>
  </si>
  <si>
    <t>C51271D</t>
  </si>
  <si>
    <t>2120-15-0005-1</t>
  </si>
  <si>
    <t>Licensing for Truck #14- Freightliner REL</t>
  </si>
  <si>
    <t>P335531</t>
  </si>
  <si>
    <t>55463RP</t>
  </si>
  <si>
    <t>2NP3LJ0X9GM335531</t>
  </si>
  <si>
    <t>2120-15-0006-1</t>
  </si>
  <si>
    <t>POE ASPHALT PAVING, INC</t>
  </si>
  <si>
    <t>Paving and Catch Basin Install- Stormwater Remediation</t>
  </si>
  <si>
    <t>SL43872</t>
  </si>
  <si>
    <t>2000-15-0007-1</t>
  </si>
  <si>
    <t>2120-14-0008-2</t>
  </si>
  <si>
    <t>25YD Roll Off Containers</t>
  </si>
  <si>
    <t>4YD REL Containers</t>
  </si>
  <si>
    <t>3YD REL Containers</t>
  </si>
  <si>
    <t>1.5YD REL Containers</t>
  </si>
  <si>
    <t>2120-14-0008-1</t>
  </si>
  <si>
    <t>1YD REL Containers</t>
  </si>
  <si>
    <t>QQ58451</t>
  </si>
  <si>
    <t>2120-14-0010-1</t>
  </si>
  <si>
    <t>CDW Direct</t>
  </si>
  <si>
    <t>HP Probook 640 G1</t>
  </si>
  <si>
    <t>2120-14-0009-1</t>
  </si>
  <si>
    <t>Winch Upgrade - Multiple Containers</t>
  </si>
  <si>
    <t>LA188313</t>
  </si>
  <si>
    <t>2120-14-0007-1</t>
  </si>
  <si>
    <t>REHRIG PACIFIC COMPANY</t>
  </si>
  <si>
    <t>65 Gallon MSW Carts</t>
  </si>
  <si>
    <t>LA188312</t>
  </si>
  <si>
    <t>95 Gallon MSW Carts</t>
  </si>
  <si>
    <t>MM33549</t>
  </si>
  <si>
    <t>2120-14-0006-1</t>
  </si>
  <si>
    <t>HP Prodesk 600 G1</t>
  </si>
  <si>
    <t>J787178</t>
  </si>
  <si>
    <t>1010-12-0021-1</t>
  </si>
  <si>
    <t>2121-10-0005-1</t>
  </si>
  <si>
    <t>DRIVECAM INC</t>
  </si>
  <si>
    <t>Drivecam Installation Equipment</t>
  </si>
  <si>
    <t>Drivecam Installation</t>
  </si>
  <si>
    <t>NO</t>
  </si>
  <si>
    <t>Forklift</t>
  </si>
  <si>
    <t>Other</t>
  </si>
  <si>
    <t>B7P9288X</t>
  </si>
  <si>
    <t>Hyster Forklift - Large</t>
  </si>
  <si>
    <t>P-Tax</t>
  </si>
  <si>
    <t>2120-13-0006-1</t>
  </si>
  <si>
    <t>Pave new area 5,250 sq ft with 4 asphalt</t>
  </si>
  <si>
    <t>FW55941</t>
  </si>
  <si>
    <t>2120-13-0008-1</t>
  </si>
  <si>
    <t>HP ProBook 6570b - 15.6" - Core i5</t>
  </si>
  <si>
    <t>2120-13-0005-1</t>
  </si>
  <si>
    <t>Paint Crafters</t>
  </si>
  <si>
    <t>Paint office and shop- environmental compliance</t>
  </si>
  <si>
    <t>LA179413</t>
  </si>
  <si>
    <t>2120-13-0007-1</t>
  </si>
  <si>
    <t>65 Gallon Green Roll carts</t>
  </si>
  <si>
    <t>LA179799</t>
  </si>
  <si>
    <t>95 gallon Green Roll Carts</t>
  </si>
  <si>
    <t>04-11246</t>
  </si>
  <si>
    <t>Western Systems &amp; Fabrica</t>
  </si>
  <si>
    <t>4 YD RL Containers, Duraflex Lids, Green</t>
  </si>
  <si>
    <t>06-16969</t>
  </si>
  <si>
    <t>07-2146-402</t>
  </si>
  <si>
    <t>3-Yard REL Containers</t>
  </si>
  <si>
    <t>2 YD Rearload Containers</t>
  </si>
  <si>
    <t>PC060714534</t>
  </si>
  <si>
    <t>2120-12-0007-2</t>
  </si>
  <si>
    <t>CAT Diagnostic Software and Cables</t>
  </si>
  <si>
    <t>PC060713671</t>
  </si>
  <si>
    <t>WESTERN STATES EQUIPMENT</t>
  </si>
  <si>
    <t>CAT Diagnostic software and install components</t>
  </si>
  <si>
    <t>2120-12-0007-1</t>
  </si>
  <si>
    <t>ARV/18363098</t>
  </si>
  <si>
    <t>Fleet Diagnostic Software and Laptop- Snapon Nexiq</t>
  </si>
  <si>
    <t>2120-12-0008-1</t>
  </si>
  <si>
    <t>1 yd REL Containers- White, Refuse</t>
  </si>
  <si>
    <t>2 yd REL Containers- White, Refuse</t>
  </si>
  <si>
    <t>2120-12-0002-1</t>
  </si>
  <si>
    <t>EMPIRE ROOF COATINGS</t>
  </si>
  <si>
    <t>2120-12-0006-1</t>
  </si>
  <si>
    <t>(1) Mobile radio and install on 2011 REL Truck</t>
  </si>
  <si>
    <t>225-274406</t>
  </si>
  <si>
    <t>2120-14-0011-1</t>
  </si>
  <si>
    <t>Rush Truck Center</t>
  </si>
  <si>
    <t>TRK# 11 - In-frame Engine Repair</t>
  </si>
  <si>
    <t>2120-12-0005-1</t>
  </si>
  <si>
    <t>1HTWGAAT7BJ315303</t>
  </si>
  <si>
    <t>Licensing for REL truck</t>
  </si>
  <si>
    <t>RENT10267</t>
  </si>
  <si>
    <t>International 7400</t>
  </si>
  <si>
    <t>B67005W</t>
  </si>
  <si>
    <t>2011 International 7400 25cy REL</t>
  </si>
  <si>
    <t>C563023</t>
  </si>
  <si>
    <t>1010-11-0048-1</t>
  </si>
  <si>
    <t>(1) Sony Internet TV S/N# S0180642006</t>
  </si>
  <si>
    <t>2120-11-0014-1</t>
  </si>
  <si>
    <t>New High Efficiency shop and office lighting</t>
  </si>
  <si>
    <t>4 YD FEL Container</t>
  </si>
  <si>
    <t>2120-11-0013-1</t>
  </si>
  <si>
    <t>A-L Compressed Gases</t>
  </si>
  <si>
    <t>Gas welder for service truck</t>
  </si>
  <si>
    <t>2120-11-0001-1</t>
  </si>
  <si>
    <t>Freight on resi carts</t>
  </si>
  <si>
    <t>WARA138623</t>
  </si>
  <si>
    <t>Schaefer Systems</t>
  </si>
  <si>
    <t>65 gal resi carts</t>
  </si>
  <si>
    <t>95 gal resi carts</t>
  </si>
  <si>
    <t>0052145-IN</t>
  </si>
  <si>
    <t>2120-11-0004-1</t>
  </si>
  <si>
    <t>S/L Truck</t>
  </si>
  <si>
    <t>2NPYHM5X7CM154780</t>
  </si>
  <si>
    <t>Body for Peterbilt SL truck</t>
  </si>
  <si>
    <t>P154780</t>
  </si>
  <si>
    <t>Wayne</t>
  </si>
  <si>
    <t>Peterbilt 325</t>
  </si>
  <si>
    <t>B77353T</t>
  </si>
  <si>
    <t>2012 Peterbilt 325 S/L</t>
  </si>
  <si>
    <t>2120-11-0006-1</t>
  </si>
  <si>
    <t>Additional gutters on shop/office</t>
  </si>
  <si>
    <t>Spokane Gutter</t>
  </si>
  <si>
    <t>Gutters- Empire Office/Shop</t>
  </si>
  <si>
    <t>2120-11-0007-1</t>
  </si>
  <si>
    <t>Service Truck</t>
  </si>
  <si>
    <t>Stahl</t>
  </si>
  <si>
    <t>FORD F-550</t>
  </si>
  <si>
    <t>B10025T</t>
  </si>
  <si>
    <t>1FDAF56F31EA03972</t>
  </si>
  <si>
    <t>2001 Ford F550 Service Truck</t>
  </si>
  <si>
    <t>Chevrolet C20</t>
  </si>
  <si>
    <t>B96537E</t>
  </si>
  <si>
    <t>2GCGK24M8E1116950</t>
  </si>
  <si>
    <t>1984 Chevrolet C20 outfitted with snowplow</t>
  </si>
  <si>
    <t>LeMay Enterprises</t>
  </si>
  <si>
    <t>1 Yard REL Commercial Containers</t>
  </si>
  <si>
    <t>WTW9158</t>
  </si>
  <si>
    <t>2120-11-0012-1</t>
  </si>
  <si>
    <t>HP ProBook 6450B (SN = CNU10937Q5)  and Docking Station (SN = CNU104ZTCD)</t>
  </si>
  <si>
    <t>2120-11-0002-1</t>
  </si>
  <si>
    <t>4yd RL Containers (4 swivel wheels, 2 lid with winch loops)</t>
  </si>
  <si>
    <t>1.5yd RL Containers, (4 swivel wheels, 2-lid with winch loops)</t>
  </si>
  <si>
    <t>2120-10-0010-1</t>
  </si>
  <si>
    <t>THE MARLIN COMPANY</t>
  </si>
  <si>
    <t>Marlin Board for Empire Disposal</t>
  </si>
  <si>
    <t>0050622C</t>
  </si>
  <si>
    <t>2120-10-0005-1</t>
  </si>
  <si>
    <t>Daco</t>
  </si>
  <si>
    <t>Credit to cancel Curtain for Washpad</t>
  </si>
  <si>
    <t>Washpad for Empire Shop</t>
  </si>
  <si>
    <t>SXH9734</t>
  </si>
  <si>
    <t>2120-10-0008-1</t>
  </si>
  <si>
    <t>HP Notebook 6530b (SN SCNU0191KJH) and Docking Station (SN CNU021X0VL)</t>
  </si>
  <si>
    <t>2120-10-0006-1</t>
  </si>
  <si>
    <t>Drive cam</t>
  </si>
  <si>
    <t>(26) Drive-cams for Trucks</t>
  </si>
  <si>
    <t>10-25581</t>
  </si>
  <si>
    <t>2120-10-0002-1</t>
  </si>
  <si>
    <t>1.5 Yard REL Containers</t>
  </si>
  <si>
    <t>1 Yard REL Containers</t>
  </si>
  <si>
    <t>09-2260K</t>
  </si>
  <si>
    <t>2120-9-0017-1</t>
  </si>
  <si>
    <t>Keltic Engineerning</t>
  </si>
  <si>
    <t>Planning &amp; Permitting for Truck Washpad</t>
  </si>
  <si>
    <t>5866-51133</t>
  </si>
  <si>
    <t>2120-9-0018-1</t>
  </si>
  <si>
    <t>JONES TRUCK &amp; IMPLEMENT I</t>
  </si>
  <si>
    <t>Plasma cutter for shop</t>
  </si>
  <si>
    <t>2120-10-0007-1</t>
  </si>
  <si>
    <t>2NPRLN0X9AM107957</t>
  </si>
  <si>
    <t>(2) New 2010 Cart Tippers</t>
  </si>
  <si>
    <t>2120-9-0015-1</t>
  </si>
  <si>
    <t>B39071N</t>
  </si>
  <si>
    <t>2010 Peterbilt 340 25cy REL</t>
  </si>
  <si>
    <t>09-23412</t>
  </si>
  <si>
    <t>2120-9-0008-1</t>
  </si>
  <si>
    <t>(165) 65 Gallon and (289) 95 Gallon Resi Garbage Carts</t>
  </si>
  <si>
    <t>3 Yard Commercial Containers</t>
  </si>
  <si>
    <t>2 Yard Commercial Containers</t>
  </si>
  <si>
    <t>1.5 Yard Commercial Containers</t>
  </si>
  <si>
    <t>2120-9-0013-1</t>
  </si>
  <si>
    <t>DESERT MICRO</t>
  </si>
  <si>
    <t>Route Manager License for Empire Disposal Site a 5 User Licenses</t>
  </si>
  <si>
    <t>Waste Management Inc - Moscow Contract</t>
  </si>
  <si>
    <t>07-19749</t>
  </si>
  <si>
    <t>07-2120-404</t>
  </si>
  <si>
    <t>95 GA Carts</t>
  </si>
  <si>
    <t>65 Gallon Carts</t>
  </si>
  <si>
    <t>07-2120-007</t>
  </si>
  <si>
    <t>4 Yard REL Containers</t>
  </si>
  <si>
    <t>3 Yard REL Containers</t>
  </si>
  <si>
    <t>07-18935</t>
  </si>
  <si>
    <t>07-2120-008</t>
  </si>
  <si>
    <t>1.5YD REL</t>
  </si>
  <si>
    <t>1YD REL</t>
  </si>
  <si>
    <t>07-18753</t>
  </si>
  <si>
    <t>2YD REL</t>
  </si>
  <si>
    <t>07-18531</t>
  </si>
  <si>
    <t>07-2120-005</t>
  </si>
  <si>
    <t>40YD Roll Off</t>
  </si>
  <si>
    <t>25yd Container</t>
  </si>
  <si>
    <t>ENTERPRISE SALES, INC</t>
  </si>
  <si>
    <t>4YD REL</t>
  </si>
  <si>
    <t>3YD REL</t>
  </si>
  <si>
    <t>07-18371</t>
  </si>
  <si>
    <t>OTHER</t>
  </si>
  <si>
    <t>7LN00226</t>
  </si>
  <si>
    <t>06-16891</t>
  </si>
  <si>
    <t>07-2120-402</t>
  </si>
  <si>
    <t>1.5-Yard REL Containers</t>
  </si>
  <si>
    <t>1-Yard REL Containers</t>
  </si>
  <si>
    <t>06-16668</t>
  </si>
  <si>
    <t>06-16498</t>
  </si>
  <si>
    <t>06-2120-003</t>
  </si>
  <si>
    <t>25 Yd  06 box, carry over cap from 06</t>
  </si>
  <si>
    <t>06-2120-004</t>
  </si>
  <si>
    <t>06-15392</t>
  </si>
  <si>
    <t>06-2120-001</t>
  </si>
  <si>
    <t>06-15268</t>
  </si>
  <si>
    <t>2-Yard REL Containers</t>
  </si>
  <si>
    <t>06-15505</t>
  </si>
  <si>
    <t>06-2120-002</t>
  </si>
  <si>
    <t>95 Gallon Carts</t>
  </si>
  <si>
    <t>XD50894</t>
  </si>
  <si>
    <t>06-2120-401</t>
  </si>
  <si>
    <t>CDW DIRECT, LLC</t>
  </si>
  <si>
    <t>Controller Laptop - HP NX9600</t>
  </si>
  <si>
    <t>4Yd REL Containers</t>
  </si>
  <si>
    <t>3Yd REL Containers</t>
  </si>
  <si>
    <t>05-14358</t>
  </si>
  <si>
    <t>06-2120-400</t>
  </si>
  <si>
    <t>95 Gal Schaefer Carts - Green w/ Black Lids, Wheels</t>
  </si>
  <si>
    <t>reclass GW to site costs</t>
  </si>
  <si>
    <t>052120008B</t>
  </si>
  <si>
    <t>Enterprise Sales, Inc</t>
  </si>
  <si>
    <t>3 Yd RL Container; 4 Swivel Wheels, 4 Lid</t>
  </si>
  <si>
    <t>4 Yd RL Container; 4 Swivel Wheels, 4 Lid</t>
  </si>
  <si>
    <t>05-13814</t>
  </si>
  <si>
    <t>052120008A</t>
  </si>
  <si>
    <t>2 Yd Containers, Swivel Casters - White</t>
  </si>
  <si>
    <t>1.5 Yd Containers, Swivel Casters - White</t>
  </si>
  <si>
    <t>D161575</t>
  </si>
  <si>
    <t>U052120009</t>
  </si>
  <si>
    <t>Jones Truck &amp; Implement,</t>
  </si>
  <si>
    <t>(2) OTC 1591A - Air Lift Jack</t>
  </si>
  <si>
    <t>05-13739</t>
  </si>
  <si>
    <t>3 Yd RL Highback Container-Casters, Winch Hook</t>
  </si>
  <si>
    <t>4 Yard R/L Containers, Wheels, Lid, Winch Loop</t>
  </si>
  <si>
    <t>3 Yard R/L Containers, Wheels, Lid, Winch Loop</t>
  </si>
  <si>
    <t>05-12952</t>
  </si>
  <si>
    <t>65 Gallon Schaefer Carts, Black Lids-Green</t>
  </si>
  <si>
    <t>95 Gallon Schaefer Carts, Black Lids-Green</t>
  </si>
  <si>
    <t>05-12741</t>
  </si>
  <si>
    <t>2 Rearload Containers, Swivel Casters-White</t>
  </si>
  <si>
    <t>1 1/2 Rearload Containers, Swivel Casters</t>
  </si>
  <si>
    <t>JE# 68607</t>
  </si>
  <si>
    <t>U042120002</t>
  </si>
  <si>
    <t>State of Washington</t>
  </si>
  <si>
    <t>CNU415110R</t>
  </si>
  <si>
    <t>Sales Tax on New Laptop &amp; Printer for Empire DM</t>
  </si>
  <si>
    <t>Quest</t>
  </si>
  <si>
    <t>Laptop for New Controller</t>
  </si>
  <si>
    <t>04-12210</t>
  </si>
  <si>
    <t>U042120005</t>
  </si>
  <si>
    <t>95-B Schaefer Carts, Breen w/ Black Lids</t>
  </si>
  <si>
    <t>Accrue additional deal costs</t>
  </si>
  <si>
    <t>U042120001</t>
  </si>
  <si>
    <t>M&amp;M Harrison Electric Co.</t>
  </si>
  <si>
    <t>Shop Upgrades-Hook Up Compressor; Repair Outlet</t>
  </si>
  <si>
    <t>Shop Upgrades-Install Ballasts; Repaired Switches</t>
  </si>
  <si>
    <t>0019779-IN</t>
  </si>
  <si>
    <t>Automotive Resources, Inc</t>
  </si>
  <si>
    <t>Shop Upgrades-Stand, Support Tall; Height Extender</t>
  </si>
  <si>
    <t>Cintas First Aid &amp; Safety</t>
  </si>
  <si>
    <t>Shop Upgrades-(3) 3 Shelf Cabinet Full; (1) 4 Shlf</t>
  </si>
  <si>
    <t>04-11580</t>
  </si>
  <si>
    <t>U042120003</t>
  </si>
  <si>
    <t>95B Carts, Green Bases, Black</t>
  </si>
  <si>
    <t>04-11636</t>
  </si>
  <si>
    <t>U042120004</t>
  </si>
  <si>
    <t>25 yd Container</t>
  </si>
  <si>
    <t>4 Rearload Containers</t>
  </si>
  <si>
    <t>Non Audit Assets</t>
  </si>
  <si>
    <t>2 Way Dome Screen Lid for R/O 25</t>
  </si>
  <si>
    <t>Nolan Heating &amp; Air</t>
  </si>
  <si>
    <t>Shop Upgrades-Install Reznor Gas Unit Heater</t>
  </si>
  <si>
    <t>EMPIRE BID</t>
  </si>
  <si>
    <t>Shop Upgrades-Hard wire 19 lights, istall lights</t>
  </si>
  <si>
    <t>Chevrolet 2500</t>
  </si>
  <si>
    <t>1GCHK29104E104887</t>
  </si>
  <si>
    <t>Model 2500HD Pick Up Truck</t>
  </si>
  <si>
    <t>B96423R</t>
  </si>
  <si>
    <t>Chevrolet Silverado 2500HD Diesel</t>
  </si>
  <si>
    <t>Final Empire WC entries</t>
  </si>
  <si>
    <t>P093584901028</t>
  </si>
  <si>
    <t>Northern Safety Co., Inc.</t>
  </si>
  <si>
    <t>UO42120-001</t>
  </si>
  <si>
    <t>Shop Upgrades-Storage Cabinet 40 Gal Combust Man 2</t>
  </si>
  <si>
    <t>P093584901051</t>
  </si>
  <si>
    <t>Shop Upgrades-Eyesaline Flashflood Eyewash Station</t>
  </si>
  <si>
    <t>P093584901044</t>
  </si>
  <si>
    <t>Shop Upgrades-Exit Awareness Signs, Lockout Tag</t>
  </si>
  <si>
    <t>LWK4896</t>
  </si>
  <si>
    <t>Oxarc, Inc.</t>
  </si>
  <si>
    <t>Shop Upgrades-Fire Extinguisher Signs</t>
  </si>
  <si>
    <t>04-11606</t>
  </si>
  <si>
    <t>1 1/2 Rearload Containers</t>
  </si>
  <si>
    <t>P093584901010</t>
  </si>
  <si>
    <t>Shop Upgrades-EA Tri-Elite Series Cabinets</t>
  </si>
  <si>
    <t>P093584901036</t>
  </si>
  <si>
    <t>Shop Upgrades-EA Tri-Benchtop Safety Cabinet</t>
  </si>
  <si>
    <t>P093584901069</t>
  </si>
  <si>
    <t>Shop Upgrades-EA Tri-Class Fire Extinguishers 5 lb</t>
  </si>
  <si>
    <t>P093584901085</t>
  </si>
  <si>
    <t>Shop Upgrades-EA Right-To-Know Compliance Center</t>
  </si>
  <si>
    <t>04-11592</t>
  </si>
  <si>
    <t>40 Yd Container</t>
  </si>
  <si>
    <t>3 Long Rearload Containers</t>
  </si>
  <si>
    <t>3 Tall Rearload Containers</t>
  </si>
  <si>
    <t>Pole Barn</t>
  </si>
  <si>
    <t>Office Bldg</t>
  </si>
  <si>
    <t>Land - Roll Off Storage - LaCrosse</t>
  </si>
  <si>
    <t>Land - Roll Off Storage - Colfax</t>
  </si>
  <si>
    <t>Land - 905 Sumner</t>
  </si>
  <si>
    <t>Land - 902 Sumner</t>
  </si>
  <si>
    <t>40 Yard Acquisition Capital</t>
  </si>
  <si>
    <t>25 Yard Acquistion Capital</t>
  </si>
  <si>
    <t>20 YD RO Box</t>
  </si>
  <si>
    <t>other</t>
  </si>
  <si>
    <t>20 Yard Acquisition Capital</t>
  </si>
  <si>
    <t>8YD REL Containers</t>
  </si>
  <si>
    <t>6YD REL Containers</t>
  </si>
  <si>
    <t>4 YD REL Containers</t>
  </si>
  <si>
    <t>2 YD REL Containers</t>
  </si>
  <si>
    <t>154 1YD REL Containers</t>
  </si>
  <si>
    <t>2571 Residential Carts</t>
  </si>
  <si>
    <t>SP37573-1</t>
  </si>
  <si>
    <t>2120-18-0010-1</t>
  </si>
  <si>
    <t>Paccar/Western Peterbilt</t>
  </si>
  <si>
    <t>Cap Repair- Engine Rebuild- Truck 7</t>
  </si>
  <si>
    <t>SP27647-1</t>
  </si>
  <si>
    <t>2120-16-0013-1</t>
  </si>
  <si>
    <t>Western Peterbilt</t>
  </si>
  <si>
    <t>Transmission Replacement Truck 7</t>
  </si>
  <si>
    <t>Marathon</t>
  </si>
  <si>
    <t>Kenworth</t>
  </si>
  <si>
    <t>A17140P</t>
  </si>
  <si>
    <t>1NKDLB9X2JS519107</t>
  </si>
  <si>
    <t>Roll Off Truck with Marathon Hoist</t>
  </si>
  <si>
    <t>C004005308B</t>
  </si>
  <si>
    <t>Beg Depr</t>
  </si>
  <si>
    <t>Seq</t>
  </si>
  <si>
    <t>Dbase</t>
  </si>
  <si>
    <t>Beg Date</t>
  </si>
  <si>
    <t>Depr Meth</t>
  </si>
  <si>
    <t>Activity Cd</t>
  </si>
  <si>
    <t>Book</t>
  </si>
  <si>
    <t>Company Asset #</t>
  </si>
  <si>
    <t>Invoice #</t>
  </si>
  <si>
    <t>Former Company</t>
  </si>
  <si>
    <t>Acq Type</t>
  </si>
  <si>
    <t>Current Depr</t>
  </si>
  <si>
    <t>Expense Account</t>
  </si>
  <si>
    <t>Accum YTD</t>
  </si>
  <si>
    <t>NBV</t>
  </si>
  <si>
    <t>Accum Life to Date</t>
  </si>
  <si>
    <t>Accum Account</t>
  </si>
  <si>
    <t>Asset Account</t>
  </si>
  <si>
    <t>Useful Life</t>
  </si>
  <si>
    <t>CER #</t>
  </si>
  <si>
    <t>Acq Date</t>
  </si>
  <si>
    <t>In Service Date</t>
  </si>
  <si>
    <t>Ins Category</t>
  </si>
  <si>
    <t>Body Mfg</t>
  </si>
  <si>
    <t>Vendor/Mfg</t>
  </si>
  <si>
    <t>Model Year</t>
  </si>
  <si>
    <t>License Plate</t>
  </si>
  <si>
    <t>MFG Serial#</t>
  </si>
  <si>
    <t>Container Count</t>
  </si>
  <si>
    <t>Descr</t>
  </si>
  <si>
    <t>Parent/ Child</t>
  </si>
  <si>
    <t>Asset #</t>
  </si>
  <si>
    <t>District</t>
  </si>
  <si>
    <t>(Not setup yet)</t>
  </si>
  <si>
    <t>Depreciated %:</t>
  </si>
  <si>
    <t>Ins Category:</t>
  </si>
  <si>
    <t>Asset #:</t>
  </si>
  <si>
    <t>Exp Acct:</t>
  </si>
  <si>
    <t>(Contains the string)</t>
  </si>
  <si>
    <t>PO Number:</t>
  </si>
  <si>
    <t>Service Date From:</t>
  </si>
  <si>
    <t>Asset Acct:</t>
  </si>
  <si>
    <t>Description:</t>
  </si>
  <si>
    <t>(F9 Aware)</t>
  </si>
  <si>
    <t>2120</t>
  </si>
  <si>
    <t>District:</t>
  </si>
  <si>
    <t>Service Date To:</t>
  </si>
  <si>
    <t>(Leave blank for all)</t>
  </si>
  <si>
    <t>Parent/Child:</t>
  </si>
  <si>
    <t>VIN:</t>
  </si>
  <si>
    <t>Ctrl + Shift + J</t>
  </si>
  <si>
    <t>Period:</t>
  </si>
  <si>
    <t>Data Last Updated in this Pull:</t>
  </si>
  <si>
    <t>Asset Count:</t>
  </si>
  <si>
    <t>Fixed Asset Register</t>
  </si>
  <si>
    <t>reportdrill(Invoice!C2,,pairgroup(pair("C:C",Invoice!E8),pair("",Invoice!E7,"N")),"Drill To Invoices by FAS# (Exc CIP)")</t>
  </si>
  <si>
    <t>Default Year :</t>
  </si>
  <si>
    <t>Default Month :</t>
  </si>
  <si>
    <t>BegLifeToDate</t>
  </si>
  <si>
    <t>Sequence</t>
  </si>
  <si>
    <t>LongName</t>
  </si>
  <si>
    <t>BegLsDeprDate</t>
  </si>
  <si>
    <t>DeprMethod</t>
  </si>
  <si>
    <t>ActivityCd</t>
  </si>
  <si>
    <t>CompAsstNo</t>
  </si>
  <si>
    <t>InvoiceNum</t>
  </si>
  <si>
    <t>FormerCompany</t>
  </si>
  <si>
    <t>AcqType</t>
  </si>
  <si>
    <t>CurrentPeriodDepr</t>
  </si>
  <si>
    <t>ExpenseGL</t>
  </si>
  <si>
    <t>CurrentYearToDate</t>
  </si>
  <si>
    <t>CurrentLifeToDate</t>
  </si>
  <si>
    <t>AccumulatedGL</t>
  </si>
  <si>
    <t>AcqValue</t>
  </si>
  <si>
    <t>AssetGL</t>
  </si>
  <si>
    <t>EstimatedLife</t>
  </si>
  <si>
    <t>PONumber</t>
  </si>
  <si>
    <t>AcquisitionDate</t>
  </si>
  <si>
    <t>InServiceDate</t>
  </si>
  <si>
    <t>InsuranceCategory</t>
  </si>
  <si>
    <t>BodyManuf</t>
  </si>
  <si>
    <t>VendorMfg</t>
  </si>
  <si>
    <t>ModelYear</t>
  </si>
  <si>
    <t>LicensePlate</t>
  </si>
  <si>
    <t>MFGSerialNum</t>
  </si>
  <si>
    <t>SystemNo</t>
  </si>
  <si>
    <t>Description</t>
  </si>
  <si>
    <t>ParentChild</t>
  </si>
  <si>
    <t>AssetID</t>
  </si>
  <si>
    <t>Location</t>
  </si>
  <si>
    <t>Blank</t>
  </si>
  <si>
    <t>Previous Adds</t>
  </si>
  <si>
    <t>Truck #</t>
  </si>
  <si>
    <t>Equipment Type</t>
  </si>
  <si>
    <t>Month</t>
  </si>
  <si>
    <t>YearPIS</t>
  </si>
  <si>
    <t>Year Fully Dep</t>
  </si>
  <si>
    <t>Year/Mo Fully Dep</t>
  </si>
  <si>
    <t>Monthly Dep</t>
  </si>
  <si>
    <t>Annual Dep</t>
  </si>
  <si>
    <t>Test Year Dep</t>
  </si>
  <si>
    <t>BOY Accum</t>
  </si>
  <si>
    <t>EOY Accum</t>
  </si>
  <si>
    <t>EOY Average Investment</t>
  </si>
  <si>
    <t>Assets Through 8.31.21</t>
  </si>
  <si>
    <t>New Assets Adds from FAR (9.1.21 and Beyond)</t>
  </si>
  <si>
    <t>Adds since 8.31.21</t>
  </si>
  <si>
    <t>Check</t>
  </si>
  <si>
    <t>Pre 9/1/21 Add?</t>
  </si>
  <si>
    <t>Row Labels</t>
  </si>
  <si>
    <t>Grand Total</t>
  </si>
  <si>
    <t>Sum of Cost</t>
  </si>
  <si>
    <t>Sum of Test Year Dep</t>
  </si>
  <si>
    <t>Sum of BOY Accum</t>
  </si>
  <si>
    <t>Sum of EOY Accum</t>
  </si>
  <si>
    <t>Sum of EOY Average Investment</t>
  </si>
  <si>
    <t>Live Pivot</t>
  </si>
  <si>
    <t>Pasted Values</t>
  </si>
  <si>
    <t>DELIVERY</t>
  </si>
  <si>
    <t>TOTAL DELIVERY</t>
  </si>
  <si>
    <t>Delivery Truck</t>
  </si>
  <si>
    <t>Retired 2021</t>
  </si>
  <si>
    <t>repair on body floor Truck #01</t>
  </si>
  <si>
    <t>SOLID WASTE SYSTEMS</t>
  </si>
  <si>
    <t>2120-22-0006-1</t>
  </si>
  <si>
    <t>0145626-IN</t>
  </si>
  <si>
    <t>Packer Rebuild on Truck #1</t>
  </si>
  <si>
    <t>0146061-IN</t>
  </si>
  <si>
    <t xml:space="preserve">Non-Rolling Stock </t>
  </si>
  <si>
    <t>2yd Containers REL</t>
  </si>
  <si>
    <t>2120-22-0007-1</t>
  </si>
  <si>
    <t>20SO000089671</t>
  </si>
  <si>
    <t>3yd Containers REL</t>
  </si>
  <si>
    <t>4yd Containers REL</t>
  </si>
  <si>
    <t>6yd Containers REL</t>
  </si>
  <si>
    <t>2022 F250 Ford Support Truck</t>
  </si>
  <si>
    <t>1FT7X2B63NED79416</t>
  </si>
  <si>
    <t>2120-22-0001-1</t>
  </si>
  <si>
    <t>Radio Replacement / Repair</t>
  </si>
  <si>
    <t>Lytx Drive Cam</t>
  </si>
  <si>
    <t>64 GALLON CARTS</t>
  </si>
  <si>
    <t>2120-22-0008-1</t>
  </si>
  <si>
    <t>20INV000191977</t>
  </si>
  <si>
    <t>25yd RO Boxes</t>
  </si>
  <si>
    <t>2120-22-0005-1</t>
  </si>
  <si>
    <t>20INV000219436</t>
  </si>
  <si>
    <t>95G Carts</t>
  </si>
  <si>
    <t>2120-22-0004-1</t>
  </si>
  <si>
    <t>HP ProBook 440 G9 SN: 5CD2339Y3S</t>
  </si>
  <si>
    <t>CDW DIR #2120</t>
  </si>
  <si>
    <t>2120-22-0009-1</t>
  </si>
  <si>
    <t>CP82360</t>
  </si>
  <si>
    <t>Anker 575 USB-C Docking Station: NO SN-Amazon Purchase</t>
  </si>
  <si>
    <t>AMZN MKTP US 1V4M85711</t>
  </si>
  <si>
    <t>HP ProBook 440 G9 SN: 5CD2403T0H</t>
  </si>
  <si>
    <t>2120-22-0010-1</t>
  </si>
  <si>
    <t>DP11157</t>
  </si>
  <si>
    <t>Docking Station - No SN on Amazon Purchases</t>
  </si>
  <si>
    <t>AMZN MKTP US H85272M50</t>
  </si>
  <si>
    <t>Shop Truck Lifts</t>
  </si>
  <si>
    <t>GRAY MANUFACTURING CO INC</t>
  </si>
  <si>
    <t>2120-22-0012-1</t>
  </si>
  <si>
    <t>GeoTabs for fleet</t>
  </si>
  <si>
    <t>ASSURED TELEMATICS INC</t>
  </si>
  <si>
    <t>2120-22-0011-1</t>
  </si>
  <si>
    <t>Test Period Beg. Month</t>
  </si>
  <si>
    <t>Test Period End Month</t>
  </si>
  <si>
    <t>Test Period End Mo/Yr</t>
  </si>
  <si>
    <t>Test Period Beg. Mo/Yr</t>
  </si>
  <si>
    <t>2023-02</t>
  </si>
  <si>
    <t>Mar  3 2023  3:46PM</t>
  </si>
  <si>
    <t>2023 Peterbilt REL Truck - Chassis</t>
  </si>
  <si>
    <t>1NPCLK0X9PD867888</t>
  </si>
  <si>
    <t>2120-22-0002</t>
  </si>
  <si>
    <t>2023 Peterbilt REL Truck - Body 2120-22-0002</t>
  </si>
  <si>
    <t>2120-23-0002</t>
  </si>
  <si>
    <t>Radio for New Truck</t>
  </si>
  <si>
    <t>2120-23-0002-1</t>
  </si>
  <si>
    <t>Panasonic TOUGHBOOK FZ-55-I5-8365U</t>
  </si>
  <si>
    <t>2120-23-0003-1</t>
  </si>
  <si>
    <t>INV00164127</t>
  </si>
  <si>
    <t>(All)</t>
  </si>
  <si>
    <t>2022 Retirements/Transfers</t>
  </si>
  <si>
    <t>TOTAL CAPITAL</t>
  </si>
  <si>
    <t>End of List (save and re-pull for at least 5 more rows)</t>
  </si>
  <si>
    <t/>
  </si>
  <si>
    <t>(**ROLL OVER TRUCK**) Replace FAS# 71167 (2010 Peterbilt 340 25yd McNeilus REL w/ 210,467 miles). Truck has exceeded its useful life. Truck will be scrapped if another site is unwilling to accept as asset transfer.</t>
  </si>
  <si>
    <t>N</t>
  </si>
  <si>
    <t>R</t>
  </si>
  <si>
    <t>Rear Load</t>
  </si>
  <si>
    <t>New Trucks</t>
  </si>
  <si>
    <t>(**Roll Over Truck**) This will be replacing FAS# 71167, a 2010 Peterbilt 340 25cy REL. Current mileage is 205k and 17,350 hours. Truck has exceded it's useful life by far and picked up a lot of garbage, truck will be scrapped.</t>
  </si>
  <si>
    <t xml:space="preserve">22 Rollover - New Peterbilt Rear Loader / 25yd McNeilus </t>
  </si>
  <si>
    <t>0002-1</t>
  </si>
  <si>
    <t>Carts ($25k): 200 65's &amp; 200 95's / REL Containers ($48k): 5x 1yd, 5x 1.5yd, 8x 2yd, 6x 3yd, 8x 4yd / RO Containers ($45k): RO Containers: 2x 25yd, 2x 40yd</t>
  </si>
  <si>
    <t>Other – Plastic</t>
  </si>
  <si>
    <t xml:space="preserve">Q2 - 48k for RO boxes in May, 45k for various size REL containers in August, &amp; 25k in October for MSW mobile carts. All to maintain inventory for those scrapped &amp; to keep up with area's growth. </t>
  </si>
  <si>
    <t>Various Containers</t>
  </si>
  <si>
    <t>0001-1</t>
  </si>
  <si>
    <r>
      <t>Note</t>
    </r>
    <r>
      <rPr>
        <sz val="11"/>
        <color theme="9"/>
        <rFont val="Calibri"/>
        <family val="2"/>
        <scheme val="minor"/>
      </rPr>
      <t>*</t>
    </r>
  </si>
  <si>
    <t>Variance</t>
  </si>
  <si>
    <t>Prior Year PO$</t>
  </si>
  <si>
    <t>Prior year PO</t>
  </si>
  <si>
    <t>Truck Center</t>
  </si>
  <si>
    <t>Note</t>
  </si>
  <si>
    <t>PO Center</t>
  </si>
  <si>
    <t>PO Description</t>
  </si>
  <si>
    <t>Save Message</t>
  </si>
  <si>
    <t>Folder/File Link</t>
  </si>
  <si>
    <t>Site Eq #</t>
  </si>
  <si>
    <t>Replacement Notes</t>
  </si>
  <si>
    <t>FAS Description</t>
  </si>
  <si>
    <t>FAS #</t>
  </si>
  <si>
    <t>Truck Ctr. #</t>
  </si>
  <si>
    <t>N / U</t>
  </si>
  <si>
    <t>A / R</t>
  </si>
  <si>
    <t>Life</t>
  </si>
  <si>
    <t>SubType</t>
  </si>
  <si>
    <t>Asset Type</t>
  </si>
  <si>
    <t>PO Explanation</t>
  </si>
  <si>
    <t>PO Item Description</t>
  </si>
  <si>
    <t>PO Description (Required)</t>
  </si>
  <si>
    <t>Item</t>
  </si>
  <si>
    <t>PO #</t>
  </si>
  <si>
    <t>Delete on Save</t>
  </si>
  <si>
    <t>Truck Cost</t>
  </si>
  <si>
    <t>Truck Type</t>
  </si>
  <si>
    <t>New / Used</t>
  </si>
  <si>
    <t>Suggested</t>
  </si>
  <si>
    <t>Replacement Info</t>
  </si>
  <si>
    <t>CAPITAL DETAIL</t>
  </si>
  <si>
    <t>Recon Check Against Truck Center</t>
  </si>
  <si>
    <t>IMPORTANT:  Pull for a single district BEFORE inputting.  This will auto create new lines for you and prepare the page for input.</t>
  </si>
  <si>
    <t>Budget Year:</t>
  </si>
  <si>
    <t>(Only one district a time for this input page)</t>
  </si>
  <si>
    <t>Individual District:</t>
  </si>
  <si>
    <t>Report Area Below</t>
  </si>
  <si>
    <t>For Drill</t>
  </si>
  <si>
    <t>Yes</t>
  </si>
  <si>
    <t>Pull Blank Rows:</t>
  </si>
  <si>
    <t>Exclude Items:</t>
  </si>
  <si>
    <t>By Change</t>
  </si>
  <si>
    <t>CC Query Summary Level:</t>
  </si>
  <si>
    <t>39CC13DAB04ACFDDF24B2F16C12E38</t>
  </si>
  <si>
    <t>FilterHash:</t>
  </si>
  <si>
    <t>Repull?:</t>
  </si>
  <si>
    <t>Hidden Parameters &amp; Notes</t>
  </si>
  <si>
    <t>Save:</t>
  </si>
  <si>
    <t>Save</t>
  </si>
  <si>
    <t>Pull - FAS:</t>
  </si>
  <si>
    <t>FASDescription</t>
  </si>
  <si>
    <t>FASNum</t>
  </si>
  <si>
    <t>Pull - BudCap:</t>
  </si>
  <si>
    <t>Pull AssetTypeList:</t>
  </si>
  <si>
    <t>CC Query Drill:</t>
  </si>
  <si>
    <t>Clear Hash:</t>
  </si>
  <si>
    <t>Pull</t>
  </si>
  <si>
    <t>Report Formulas</t>
  </si>
  <si>
    <t>Formatting Range</t>
  </si>
  <si>
    <t>MessageToUser</t>
  </si>
  <si>
    <t>PoItemNumber</t>
  </si>
  <si>
    <t>CurrentProjectNumber_FPS</t>
  </si>
  <si>
    <t>FileLink hlink:FileLink</t>
  </si>
  <si>
    <t>EquipmentModelYear</t>
  </si>
  <si>
    <t>EquipmentNum</t>
  </si>
  <si>
    <t>ReplacementNotes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</si>
  <si>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</si>
  <si>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</si>
  <si>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</si>
  <si>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</si>
  <si>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</si>
  <si>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</si>
  <si>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</si>
  <si>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</si>
  <si>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</si>
  <si>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</si>
  <si>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</si>
  <si>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</si>
  <si>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TruckCenterNum ValueList:RequestedTruckList</t>
  </si>
  <si>
    <t>Condition</t>
  </si>
  <si>
    <t>AddReplace</t>
  </si>
  <si>
    <t>AssetSubType</t>
  </si>
  <si>
    <t>AssetType</t>
  </si>
  <si>
    <t>Explanation</t>
  </si>
  <si>
    <t>ItemDescription</t>
  </si>
  <si>
    <t>ProjectName_FPS</t>
  </si>
  <si>
    <t>PoNumber</t>
  </si>
  <si>
    <t>DeleteFlag</t>
  </si>
  <si>
    <t>ProjectNumber_FPS</t>
  </si>
  <si>
    <t>PONum_Modified</t>
  </si>
  <si>
    <t>TruckRequest#</t>
  </si>
  <si>
    <t>Column Definitions</t>
  </si>
  <si>
    <t>Row 194 on Containers. "Pro Forma" add</t>
  </si>
  <si>
    <t>Under Garbage-Shared. FAR # 299410, 299357, &amp; 29122. Received in February 2023</t>
  </si>
  <si>
    <t>Salvage Value</t>
  </si>
  <si>
    <t>Depr Cost</t>
  </si>
  <si>
    <t>Test Year Depr</t>
  </si>
  <si>
    <t>Beginning Accum Depr</t>
  </si>
  <si>
    <t>Ending Accum Depr</t>
  </si>
  <si>
    <t>Average Investment</t>
  </si>
  <si>
    <t>260956/256980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</si>
</sst>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"/>
    <numFmt numFmtId="167" formatCode="m/d/yy;@"/>
    <numFmt numFmtId="168" formatCode="&quot;$&quot;#,##0\ ;\(&quot;$&quot;#,##0\)"/>
    <numFmt numFmtId="169" formatCode="General_)"/>
    <numFmt numFmtId="170" formatCode="0.0%"/>
    <numFmt numFmtId="171" formatCode="0.0"/>
    <numFmt numFmtId="172" formatCode="_(&quot;$&quot;* #,##0_);_(&quot;$&quot;* \(#,##0\);_(&quot;$&quot;* &quot;-&quot;??_);_(@_)"/>
    <numFmt numFmtId="173" formatCode="_(* #,##0,_);_(* \(#,##0,\);_(* &quot;-&quot;_);_(@_)"/>
    <numFmt numFmtId="174" formatCode="0000\-00\-0000\-0"/>
    <numFmt numFmtId="175" formatCode="0_);\(0\)"/>
    <numFmt numFmtId="176" formatCode="000#"/>
    <numFmt numFmtId="177" formatCode="mmm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name val="CG Omega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8.8000000000000007"/>
      <color theme="10"/>
      <name val="Calibri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9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i/>
      <sz val="10"/>
      <name val="Arial"/>
      <family val="2"/>
    </font>
    <font>
      <sz val="10"/>
      <color rgb="FF00B050"/>
      <name val="Calibri"/>
      <family val="2"/>
      <scheme val="minor"/>
    </font>
    <font>
      <sz val="10"/>
      <color theme="1"/>
      <name val="Arial"/>
      <family val="2"/>
    </font>
    <font>
      <sz val="9"/>
      <color rgb="FFC00000"/>
      <name val="Arial"/>
      <family val="2"/>
    </font>
    <font>
      <sz val="11"/>
      <color theme="9"/>
      <name val="Calibri"/>
      <family val="2"/>
      <scheme val="minor"/>
    </font>
    <font>
      <b/>
      <sz val="10"/>
      <color indexed="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2"/>
      <name val="Calibri"/>
      <family val="2"/>
      <scheme val="minor"/>
    </font>
    <font>
      <sz val="9"/>
      <color theme="1" tint="0.499984740745262"/>
      <name val="Arial"/>
      <family val="2"/>
    </font>
    <font>
      <b/>
      <u/>
      <sz val="11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BB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8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22" borderId="0" applyNumberFormat="0" applyBorder="0" applyAlignment="0" applyProtection="0"/>
    <xf numFmtId="0" fontId="17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41" fontId="6" fillId="0" borderId="0"/>
    <xf numFmtId="41" fontId="6" fillId="0" borderId="0"/>
    <xf numFmtId="41" fontId="6" fillId="0" borderId="0"/>
    <xf numFmtId="41" fontId="6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3" fontId="6" fillId="0" borderId="0"/>
    <xf numFmtId="3" fontId="6" fillId="0" borderId="0"/>
    <xf numFmtId="3" fontId="6" fillId="0" borderId="0"/>
    <xf numFmtId="3" fontId="6" fillId="0" borderId="0"/>
    <xf numFmtId="0" fontId="19" fillId="28" borderId="5" applyNumberFormat="0" applyAlignment="0" applyProtection="0"/>
    <xf numFmtId="0" fontId="19" fillId="28" borderId="5" applyNumberFormat="0" applyAlignment="0" applyProtection="0"/>
    <xf numFmtId="0" fontId="20" fillId="28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21" fillId="28" borderId="5" applyNumberFormat="0" applyAlignment="0" applyProtection="0"/>
    <xf numFmtId="0" fontId="21" fillId="28" borderId="5" applyNumberFormat="0" applyAlignment="0" applyProtection="0"/>
    <xf numFmtId="0" fontId="22" fillId="29" borderId="6" applyNumberFormat="0" applyAlignment="0" applyProtection="0"/>
    <xf numFmtId="0" fontId="22" fillId="30" borderId="7" applyNumberFormat="0" applyAlignment="0" applyProtection="0"/>
    <xf numFmtId="0" fontId="6" fillId="31" borderId="0">
      <alignment horizontal="center"/>
    </xf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5" fillId="0" borderId="0"/>
    <xf numFmtId="3" fontId="26" fillId="0" borderId="0" applyFont="0" applyFill="0" applyBorder="0" applyAlignment="0" applyProtection="0"/>
    <xf numFmtId="0" fontId="27" fillId="0" borderId="0"/>
    <xf numFmtId="0" fontId="27" fillId="0" borderId="0"/>
    <xf numFmtId="0" fontId="28" fillId="32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0" fillId="33" borderId="0">
      <alignment horizontal="right"/>
      <protection locked="0"/>
    </xf>
    <xf numFmtId="14" fontId="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2" fontId="30" fillId="33" borderId="0">
      <alignment horizontal="right"/>
      <protection locked="0"/>
    </xf>
    <xf numFmtId="1" fontId="6" fillId="0" borderId="0">
      <alignment horizontal="center"/>
    </xf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2" fillId="2" borderId="0" applyNumberFormat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14" borderId="5" applyNumberFormat="0" applyAlignment="0" applyProtection="0"/>
    <xf numFmtId="0" fontId="46" fillId="5" borderId="5" applyNumberFormat="0" applyAlignment="0" applyProtection="0"/>
    <xf numFmtId="0" fontId="46" fillId="14" borderId="5" applyNumberFormat="0" applyAlignment="0" applyProtection="0"/>
    <xf numFmtId="3" fontId="47" fillId="34" borderId="0">
      <protection locked="0"/>
    </xf>
    <xf numFmtId="4" fontId="47" fillId="34" borderId="0">
      <protection locked="0"/>
    </xf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8" fillId="0" borderId="18" applyNumberFormat="0" applyFill="0" applyAlignment="0" applyProtection="0"/>
    <xf numFmtId="0" fontId="50" fillId="0" borderId="20" applyNumberFormat="0" applyFill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3" fillId="14" borderId="0" applyNumberFormat="0" applyBorder="0" applyAlignment="0" applyProtection="0"/>
    <xf numFmtId="43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1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54" fillId="0" borderId="0"/>
    <xf numFmtId="0" fontId="6" fillId="0" borderId="0"/>
    <xf numFmtId="0" fontId="1" fillId="0" borderId="0"/>
    <xf numFmtId="0" fontId="54" fillId="0" borderId="0"/>
    <xf numFmtId="0" fontId="16" fillId="0" borderId="0"/>
    <xf numFmtId="0" fontId="1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3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>
      <alignment wrapText="1"/>
    </xf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>
      <alignment wrapText="1"/>
    </xf>
    <xf numFmtId="0" fontId="6" fillId="0" borderId="0"/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16" fillId="0" borderId="0"/>
    <xf numFmtId="169" fontId="3" fillId="0" borderId="0"/>
    <xf numFmtId="0" fontId="25" fillId="0" borderId="0">
      <alignment vertical="top"/>
    </xf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10" borderId="21" applyNumberFormat="0" applyFont="0" applyAlignment="0" applyProtection="0"/>
    <xf numFmtId="0" fontId="16" fillId="10" borderId="21" applyNumberFormat="0" applyFont="0" applyAlignment="0" applyProtection="0"/>
    <xf numFmtId="0" fontId="25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3" fillId="10" borderId="21" applyNumberFormat="0" applyFont="0" applyAlignment="0" applyProtection="0"/>
    <xf numFmtId="0" fontId="3" fillId="10" borderId="21" applyNumberFormat="0" applyFont="0" applyAlignment="0" applyProtection="0"/>
    <xf numFmtId="170" fontId="56" fillId="0" borderId="0" applyNumberFormat="0"/>
    <xf numFmtId="0" fontId="39" fillId="28" borderId="22" applyNumberFormat="0" applyAlignment="0" applyProtection="0"/>
    <xf numFmtId="0" fontId="57" fillId="4" borderId="23" applyNumberFormat="0" applyAlignment="0" applyProtection="0"/>
    <xf numFmtId="0" fontId="57" fillId="28" borderId="23" applyNumberFormat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38" fontId="58" fillId="0" borderId="0" applyNumberFormat="0" applyFont="0" applyFill="0" applyBorder="0">
      <alignment horizontal="left" indent="4"/>
      <protection locked="0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59" fillId="0" borderId="24">
      <alignment horizontal="center"/>
    </xf>
    <xf numFmtId="3" fontId="26" fillId="0" borderId="0" applyFont="0" applyFill="0" applyBorder="0" applyAlignment="0" applyProtection="0"/>
    <xf numFmtId="0" fontId="26" fillId="35" borderId="0" applyNumberFormat="0" applyFon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 applyNumberFormat="0" applyBorder="0" applyAlignment="0"/>
    <xf numFmtId="37" fontId="61" fillId="0" borderId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5" fillId="36" borderId="0" applyFont="0" applyFill="0" applyBorder="0" applyAlignment="0" applyProtection="0">
      <alignment wrapText="1"/>
    </xf>
    <xf numFmtId="0" fontId="16" fillId="0" borderId="0"/>
    <xf numFmtId="0" fontId="17" fillId="2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46" fillId="14" borderId="5" applyNumberFormat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57" fillId="28" borderId="23" applyNumberFormat="0" applyAlignment="0" applyProtection="0"/>
    <xf numFmtId="0" fontId="64" fillId="0" borderId="0" applyNumberForma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6" fillId="0" borderId="0"/>
  </cellStyleXfs>
  <cellXfs count="410">
    <xf numFmtId="0" fontId="0" fillId="0" borderId="0" xfId="0"/>
    <xf numFmtId="0" fontId="9" fillId="0" borderId="0" xfId="2" applyFont="1"/>
    <xf numFmtId="4" fontId="10" fillId="0" borderId="0" xfId="2" applyNumberFormat="1" applyFont="1" applyAlignment="1">
      <alignment horizontal="left"/>
    </xf>
    <xf numFmtId="0" fontId="11" fillId="0" borderId="0" xfId="2" applyFont="1"/>
    <xf numFmtId="1" fontId="9" fillId="0" borderId="0" xfId="2" applyNumberFormat="1" applyFont="1"/>
    <xf numFmtId="4" fontId="9" fillId="0" borderId="0" xfId="2" applyNumberFormat="1" applyFont="1"/>
    <xf numFmtId="4" fontId="9" fillId="0" borderId="0" xfId="2" applyNumberFormat="1" applyFont="1" applyAlignment="1">
      <alignment horizontal="right"/>
    </xf>
    <xf numFmtId="14" fontId="12" fillId="0" borderId="0" xfId="2" applyNumberFormat="1" applyFont="1"/>
    <xf numFmtId="3" fontId="10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left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4" fontId="9" fillId="0" borderId="0" xfId="2" applyNumberFormat="1" applyFont="1" applyAlignment="1">
      <alignment horizontal="center"/>
    </xf>
    <xf numFmtId="1" fontId="9" fillId="0" borderId="0" xfId="2" applyNumberFormat="1" applyFont="1" applyAlignment="1">
      <alignment horizontal="right"/>
    </xf>
    <xf numFmtId="0" fontId="10" fillId="0" borderId="0" xfId="2" applyFont="1" applyAlignment="1">
      <alignment horizontal="left"/>
    </xf>
    <xf numFmtId="9" fontId="10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4" fontId="10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9" fontId="13" fillId="0" borderId="0" xfId="2" applyNumberFormat="1" applyFont="1" applyAlignment="1">
      <alignment horizontal="center"/>
    </xf>
    <xf numFmtId="1" fontId="13" fillId="0" borderId="0" xfId="2" applyNumberFormat="1" applyFont="1" applyAlignment="1">
      <alignment horizontal="center"/>
    </xf>
    <xf numFmtId="0" fontId="9" fillId="0" borderId="0" xfId="2" applyFont="1" applyAlignment="1">
      <alignment horizontal="fill"/>
    </xf>
    <xf numFmtId="4" fontId="13" fillId="0" borderId="0" xfId="2" applyNumberFormat="1" applyFont="1" applyAlignment="1">
      <alignment horizontal="center"/>
    </xf>
    <xf numFmtId="166" fontId="10" fillId="0" borderId="0" xfId="2" applyNumberFormat="1" applyFont="1" applyAlignment="1">
      <alignment horizontal="center"/>
    </xf>
    <xf numFmtId="167" fontId="10" fillId="0" borderId="0" xfId="2" applyNumberFormat="1" applyFont="1" applyAlignment="1">
      <alignment horizontal="center"/>
    </xf>
    <xf numFmtId="0" fontId="9" fillId="0" borderId="0" xfId="2" applyFont="1" applyAlignment="1">
      <alignment horizontal="left"/>
    </xf>
    <xf numFmtId="9" fontId="9" fillId="0" borderId="0" xfId="2" applyNumberFormat="1" applyFont="1" applyAlignment="1">
      <alignment horizontal="center"/>
    </xf>
    <xf numFmtId="164" fontId="9" fillId="0" borderId="0" xfId="1" applyNumberFormat="1" applyFont="1" applyFill="1" applyBorder="1" applyProtection="1"/>
    <xf numFmtId="164" fontId="9" fillId="0" borderId="0" xfId="1" applyNumberFormat="1" applyFont="1" applyFill="1" applyBorder="1" applyAlignment="1">
      <alignment horizontal="right"/>
    </xf>
    <xf numFmtId="0" fontId="10" fillId="0" borderId="0" xfId="2" applyFont="1"/>
    <xf numFmtId="0" fontId="10" fillId="0" borderId="2" xfId="2" applyFont="1" applyBorder="1"/>
    <xf numFmtId="0" fontId="10" fillId="0" borderId="2" xfId="2" applyFont="1" applyBorder="1" applyAlignment="1">
      <alignment horizontal="center"/>
    </xf>
    <xf numFmtId="1" fontId="10" fillId="0" borderId="2" xfId="2" applyNumberFormat="1" applyFont="1" applyBorder="1"/>
    <xf numFmtId="164" fontId="10" fillId="0" borderId="2" xfId="1" applyNumberFormat="1" applyFont="1" applyFill="1" applyBorder="1"/>
    <xf numFmtId="1" fontId="10" fillId="0" borderId="0" xfId="2" applyNumberFormat="1" applyFont="1"/>
    <xf numFmtId="164" fontId="10" fillId="0" borderId="0" xfId="1" applyNumberFormat="1" applyFont="1" applyFill="1" applyBorder="1"/>
    <xf numFmtId="164" fontId="9" fillId="0" borderId="0" xfId="1" applyNumberFormat="1" applyFont="1" applyFill="1" applyBorder="1"/>
    <xf numFmtId="0" fontId="9" fillId="0" borderId="0" xfId="2" quotePrefix="1" applyFont="1" applyAlignment="1">
      <alignment horizontal="left"/>
    </xf>
    <xf numFmtId="164" fontId="9" fillId="0" borderId="0" xfId="1" quotePrefix="1" applyNumberFormat="1" applyFont="1" applyFill="1" applyBorder="1" applyProtection="1"/>
    <xf numFmtId="0" fontId="10" fillId="0" borderId="2" xfId="2" applyFont="1" applyBorder="1" applyAlignment="1">
      <alignment horizontal="left"/>
    </xf>
    <xf numFmtId="0" fontId="9" fillId="0" borderId="2" xfId="2" applyFont="1" applyBorder="1" applyAlignment="1">
      <alignment horizontal="center"/>
    </xf>
    <xf numFmtId="0" fontId="9" fillId="0" borderId="2" xfId="2" applyFont="1" applyBorder="1"/>
    <xf numFmtId="9" fontId="9" fillId="0" borderId="2" xfId="2" applyNumberFormat="1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0" fontId="10" fillId="0" borderId="4" xfId="2" applyFont="1" applyBorder="1"/>
    <xf numFmtId="0" fontId="10" fillId="0" borderId="4" xfId="2" applyFont="1" applyBorder="1" applyAlignment="1">
      <alignment horizontal="center"/>
    </xf>
    <xf numFmtId="1" fontId="10" fillId="0" borderId="4" xfId="2" applyNumberFormat="1" applyFont="1" applyBorder="1"/>
    <xf numFmtId="164" fontId="10" fillId="0" borderId="4" xfId="1" applyNumberFormat="1" applyFont="1" applyFill="1" applyBorder="1"/>
    <xf numFmtId="9" fontId="9" fillId="0" borderId="0" xfId="2" applyNumberFormat="1" applyFont="1"/>
    <xf numFmtId="37" fontId="9" fillId="0" borderId="0" xfId="2" applyNumberFormat="1" applyFont="1"/>
    <xf numFmtId="0" fontId="14" fillId="0" borderId="0" xfId="2" applyFont="1"/>
    <xf numFmtId="0" fontId="14" fillId="0" borderId="0" xfId="2" applyFont="1" applyAlignment="1">
      <alignment horizontal="left"/>
    </xf>
    <xf numFmtId="3" fontId="14" fillId="0" borderId="0" xfId="2" applyNumberFormat="1" applyFont="1" applyAlignment="1">
      <alignment horizontal="left"/>
    </xf>
    <xf numFmtId="3" fontId="14" fillId="0" borderId="0" xfId="2" applyNumberFormat="1" applyFont="1" applyAlignment="1">
      <alignment horizontal="center"/>
    </xf>
    <xf numFmtId="0" fontId="14" fillId="0" borderId="2" xfId="2" applyFont="1" applyBorder="1" applyAlignment="1">
      <alignment horizontal="center"/>
    </xf>
    <xf numFmtId="0" fontId="14" fillId="0" borderId="2" xfId="2" applyFont="1" applyBorder="1"/>
    <xf numFmtId="1" fontId="9" fillId="0" borderId="2" xfId="2" applyNumberFormat="1" applyFont="1" applyBorder="1"/>
    <xf numFmtId="37" fontId="10" fillId="0" borderId="2" xfId="2" applyNumberFormat="1" applyFont="1" applyBorder="1"/>
    <xf numFmtId="164" fontId="10" fillId="0" borderId="2" xfId="1" applyNumberFormat="1" applyFont="1" applyFill="1" applyBorder="1" applyProtection="1"/>
    <xf numFmtId="164" fontId="9" fillId="0" borderId="2" xfId="1" applyNumberFormat="1" applyFont="1" applyFill="1" applyBorder="1"/>
    <xf numFmtId="0" fontId="14" fillId="0" borderId="0" xfId="2" applyFont="1" applyAlignment="1">
      <alignment horizontal="center"/>
    </xf>
    <xf numFmtId="37" fontId="10" fillId="0" borderId="0" xfId="2" applyNumberFormat="1" applyFont="1"/>
    <xf numFmtId="164" fontId="10" fillId="0" borderId="0" xfId="1" applyNumberFormat="1" applyFont="1" applyFill="1" applyBorder="1" applyProtection="1"/>
    <xf numFmtId="1" fontId="9" fillId="0" borderId="0" xfId="2" applyNumberFormat="1" applyFont="1" applyAlignment="1">
      <alignment horizontal="center"/>
    </xf>
    <xf numFmtId="3" fontId="9" fillId="0" borderId="0" xfId="2" applyNumberFormat="1" applyFont="1"/>
    <xf numFmtId="1" fontId="14" fillId="0" borderId="0" xfId="2" applyNumberFormat="1" applyFont="1"/>
    <xf numFmtId="9" fontId="9" fillId="0" borderId="2" xfId="2" applyNumberFormat="1" applyFont="1" applyBorder="1"/>
    <xf numFmtId="37" fontId="9" fillId="0" borderId="2" xfId="2" applyNumberFormat="1" applyFont="1" applyBorder="1"/>
    <xf numFmtId="164" fontId="9" fillId="0" borderId="2" xfId="1" applyNumberFormat="1" applyFont="1" applyFill="1" applyBorder="1" applyAlignment="1">
      <alignment horizontal="right"/>
    </xf>
    <xf numFmtId="37" fontId="9" fillId="0" borderId="0" xfId="2" applyNumberFormat="1" applyFont="1" applyAlignment="1">
      <alignment horizontal="fill"/>
    </xf>
    <xf numFmtId="164" fontId="9" fillId="0" borderId="0" xfId="1" applyNumberFormat="1" applyFont="1" applyFill="1" applyBorder="1" applyAlignment="1" applyProtection="1">
      <alignment horizontal="fill"/>
    </xf>
    <xf numFmtId="0" fontId="9" fillId="3" borderId="0" xfId="2" applyFont="1" applyFill="1" applyAlignment="1">
      <alignment horizontal="center"/>
    </xf>
    <xf numFmtId="3" fontId="10" fillId="0" borderId="2" xfId="2" applyNumberFormat="1" applyFont="1" applyBorder="1"/>
    <xf numFmtId="3" fontId="10" fillId="0" borderId="0" xfId="2" applyNumberFormat="1" applyFont="1"/>
    <xf numFmtId="0" fontId="10" fillId="0" borderId="3" xfId="2" applyFont="1" applyBorder="1" applyAlignment="1">
      <alignment horizontal="right"/>
    </xf>
    <xf numFmtId="0" fontId="9" fillId="0" borderId="3" xfId="2" applyFont="1" applyBorder="1" applyAlignment="1">
      <alignment horizontal="center"/>
    </xf>
    <xf numFmtId="0" fontId="9" fillId="0" borderId="3" xfId="2" applyFont="1" applyBorder="1"/>
    <xf numFmtId="1" fontId="9" fillId="0" borderId="3" xfId="2" applyNumberFormat="1" applyFont="1" applyBorder="1"/>
    <xf numFmtId="37" fontId="9" fillId="0" borderId="3" xfId="2" applyNumberFormat="1" applyFont="1" applyBorder="1"/>
    <xf numFmtId="37" fontId="10" fillId="0" borderId="3" xfId="2" applyNumberFormat="1" applyFont="1" applyBorder="1"/>
    <xf numFmtId="0" fontId="9" fillId="37" borderId="0" xfId="2" applyFont="1" applyFill="1"/>
    <xf numFmtId="0" fontId="9" fillId="37" borderId="0" xfId="2" applyFont="1" applyFill="1" applyAlignment="1">
      <alignment horizontal="left"/>
    </xf>
    <xf numFmtId="0" fontId="9" fillId="37" borderId="0" xfId="2" applyFont="1" applyFill="1" applyAlignment="1">
      <alignment horizontal="center"/>
    </xf>
    <xf numFmtId="9" fontId="9" fillId="37" borderId="0" xfId="2" applyNumberFormat="1" applyFont="1" applyFill="1"/>
    <xf numFmtId="1" fontId="9" fillId="37" borderId="0" xfId="2" applyNumberFormat="1" applyFont="1" applyFill="1"/>
    <xf numFmtId="37" fontId="9" fillId="37" borderId="0" xfId="2" applyNumberFormat="1" applyFont="1" applyFill="1"/>
    <xf numFmtId="164" fontId="9" fillId="37" borderId="0" xfId="1" applyNumberFormat="1" applyFont="1" applyFill="1" applyBorder="1" applyProtection="1"/>
    <xf numFmtId="164" fontId="9" fillId="37" borderId="0" xfId="1" applyNumberFormat="1" applyFont="1" applyFill="1" applyBorder="1"/>
    <xf numFmtId="164" fontId="9" fillId="37" borderId="0" xfId="1" applyNumberFormat="1" applyFont="1" applyFill="1" applyBorder="1" applyAlignment="1">
      <alignment horizontal="right"/>
    </xf>
    <xf numFmtId="4" fontId="9" fillId="37" borderId="0" xfId="2" applyNumberFormat="1" applyFont="1" applyFill="1" applyAlignment="1">
      <alignment horizontal="right"/>
    </xf>
    <xf numFmtId="3" fontId="9" fillId="37" borderId="0" xfId="2" applyNumberFormat="1" applyFont="1" applyFill="1"/>
    <xf numFmtId="9" fontId="9" fillId="37" borderId="0" xfId="2" applyNumberFormat="1" applyFont="1" applyFill="1" applyAlignment="1">
      <alignment horizontal="center"/>
    </xf>
    <xf numFmtId="1" fontId="9" fillId="37" borderId="0" xfId="2" applyNumberFormat="1" applyFont="1" applyFill="1" applyAlignment="1">
      <alignment horizontal="right"/>
    </xf>
    <xf numFmtId="0" fontId="9" fillId="38" borderId="0" xfId="2" applyFont="1" applyFill="1"/>
    <xf numFmtId="4" fontId="10" fillId="38" borderId="0" xfId="2" applyNumberFormat="1" applyFont="1" applyFill="1" applyAlignment="1">
      <alignment horizontal="left"/>
    </xf>
    <xf numFmtId="1" fontId="9" fillId="38" borderId="0" xfId="2" applyNumberFormat="1" applyFont="1" applyFill="1"/>
    <xf numFmtId="4" fontId="9" fillId="38" borderId="0" xfId="2" applyNumberFormat="1" applyFont="1" applyFill="1"/>
    <xf numFmtId="4" fontId="9" fillId="38" borderId="0" xfId="2" applyNumberFormat="1" applyFont="1" applyFill="1" applyAlignment="1">
      <alignment horizontal="right"/>
    </xf>
    <xf numFmtId="0" fontId="9" fillId="38" borderId="0" xfId="2" applyFont="1" applyFill="1" applyAlignment="1">
      <alignment horizontal="center"/>
    </xf>
    <xf numFmtId="0" fontId="10" fillId="38" borderId="0" xfId="2" applyFont="1" applyFill="1" applyAlignment="1">
      <alignment horizontal="center"/>
    </xf>
    <xf numFmtId="4" fontId="9" fillId="38" borderId="0" xfId="2" applyNumberFormat="1" applyFont="1" applyFill="1" applyAlignment="1">
      <alignment horizontal="center"/>
    </xf>
    <xf numFmtId="1" fontId="9" fillId="38" borderId="0" xfId="2" applyNumberFormat="1" applyFont="1" applyFill="1" applyAlignment="1">
      <alignment horizontal="right"/>
    </xf>
    <xf numFmtId="0" fontId="10" fillId="38" borderId="0" xfId="2" applyFont="1" applyFill="1" applyAlignment="1">
      <alignment horizontal="left"/>
    </xf>
    <xf numFmtId="9" fontId="10" fillId="38" borderId="0" xfId="2" applyNumberFormat="1" applyFont="1" applyFill="1" applyAlignment="1">
      <alignment horizontal="center"/>
    </xf>
    <xf numFmtId="1" fontId="10" fillId="38" borderId="0" xfId="2" applyNumberFormat="1" applyFont="1" applyFill="1" applyAlignment="1">
      <alignment horizontal="center"/>
    </xf>
    <xf numFmtId="4" fontId="10" fillId="38" borderId="0" xfId="2" applyNumberFormat="1" applyFont="1" applyFill="1" applyAlignment="1">
      <alignment horizontal="center"/>
    </xf>
    <xf numFmtId="0" fontId="13" fillId="38" borderId="0" xfId="2" applyFont="1" applyFill="1" applyAlignment="1">
      <alignment horizontal="center"/>
    </xf>
    <xf numFmtId="0" fontId="13" fillId="38" borderId="0" xfId="2" applyFont="1" applyFill="1" applyAlignment="1">
      <alignment horizontal="left"/>
    </xf>
    <xf numFmtId="9" fontId="13" fillId="38" borderId="0" xfId="2" applyNumberFormat="1" applyFont="1" applyFill="1" applyAlignment="1">
      <alignment horizontal="center"/>
    </xf>
    <xf numFmtId="1" fontId="13" fillId="38" borderId="0" xfId="2" applyNumberFormat="1" applyFont="1" applyFill="1" applyAlignment="1">
      <alignment horizontal="center"/>
    </xf>
    <xf numFmtId="4" fontId="13" fillId="38" borderId="0" xfId="2" applyNumberFormat="1" applyFont="1" applyFill="1" applyAlignment="1">
      <alignment horizontal="center"/>
    </xf>
    <xf numFmtId="0" fontId="9" fillId="38" borderId="0" xfId="2" applyFont="1" applyFill="1" applyAlignment="1">
      <alignment horizontal="left"/>
    </xf>
    <xf numFmtId="9" fontId="9" fillId="38" borderId="0" xfId="2" applyNumberFormat="1" applyFont="1" applyFill="1" applyAlignment="1">
      <alignment horizontal="center"/>
    </xf>
    <xf numFmtId="164" fontId="9" fillId="38" borderId="0" xfId="1" applyNumberFormat="1" applyFont="1" applyFill="1" applyBorder="1" applyProtection="1"/>
    <xf numFmtId="0" fontId="10" fillId="38" borderId="0" xfId="2" applyFont="1" applyFill="1"/>
    <xf numFmtId="0" fontId="10" fillId="38" borderId="2" xfId="2" applyFont="1" applyFill="1" applyBorder="1"/>
    <xf numFmtId="0" fontId="10" fillId="38" borderId="2" xfId="2" applyFont="1" applyFill="1" applyBorder="1" applyAlignment="1">
      <alignment horizontal="center"/>
    </xf>
    <xf numFmtId="1" fontId="10" fillId="38" borderId="2" xfId="2" applyNumberFormat="1" applyFont="1" applyFill="1" applyBorder="1"/>
    <xf numFmtId="164" fontId="10" fillId="38" borderId="2" xfId="1" applyNumberFormat="1" applyFont="1" applyFill="1" applyBorder="1"/>
    <xf numFmtId="1" fontId="10" fillId="38" borderId="0" xfId="2" applyNumberFormat="1" applyFont="1" applyFill="1"/>
    <xf numFmtId="164" fontId="9" fillId="38" borderId="0" xfId="1" applyNumberFormat="1" applyFont="1" applyFill="1" applyBorder="1"/>
    <xf numFmtId="0" fontId="9" fillId="38" borderId="0" xfId="2" quotePrefix="1" applyFont="1" applyFill="1" applyAlignment="1">
      <alignment horizontal="left"/>
    </xf>
    <xf numFmtId="0" fontId="10" fillId="38" borderId="2" xfId="2" applyFont="1" applyFill="1" applyBorder="1" applyAlignment="1">
      <alignment horizontal="left"/>
    </xf>
    <xf numFmtId="0" fontId="9" fillId="38" borderId="2" xfId="2" applyFont="1" applyFill="1" applyBorder="1" applyAlignment="1">
      <alignment horizontal="center"/>
    </xf>
    <xf numFmtId="0" fontId="9" fillId="38" borderId="2" xfId="2" applyFont="1" applyFill="1" applyBorder="1"/>
    <xf numFmtId="9" fontId="9" fillId="38" borderId="2" xfId="2" applyNumberFormat="1" applyFont="1" applyFill="1" applyBorder="1" applyAlignment="1">
      <alignment horizontal="center"/>
    </xf>
    <xf numFmtId="1" fontId="9" fillId="38" borderId="2" xfId="2" applyNumberFormat="1" applyFont="1" applyFill="1" applyBorder="1" applyAlignment="1">
      <alignment horizontal="right"/>
    </xf>
    <xf numFmtId="9" fontId="9" fillId="38" borderId="0" xfId="2" applyNumberFormat="1" applyFont="1" applyFill="1"/>
    <xf numFmtId="37" fontId="9" fillId="38" borderId="0" xfId="2" applyNumberFormat="1" applyFont="1" applyFill="1"/>
    <xf numFmtId="0" fontId="14" fillId="38" borderId="0" xfId="2" applyFont="1" applyFill="1"/>
    <xf numFmtId="1" fontId="9" fillId="38" borderId="2" xfId="2" applyNumberFormat="1" applyFont="1" applyFill="1" applyBorder="1"/>
    <xf numFmtId="37" fontId="10" fillId="38" borderId="2" xfId="2" applyNumberFormat="1" applyFont="1" applyFill="1" applyBorder="1"/>
    <xf numFmtId="164" fontId="10" fillId="38" borderId="2" xfId="1" applyNumberFormat="1" applyFont="1" applyFill="1" applyBorder="1" applyProtection="1"/>
    <xf numFmtId="0" fontId="14" fillId="38" borderId="0" xfId="2" applyFont="1" applyFill="1" applyAlignment="1">
      <alignment horizontal="center"/>
    </xf>
    <xf numFmtId="37" fontId="10" fillId="38" borderId="0" xfId="2" applyNumberFormat="1" applyFont="1" applyFill="1"/>
    <xf numFmtId="164" fontId="10" fillId="38" borderId="0" xfId="1" applyNumberFormat="1" applyFont="1" applyFill="1" applyBorder="1" applyProtection="1"/>
    <xf numFmtId="1" fontId="9" fillId="38" borderId="0" xfId="2" applyNumberFormat="1" applyFont="1" applyFill="1" applyAlignment="1">
      <alignment horizontal="center"/>
    </xf>
    <xf numFmtId="3" fontId="9" fillId="38" borderId="0" xfId="2" applyNumberFormat="1" applyFont="1" applyFill="1"/>
    <xf numFmtId="3" fontId="10" fillId="38" borderId="0" xfId="2" applyNumberFormat="1" applyFont="1" applyFill="1"/>
    <xf numFmtId="43" fontId="9" fillId="0" borderId="0" xfId="2" applyNumberFormat="1" applyFont="1"/>
    <xf numFmtId="171" fontId="9" fillId="38" borderId="0" xfId="2" applyNumberFormat="1" applyFont="1" applyFill="1" applyAlignment="1">
      <alignment horizontal="right"/>
    </xf>
    <xf numFmtId="171" fontId="9" fillId="0" borderId="0" xfId="2" applyNumberFormat="1" applyFont="1" applyAlignment="1">
      <alignment horizontal="right"/>
    </xf>
    <xf numFmtId="171" fontId="9" fillId="38" borderId="0" xfId="2" applyNumberFormat="1" applyFont="1" applyFill="1"/>
    <xf numFmtId="171" fontId="9" fillId="0" borderId="0" xfId="2" applyNumberFormat="1" applyFont="1"/>
    <xf numFmtId="14" fontId="13" fillId="38" borderId="0" xfId="2" applyNumberFormat="1" applyFont="1" applyFill="1" applyAlignment="1">
      <alignment horizont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9" fontId="11" fillId="0" borderId="0" xfId="2" applyNumberFormat="1" applyFont="1" applyAlignment="1">
      <alignment horizontal="center"/>
    </xf>
    <xf numFmtId="1" fontId="11" fillId="0" borderId="0" xfId="2" applyNumberFormat="1" applyFont="1" applyAlignment="1">
      <alignment horizontal="right"/>
    </xf>
    <xf numFmtId="171" fontId="11" fillId="0" borderId="0" xfId="2" applyNumberFormat="1" applyFont="1" applyAlignment="1">
      <alignment horizontal="right"/>
    </xf>
    <xf numFmtId="164" fontId="11" fillId="0" borderId="0" xfId="1" applyNumberFormat="1" applyFont="1" applyFill="1" applyBorder="1" applyProtection="1"/>
    <xf numFmtId="164" fontId="9" fillId="0" borderId="0" xfId="2" applyNumberFormat="1" applyFont="1"/>
    <xf numFmtId="0" fontId="13" fillId="0" borderId="0" xfId="2" applyFont="1"/>
    <xf numFmtId="0" fontId="15" fillId="0" borderId="0" xfId="2" applyFont="1"/>
    <xf numFmtId="0" fontId="15" fillId="0" borderId="0" xfId="2" applyFont="1" applyAlignment="1">
      <alignment horizontal="center"/>
    </xf>
    <xf numFmtId="9" fontId="11" fillId="0" borderId="0" xfId="2" applyNumberFormat="1" applyFont="1"/>
    <xf numFmtId="1" fontId="11" fillId="0" borderId="0" xfId="2" applyNumberFormat="1" applyFont="1"/>
    <xf numFmtId="3" fontId="11" fillId="0" borderId="0" xfId="2" applyNumberFormat="1" applyFont="1"/>
    <xf numFmtId="164" fontId="11" fillId="0" borderId="0" xfId="1" applyNumberFormat="1" applyFont="1" applyFill="1" applyBorder="1"/>
    <xf numFmtId="37" fontId="11" fillId="0" borderId="0" xfId="2" applyNumberFormat="1" applyFont="1"/>
    <xf numFmtId="14" fontId="13" fillId="0" borderId="0" xfId="2" applyNumberFormat="1" applyFont="1" applyAlignment="1">
      <alignment horizontal="center"/>
    </xf>
    <xf numFmtId="14" fontId="4" fillId="37" borderId="0" xfId="2" quotePrefix="1" applyNumberFormat="1" applyFont="1" applyFill="1" applyAlignment="1">
      <alignment horizontal="center"/>
    </xf>
    <xf numFmtId="164" fontId="10" fillId="0" borderId="0" xfId="2" applyNumberFormat="1" applyFont="1"/>
    <xf numFmtId="43" fontId="69" fillId="0" borderId="0" xfId="2" applyNumberFormat="1" applyFont="1"/>
    <xf numFmtId="14" fontId="4" fillId="37" borderId="33" xfId="2" quotePrefix="1" applyNumberFormat="1" applyFont="1" applyFill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37" xfId="1" applyNumberFormat="1" applyFont="1" applyFill="1" applyBorder="1"/>
    <xf numFmtId="164" fontId="4" fillId="0" borderId="24" xfId="1" applyNumberFormat="1" applyFont="1" applyFill="1" applyBorder="1"/>
    <xf numFmtId="164" fontId="4" fillId="0" borderId="39" xfId="1" applyNumberFormat="1" applyFont="1" applyFill="1" applyBorder="1"/>
    <xf numFmtId="0" fontId="4" fillId="0" borderId="0" xfId="2" applyFont="1"/>
    <xf numFmtId="0" fontId="5" fillId="0" borderId="0" xfId="2" applyFont="1"/>
    <xf numFmtId="0" fontId="5" fillId="0" borderId="32" xfId="2" applyFont="1" applyBorder="1"/>
    <xf numFmtId="0" fontId="4" fillId="0" borderId="0" xfId="2" applyFont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32" xfId="2" applyFont="1" applyBorder="1" applyAlignment="1">
      <alignment horizontal="left"/>
    </xf>
    <xf numFmtId="0" fontId="4" fillId="0" borderId="32" xfId="2" applyFont="1" applyBorder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32" xfId="2" applyFont="1" applyBorder="1"/>
    <xf numFmtId="3" fontId="5" fillId="0" borderId="0" xfId="2" applyNumberFormat="1" applyFont="1"/>
    <xf numFmtId="0" fontId="5" fillId="0" borderId="33" xfId="2" applyFont="1" applyBorder="1"/>
    <xf numFmtId="164" fontId="5" fillId="0" borderId="0" xfId="1" applyNumberFormat="1" applyFont="1" applyFill="1" applyBorder="1"/>
    <xf numFmtId="164" fontId="5" fillId="0" borderId="33" xfId="1" applyNumberFormat="1" applyFont="1" applyFill="1" applyBorder="1"/>
    <xf numFmtId="0" fontId="4" fillId="0" borderId="34" xfId="2" applyFont="1" applyBorder="1"/>
    <xf numFmtId="164" fontId="4" fillId="0" borderId="2" xfId="1" applyNumberFormat="1" applyFont="1" applyFill="1" applyBorder="1"/>
    <xf numFmtId="164" fontId="4" fillId="0" borderId="35" xfId="1" applyNumberFormat="1" applyFont="1" applyFill="1" applyBorder="1"/>
    <xf numFmtId="3" fontId="4" fillId="0" borderId="0" xfId="2" applyNumberFormat="1" applyFont="1"/>
    <xf numFmtId="0" fontId="4" fillId="0" borderId="36" xfId="2" applyFont="1" applyBorder="1"/>
    <xf numFmtId="0" fontId="5" fillId="0" borderId="38" xfId="2" applyFont="1" applyBorder="1"/>
    <xf numFmtId="1" fontId="0" fillId="0" borderId="0" xfId="0" applyNumberFormat="1"/>
    <xf numFmtId="0" fontId="75" fillId="0" borderId="0" xfId="0" applyFont="1"/>
    <xf numFmtId="0" fontId="75" fillId="0" borderId="0" xfId="0" applyFont="1" applyAlignment="1">
      <alignment horizontal="center"/>
    </xf>
    <xf numFmtId="43" fontId="75" fillId="0" borderId="0" xfId="1" applyFont="1"/>
    <xf numFmtId="1" fontId="75" fillId="0" borderId="0" xfId="1" applyNumberFormat="1" applyFont="1"/>
    <xf numFmtId="167" fontId="75" fillId="0" borderId="0" xfId="0" applyNumberFormat="1" applyFont="1"/>
    <xf numFmtId="0" fontId="76" fillId="0" borderId="0" xfId="0" applyFont="1" applyAlignment="1">
      <alignment horizontal="left"/>
    </xf>
    <xf numFmtId="14" fontId="75" fillId="0" borderId="0" xfId="0" applyNumberFormat="1" applyFont="1"/>
    <xf numFmtId="0" fontId="74" fillId="40" borderId="0" xfId="0" applyFont="1" applyFill="1"/>
    <xf numFmtId="0" fontId="72" fillId="40" borderId="24" xfId="0" applyFont="1" applyFill="1" applyBorder="1" applyAlignment="1">
      <alignment horizontal="center" wrapText="1"/>
    </xf>
    <xf numFmtId="1" fontId="72" fillId="40" borderId="24" xfId="0" applyNumberFormat="1" applyFont="1" applyFill="1" applyBorder="1" applyAlignment="1">
      <alignment horizontal="center" wrapText="1"/>
    </xf>
    <xf numFmtId="1" fontId="74" fillId="40" borderId="0" xfId="0" applyNumberFormat="1" applyFont="1" applyFill="1"/>
    <xf numFmtId="0" fontId="74" fillId="41" borderId="0" xfId="0" applyFont="1" applyFill="1"/>
    <xf numFmtId="0" fontId="74" fillId="40" borderId="0" xfId="0" applyFont="1" applyFill="1" applyAlignment="1">
      <alignment horizontal="right"/>
    </xf>
    <xf numFmtId="0" fontId="75" fillId="39" borderId="40" xfId="0" applyFont="1" applyFill="1" applyBorder="1" applyAlignment="1">
      <alignment horizontal="left"/>
    </xf>
    <xf numFmtId="0" fontId="77" fillId="40" borderId="0" xfId="0" applyFont="1" applyFill="1"/>
    <xf numFmtId="14" fontId="75" fillId="39" borderId="40" xfId="0" applyNumberFormat="1" applyFont="1" applyFill="1" applyBorder="1"/>
    <xf numFmtId="0" fontId="78" fillId="40" borderId="0" xfId="0" applyFont="1" applyFill="1"/>
    <xf numFmtId="49" fontId="75" fillId="39" borderId="40" xfId="0" applyNumberFormat="1" applyFont="1" applyFill="1" applyBorder="1" applyAlignment="1">
      <alignment horizontal="left"/>
    </xf>
    <xf numFmtId="0" fontId="75" fillId="39" borderId="40" xfId="0" applyFont="1" applyFill="1" applyBorder="1"/>
    <xf numFmtId="0" fontId="0" fillId="42" borderId="0" xfId="0" applyFill="1" applyAlignment="1">
      <alignment horizontal="left"/>
    </xf>
    <xf numFmtId="0" fontId="74" fillId="40" borderId="0" xfId="0" applyFont="1" applyFill="1" applyAlignment="1">
      <alignment horizontal="left"/>
    </xf>
    <xf numFmtId="0" fontId="74" fillId="40" borderId="0" xfId="0" applyFont="1" applyFill="1" applyAlignment="1">
      <alignment horizontal="center"/>
    </xf>
    <xf numFmtId="0" fontId="80" fillId="40" borderId="0" xfId="0" applyFont="1" applyFill="1"/>
    <xf numFmtId="1" fontId="75" fillId="0" borderId="0" xfId="0" applyNumberFormat="1" applyFont="1"/>
    <xf numFmtId="0" fontId="73" fillId="38" borderId="0" xfId="0" applyFont="1" applyFill="1" applyAlignment="1">
      <alignment horizontal="left"/>
    </xf>
    <xf numFmtId="0" fontId="73" fillId="38" borderId="0" xfId="0" applyFont="1" applyFill="1" applyAlignment="1">
      <alignment horizontal="right"/>
    </xf>
    <xf numFmtId="0" fontId="75" fillId="43" borderId="0" xfId="0" applyFont="1" applyFill="1"/>
    <xf numFmtId="0" fontId="75" fillId="44" borderId="0" xfId="0" applyFont="1" applyFill="1"/>
    <xf numFmtId="0" fontId="72" fillId="45" borderId="0" xfId="0" applyFont="1" applyFill="1"/>
    <xf numFmtId="43" fontId="74" fillId="40" borderId="0" xfId="0" applyNumberFormat="1" applyFont="1" applyFill="1"/>
    <xf numFmtId="0" fontId="81" fillId="40" borderId="0" xfId="0" applyFont="1" applyFill="1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72" fontId="0" fillId="0" borderId="0" xfId="0" applyNumberFormat="1"/>
    <xf numFmtId="0" fontId="82" fillId="0" borderId="38" xfId="2" applyFont="1" applyBorder="1" applyAlignment="1">
      <alignment horizontal="right"/>
    </xf>
    <xf numFmtId="43" fontId="82" fillId="0" borderId="24" xfId="1" applyFont="1" applyFill="1" applyBorder="1"/>
    <xf numFmtId="0" fontId="11" fillId="43" borderId="0" xfId="2" applyFont="1" applyFill="1"/>
    <xf numFmtId="0" fontId="11" fillId="43" borderId="0" xfId="2" applyFont="1" applyFill="1" applyAlignment="1">
      <alignment horizontal="left"/>
    </xf>
    <xf numFmtId="0" fontId="11" fillId="43" borderId="0" xfId="2" applyFont="1" applyFill="1" applyAlignment="1">
      <alignment horizontal="center"/>
    </xf>
    <xf numFmtId="9" fontId="11" fillId="43" borderId="0" xfId="2" applyNumberFormat="1" applyFont="1" applyFill="1" applyAlignment="1">
      <alignment horizontal="center"/>
    </xf>
    <xf numFmtId="1" fontId="11" fillId="43" borderId="0" xfId="2" applyNumberFormat="1" applyFont="1" applyFill="1" applyAlignment="1">
      <alignment horizontal="right"/>
    </xf>
    <xf numFmtId="171" fontId="11" fillId="43" borderId="0" xfId="2" applyNumberFormat="1" applyFont="1" applyFill="1" applyAlignment="1">
      <alignment horizontal="right"/>
    </xf>
    <xf numFmtId="164" fontId="11" fillId="43" borderId="0" xfId="1" applyNumberFormat="1" applyFont="1" applyFill="1" applyBorder="1" applyProtection="1"/>
    <xf numFmtId="171" fontId="9" fillId="37" borderId="0" xfId="2" applyNumberFormat="1" applyFont="1" applyFill="1" applyAlignment="1">
      <alignment horizontal="right"/>
    </xf>
    <xf numFmtId="9" fontId="11" fillId="43" borderId="0" xfId="2" applyNumberFormat="1" applyFont="1" applyFill="1"/>
    <xf numFmtId="1" fontId="11" fillId="43" borderId="0" xfId="2" applyNumberFormat="1" applyFont="1" applyFill="1"/>
    <xf numFmtId="171" fontId="9" fillId="43" borderId="0" xfId="2" applyNumberFormat="1" applyFont="1" applyFill="1"/>
    <xf numFmtId="171" fontId="9" fillId="37" borderId="0" xfId="2" applyNumberFormat="1" applyFont="1" applyFill="1"/>
    <xf numFmtId="9" fontId="9" fillId="0" borderId="0" xfId="582" applyFont="1"/>
    <xf numFmtId="0" fontId="0" fillId="44" borderId="0" xfId="0" applyFill="1"/>
    <xf numFmtId="3" fontId="83" fillId="37" borderId="0" xfId="583" applyNumberFormat="1" applyFont="1" applyFill="1" applyAlignment="1">
      <alignment horizontal="right"/>
    </xf>
    <xf numFmtId="0" fontId="74" fillId="40" borderId="0" xfId="406" applyFont="1" applyFill="1"/>
    <xf numFmtId="0" fontId="83" fillId="37" borderId="0" xfId="583" applyFont="1" applyFill="1" applyAlignment="1">
      <alignment horizontal="right"/>
    </xf>
    <xf numFmtId="171" fontId="83" fillId="37" borderId="0" xfId="583" applyNumberFormat="1" applyFont="1" applyFill="1" applyAlignment="1">
      <alignment horizontal="right"/>
    </xf>
    <xf numFmtId="2" fontId="83" fillId="37" borderId="0" xfId="583" applyNumberFormat="1" applyFont="1" applyFill="1" applyAlignment="1">
      <alignment horizontal="right"/>
    </xf>
    <xf numFmtId="0" fontId="0" fillId="44" borderId="0" xfId="0" applyFill="1" applyAlignment="1">
      <alignment horizontal="center"/>
    </xf>
    <xf numFmtId="1" fontId="0" fillId="44" borderId="0" xfId="0" applyNumberFormat="1" applyFill="1" applyAlignment="1">
      <alignment horizontal="center"/>
    </xf>
    <xf numFmtId="171" fontId="0" fillId="44" borderId="0" xfId="0" applyNumberFormat="1" applyFill="1" applyAlignment="1">
      <alignment horizontal="center"/>
    </xf>
    <xf numFmtId="164" fontId="0" fillId="44" borderId="0" xfId="584" applyNumberFormat="1" applyFont="1" applyFill="1" applyAlignment="1">
      <alignment horizontal="center"/>
    </xf>
    <xf numFmtId="164" fontId="0" fillId="44" borderId="0" xfId="584" applyNumberFormat="1" applyFont="1" applyFill="1"/>
    <xf numFmtId="164" fontId="0" fillId="44" borderId="0" xfId="0" applyNumberFormat="1" applyFill="1"/>
    <xf numFmtId="164" fontId="0" fillId="44" borderId="0" xfId="127" applyNumberFormat="1" applyFont="1" applyFill="1"/>
    <xf numFmtId="17" fontId="75" fillId="0" borderId="0" xfId="0" applyNumberFormat="1" applyFont="1"/>
    <xf numFmtId="0" fontId="73" fillId="46" borderId="43" xfId="0" applyFont="1" applyFill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0" xfId="584" applyNumberFormat="1" applyFont="1" applyFill="1" applyAlignment="1">
      <alignment horizontal="center"/>
    </xf>
    <xf numFmtId="164" fontId="0" fillId="0" borderId="0" xfId="584" applyNumberFormat="1" applyFont="1" applyFill="1"/>
    <xf numFmtId="164" fontId="0" fillId="0" borderId="0" xfId="127" applyNumberFormat="1" applyFont="1" applyFill="1"/>
    <xf numFmtId="164" fontId="0" fillId="0" borderId="0" xfId="0" applyNumberFormat="1"/>
    <xf numFmtId="0" fontId="73" fillId="46" borderId="44" xfId="0" applyFont="1" applyFill="1" applyBorder="1" applyAlignment="1">
      <alignment horizontal="left"/>
    </xf>
    <xf numFmtId="172" fontId="73" fillId="46" borderId="44" xfId="0" applyNumberFormat="1" applyFont="1" applyFill="1" applyBorder="1"/>
    <xf numFmtId="0" fontId="73" fillId="0" borderId="0" xfId="0" applyFont="1"/>
    <xf numFmtId="37" fontId="6" fillId="0" borderId="0" xfId="588" applyNumberFormat="1" applyAlignment="1">
      <alignment horizontal="center"/>
    </xf>
    <xf numFmtId="173" fontId="84" fillId="0" borderId="0" xfId="588" applyNumberFormat="1" applyFont="1"/>
    <xf numFmtId="173" fontId="6" fillId="0" borderId="0" xfId="588" applyNumberFormat="1"/>
    <xf numFmtId="37" fontId="6" fillId="0" borderId="0" xfId="588" applyNumberFormat="1"/>
    <xf numFmtId="164" fontId="85" fillId="39" borderId="3" xfId="1" applyNumberFormat="1" applyFont="1" applyFill="1" applyBorder="1" applyAlignment="1">
      <alignment horizontal="right" vertical="top"/>
    </xf>
    <xf numFmtId="37" fontId="85" fillId="0" borderId="0" xfId="588" applyNumberFormat="1" applyFont="1" applyAlignment="1">
      <alignment horizontal="center"/>
    </xf>
    <xf numFmtId="37" fontId="85" fillId="0" borderId="0" xfId="588" applyNumberFormat="1" applyFont="1" applyAlignment="1">
      <alignment horizontal="right"/>
    </xf>
    <xf numFmtId="0" fontId="86" fillId="0" borderId="0" xfId="0" applyFont="1"/>
    <xf numFmtId="173" fontId="85" fillId="0" borderId="0" xfId="588" applyNumberFormat="1" applyFont="1"/>
    <xf numFmtId="0" fontId="6" fillId="0" borderId="0" xfId="588" applyAlignment="1">
      <alignment horizontal="center"/>
    </xf>
    <xf numFmtId="174" fontId="6" fillId="0" borderId="0" xfId="588" applyNumberFormat="1"/>
    <xf numFmtId="174" fontId="87" fillId="0" borderId="0" xfId="588" applyNumberFormat="1" applyFont="1"/>
    <xf numFmtId="0" fontId="88" fillId="0" borderId="45" xfId="0" applyFont="1" applyBorder="1" applyAlignment="1">
      <alignment horizontal="center" vertical="center"/>
    </xf>
    <xf numFmtId="164" fontId="89" fillId="0" borderId="45" xfId="1" applyNumberFormat="1" applyFont="1" applyBorder="1" applyAlignment="1">
      <alignment horizontal="center" vertical="center"/>
    </xf>
    <xf numFmtId="43" fontId="89" fillId="0" borderId="4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9" fillId="0" borderId="45" xfId="0" applyFont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vertical="top"/>
    </xf>
    <xf numFmtId="164" fontId="6" fillId="49" borderId="0" xfId="1" applyNumberFormat="1" applyFont="1" applyFill="1" applyAlignment="1">
      <alignment vertical="top"/>
    </xf>
    <xf numFmtId="164" fontId="6" fillId="0" borderId="0" xfId="1" quotePrefix="1" applyNumberFormat="1" applyFont="1" applyAlignment="1">
      <alignment vertical="top"/>
    </xf>
    <xf numFmtId="0" fontId="6" fillId="50" borderId="45" xfId="588" applyFill="1" applyBorder="1" applyAlignment="1">
      <alignment horizontal="left" vertical="top"/>
    </xf>
    <xf numFmtId="0" fontId="6" fillId="50" borderId="45" xfId="588" applyFill="1" applyBorder="1" applyAlignment="1">
      <alignment horizontal="center" vertical="top"/>
    </xf>
    <xf numFmtId="175" fontId="6" fillId="50" borderId="45" xfId="588" applyNumberFormat="1" applyFill="1" applyBorder="1" applyAlignment="1">
      <alignment horizontal="center" vertical="top"/>
    </xf>
    <xf numFmtId="49" fontId="6" fillId="50" borderId="45" xfId="588" applyNumberFormat="1" applyFill="1" applyBorder="1" applyAlignment="1">
      <alignment vertical="top" wrapText="1"/>
    </xf>
    <xf numFmtId="175" fontId="6" fillId="49" borderId="45" xfId="588" applyNumberFormat="1" applyFill="1" applyBorder="1" applyAlignment="1">
      <alignment vertical="top"/>
    </xf>
    <xf numFmtId="164" fontId="85" fillId="49" borderId="45" xfId="1" applyNumberFormat="1" applyFont="1" applyFill="1" applyBorder="1" applyAlignment="1">
      <alignment horizontal="right" vertical="top"/>
    </xf>
    <xf numFmtId="164" fontId="6" fillId="50" borderId="46" xfId="1" applyNumberFormat="1" applyFont="1" applyFill="1" applyBorder="1" applyAlignment="1">
      <alignment vertical="top"/>
    </xf>
    <xf numFmtId="164" fontId="6" fillId="50" borderId="45" xfId="1" applyNumberFormat="1" applyFont="1" applyFill="1" applyBorder="1" applyAlignment="1">
      <alignment vertical="top"/>
    </xf>
    <xf numFmtId="164" fontId="6" fillId="51" borderId="47" xfId="1" applyNumberFormat="1" applyFont="1" applyFill="1" applyBorder="1" applyAlignment="1">
      <alignment vertical="top"/>
    </xf>
    <xf numFmtId="0" fontId="6" fillId="51" borderId="45" xfId="588" applyFill="1" applyBorder="1" applyAlignment="1">
      <alignment horizontal="center" vertical="top"/>
    </xf>
    <xf numFmtId="49" fontId="6" fillId="50" borderId="45" xfId="588" applyNumberFormat="1" applyFill="1" applyBorder="1" applyAlignment="1">
      <alignment horizontal="center" vertical="top"/>
    </xf>
    <xf numFmtId="49" fontId="6" fillId="50" borderId="45" xfId="588" applyNumberFormat="1" applyFill="1" applyBorder="1" applyAlignment="1">
      <alignment horizontal="left" vertical="top"/>
    </xf>
    <xf numFmtId="175" fontId="6" fillId="0" borderId="45" xfId="588" applyNumberFormat="1" applyBorder="1" applyAlignment="1">
      <alignment horizontal="center" vertical="top"/>
    </xf>
    <xf numFmtId="49" fontId="6" fillId="50" borderId="45" xfId="588" applyNumberFormat="1" applyFill="1" applyBorder="1" applyAlignment="1">
      <alignment horizontal="left" vertical="top" wrapText="1"/>
    </xf>
    <xf numFmtId="176" fontId="6" fillId="50" borderId="45" xfId="588" quotePrefix="1" applyNumberFormat="1" applyFill="1" applyBorder="1" applyAlignment="1">
      <alignment horizontal="left" vertical="top"/>
    </xf>
    <xf numFmtId="176" fontId="90" fillId="52" borderId="45" xfId="588" quotePrefix="1" applyNumberFormat="1" applyFont="1" applyFill="1" applyBorder="1" applyAlignment="1">
      <alignment horizontal="left" vertical="top"/>
    </xf>
    <xf numFmtId="0" fontId="74" fillId="0" borderId="0" xfId="0" applyFont="1" applyAlignment="1">
      <alignment vertical="top"/>
    </xf>
    <xf numFmtId="49" fontId="0" fillId="0" borderId="0" xfId="0" applyNumberFormat="1"/>
    <xf numFmtId="0" fontId="0" fillId="38" borderId="0" xfId="0" applyFill="1"/>
    <xf numFmtId="0" fontId="89" fillId="0" borderId="0" xfId="0" applyFont="1"/>
    <xf numFmtId="37" fontId="87" fillId="0" borderId="0" xfId="588" applyNumberFormat="1" applyFont="1" applyAlignment="1">
      <alignment horizontal="center"/>
    </xf>
    <xf numFmtId="0" fontId="74" fillId="40" borderId="0" xfId="586" applyFill="1" applyAlignment="1">
      <alignment horizontal="center"/>
    </xf>
    <xf numFmtId="1" fontId="92" fillId="0" borderId="0" xfId="588" applyNumberFormat="1" applyFont="1" applyAlignment="1">
      <alignment horizontal="center"/>
    </xf>
    <xf numFmtId="37" fontId="85" fillId="0" borderId="24" xfId="588" applyNumberFormat="1" applyFont="1" applyBorder="1" applyAlignment="1">
      <alignment horizontal="center" wrapText="1"/>
    </xf>
    <xf numFmtId="175" fontId="85" fillId="39" borderId="24" xfId="588" applyNumberFormat="1" applyFont="1" applyFill="1" applyBorder="1" applyAlignment="1">
      <alignment horizontal="center"/>
    </xf>
    <xf numFmtId="37" fontId="93" fillId="0" borderId="0" xfId="588" applyNumberFormat="1" applyFont="1" applyAlignment="1">
      <alignment horizontal="center"/>
    </xf>
    <xf numFmtId="177" fontId="85" fillId="0" borderId="48" xfId="588" applyNumberFormat="1" applyFont="1" applyBorder="1" applyAlignment="1">
      <alignment horizontal="center"/>
    </xf>
    <xf numFmtId="177" fontId="85" fillId="0" borderId="4" xfId="588" applyNumberFormat="1" applyFont="1" applyBorder="1" applyAlignment="1">
      <alignment horizontal="center"/>
    </xf>
    <xf numFmtId="177" fontId="85" fillId="0" borderId="49" xfId="588" applyNumberFormat="1" applyFont="1" applyBorder="1" applyAlignment="1">
      <alignment horizontal="center"/>
    </xf>
    <xf numFmtId="37" fontId="85" fillId="0" borderId="24" xfId="588" applyNumberFormat="1" applyFont="1" applyBorder="1" applyAlignment="1">
      <alignment horizontal="left" wrapText="1"/>
    </xf>
    <xf numFmtId="37" fontId="94" fillId="0" borderId="24" xfId="588" applyNumberFormat="1" applyFont="1" applyBorder="1" applyAlignment="1">
      <alignment horizontal="center" wrapText="1"/>
    </xf>
    <xf numFmtId="0" fontId="72" fillId="40" borderId="0" xfId="586" applyFont="1" applyFill="1" applyAlignment="1">
      <alignment horizontal="centerContinuous"/>
    </xf>
    <xf numFmtId="0" fontId="74" fillId="40" borderId="0" xfId="586" applyFill="1" applyAlignment="1">
      <alignment horizontal="centerContinuous"/>
    </xf>
    <xf numFmtId="0" fontId="0" fillId="0" borderId="0" xfId="0" applyAlignment="1">
      <alignment horizontal="centerContinuous"/>
    </xf>
    <xf numFmtId="37" fontId="93" fillId="0" borderId="0" xfId="588" applyNumberFormat="1" applyFont="1" applyAlignment="1">
      <alignment horizontal="centerContinuous"/>
    </xf>
    <xf numFmtId="37" fontId="95" fillId="0" borderId="0" xfId="588" applyNumberFormat="1" applyFont="1" applyAlignment="1">
      <alignment horizontal="centerContinuous"/>
    </xf>
    <xf numFmtId="37" fontId="93" fillId="0" borderId="0" xfId="588" applyNumberFormat="1" applyFont="1"/>
    <xf numFmtId="0" fontId="72" fillId="53" borderId="0" xfId="587" applyFont="1" applyFill="1" applyAlignment="1">
      <alignment horizontal="centerContinuous"/>
    </xf>
    <xf numFmtId="37" fontId="96" fillId="0" borderId="0" xfId="588" applyNumberFormat="1" applyFont="1" applyAlignment="1">
      <alignment horizontal="center"/>
    </xf>
    <xf numFmtId="37" fontId="97" fillId="36" borderId="1" xfId="588" applyNumberFormat="1" applyFont="1" applyFill="1" applyBorder="1" applyAlignment="1">
      <alignment horizontal="center"/>
    </xf>
    <xf numFmtId="37" fontId="96" fillId="36" borderId="1" xfId="588" applyNumberFormat="1" applyFont="1" applyFill="1" applyBorder="1" applyAlignment="1">
      <alignment horizontal="center"/>
    </xf>
    <xf numFmtId="37" fontId="96" fillId="36" borderId="1" xfId="588" applyNumberFormat="1" applyFont="1" applyFill="1" applyBorder="1" applyAlignment="1">
      <alignment horizontal="left"/>
    </xf>
    <xf numFmtId="0" fontId="98" fillId="0" borderId="0" xfId="0" applyFont="1"/>
    <xf numFmtId="49" fontId="99" fillId="0" borderId="0" xfId="588" applyNumberFormat="1" applyFont="1" applyAlignment="1">
      <alignment horizontal="center"/>
    </xf>
    <xf numFmtId="37" fontId="6" fillId="0" borderId="0" xfId="588" applyNumberFormat="1" applyAlignment="1">
      <alignment horizontal="left"/>
    </xf>
    <xf numFmtId="37" fontId="100" fillId="0" borderId="0" xfId="588" applyNumberFormat="1" applyFont="1"/>
    <xf numFmtId="37" fontId="100" fillId="0" borderId="0" xfId="588" applyNumberFormat="1" applyFont="1" applyAlignment="1">
      <alignment wrapText="1"/>
    </xf>
    <xf numFmtId="49" fontId="85" fillId="0" borderId="0" xfId="588" applyNumberFormat="1" applyFont="1" applyAlignment="1">
      <alignment horizontal="left"/>
    </xf>
    <xf numFmtId="0" fontId="85" fillId="50" borderId="0" xfId="588" applyFont="1" applyFill="1" applyAlignment="1">
      <alignment horizontal="left"/>
    </xf>
    <xf numFmtId="49" fontId="96" fillId="0" borderId="0" xfId="0" applyNumberFormat="1" applyFont="1" applyAlignment="1">
      <alignment horizontal="right"/>
    </xf>
    <xf numFmtId="49" fontId="96" fillId="0" borderId="0" xfId="0" applyNumberFormat="1" applyFont="1"/>
    <xf numFmtId="49" fontId="96" fillId="0" borderId="0" xfId="0" applyNumberFormat="1" applyFont="1" applyAlignment="1">
      <alignment horizontal="left"/>
    </xf>
    <xf numFmtId="0" fontId="101" fillId="0" borderId="0" xfId="0" applyFont="1" applyAlignment="1">
      <alignment horizontal="right"/>
    </xf>
    <xf numFmtId="37" fontId="102" fillId="0" borderId="0" xfId="588" applyNumberFormat="1" applyFont="1"/>
    <xf numFmtId="49" fontId="85" fillId="51" borderId="0" xfId="588" applyNumberFormat="1" applyFont="1" applyFill="1" applyAlignment="1">
      <alignment horizontal="left"/>
    </xf>
    <xf numFmtId="0" fontId="96" fillId="0" borderId="0" xfId="0" applyFont="1" applyAlignment="1">
      <alignment horizontal="right"/>
    </xf>
    <xf numFmtId="0" fontId="96" fillId="0" borderId="0" xfId="0" applyFont="1"/>
    <xf numFmtId="0" fontId="96" fillId="0" borderId="0" xfId="0" applyFont="1" applyAlignment="1">
      <alignment horizontal="left"/>
    </xf>
    <xf numFmtId="0" fontId="73" fillId="54" borderId="0" xfId="0" applyFont="1" applyFill="1"/>
    <xf numFmtId="0" fontId="0" fillId="51" borderId="0" xfId="0" applyFill="1"/>
    <xf numFmtId="0" fontId="73" fillId="51" borderId="0" xfId="0" applyFont="1" applyFill="1" applyAlignment="1">
      <alignment horizontal="right"/>
    </xf>
    <xf numFmtId="0" fontId="74" fillId="51" borderId="0" xfId="0" applyFont="1" applyFill="1"/>
    <xf numFmtId="0" fontId="0" fillId="55" borderId="0" xfId="0" applyFill="1"/>
    <xf numFmtId="0" fontId="73" fillId="50" borderId="0" xfId="0" applyFont="1" applyFill="1" applyAlignment="1">
      <alignment horizontal="right"/>
    </xf>
    <xf numFmtId="0" fontId="0" fillId="50" borderId="0" xfId="0" applyFill="1"/>
    <xf numFmtId="0" fontId="0" fillId="55" borderId="0" xfId="0" applyFill="1" applyAlignment="1">
      <alignment horizontal="right"/>
    </xf>
    <xf numFmtId="0" fontId="76" fillId="51" borderId="0" xfId="0" applyFont="1" applyFill="1" applyAlignment="1">
      <alignment horizontal="right"/>
    </xf>
    <xf numFmtId="0" fontId="73" fillId="54" borderId="0" xfId="0" applyFont="1" applyFill="1" applyAlignment="1">
      <alignment horizontal="centerContinuous"/>
    </xf>
    <xf numFmtId="0" fontId="103" fillId="50" borderId="0" xfId="0" applyFont="1" applyFill="1"/>
    <xf numFmtId="0" fontId="0" fillId="50" borderId="0" xfId="0" applyFill="1" applyAlignment="1">
      <alignment horizontal="right"/>
    </xf>
    <xf numFmtId="0" fontId="0" fillId="50" borderId="0" xfId="0" quotePrefix="1" applyFill="1"/>
    <xf numFmtId="0" fontId="0" fillId="51" borderId="0" xfId="0" applyFill="1" applyAlignment="1">
      <alignment horizontal="right"/>
    </xf>
    <xf numFmtId="176" fontId="6" fillId="56" borderId="45" xfId="588" quotePrefix="1" applyNumberFormat="1" applyFill="1" applyBorder="1" applyAlignment="1">
      <alignment horizontal="left" vertical="top"/>
    </xf>
    <xf numFmtId="0" fontId="6" fillId="56" borderId="45" xfId="588" applyFill="1" applyBorder="1" applyAlignment="1">
      <alignment horizontal="center" vertical="top"/>
    </xf>
    <xf numFmtId="49" fontId="6" fillId="56" borderId="45" xfId="588" applyNumberFormat="1" applyFill="1" applyBorder="1" applyAlignment="1">
      <alignment horizontal="left" vertical="top" wrapText="1"/>
    </xf>
    <xf numFmtId="175" fontId="6" fillId="56" borderId="45" xfId="588" applyNumberFormat="1" applyFill="1" applyBorder="1" applyAlignment="1">
      <alignment horizontal="center" vertical="top"/>
    </xf>
    <xf numFmtId="49" fontId="6" fillId="56" borderId="45" xfId="588" applyNumberFormat="1" applyFill="1" applyBorder="1" applyAlignment="1">
      <alignment horizontal="left" vertical="top"/>
    </xf>
    <xf numFmtId="49" fontId="6" fillId="56" borderId="45" xfId="588" applyNumberFormat="1" applyFill="1" applyBorder="1" applyAlignment="1">
      <alignment horizontal="center" vertical="top"/>
    </xf>
    <xf numFmtId="164" fontId="6" fillId="56" borderId="47" xfId="1" applyNumberFormat="1" applyFont="1" applyFill="1" applyBorder="1" applyAlignment="1">
      <alignment vertical="top"/>
    </xf>
    <xf numFmtId="164" fontId="6" fillId="56" borderId="45" xfId="1" applyNumberFormat="1" applyFont="1" applyFill="1" applyBorder="1" applyAlignment="1">
      <alignment vertical="top"/>
    </xf>
    <xf numFmtId="164" fontId="6" fillId="56" borderId="46" xfId="1" applyNumberFormat="1" applyFont="1" applyFill="1" applyBorder="1" applyAlignment="1">
      <alignment vertical="top"/>
    </xf>
    <xf numFmtId="37" fontId="6" fillId="56" borderId="0" xfId="588" applyNumberFormat="1" applyFill="1" applyAlignment="1">
      <alignment horizontal="center"/>
    </xf>
    <xf numFmtId="164" fontId="85" fillId="56" borderId="45" xfId="1" applyNumberFormat="1" applyFont="1" applyFill="1" applyBorder="1" applyAlignment="1">
      <alignment horizontal="right" vertical="top"/>
    </xf>
    <xf numFmtId="0" fontId="0" fillId="56" borderId="0" xfId="0" applyFill="1"/>
    <xf numFmtId="175" fontId="6" fillId="56" borderId="45" xfId="588" applyNumberFormat="1" applyFill="1" applyBorder="1" applyAlignment="1">
      <alignment vertical="top"/>
    </xf>
    <xf numFmtId="49" fontId="6" fillId="56" borderId="45" xfId="588" applyNumberFormat="1" applyFill="1" applyBorder="1" applyAlignment="1">
      <alignment vertical="top" wrapText="1"/>
    </xf>
    <xf numFmtId="164" fontId="6" fillId="56" borderId="0" xfId="1" applyNumberFormat="1" applyFont="1" applyFill="1" applyAlignment="1">
      <alignment vertical="top"/>
    </xf>
    <xf numFmtId="175" fontId="6" fillId="56" borderId="45" xfId="588" applyNumberFormat="1" applyFill="1" applyBorder="1" applyAlignment="1">
      <alignment vertical="top" wrapText="1"/>
    </xf>
    <xf numFmtId="164" fontId="6" fillId="56" borderId="0" xfId="1" quotePrefix="1" applyNumberFormat="1" applyFont="1" applyFill="1" applyAlignment="1">
      <alignment vertical="top"/>
    </xf>
    <xf numFmtId="0" fontId="6" fillId="57" borderId="45" xfId="588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72" fontId="0" fillId="0" borderId="0" xfId="585" applyNumberFormat="1" applyFont="1"/>
    <xf numFmtId="0" fontId="9" fillId="58" borderId="0" xfId="2" applyFont="1" applyFill="1"/>
    <xf numFmtId="0" fontId="9" fillId="58" borderId="0" xfId="2" applyFont="1" applyFill="1" applyAlignment="1">
      <alignment horizontal="left"/>
    </xf>
    <xf numFmtId="0" fontId="9" fillId="58" borderId="0" xfId="2" applyFont="1" applyFill="1" applyAlignment="1">
      <alignment horizontal="center"/>
    </xf>
    <xf numFmtId="9" fontId="9" fillId="58" borderId="0" xfId="2" applyNumberFormat="1" applyFont="1" applyFill="1"/>
    <xf numFmtId="1" fontId="9" fillId="58" borderId="0" xfId="2" applyNumberFormat="1" applyFont="1" applyFill="1"/>
    <xf numFmtId="171" fontId="9" fillId="58" borderId="0" xfId="2" applyNumberFormat="1" applyFont="1" applyFill="1"/>
    <xf numFmtId="164" fontId="9" fillId="58" borderId="0" xfId="1" applyNumberFormat="1" applyFont="1" applyFill="1" applyBorder="1" applyProtection="1"/>
    <xf numFmtId="164" fontId="5" fillId="0" borderId="0" xfId="2" applyNumberFormat="1" applyFont="1"/>
    <xf numFmtId="0" fontId="0" fillId="58" borderId="0" xfId="0" applyFill="1"/>
    <xf numFmtId="0" fontId="0" fillId="58" borderId="0" xfId="0" applyFill="1" applyAlignment="1">
      <alignment horizontal="left"/>
    </xf>
    <xf numFmtId="0" fontId="75" fillId="58" borderId="0" xfId="0" applyFont="1" applyFill="1"/>
    <xf numFmtId="0" fontId="72" fillId="45" borderId="0" xfId="0" applyFont="1" applyFill="1" applyAlignment="1">
      <alignment horizontal="center" wrapText="1"/>
    </xf>
    <xf numFmtId="43" fontId="0" fillId="0" borderId="0" xfId="127" applyFont="1" applyFill="1"/>
    <xf numFmtId="4" fontId="9" fillId="37" borderId="0" xfId="2" applyNumberFormat="1" applyFont="1" applyFill="1"/>
    <xf numFmtId="0" fontId="70" fillId="39" borderId="29" xfId="2" applyFont="1" applyFill="1" applyBorder="1" applyAlignment="1">
      <alignment horizontal="center" vertical="center"/>
    </xf>
    <xf numFmtId="0" fontId="70" fillId="39" borderId="30" xfId="2" applyFont="1" applyFill="1" applyBorder="1" applyAlignment="1">
      <alignment horizontal="center" vertical="center"/>
    </xf>
    <xf numFmtId="0" fontId="70" fillId="39" borderId="31" xfId="2" applyFont="1" applyFill="1" applyBorder="1" applyAlignment="1">
      <alignment horizontal="center" vertical="center"/>
    </xf>
    <xf numFmtId="0" fontId="70" fillId="39" borderId="32" xfId="2" applyFont="1" applyFill="1" applyBorder="1" applyAlignment="1">
      <alignment horizontal="center" vertical="center"/>
    </xf>
    <xf numFmtId="0" fontId="70" fillId="39" borderId="0" xfId="2" applyFont="1" applyFill="1" applyAlignment="1">
      <alignment horizontal="center" vertical="center"/>
    </xf>
    <xf numFmtId="0" fontId="70" fillId="39" borderId="33" xfId="2" applyFont="1" applyFill="1" applyBorder="1" applyAlignment="1">
      <alignment horizontal="center" vertical="center"/>
    </xf>
    <xf numFmtId="3" fontId="71" fillId="0" borderId="32" xfId="2" quotePrefix="1" applyNumberFormat="1" applyFont="1" applyBorder="1" applyAlignment="1">
      <alignment horizontal="center" vertical="center"/>
    </xf>
    <xf numFmtId="3" fontId="71" fillId="0" borderId="32" xfId="2" applyNumberFormat="1" applyFont="1" applyBorder="1" applyAlignment="1">
      <alignment horizontal="center" vertical="center"/>
    </xf>
    <xf numFmtId="0" fontId="75" fillId="39" borderId="40" xfId="0" applyFont="1" applyFill="1" applyBorder="1" applyAlignment="1">
      <alignment horizontal="left"/>
    </xf>
    <xf numFmtId="49" fontId="75" fillId="39" borderId="42" xfId="0" applyNumberFormat="1" applyFont="1" applyFill="1" applyBorder="1" applyAlignment="1">
      <alignment horizontal="left"/>
    </xf>
    <xf numFmtId="49" fontId="75" fillId="39" borderId="41" xfId="0" applyNumberFormat="1" applyFont="1" applyFill="1" applyBorder="1" applyAlignment="1">
      <alignment horizontal="left"/>
    </xf>
    <xf numFmtId="0" fontId="79" fillId="40" borderId="0" xfId="0" applyFont="1" applyFill="1" applyAlignment="1">
      <alignment horizontal="center"/>
    </xf>
    <xf numFmtId="0" fontId="73" fillId="46" borderId="0" xfId="0" applyFont="1" applyFill="1" applyAlignment="1">
      <alignment horizontal="center"/>
    </xf>
    <xf numFmtId="165" fontId="10" fillId="38" borderId="0" xfId="3" applyNumberFormat="1" applyFont="1" applyFill="1" applyBorder="1" applyAlignment="1">
      <alignment horizontal="left"/>
    </xf>
    <xf numFmtId="0" fontId="10" fillId="38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165" fontId="10" fillId="0" borderId="0" xfId="3" applyNumberFormat="1" applyFont="1" applyFill="1" applyBorder="1" applyAlignment="1">
      <alignment horizontal="left"/>
    </xf>
  </cellXfs>
  <cellStyles count="589">
    <cellStyle name="20% - Accent1 2" xfId="4" xr:uid="{00000000-0005-0000-0000-000000000000}"/>
    <cellStyle name="20% - Accent1 2 2" xfId="5" xr:uid="{00000000-0005-0000-0000-000001000000}"/>
    <cellStyle name="20% - Accent1 2 3" xfId="6" xr:uid="{00000000-0005-0000-0000-000002000000}"/>
    <cellStyle name="20% - Accent1 3" xfId="7" xr:uid="{00000000-0005-0000-0000-000003000000}"/>
    <cellStyle name="20% - Accent1 3 2" xfId="8" xr:uid="{00000000-0005-0000-0000-000004000000}"/>
    <cellStyle name="20% - Accent1 3 3" xfId="9" xr:uid="{00000000-0005-0000-0000-000005000000}"/>
    <cellStyle name="20% - Accent1 4" xfId="10" xr:uid="{00000000-0005-0000-0000-000006000000}"/>
    <cellStyle name="20% - Accent2 2" xfId="11" xr:uid="{00000000-0005-0000-0000-000007000000}"/>
    <cellStyle name="20% - Accent2 3" xfId="12" xr:uid="{00000000-0005-0000-0000-000008000000}"/>
    <cellStyle name="20% - Accent2 3 2" xfId="13" xr:uid="{00000000-0005-0000-0000-000009000000}"/>
    <cellStyle name="20% - Accent3 2" xfId="14" xr:uid="{00000000-0005-0000-0000-00000A000000}"/>
    <cellStyle name="20% - Accent3 3" xfId="15" xr:uid="{00000000-0005-0000-0000-00000B000000}"/>
    <cellStyle name="20% - Accent3 3 2" xfId="16" xr:uid="{00000000-0005-0000-0000-00000C000000}"/>
    <cellStyle name="20% - Accent4 2" xfId="17" xr:uid="{00000000-0005-0000-0000-00000D000000}"/>
    <cellStyle name="20% - Accent4 2 2" xfId="18" xr:uid="{00000000-0005-0000-0000-00000E000000}"/>
    <cellStyle name="20% - Accent4 2 3" xfId="19" xr:uid="{00000000-0005-0000-0000-00000F000000}"/>
    <cellStyle name="20% - Accent4 3" xfId="20" xr:uid="{00000000-0005-0000-0000-000010000000}"/>
    <cellStyle name="20% - Accent4 3 2" xfId="21" xr:uid="{00000000-0005-0000-0000-000011000000}"/>
    <cellStyle name="20% - Accent4 3 3" xfId="22" xr:uid="{00000000-0005-0000-0000-000012000000}"/>
    <cellStyle name="20% - Accent4 4" xfId="23" xr:uid="{00000000-0005-0000-0000-000013000000}"/>
    <cellStyle name="20% - Accent5 2" xfId="24" xr:uid="{00000000-0005-0000-0000-000014000000}"/>
    <cellStyle name="20% - Accent5 3" xfId="25" xr:uid="{00000000-0005-0000-0000-000015000000}"/>
    <cellStyle name="20% - Accent6 2" xfId="26" xr:uid="{00000000-0005-0000-0000-000016000000}"/>
    <cellStyle name="20% - Accent6 3" xfId="27" xr:uid="{00000000-0005-0000-0000-000017000000}"/>
    <cellStyle name="20% - Accent6 3 2" xfId="28" xr:uid="{00000000-0005-0000-0000-000018000000}"/>
    <cellStyle name="40% - Accent1 2" xfId="29" xr:uid="{00000000-0005-0000-0000-000019000000}"/>
    <cellStyle name="40% - Accent1 3" xfId="30" xr:uid="{00000000-0005-0000-0000-00001A000000}"/>
    <cellStyle name="40% - Accent1 3 2" xfId="31" xr:uid="{00000000-0005-0000-0000-00001B000000}"/>
    <cellStyle name="40% - Accent1 3 3" xfId="32" xr:uid="{00000000-0005-0000-0000-00001C000000}"/>
    <cellStyle name="40% - Accent1 4" xfId="33" xr:uid="{00000000-0005-0000-0000-00001D000000}"/>
    <cellStyle name="40% - Accent2 2" xfId="34" xr:uid="{00000000-0005-0000-0000-00001E000000}"/>
    <cellStyle name="40% - Accent2 3" xfId="35" xr:uid="{00000000-0005-0000-0000-00001F000000}"/>
    <cellStyle name="40% - Accent3 2" xfId="36" xr:uid="{00000000-0005-0000-0000-000020000000}"/>
    <cellStyle name="40% - Accent3 3" xfId="37" xr:uid="{00000000-0005-0000-0000-000021000000}"/>
    <cellStyle name="40% - Accent3 3 2" xfId="38" xr:uid="{00000000-0005-0000-0000-000022000000}"/>
    <cellStyle name="40% - Accent4 2" xfId="39" xr:uid="{00000000-0005-0000-0000-000023000000}"/>
    <cellStyle name="40% - Accent4 3" xfId="40" xr:uid="{00000000-0005-0000-0000-000024000000}"/>
    <cellStyle name="40% - Accent4 3 2" xfId="41" xr:uid="{00000000-0005-0000-0000-000025000000}"/>
    <cellStyle name="40% - Accent4 3 3" xfId="42" xr:uid="{00000000-0005-0000-0000-000026000000}"/>
    <cellStyle name="40% - Accent4 4" xfId="43" xr:uid="{00000000-0005-0000-0000-000027000000}"/>
    <cellStyle name="40% - Accent5 2" xfId="44" xr:uid="{00000000-0005-0000-0000-000028000000}"/>
    <cellStyle name="40% - Accent5 3" xfId="45" xr:uid="{00000000-0005-0000-0000-000029000000}"/>
    <cellStyle name="40% - Accent5 3 2" xfId="46" xr:uid="{00000000-0005-0000-0000-00002A000000}"/>
    <cellStyle name="40% - Accent6 2" xfId="47" xr:uid="{00000000-0005-0000-0000-00002B000000}"/>
    <cellStyle name="40% - Accent6 3" xfId="48" xr:uid="{00000000-0005-0000-0000-00002C000000}"/>
    <cellStyle name="40% - Accent6 3 2" xfId="49" xr:uid="{00000000-0005-0000-0000-00002D000000}"/>
    <cellStyle name="40% - Accent6 3 3" xfId="50" xr:uid="{00000000-0005-0000-0000-00002E000000}"/>
    <cellStyle name="40% - Accent6 4" xfId="51" xr:uid="{00000000-0005-0000-0000-00002F000000}"/>
    <cellStyle name="60% - Accent1 2" xfId="52" xr:uid="{00000000-0005-0000-0000-000030000000}"/>
    <cellStyle name="60% - Accent1 2 2" xfId="53" xr:uid="{00000000-0005-0000-0000-000031000000}"/>
    <cellStyle name="60% - Accent1 2 3" xfId="54" xr:uid="{00000000-0005-0000-0000-000032000000}"/>
    <cellStyle name="60% - Accent1 3" xfId="55" xr:uid="{00000000-0005-0000-0000-000033000000}"/>
    <cellStyle name="60% - Accent1 3 2" xfId="56" xr:uid="{00000000-0005-0000-0000-000034000000}"/>
    <cellStyle name="60% - Accent1 3 3" xfId="57" xr:uid="{00000000-0005-0000-0000-000035000000}"/>
    <cellStyle name="60% - Accent1 4" xfId="58" xr:uid="{00000000-0005-0000-0000-000036000000}"/>
    <cellStyle name="60% - Accent2 2" xfId="59" xr:uid="{00000000-0005-0000-0000-000037000000}"/>
    <cellStyle name="60% - Accent2 3" xfId="60" xr:uid="{00000000-0005-0000-0000-000038000000}"/>
    <cellStyle name="60% - Accent2 3 2" xfId="61" xr:uid="{00000000-0005-0000-0000-000039000000}"/>
    <cellStyle name="60% - Accent3 2" xfId="62" xr:uid="{00000000-0005-0000-0000-00003A000000}"/>
    <cellStyle name="60% - Accent3 3" xfId="63" xr:uid="{00000000-0005-0000-0000-00003B000000}"/>
    <cellStyle name="60% - Accent3 3 2" xfId="64" xr:uid="{00000000-0005-0000-0000-00003C000000}"/>
    <cellStyle name="60% - Accent3 3 3" xfId="65" xr:uid="{00000000-0005-0000-0000-00003D000000}"/>
    <cellStyle name="60% - Accent3 4" xfId="66" xr:uid="{00000000-0005-0000-0000-00003E000000}"/>
    <cellStyle name="60% - Accent4 2" xfId="67" xr:uid="{00000000-0005-0000-0000-00003F000000}"/>
    <cellStyle name="60% - Accent4 3" xfId="68" xr:uid="{00000000-0005-0000-0000-000040000000}"/>
    <cellStyle name="60% - Accent4 3 2" xfId="69" xr:uid="{00000000-0005-0000-0000-000041000000}"/>
    <cellStyle name="60% - Accent4 3 3" xfId="70" xr:uid="{00000000-0005-0000-0000-000042000000}"/>
    <cellStyle name="60% - Accent4 4" xfId="71" xr:uid="{00000000-0005-0000-0000-000043000000}"/>
    <cellStyle name="60% - Accent5 2" xfId="72" xr:uid="{00000000-0005-0000-0000-000044000000}"/>
    <cellStyle name="60% - Accent5 2 2" xfId="73" xr:uid="{00000000-0005-0000-0000-000045000000}"/>
    <cellStyle name="60% - Accent5 2 3" xfId="74" xr:uid="{00000000-0005-0000-0000-000046000000}"/>
    <cellStyle name="60% - Accent5 3" xfId="75" xr:uid="{00000000-0005-0000-0000-000047000000}"/>
    <cellStyle name="60% - Accent5 3 2" xfId="76" xr:uid="{00000000-0005-0000-0000-000048000000}"/>
    <cellStyle name="60% - Accent6 2" xfId="77" xr:uid="{00000000-0005-0000-0000-000049000000}"/>
    <cellStyle name="60% - Accent6 3" xfId="78" xr:uid="{00000000-0005-0000-0000-00004A000000}"/>
    <cellStyle name="60% - Accent6 3 2" xfId="79" xr:uid="{00000000-0005-0000-0000-00004B000000}"/>
    <cellStyle name="Accent1 2" xfId="80" xr:uid="{00000000-0005-0000-0000-00004C000000}"/>
    <cellStyle name="Accent1 2 2" xfId="81" xr:uid="{00000000-0005-0000-0000-00004D000000}"/>
    <cellStyle name="Accent1 2 3" xfId="82" xr:uid="{00000000-0005-0000-0000-00004E000000}"/>
    <cellStyle name="Accent1 3" xfId="83" xr:uid="{00000000-0005-0000-0000-00004F000000}"/>
    <cellStyle name="Accent1 3 2" xfId="84" xr:uid="{00000000-0005-0000-0000-000050000000}"/>
    <cellStyle name="Accent1 3 3" xfId="85" xr:uid="{00000000-0005-0000-0000-000051000000}"/>
    <cellStyle name="Accent1 4" xfId="86" xr:uid="{00000000-0005-0000-0000-000052000000}"/>
    <cellStyle name="Accent2" xfId="586" builtinId="33"/>
    <cellStyle name="Accent2 2" xfId="87" xr:uid="{00000000-0005-0000-0000-000053000000}"/>
    <cellStyle name="Accent2 3" xfId="88" xr:uid="{00000000-0005-0000-0000-000054000000}"/>
    <cellStyle name="Accent2 3 2" xfId="89" xr:uid="{00000000-0005-0000-0000-000055000000}"/>
    <cellStyle name="Accent3 2" xfId="90" xr:uid="{00000000-0005-0000-0000-000056000000}"/>
    <cellStyle name="Accent3 2 2" xfId="91" xr:uid="{00000000-0005-0000-0000-000057000000}"/>
    <cellStyle name="Accent3 2 3" xfId="92" xr:uid="{00000000-0005-0000-0000-000058000000}"/>
    <cellStyle name="Accent3 3" xfId="93" xr:uid="{00000000-0005-0000-0000-000059000000}"/>
    <cellStyle name="Accent3 3 2" xfId="94" xr:uid="{00000000-0005-0000-0000-00005A000000}"/>
    <cellStyle name="Accent4 2" xfId="95" xr:uid="{00000000-0005-0000-0000-00005B000000}"/>
    <cellStyle name="Accent4 2 2" xfId="552" xr:uid="{00000000-0005-0000-0000-00005C000000}"/>
    <cellStyle name="Accent4 3" xfId="96" xr:uid="{00000000-0005-0000-0000-00005D000000}"/>
    <cellStyle name="Accent4 3 2" xfId="97" xr:uid="{00000000-0005-0000-0000-00005E000000}"/>
    <cellStyle name="Accent5 2" xfId="98" xr:uid="{00000000-0005-0000-0000-00005F000000}"/>
    <cellStyle name="Accent5 3" xfId="99" xr:uid="{00000000-0005-0000-0000-000060000000}"/>
    <cellStyle name="Accent6" xfId="587" builtinId="49"/>
    <cellStyle name="Accent6 2" xfId="100" xr:uid="{00000000-0005-0000-0000-000061000000}"/>
    <cellStyle name="Accent6 2 2" xfId="101" xr:uid="{00000000-0005-0000-0000-000062000000}"/>
    <cellStyle name="Accent6 2 3" xfId="102" xr:uid="{00000000-0005-0000-0000-000063000000}"/>
    <cellStyle name="Accent6 3" xfId="103" xr:uid="{00000000-0005-0000-0000-000064000000}"/>
    <cellStyle name="Accent6 3 2" xfId="104" xr:uid="{00000000-0005-0000-0000-000065000000}"/>
    <cellStyle name="Accounting" xfId="105" xr:uid="{00000000-0005-0000-0000-000066000000}"/>
    <cellStyle name="Accounting 2" xfId="106" xr:uid="{00000000-0005-0000-0000-000067000000}"/>
    <cellStyle name="Accounting 3" xfId="107" xr:uid="{00000000-0005-0000-0000-000068000000}"/>
    <cellStyle name="Accounting_2011-11" xfId="108" xr:uid="{00000000-0005-0000-0000-000069000000}"/>
    <cellStyle name="Bad 2" xfId="109" xr:uid="{00000000-0005-0000-0000-00006A000000}"/>
    <cellStyle name="Bad 3" xfId="110" xr:uid="{00000000-0005-0000-0000-00006B000000}"/>
    <cellStyle name="Bad 3 2" xfId="111" xr:uid="{00000000-0005-0000-0000-00006C000000}"/>
    <cellStyle name="Budget" xfId="112" xr:uid="{00000000-0005-0000-0000-00006D000000}"/>
    <cellStyle name="Budget 2" xfId="113" xr:uid="{00000000-0005-0000-0000-00006E000000}"/>
    <cellStyle name="Budget 3" xfId="114" xr:uid="{00000000-0005-0000-0000-00006F000000}"/>
    <cellStyle name="Budget_2011-11" xfId="115" xr:uid="{00000000-0005-0000-0000-000070000000}"/>
    <cellStyle name="Calculation 2" xfId="116" xr:uid="{00000000-0005-0000-0000-000071000000}"/>
    <cellStyle name="Calculation 2 2" xfId="117" xr:uid="{00000000-0005-0000-0000-000072000000}"/>
    <cellStyle name="Calculation 2 3" xfId="118" xr:uid="{00000000-0005-0000-0000-000073000000}"/>
    <cellStyle name="Calculation 3" xfId="119" xr:uid="{00000000-0005-0000-0000-000074000000}"/>
    <cellStyle name="Calculation 3 2" xfId="120" xr:uid="{00000000-0005-0000-0000-000075000000}"/>
    <cellStyle name="Calculation 3 3" xfId="121" xr:uid="{00000000-0005-0000-0000-000076000000}"/>
    <cellStyle name="Calculation 4" xfId="122" xr:uid="{00000000-0005-0000-0000-000077000000}"/>
    <cellStyle name="Check Cell 2" xfId="123" xr:uid="{00000000-0005-0000-0000-000078000000}"/>
    <cellStyle name="Check Cell 3" xfId="124" xr:uid="{00000000-0005-0000-0000-000079000000}"/>
    <cellStyle name="combo" xfId="125" xr:uid="{00000000-0005-0000-0000-00007A000000}"/>
    <cellStyle name="Comma" xfId="1" builtinId="3"/>
    <cellStyle name="Comma 10" xfId="3" xr:uid="{00000000-0005-0000-0000-00007C000000}"/>
    <cellStyle name="Comma 11" xfId="126" xr:uid="{00000000-0005-0000-0000-00007D000000}"/>
    <cellStyle name="Comma 12" xfId="127" xr:uid="{00000000-0005-0000-0000-00007E000000}"/>
    <cellStyle name="Comma 12 2" xfId="128" xr:uid="{00000000-0005-0000-0000-00007F000000}"/>
    <cellStyle name="Comma 12 2 2" xfId="129" xr:uid="{00000000-0005-0000-0000-000080000000}"/>
    <cellStyle name="Comma 12 3" xfId="130" xr:uid="{00000000-0005-0000-0000-000081000000}"/>
    <cellStyle name="Comma 12 4" xfId="131" xr:uid="{00000000-0005-0000-0000-000082000000}"/>
    <cellStyle name="Comma 12 5" xfId="132" xr:uid="{00000000-0005-0000-0000-000083000000}"/>
    <cellStyle name="Comma 13" xfId="133" xr:uid="{00000000-0005-0000-0000-000084000000}"/>
    <cellStyle name="Comma 13 2" xfId="134" xr:uid="{00000000-0005-0000-0000-000085000000}"/>
    <cellStyle name="Comma 14" xfId="135" xr:uid="{00000000-0005-0000-0000-000086000000}"/>
    <cellStyle name="Comma 15" xfId="136" xr:uid="{00000000-0005-0000-0000-000087000000}"/>
    <cellStyle name="Comma 15 2" xfId="137" xr:uid="{00000000-0005-0000-0000-000088000000}"/>
    <cellStyle name="Comma 16" xfId="138" xr:uid="{00000000-0005-0000-0000-000089000000}"/>
    <cellStyle name="Comma 17" xfId="139" xr:uid="{00000000-0005-0000-0000-00008A000000}"/>
    <cellStyle name="Comma 17 2" xfId="140" xr:uid="{00000000-0005-0000-0000-00008B000000}"/>
    <cellStyle name="Comma 18" xfId="141" xr:uid="{00000000-0005-0000-0000-00008C000000}"/>
    <cellStyle name="Comma 18 2" xfId="142" xr:uid="{00000000-0005-0000-0000-00008D000000}"/>
    <cellStyle name="Comma 18 3" xfId="143" xr:uid="{00000000-0005-0000-0000-00008E000000}"/>
    <cellStyle name="Comma 19" xfId="144" xr:uid="{00000000-0005-0000-0000-00008F000000}"/>
    <cellStyle name="Comma 2" xfId="145" xr:uid="{00000000-0005-0000-0000-000090000000}"/>
    <cellStyle name="Comma 2 2" xfId="146" xr:uid="{00000000-0005-0000-0000-000091000000}"/>
    <cellStyle name="Comma 2 2 2" xfId="147" xr:uid="{00000000-0005-0000-0000-000092000000}"/>
    <cellStyle name="Comma 2 2 2 2" xfId="553" xr:uid="{00000000-0005-0000-0000-000093000000}"/>
    <cellStyle name="Comma 2 3" xfId="148" xr:uid="{00000000-0005-0000-0000-000094000000}"/>
    <cellStyle name="Comma 2 3 2" xfId="554" xr:uid="{00000000-0005-0000-0000-000095000000}"/>
    <cellStyle name="Comma 2 4" xfId="149" xr:uid="{00000000-0005-0000-0000-000096000000}"/>
    <cellStyle name="Comma 2 4 2" xfId="150" xr:uid="{00000000-0005-0000-0000-000097000000}"/>
    <cellStyle name="Comma 2 4 3" xfId="151" xr:uid="{00000000-0005-0000-0000-000098000000}"/>
    <cellStyle name="Comma 2 6" xfId="152" xr:uid="{00000000-0005-0000-0000-000099000000}"/>
    <cellStyle name="Comma 2 6 2" xfId="153" xr:uid="{00000000-0005-0000-0000-00009A000000}"/>
    <cellStyle name="Comma 20" xfId="154" xr:uid="{00000000-0005-0000-0000-00009B000000}"/>
    <cellStyle name="Comma 21" xfId="155" xr:uid="{00000000-0005-0000-0000-00009C000000}"/>
    <cellStyle name="Comma 3" xfId="156" xr:uid="{00000000-0005-0000-0000-00009D000000}"/>
    <cellStyle name="Comma 3 2" xfId="157" xr:uid="{00000000-0005-0000-0000-00009E000000}"/>
    <cellStyle name="Comma 3 2 2" xfId="158" xr:uid="{00000000-0005-0000-0000-00009F000000}"/>
    <cellStyle name="Comma 3 3" xfId="159" xr:uid="{00000000-0005-0000-0000-0000A0000000}"/>
    <cellStyle name="Comma 3 4" xfId="160" xr:uid="{00000000-0005-0000-0000-0000A1000000}"/>
    <cellStyle name="Comma 32" xfId="584" xr:uid="{A43E89A6-FC18-42FB-89FA-5B872039D95B}"/>
    <cellStyle name="Comma 4" xfId="161" xr:uid="{00000000-0005-0000-0000-0000A2000000}"/>
    <cellStyle name="Comma 4 2" xfId="162" xr:uid="{00000000-0005-0000-0000-0000A3000000}"/>
    <cellStyle name="Comma 4 2 2" xfId="163" xr:uid="{00000000-0005-0000-0000-0000A4000000}"/>
    <cellStyle name="Comma 4 2 3" xfId="164" xr:uid="{00000000-0005-0000-0000-0000A5000000}"/>
    <cellStyle name="Comma 4 2 4" xfId="555" xr:uid="{00000000-0005-0000-0000-0000A6000000}"/>
    <cellStyle name="Comma 4 3" xfId="165" xr:uid="{00000000-0005-0000-0000-0000A7000000}"/>
    <cellStyle name="Comma 4 3 2" xfId="166" xr:uid="{00000000-0005-0000-0000-0000A8000000}"/>
    <cellStyle name="Comma 4 3 3" xfId="167" xr:uid="{00000000-0005-0000-0000-0000A9000000}"/>
    <cellStyle name="Comma 4 4" xfId="168" xr:uid="{00000000-0005-0000-0000-0000AA000000}"/>
    <cellStyle name="Comma 4 4 2" xfId="169" xr:uid="{00000000-0005-0000-0000-0000AB000000}"/>
    <cellStyle name="Comma 4 4 3" xfId="170" xr:uid="{00000000-0005-0000-0000-0000AC000000}"/>
    <cellStyle name="Comma 4 5" xfId="171" xr:uid="{00000000-0005-0000-0000-0000AD000000}"/>
    <cellStyle name="Comma 4 5 2" xfId="172" xr:uid="{00000000-0005-0000-0000-0000AE000000}"/>
    <cellStyle name="Comma 4 6" xfId="173" xr:uid="{00000000-0005-0000-0000-0000AF000000}"/>
    <cellStyle name="Comma 5" xfId="174" xr:uid="{00000000-0005-0000-0000-0000B0000000}"/>
    <cellStyle name="Comma 5 2" xfId="175" xr:uid="{00000000-0005-0000-0000-0000B1000000}"/>
    <cellStyle name="Comma 5 3" xfId="176" xr:uid="{00000000-0005-0000-0000-0000B2000000}"/>
    <cellStyle name="Comma 5 4" xfId="177" xr:uid="{00000000-0005-0000-0000-0000B3000000}"/>
    <cellStyle name="Comma 6" xfId="178" xr:uid="{00000000-0005-0000-0000-0000B4000000}"/>
    <cellStyle name="Comma 6 2" xfId="179" xr:uid="{00000000-0005-0000-0000-0000B5000000}"/>
    <cellStyle name="Comma 7" xfId="180" xr:uid="{00000000-0005-0000-0000-0000B6000000}"/>
    <cellStyle name="Comma 8" xfId="181" xr:uid="{00000000-0005-0000-0000-0000B7000000}"/>
    <cellStyle name="Comma 9" xfId="182" xr:uid="{00000000-0005-0000-0000-0000B8000000}"/>
    <cellStyle name="Comma(2)" xfId="183" xr:uid="{00000000-0005-0000-0000-0000B9000000}"/>
    <cellStyle name="Comma0" xfId="184" xr:uid="{00000000-0005-0000-0000-0000BA000000}"/>
    <cellStyle name="Comma0 - Style2" xfId="185" xr:uid="{00000000-0005-0000-0000-0000BB000000}"/>
    <cellStyle name="Comma1 - Style1" xfId="186" xr:uid="{00000000-0005-0000-0000-0000BC000000}"/>
    <cellStyle name="Comments" xfId="187" xr:uid="{00000000-0005-0000-0000-0000BD000000}"/>
    <cellStyle name="Currency" xfId="585" builtinId="4"/>
    <cellStyle name="Currency 10" xfId="188" xr:uid="{00000000-0005-0000-0000-0000BE000000}"/>
    <cellStyle name="Currency 11" xfId="189" xr:uid="{00000000-0005-0000-0000-0000BF000000}"/>
    <cellStyle name="Currency 12" xfId="190" xr:uid="{00000000-0005-0000-0000-0000C0000000}"/>
    <cellStyle name="Currency 13" xfId="191" xr:uid="{00000000-0005-0000-0000-0000C1000000}"/>
    <cellStyle name="Currency 2" xfId="192" xr:uid="{00000000-0005-0000-0000-0000C2000000}"/>
    <cellStyle name="Currency 2 2" xfId="193" xr:uid="{00000000-0005-0000-0000-0000C3000000}"/>
    <cellStyle name="Currency 2 2 2" xfId="194" xr:uid="{00000000-0005-0000-0000-0000C4000000}"/>
    <cellStyle name="Currency 2 2 3" xfId="195" xr:uid="{00000000-0005-0000-0000-0000C5000000}"/>
    <cellStyle name="Currency 2 3" xfId="196" xr:uid="{00000000-0005-0000-0000-0000C6000000}"/>
    <cellStyle name="Currency 2 3 2" xfId="197" xr:uid="{00000000-0005-0000-0000-0000C7000000}"/>
    <cellStyle name="Currency 2 3 3" xfId="198" xr:uid="{00000000-0005-0000-0000-0000C8000000}"/>
    <cellStyle name="Currency 2 4" xfId="199" xr:uid="{00000000-0005-0000-0000-0000C9000000}"/>
    <cellStyle name="Currency 2 6" xfId="200" xr:uid="{00000000-0005-0000-0000-0000CA000000}"/>
    <cellStyle name="Currency 2 6 2" xfId="201" xr:uid="{00000000-0005-0000-0000-0000CB000000}"/>
    <cellStyle name="Currency 3" xfId="202" xr:uid="{00000000-0005-0000-0000-0000CC000000}"/>
    <cellStyle name="Currency 3 2" xfId="203" xr:uid="{00000000-0005-0000-0000-0000CD000000}"/>
    <cellStyle name="Currency 3 3" xfId="204" xr:uid="{00000000-0005-0000-0000-0000CE000000}"/>
    <cellStyle name="Currency 3 3 2" xfId="205" xr:uid="{00000000-0005-0000-0000-0000CF000000}"/>
    <cellStyle name="Currency 3 4" xfId="206" xr:uid="{00000000-0005-0000-0000-0000D0000000}"/>
    <cellStyle name="Currency 3 5" xfId="207" xr:uid="{00000000-0005-0000-0000-0000D1000000}"/>
    <cellStyle name="Currency 4" xfId="208" xr:uid="{00000000-0005-0000-0000-0000D2000000}"/>
    <cellStyle name="Currency 4 2" xfId="209" xr:uid="{00000000-0005-0000-0000-0000D3000000}"/>
    <cellStyle name="Currency 4 3" xfId="210" xr:uid="{00000000-0005-0000-0000-0000D4000000}"/>
    <cellStyle name="Currency 4 4" xfId="211" xr:uid="{00000000-0005-0000-0000-0000D5000000}"/>
    <cellStyle name="Currency 5" xfId="212" xr:uid="{00000000-0005-0000-0000-0000D6000000}"/>
    <cellStyle name="Currency 5 2" xfId="213" xr:uid="{00000000-0005-0000-0000-0000D7000000}"/>
    <cellStyle name="Currency 5 3" xfId="214" xr:uid="{00000000-0005-0000-0000-0000D8000000}"/>
    <cellStyle name="Currency 6" xfId="215" xr:uid="{00000000-0005-0000-0000-0000D9000000}"/>
    <cellStyle name="Currency 7" xfId="216" xr:uid="{00000000-0005-0000-0000-0000DA000000}"/>
    <cellStyle name="Currency 8" xfId="217" xr:uid="{00000000-0005-0000-0000-0000DB000000}"/>
    <cellStyle name="Currency 8 2" xfId="218" xr:uid="{00000000-0005-0000-0000-0000DC000000}"/>
    <cellStyle name="Currency 8 3" xfId="556" xr:uid="{00000000-0005-0000-0000-0000DD000000}"/>
    <cellStyle name="Currency 9" xfId="219" xr:uid="{00000000-0005-0000-0000-0000DE000000}"/>
    <cellStyle name="Currency0" xfId="220" xr:uid="{00000000-0005-0000-0000-0000DF000000}"/>
    <cellStyle name="Data Enter" xfId="221" xr:uid="{00000000-0005-0000-0000-0000E0000000}"/>
    <cellStyle name="date" xfId="222" xr:uid="{00000000-0005-0000-0000-0000E1000000}"/>
    <cellStyle name="Explanatory Text 2" xfId="223" xr:uid="{00000000-0005-0000-0000-0000E2000000}"/>
    <cellStyle name="Explanatory Text 3" xfId="224" xr:uid="{00000000-0005-0000-0000-0000E3000000}"/>
    <cellStyle name="F9ReportControlStyle_ctpInquire" xfId="225" xr:uid="{00000000-0005-0000-0000-0000E4000000}"/>
    <cellStyle name="FactSheet" xfId="226" xr:uid="{00000000-0005-0000-0000-0000E5000000}"/>
    <cellStyle name="fish" xfId="227" xr:uid="{00000000-0005-0000-0000-0000E6000000}"/>
    <cellStyle name="Good 2" xfId="228" xr:uid="{00000000-0005-0000-0000-0000E7000000}"/>
    <cellStyle name="Good 3" xfId="229" xr:uid="{00000000-0005-0000-0000-0000E8000000}"/>
    <cellStyle name="Good 3 2" xfId="230" xr:uid="{00000000-0005-0000-0000-0000E9000000}"/>
    <cellStyle name="Good 4" xfId="231" xr:uid="{00000000-0005-0000-0000-0000EA000000}"/>
    <cellStyle name="Heading 1 2" xfId="232" xr:uid="{00000000-0005-0000-0000-0000EB000000}"/>
    <cellStyle name="Heading 1 2 2" xfId="233" xr:uid="{00000000-0005-0000-0000-0000EC000000}"/>
    <cellStyle name="Heading 1 2 3" xfId="234" xr:uid="{00000000-0005-0000-0000-0000ED000000}"/>
    <cellStyle name="Heading 1 3" xfId="235" xr:uid="{00000000-0005-0000-0000-0000EE000000}"/>
    <cellStyle name="Heading 1 3 2" xfId="236" xr:uid="{00000000-0005-0000-0000-0000EF000000}"/>
    <cellStyle name="Heading 1 3 3" xfId="237" xr:uid="{00000000-0005-0000-0000-0000F0000000}"/>
    <cellStyle name="Heading 1 4" xfId="238" xr:uid="{00000000-0005-0000-0000-0000F1000000}"/>
    <cellStyle name="Heading 2 2" xfId="239" xr:uid="{00000000-0005-0000-0000-0000F2000000}"/>
    <cellStyle name="Heading 2 2 2" xfId="240" xr:uid="{00000000-0005-0000-0000-0000F3000000}"/>
    <cellStyle name="Heading 2 2 3" xfId="241" xr:uid="{00000000-0005-0000-0000-0000F4000000}"/>
    <cellStyle name="Heading 2 3" xfId="242" xr:uid="{00000000-0005-0000-0000-0000F5000000}"/>
    <cellStyle name="Heading 2 3 2" xfId="243" xr:uid="{00000000-0005-0000-0000-0000F6000000}"/>
    <cellStyle name="Heading 2 3 3" xfId="244" xr:uid="{00000000-0005-0000-0000-0000F7000000}"/>
    <cellStyle name="Heading 2 4" xfId="245" xr:uid="{00000000-0005-0000-0000-0000F8000000}"/>
    <cellStyle name="Heading 3 2" xfId="246" xr:uid="{00000000-0005-0000-0000-0000F9000000}"/>
    <cellStyle name="Heading 3 2 2" xfId="247" xr:uid="{00000000-0005-0000-0000-0000FA000000}"/>
    <cellStyle name="Heading 3 2 3" xfId="248" xr:uid="{00000000-0005-0000-0000-0000FB000000}"/>
    <cellStyle name="Heading 3 3" xfId="249" xr:uid="{00000000-0005-0000-0000-0000FC000000}"/>
    <cellStyle name="Heading 3 3 2" xfId="250" xr:uid="{00000000-0005-0000-0000-0000FD000000}"/>
    <cellStyle name="Heading 3 3 3" xfId="251" xr:uid="{00000000-0005-0000-0000-0000FE000000}"/>
    <cellStyle name="Heading 3 4" xfId="252" xr:uid="{00000000-0005-0000-0000-0000FF000000}"/>
    <cellStyle name="Heading 4 2" xfId="253" xr:uid="{00000000-0005-0000-0000-000000010000}"/>
    <cellStyle name="Heading 4 2 2" xfId="557" xr:uid="{00000000-0005-0000-0000-000001010000}"/>
    <cellStyle name="Heading 4 3" xfId="254" xr:uid="{00000000-0005-0000-0000-000002010000}"/>
    <cellStyle name="Heading 4 3 2" xfId="255" xr:uid="{00000000-0005-0000-0000-000003010000}"/>
    <cellStyle name="Hyperlink 2" xfId="256" xr:uid="{00000000-0005-0000-0000-000004010000}"/>
    <cellStyle name="Hyperlink 2 2" xfId="558" xr:uid="{00000000-0005-0000-0000-000005010000}"/>
    <cellStyle name="Hyperlink 3" xfId="257" xr:uid="{00000000-0005-0000-0000-000006010000}"/>
    <cellStyle name="Hyperlink 3 2" xfId="258" xr:uid="{00000000-0005-0000-0000-000007010000}"/>
    <cellStyle name="Hyperlink 3 3" xfId="559" xr:uid="{00000000-0005-0000-0000-000008010000}"/>
    <cellStyle name="Input 2" xfId="259" xr:uid="{00000000-0005-0000-0000-000009010000}"/>
    <cellStyle name="Input 2 2" xfId="560" xr:uid="{00000000-0005-0000-0000-00000A010000}"/>
    <cellStyle name="Input 3" xfId="260" xr:uid="{00000000-0005-0000-0000-00000B010000}"/>
    <cellStyle name="Input 3 2" xfId="261" xr:uid="{00000000-0005-0000-0000-00000C010000}"/>
    <cellStyle name="input(0)" xfId="262" xr:uid="{00000000-0005-0000-0000-00000D010000}"/>
    <cellStyle name="Input(2)" xfId="263" xr:uid="{00000000-0005-0000-0000-00000E010000}"/>
    <cellStyle name="Linked Cell 2" xfId="264" xr:uid="{00000000-0005-0000-0000-00000F010000}"/>
    <cellStyle name="Linked Cell 2 2" xfId="265" xr:uid="{00000000-0005-0000-0000-000010010000}"/>
    <cellStyle name="Linked Cell 2 3" xfId="266" xr:uid="{00000000-0005-0000-0000-000011010000}"/>
    <cellStyle name="Linked Cell 3" xfId="267" xr:uid="{00000000-0005-0000-0000-000012010000}"/>
    <cellStyle name="Linked Cell 3 2" xfId="268" xr:uid="{00000000-0005-0000-0000-000013010000}"/>
    <cellStyle name="Neutral 2" xfId="269" xr:uid="{00000000-0005-0000-0000-000014010000}"/>
    <cellStyle name="Neutral 2 2" xfId="270" xr:uid="{00000000-0005-0000-0000-000015010000}"/>
    <cellStyle name="Neutral 2 3" xfId="271" xr:uid="{00000000-0005-0000-0000-000016010000}"/>
    <cellStyle name="Neutral 3" xfId="272" xr:uid="{00000000-0005-0000-0000-000017010000}"/>
    <cellStyle name="Neutral 3 2" xfId="273" xr:uid="{00000000-0005-0000-0000-000018010000}"/>
    <cellStyle name="New_normal" xfId="274" xr:uid="{00000000-0005-0000-0000-000019010000}"/>
    <cellStyle name="Normal" xfId="0" builtinId="0"/>
    <cellStyle name="Normal - Style1" xfId="275" xr:uid="{00000000-0005-0000-0000-00001B010000}"/>
    <cellStyle name="Normal - Style2" xfId="276" xr:uid="{00000000-0005-0000-0000-00001C010000}"/>
    <cellStyle name="Normal - Style3" xfId="277" xr:uid="{00000000-0005-0000-0000-00001D010000}"/>
    <cellStyle name="Normal - Style4" xfId="278" xr:uid="{00000000-0005-0000-0000-00001E010000}"/>
    <cellStyle name="Normal - Style5" xfId="279" xr:uid="{00000000-0005-0000-0000-00001F010000}"/>
    <cellStyle name="Normal 10" xfId="280" xr:uid="{00000000-0005-0000-0000-000020010000}"/>
    <cellStyle name="Normal 10 2" xfId="281" xr:uid="{00000000-0005-0000-0000-000021010000}"/>
    <cellStyle name="Normal 10 2 2" xfId="282" xr:uid="{00000000-0005-0000-0000-000022010000}"/>
    <cellStyle name="Normal 10 2 3" xfId="283" xr:uid="{00000000-0005-0000-0000-000023010000}"/>
    <cellStyle name="Normal 10 2 4" xfId="284" xr:uid="{00000000-0005-0000-0000-000024010000}"/>
    <cellStyle name="Normal 10 3" xfId="285" xr:uid="{00000000-0005-0000-0000-000025010000}"/>
    <cellStyle name="Normal 10_2112 DF Schedule" xfId="286" xr:uid="{00000000-0005-0000-0000-000026010000}"/>
    <cellStyle name="Normal 100" xfId="287" xr:uid="{00000000-0005-0000-0000-000027010000}"/>
    <cellStyle name="Normal 101" xfId="288" xr:uid="{00000000-0005-0000-0000-000028010000}"/>
    <cellStyle name="Normal 102" xfId="289" xr:uid="{00000000-0005-0000-0000-000029010000}"/>
    <cellStyle name="Normal 103" xfId="290" xr:uid="{00000000-0005-0000-0000-00002A010000}"/>
    <cellStyle name="Normal 104" xfId="291" xr:uid="{00000000-0005-0000-0000-00002B010000}"/>
    <cellStyle name="Normal 105" xfId="292" xr:uid="{00000000-0005-0000-0000-00002C010000}"/>
    <cellStyle name="Normal 106" xfId="293" xr:uid="{00000000-0005-0000-0000-00002D010000}"/>
    <cellStyle name="Normal 107" xfId="294" xr:uid="{00000000-0005-0000-0000-00002E010000}"/>
    <cellStyle name="Normal 108" xfId="295" xr:uid="{00000000-0005-0000-0000-00002F010000}"/>
    <cellStyle name="Normal 109" xfId="296" xr:uid="{00000000-0005-0000-0000-000030010000}"/>
    <cellStyle name="Normal 11" xfId="297" xr:uid="{00000000-0005-0000-0000-000031010000}"/>
    <cellStyle name="Normal 11 2" xfId="298" xr:uid="{00000000-0005-0000-0000-000032010000}"/>
    <cellStyle name="Normal 11 2 2" xfId="299" xr:uid="{00000000-0005-0000-0000-000033010000}"/>
    <cellStyle name="Normal 110" xfId="300" xr:uid="{00000000-0005-0000-0000-000034010000}"/>
    <cellStyle name="Normal 111" xfId="551" xr:uid="{00000000-0005-0000-0000-000035010000}"/>
    <cellStyle name="Normal 112" xfId="581" xr:uid="{00000000-0005-0000-0000-000036010000}"/>
    <cellStyle name="Normal 12" xfId="301" xr:uid="{00000000-0005-0000-0000-000037010000}"/>
    <cellStyle name="Normal 12 2" xfId="302" xr:uid="{00000000-0005-0000-0000-000038010000}"/>
    <cellStyle name="Normal 12 2 2" xfId="561" xr:uid="{00000000-0005-0000-0000-000039010000}"/>
    <cellStyle name="Normal 12 3" xfId="303" xr:uid="{00000000-0005-0000-0000-00003A010000}"/>
    <cellStyle name="Normal 12 4" xfId="304" xr:uid="{00000000-0005-0000-0000-00003B010000}"/>
    <cellStyle name="Normal 12 5" xfId="305" xr:uid="{00000000-0005-0000-0000-00003C010000}"/>
    <cellStyle name="Normal 12_Sheet1" xfId="306" xr:uid="{00000000-0005-0000-0000-00003D010000}"/>
    <cellStyle name="Normal 13" xfId="307" xr:uid="{00000000-0005-0000-0000-00003E010000}"/>
    <cellStyle name="Normal 13 2" xfId="308" xr:uid="{00000000-0005-0000-0000-00003F010000}"/>
    <cellStyle name="Normal 13 2 2" xfId="562" xr:uid="{00000000-0005-0000-0000-000040010000}"/>
    <cellStyle name="Normal 13 3" xfId="309" xr:uid="{00000000-0005-0000-0000-000041010000}"/>
    <cellStyle name="Normal 13 4" xfId="310" xr:uid="{00000000-0005-0000-0000-000042010000}"/>
    <cellStyle name="Normal 13 5" xfId="311" xr:uid="{00000000-0005-0000-0000-000043010000}"/>
    <cellStyle name="Normal 13_Sheet1" xfId="312" xr:uid="{00000000-0005-0000-0000-000044010000}"/>
    <cellStyle name="Normal 14" xfId="313" xr:uid="{00000000-0005-0000-0000-000045010000}"/>
    <cellStyle name="Normal 14 2" xfId="314" xr:uid="{00000000-0005-0000-0000-000046010000}"/>
    <cellStyle name="Normal 14 2 2" xfId="563" xr:uid="{00000000-0005-0000-0000-000047010000}"/>
    <cellStyle name="Normal 14 3" xfId="315" xr:uid="{00000000-0005-0000-0000-000048010000}"/>
    <cellStyle name="Normal 14 4" xfId="316" xr:uid="{00000000-0005-0000-0000-000049010000}"/>
    <cellStyle name="Normal 14_Sheet1" xfId="317" xr:uid="{00000000-0005-0000-0000-00004A010000}"/>
    <cellStyle name="Normal 15" xfId="318" xr:uid="{00000000-0005-0000-0000-00004B010000}"/>
    <cellStyle name="Normal 15 2" xfId="319" xr:uid="{00000000-0005-0000-0000-00004C010000}"/>
    <cellStyle name="Normal 15 2 2" xfId="564" xr:uid="{00000000-0005-0000-0000-00004D010000}"/>
    <cellStyle name="Normal 15 3" xfId="320" xr:uid="{00000000-0005-0000-0000-00004E010000}"/>
    <cellStyle name="Normal 15 4" xfId="321" xr:uid="{00000000-0005-0000-0000-00004F010000}"/>
    <cellStyle name="Normal 16" xfId="322" xr:uid="{00000000-0005-0000-0000-000050010000}"/>
    <cellStyle name="Normal 16 2" xfId="323" xr:uid="{00000000-0005-0000-0000-000051010000}"/>
    <cellStyle name="Normal 16 2 2" xfId="565" xr:uid="{00000000-0005-0000-0000-000052010000}"/>
    <cellStyle name="Normal 16 3" xfId="324" xr:uid="{00000000-0005-0000-0000-000053010000}"/>
    <cellStyle name="Normal 17" xfId="325" xr:uid="{00000000-0005-0000-0000-000054010000}"/>
    <cellStyle name="Normal 17 2" xfId="326" xr:uid="{00000000-0005-0000-0000-000055010000}"/>
    <cellStyle name="Normal 17 2 2" xfId="566" xr:uid="{00000000-0005-0000-0000-000056010000}"/>
    <cellStyle name="Normal 17 3" xfId="327" xr:uid="{00000000-0005-0000-0000-000057010000}"/>
    <cellStyle name="Normal 18" xfId="328" xr:uid="{00000000-0005-0000-0000-000058010000}"/>
    <cellStyle name="Normal 18 2" xfId="329" xr:uid="{00000000-0005-0000-0000-000059010000}"/>
    <cellStyle name="Normal 18 2 2" xfId="567" xr:uid="{00000000-0005-0000-0000-00005A010000}"/>
    <cellStyle name="Normal 18 3" xfId="330" xr:uid="{00000000-0005-0000-0000-00005B010000}"/>
    <cellStyle name="Normal 19" xfId="331" xr:uid="{00000000-0005-0000-0000-00005C010000}"/>
    <cellStyle name="Normal 19 2" xfId="332" xr:uid="{00000000-0005-0000-0000-00005D010000}"/>
    <cellStyle name="Normal 19 2 2" xfId="568" xr:uid="{00000000-0005-0000-0000-00005E010000}"/>
    <cellStyle name="Normal 19 3" xfId="333" xr:uid="{00000000-0005-0000-0000-00005F010000}"/>
    <cellStyle name="Normal 2" xfId="334" xr:uid="{00000000-0005-0000-0000-000060010000}"/>
    <cellStyle name="Normal 2 10" xfId="335" xr:uid="{00000000-0005-0000-0000-000061010000}"/>
    <cellStyle name="Normal 2 11" xfId="336" xr:uid="{00000000-0005-0000-0000-000062010000}"/>
    <cellStyle name="Normal 2 2" xfId="337" xr:uid="{00000000-0005-0000-0000-000063010000}"/>
    <cellStyle name="Normal 2 2 2" xfId="338" xr:uid="{00000000-0005-0000-0000-000064010000}"/>
    <cellStyle name="Normal 2 2 2 2" xfId="339" xr:uid="{00000000-0005-0000-0000-000065010000}"/>
    <cellStyle name="Normal 2 2 3" xfId="340" xr:uid="{00000000-0005-0000-0000-000066010000}"/>
    <cellStyle name="Normal 2 2 4" xfId="341" xr:uid="{00000000-0005-0000-0000-000067010000}"/>
    <cellStyle name="Normal 2 2_4MthProj2" xfId="342" xr:uid="{00000000-0005-0000-0000-000068010000}"/>
    <cellStyle name="Normal 2 3" xfId="343" xr:uid="{00000000-0005-0000-0000-000069010000}"/>
    <cellStyle name="Normal 2 3 2" xfId="344" xr:uid="{00000000-0005-0000-0000-00006A010000}"/>
    <cellStyle name="Normal 2 3 3" xfId="345" xr:uid="{00000000-0005-0000-0000-00006B010000}"/>
    <cellStyle name="Normal 2 3 3 2" xfId="569" xr:uid="{00000000-0005-0000-0000-00006C010000}"/>
    <cellStyle name="Normal 2 3_4MthProj2" xfId="346" xr:uid="{00000000-0005-0000-0000-00006D010000}"/>
    <cellStyle name="Normal 2 4" xfId="347" xr:uid="{00000000-0005-0000-0000-00006E010000}"/>
    <cellStyle name="Normal 2 4 2" xfId="348" xr:uid="{00000000-0005-0000-0000-00006F010000}"/>
    <cellStyle name="Normal 2 5" xfId="349" xr:uid="{00000000-0005-0000-0000-000070010000}"/>
    <cellStyle name="Normal 2 6" xfId="350" xr:uid="{00000000-0005-0000-0000-000071010000}"/>
    <cellStyle name="Normal 2 7" xfId="351" xr:uid="{00000000-0005-0000-0000-000072010000}"/>
    <cellStyle name="Normal 2 8" xfId="352" xr:uid="{00000000-0005-0000-0000-000073010000}"/>
    <cellStyle name="Normal 2 9" xfId="353" xr:uid="{00000000-0005-0000-0000-000074010000}"/>
    <cellStyle name="Normal 2_2009 Regulated Price Out" xfId="354" xr:uid="{00000000-0005-0000-0000-000075010000}"/>
    <cellStyle name="Normal 20" xfId="355" xr:uid="{00000000-0005-0000-0000-000076010000}"/>
    <cellStyle name="Normal 20 2" xfId="356" xr:uid="{00000000-0005-0000-0000-000077010000}"/>
    <cellStyle name="Normal 20 3" xfId="357" xr:uid="{00000000-0005-0000-0000-000078010000}"/>
    <cellStyle name="Normal 20 4" xfId="570" xr:uid="{00000000-0005-0000-0000-000079010000}"/>
    <cellStyle name="Normal 21" xfId="358" xr:uid="{00000000-0005-0000-0000-00007A010000}"/>
    <cellStyle name="Normal 21 2" xfId="359" xr:uid="{00000000-0005-0000-0000-00007B010000}"/>
    <cellStyle name="Normal 21 3" xfId="571" xr:uid="{00000000-0005-0000-0000-00007C010000}"/>
    <cellStyle name="Normal 22" xfId="360" xr:uid="{00000000-0005-0000-0000-00007D010000}"/>
    <cellStyle name="Normal 22 2" xfId="361" xr:uid="{00000000-0005-0000-0000-00007E010000}"/>
    <cellStyle name="Normal 22 3" xfId="572" xr:uid="{00000000-0005-0000-0000-00007F010000}"/>
    <cellStyle name="Normal 23" xfId="362" xr:uid="{00000000-0005-0000-0000-000080010000}"/>
    <cellStyle name="Normal 23 2" xfId="363" xr:uid="{00000000-0005-0000-0000-000081010000}"/>
    <cellStyle name="Normal 23 3" xfId="573" xr:uid="{00000000-0005-0000-0000-000082010000}"/>
    <cellStyle name="Normal 24" xfId="364" xr:uid="{00000000-0005-0000-0000-000083010000}"/>
    <cellStyle name="Normal 24 2" xfId="365" xr:uid="{00000000-0005-0000-0000-000084010000}"/>
    <cellStyle name="Normal 24 3" xfId="574" xr:uid="{00000000-0005-0000-0000-000085010000}"/>
    <cellStyle name="Normal 25" xfId="366" xr:uid="{00000000-0005-0000-0000-000086010000}"/>
    <cellStyle name="Normal 25 2" xfId="575" xr:uid="{00000000-0005-0000-0000-000087010000}"/>
    <cellStyle name="Normal 26" xfId="367" xr:uid="{00000000-0005-0000-0000-000088010000}"/>
    <cellStyle name="Normal 26 2" xfId="576" xr:uid="{00000000-0005-0000-0000-000089010000}"/>
    <cellStyle name="Normal 27" xfId="368" xr:uid="{00000000-0005-0000-0000-00008A010000}"/>
    <cellStyle name="Normal 27 2" xfId="369" xr:uid="{00000000-0005-0000-0000-00008B010000}"/>
    <cellStyle name="Normal 27 3" xfId="577" xr:uid="{00000000-0005-0000-0000-00008C010000}"/>
    <cellStyle name="Normal 28" xfId="370" xr:uid="{00000000-0005-0000-0000-00008D010000}"/>
    <cellStyle name="Normal 29" xfId="371" xr:uid="{00000000-0005-0000-0000-00008E010000}"/>
    <cellStyle name="Normal 3" xfId="372" xr:uid="{00000000-0005-0000-0000-00008F010000}"/>
    <cellStyle name="Normal 3 2" xfId="373" xr:uid="{00000000-0005-0000-0000-000090010000}"/>
    <cellStyle name="Normal 3 2 2" xfId="374" xr:uid="{00000000-0005-0000-0000-000091010000}"/>
    <cellStyle name="Normal 3 2 3" xfId="578" xr:uid="{00000000-0005-0000-0000-000092010000}"/>
    <cellStyle name="Normal 3 3" xfId="375" xr:uid="{00000000-0005-0000-0000-000093010000}"/>
    <cellStyle name="Normal 3 3 2" xfId="376" xr:uid="{00000000-0005-0000-0000-000094010000}"/>
    <cellStyle name="Normal 3 4" xfId="377" xr:uid="{00000000-0005-0000-0000-000095010000}"/>
    <cellStyle name="Normal 3_2012 PR" xfId="378" xr:uid="{00000000-0005-0000-0000-000096010000}"/>
    <cellStyle name="Normal 30" xfId="379" xr:uid="{00000000-0005-0000-0000-000097010000}"/>
    <cellStyle name="Normal 31" xfId="380" xr:uid="{00000000-0005-0000-0000-000098010000}"/>
    <cellStyle name="Normal 31 2" xfId="381" xr:uid="{00000000-0005-0000-0000-000099010000}"/>
    <cellStyle name="Normal 32" xfId="382" xr:uid="{00000000-0005-0000-0000-00009A010000}"/>
    <cellStyle name="Normal 33" xfId="383" xr:uid="{00000000-0005-0000-0000-00009B010000}"/>
    <cellStyle name="Normal 34" xfId="384" xr:uid="{00000000-0005-0000-0000-00009C010000}"/>
    <cellStyle name="Normal 35" xfId="385" xr:uid="{00000000-0005-0000-0000-00009D010000}"/>
    <cellStyle name="Normal 36" xfId="386" xr:uid="{00000000-0005-0000-0000-00009E010000}"/>
    <cellStyle name="Normal 37" xfId="387" xr:uid="{00000000-0005-0000-0000-00009F010000}"/>
    <cellStyle name="Normal 38" xfId="388" xr:uid="{00000000-0005-0000-0000-0000A0010000}"/>
    <cellStyle name="Normal 39" xfId="389" xr:uid="{00000000-0005-0000-0000-0000A1010000}"/>
    <cellStyle name="Normal 4" xfId="390" xr:uid="{00000000-0005-0000-0000-0000A2010000}"/>
    <cellStyle name="Normal 4 2" xfId="391" xr:uid="{00000000-0005-0000-0000-0000A3010000}"/>
    <cellStyle name="Normal 4 2 2" xfId="392" xr:uid="{00000000-0005-0000-0000-0000A4010000}"/>
    <cellStyle name="Normal 4 3" xfId="393" xr:uid="{00000000-0005-0000-0000-0000A5010000}"/>
    <cellStyle name="Normal 4 3 2" xfId="394" xr:uid="{00000000-0005-0000-0000-0000A6010000}"/>
    <cellStyle name="Normal 4_Consolidated IS" xfId="395" xr:uid="{00000000-0005-0000-0000-0000A7010000}"/>
    <cellStyle name="Normal 40" xfId="396" xr:uid="{00000000-0005-0000-0000-0000A8010000}"/>
    <cellStyle name="Normal 41" xfId="397" xr:uid="{00000000-0005-0000-0000-0000A9010000}"/>
    <cellStyle name="Normal 42" xfId="398" xr:uid="{00000000-0005-0000-0000-0000AA010000}"/>
    <cellStyle name="Normal 43" xfId="399" xr:uid="{00000000-0005-0000-0000-0000AB010000}"/>
    <cellStyle name="Normal 44" xfId="400" xr:uid="{00000000-0005-0000-0000-0000AC010000}"/>
    <cellStyle name="Normal 45" xfId="401" xr:uid="{00000000-0005-0000-0000-0000AD010000}"/>
    <cellStyle name="Normal 46" xfId="402" xr:uid="{00000000-0005-0000-0000-0000AE010000}"/>
    <cellStyle name="Normal 47" xfId="403" xr:uid="{00000000-0005-0000-0000-0000AF010000}"/>
    <cellStyle name="Normal 48" xfId="404" xr:uid="{00000000-0005-0000-0000-0000B0010000}"/>
    <cellStyle name="Normal 49" xfId="405" xr:uid="{00000000-0005-0000-0000-0000B1010000}"/>
    <cellStyle name="Normal 5" xfId="406" xr:uid="{00000000-0005-0000-0000-0000B2010000}"/>
    <cellStyle name="Normal 5 2" xfId="407" xr:uid="{00000000-0005-0000-0000-0000B3010000}"/>
    <cellStyle name="Normal 5 3" xfId="408" xr:uid="{00000000-0005-0000-0000-0000B4010000}"/>
    <cellStyle name="Normal 5 4" xfId="409" xr:uid="{00000000-0005-0000-0000-0000B5010000}"/>
    <cellStyle name="Normal 5_2112 DF Schedule" xfId="410" xr:uid="{00000000-0005-0000-0000-0000B6010000}"/>
    <cellStyle name="Normal 50" xfId="411" xr:uid="{00000000-0005-0000-0000-0000B7010000}"/>
    <cellStyle name="Normal 51" xfId="412" xr:uid="{00000000-0005-0000-0000-0000B8010000}"/>
    <cellStyle name="Normal 52" xfId="413" xr:uid="{00000000-0005-0000-0000-0000B9010000}"/>
    <cellStyle name="Normal 53" xfId="414" xr:uid="{00000000-0005-0000-0000-0000BA010000}"/>
    <cellStyle name="Normal 54" xfId="415" xr:uid="{00000000-0005-0000-0000-0000BB010000}"/>
    <cellStyle name="Normal 55" xfId="416" xr:uid="{00000000-0005-0000-0000-0000BC010000}"/>
    <cellStyle name="Normal 56" xfId="417" xr:uid="{00000000-0005-0000-0000-0000BD010000}"/>
    <cellStyle name="Normal 57" xfId="418" xr:uid="{00000000-0005-0000-0000-0000BE010000}"/>
    <cellStyle name="Normal 58" xfId="419" xr:uid="{00000000-0005-0000-0000-0000BF010000}"/>
    <cellStyle name="Normal 59" xfId="420" xr:uid="{00000000-0005-0000-0000-0000C0010000}"/>
    <cellStyle name="Normal 6" xfId="421" xr:uid="{00000000-0005-0000-0000-0000C1010000}"/>
    <cellStyle name="Normal 6 2" xfId="422" xr:uid="{00000000-0005-0000-0000-0000C2010000}"/>
    <cellStyle name="Normal 6 2 2" xfId="423" xr:uid="{00000000-0005-0000-0000-0000C3010000}"/>
    <cellStyle name="Normal 6 3" xfId="424" xr:uid="{00000000-0005-0000-0000-0000C4010000}"/>
    <cellStyle name="Normal 60" xfId="425" xr:uid="{00000000-0005-0000-0000-0000C5010000}"/>
    <cellStyle name="Normal 61" xfId="426" xr:uid="{00000000-0005-0000-0000-0000C6010000}"/>
    <cellStyle name="Normal 62" xfId="427" xr:uid="{00000000-0005-0000-0000-0000C7010000}"/>
    <cellStyle name="Normal 63" xfId="428" xr:uid="{00000000-0005-0000-0000-0000C8010000}"/>
    <cellStyle name="Normal 64" xfId="429" xr:uid="{00000000-0005-0000-0000-0000C9010000}"/>
    <cellStyle name="Normal 65" xfId="430" xr:uid="{00000000-0005-0000-0000-0000CA010000}"/>
    <cellStyle name="Normal 66" xfId="431" xr:uid="{00000000-0005-0000-0000-0000CB010000}"/>
    <cellStyle name="Normal 67" xfId="432" xr:uid="{00000000-0005-0000-0000-0000CC010000}"/>
    <cellStyle name="Normal 68" xfId="433" xr:uid="{00000000-0005-0000-0000-0000CD010000}"/>
    <cellStyle name="Normal 69" xfId="434" xr:uid="{00000000-0005-0000-0000-0000CE010000}"/>
    <cellStyle name="Normal 7" xfId="435" xr:uid="{00000000-0005-0000-0000-0000CF010000}"/>
    <cellStyle name="Normal 7 2" xfId="436" xr:uid="{00000000-0005-0000-0000-0000D0010000}"/>
    <cellStyle name="Normal 7 2 2" xfId="437" xr:uid="{00000000-0005-0000-0000-0000D1010000}"/>
    <cellStyle name="Normal 70" xfId="438" xr:uid="{00000000-0005-0000-0000-0000D2010000}"/>
    <cellStyle name="Normal 71" xfId="439" xr:uid="{00000000-0005-0000-0000-0000D3010000}"/>
    <cellStyle name="Normal 72" xfId="440" xr:uid="{00000000-0005-0000-0000-0000D4010000}"/>
    <cellStyle name="Normal 73" xfId="441" xr:uid="{00000000-0005-0000-0000-0000D5010000}"/>
    <cellStyle name="Normal 74" xfId="442" xr:uid="{00000000-0005-0000-0000-0000D6010000}"/>
    <cellStyle name="Normal 75" xfId="443" xr:uid="{00000000-0005-0000-0000-0000D7010000}"/>
    <cellStyle name="Normal 76" xfId="444" xr:uid="{00000000-0005-0000-0000-0000D8010000}"/>
    <cellStyle name="Normal 77" xfId="445" xr:uid="{00000000-0005-0000-0000-0000D9010000}"/>
    <cellStyle name="Normal 78" xfId="446" xr:uid="{00000000-0005-0000-0000-0000DA010000}"/>
    <cellStyle name="Normal 79" xfId="447" xr:uid="{00000000-0005-0000-0000-0000DB010000}"/>
    <cellStyle name="Normal 8" xfId="448" xr:uid="{00000000-0005-0000-0000-0000DC010000}"/>
    <cellStyle name="Normal 8 2" xfId="449" xr:uid="{00000000-0005-0000-0000-0000DD010000}"/>
    <cellStyle name="Normal 8 2 2" xfId="450" xr:uid="{00000000-0005-0000-0000-0000DE010000}"/>
    <cellStyle name="Normal 80" xfId="451" xr:uid="{00000000-0005-0000-0000-0000DF010000}"/>
    <cellStyle name="Normal 81" xfId="452" xr:uid="{00000000-0005-0000-0000-0000E0010000}"/>
    <cellStyle name="Normal 82" xfId="453" xr:uid="{00000000-0005-0000-0000-0000E1010000}"/>
    <cellStyle name="Normal 83" xfId="454" xr:uid="{00000000-0005-0000-0000-0000E2010000}"/>
    <cellStyle name="Normal 84" xfId="455" xr:uid="{00000000-0005-0000-0000-0000E3010000}"/>
    <cellStyle name="Normal 84 2" xfId="456" xr:uid="{00000000-0005-0000-0000-0000E4010000}"/>
    <cellStyle name="Normal 84 3" xfId="457" xr:uid="{00000000-0005-0000-0000-0000E5010000}"/>
    <cellStyle name="Normal 85" xfId="458" xr:uid="{00000000-0005-0000-0000-0000E6010000}"/>
    <cellStyle name="Normal 85 2" xfId="459" xr:uid="{00000000-0005-0000-0000-0000E7010000}"/>
    <cellStyle name="Normal 85 3" xfId="460" xr:uid="{00000000-0005-0000-0000-0000E8010000}"/>
    <cellStyle name="Normal 86" xfId="461" xr:uid="{00000000-0005-0000-0000-0000E9010000}"/>
    <cellStyle name="Normal 87" xfId="462" xr:uid="{00000000-0005-0000-0000-0000EA010000}"/>
    <cellStyle name="Normal 88" xfId="463" xr:uid="{00000000-0005-0000-0000-0000EB010000}"/>
    <cellStyle name="Normal 89" xfId="464" xr:uid="{00000000-0005-0000-0000-0000EC010000}"/>
    <cellStyle name="Normal 9" xfId="465" xr:uid="{00000000-0005-0000-0000-0000ED010000}"/>
    <cellStyle name="Normal 9 2" xfId="466" xr:uid="{00000000-0005-0000-0000-0000EE010000}"/>
    <cellStyle name="Normal 9 2 2" xfId="467" xr:uid="{00000000-0005-0000-0000-0000EF010000}"/>
    <cellStyle name="Normal 90" xfId="468" xr:uid="{00000000-0005-0000-0000-0000F0010000}"/>
    <cellStyle name="Normal 91" xfId="469" xr:uid="{00000000-0005-0000-0000-0000F1010000}"/>
    <cellStyle name="Normal 92" xfId="470" xr:uid="{00000000-0005-0000-0000-0000F2010000}"/>
    <cellStyle name="Normal 93" xfId="471" xr:uid="{00000000-0005-0000-0000-0000F3010000}"/>
    <cellStyle name="Normal 94" xfId="472" xr:uid="{00000000-0005-0000-0000-0000F4010000}"/>
    <cellStyle name="Normal 95" xfId="473" xr:uid="{00000000-0005-0000-0000-0000F5010000}"/>
    <cellStyle name="Normal 96" xfId="474" xr:uid="{00000000-0005-0000-0000-0000F6010000}"/>
    <cellStyle name="Normal 97" xfId="475" xr:uid="{00000000-0005-0000-0000-0000F7010000}"/>
    <cellStyle name="Normal 98" xfId="476" xr:uid="{00000000-0005-0000-0000-0000F8010000}"/>
    <cellStyle name="Normal 99" xfId="477" xr:uid="{00000000-0005-0000-0000-0000F9010000}"/>
    <cellStyle name="Normal_Clark County Depr 12-31-10 R" xfId="583" xr:uid="{8C431D78-B6E0-4DD8-B0C5-BF91F842C3F3}"/>
    <cellStyle name="Normal_Depreciation 6-30-10" xfId="2" xr:uid="{00000000-0005-0000-0000-0000FA010000}"/>
    <cellStyle name="Normal_Report 2" xfId="588" xr:uid="{4753B1A6-C99C-4A78-A269-20FAD133EDEB}"/>
    <cellStyle name="Note 2" xfId="478" xr:uid="{00000000-0005-0000-0000-0000FB010000}"/>
    <cellStyle name="Note 2 2" xfId="479" xr:uid="{00000000-0005-0000-0000-0000FC010000}"/>
    <cellStyle name="Note 2 3" xfId="480" xr:uid="{00000000-0005-0000-0000-0000FD010000}"/>
    <cellStyle name="Note 3" xfId="481" xr:uid="{00000000-0005-0000-0000-0000FE010000}"/>
    <cellStyle name="Note 3 2" xfId="482" xr:uid="{00000000-0005-0000-0000-0000FF010000}"/>
    <cellStyle name="Note 3 3" xfId="483" xr:uid="{00000000-0005-0000-0000-000000020000}"/>
    <cellStyle name="Note 4" xfId="484" xr:uid="{00000000-0005-0000-0000-000001020000}"/>
    <cellStyle name="Notes" xfId="485" xr:uid="{00000000-0005-0000-0000-000002020000}"/>
    <cellStyle name="Output 2" xfId="486" xr:uid="{00000000-0005-0000-0000-000003020000}"/>
    <cellStyle name="Output 2 2" xfId="579" xr:uid="{00000000-0005-0000-0000-000004020000}"/>
    <cellStyle name="Output 3" xfId="487" xr:uid="{00000000-0005-0000-0000-000005020000}"/>
    <cellStyle name="Output 3 2" xfId="488" xr:uid="{00000000-0005-0000-0000-000006020000}"/>
    <cellStyle name="Percent" xfId="582" builtinId="5"/>
    <cellStyle name="Percent 10" xfId="489" xr:uid="{00000000-0005-0000-0000-000007020000}"/>
    <cellStyle name="Percent 2" xfId="490" xr:uid="{00000000-0005-0000-0000-000008020000}"/>
    <cellStyle name="Percent 2 2" xfId="491" xr:uid="{00000000-0005-0000-0000-000009020000}"/>
    <cellStyle name="Percent 2 2 2" xfId="492" xr:uid="{00000000-0005-0000-0000-00000A020000}"/>
    <cellStyle name="Percent 2 2 3" xfId="493" xr:uid="{00000000-0005-0000-0000-00000B020000}"/>
    <cellStyle name="Percent 2 3" xfId="494" xr:uid="{00000000-0005-0000-0000-00000C020000}"/>
    <cellStyle name="Percent 2 4" xfId="495" xr:uid="{00000000-0005-0000-0000-00000D020000}"/>
    <cellStyle name="Percent 2 6" xfId="496" xr:uid="{00000000-0005-0000-0000-00000E020000}"/>
    <cellStyle name="Percent 3" xfId="497" xr:uid="{00000000-0005-0000-0000-00000F020000}"/>
    <cellStyle name="Percent 3 2" xfId="498" xr:uid="{00000000-0005-0000-0000-000010020000}"/>
    <cellStyle name="Percent 3 2 2" xfId="499" xr:uid="{00000000-0005-0000-0000-000011020000}"/>
    <cellStyle name="Percent 4" xfId="500" xr:uid="{00000000-0005-0000-0000-000012020000}"/>
    <cellStyle name="Percent 4 2" xfId="501" xr:uid="{00000000-0005-0000-0000-000013020000}"/>
    <cellStyle name="Percent 4 3" xfId="502" xr:uid="{00000000-0005-0000-0000-000014020000}"/>
    <cellStyle name="Percent 4 4" xfId="503" xr:uid="{00000000-0005-0000-0000-000015020000}"/>
    <cellStyle name="Percent 5" xfId="504" xr:uid="{00000000-0005-0000-0000-000016020000}"/>
    <cellStyle name="Percent 5 2" xfId="505" xr:uid="{00000000-0005-0000-0000-000017020000}"/>
    <cellStyle name="Percent 6" xfId="506" xr:uid="{00000000-0005-0000-0000-000018020000}"/>
    <cellStyle name="Percent 6 2" xfId="507" xr:uid="{00000000-0005-0000-0000-000019020000}"/>
    <cellStyle name="Percent 7" xfId="508" xr:uid="{00000000-0005-0000-0000-00001A020000}"/>
    <cellStyle name="Percent 7 2" xfId="509" xr:uid="{00000000-0005-0000-0000-00001B020000}"/>
    <cellStyle name="Percent 7 3" xfId="510" xr:uid="{00000000-0005-0000-0000-00001C020000}"/>
    <cellStyle name="Percent 8" xfId="511" xr:uid="{00000000-0005-0000-0000-00001D020000}"/>
    <cellStyle name="Percent 9" xfId="512" xr:uid="{00000000-0005-0000-0000-00001E020000}"/>
    <cellStyle name="Percent(1)" xfId="513" xr:uid="{00000000-0005-0000-0000-00001F020000}"/>
    <cellStyle name="Percent(2)" xfId="514" xr:uid="{00000000-0005-0000-0000-000020020000}"/>
    <cellStyle name="PRM" xfId="515" xr:uid="{00000000-0005-0000-0000-000021020000}"/>
    <cellStyle name="PRM 2" xfId="516" xr:uid="{00000000-0005-0000-0000-000022020000}"/>
    <cellStyle name="PRM 3" xfId="517" xr:uid="{00000000-0005-0000-0000-000023020000}"/>
    <cellStyle name="PRM_2011-11" xfId="518" xr:uid="{00000000-0005-0000-0000-000024020000}"/>
    <cellStyle name="PS_Comma" xfId="519" xr:uid="{00000000-0005-0000-0000-000025020000}"/>
    <cellStyle name="PSChar" xfId="520" xr:uid="{00000000-0005-0000-0000-000026020000}"/>
    <cellStyle name="PSDate" xfId="521" xr:uid="{00000000-0005-0000-0000-000027020000}"/>
    <cellStyle name="PSDec" xfId="522" xr:uid="{00000000-0005-0000-0000-000028020000}"/>
    <cellStyle name="PSHeading" xfId="523" xr:uid="{00000000-0005-0000-0000-000029020000}"/>
    <cellStyle name="PSInt" xfId="524" xr:uid="{00000000-0005-0000-0000-00002A020000}"/>
    <cellStyle name="PSSpacer" xfId="525" xr:uid="{00000000-0005-0000-0000-00002B020000}"/>
    <cellStyle name="STYL0 - Style1" xfId="526" xr:uid="{00000000-0005-0000-0000-00002C020000}"/>
    <cellStyle name="STYL1 - Style2" xfId="527" xr:uid="{00000000-0005-0000-0000-00002D020000}"/>
    <cellStyle name="STYL2 - Style3" xfId="528" xr:uid="{00000000-0005-0000-0000-00002E020000}"/>
    <cellStyle name="STYL3 - Style4" xfId="529" xr:uid="{00000000-0005-0000-0000-00002F020000}"/>
    <cellStyle name="STYL4 - Style5" xfId="530" xr:uid="{00000000-0005-0000-0000-000030020000}"/>
    <cellStyle name="STYL5 - Style6" xfId="531" xr:uid="{00000000-0005-0000-0000-000031020000}"/>
    <cellStyle name="STYL6 - Style7" xfId="532" xr:uid="{00000000-0005-0000-0000-000032020000}"/>
    <cellStyle name="STYL7 - Style8" xfId="533" xr:uid="{00000000-0005-0000-0000-000033020000}"/>
    <cellStyle name="Style 1" xfId="534" xr:uid="{00000000-0005-0000-0000-000034020000}"/>
    <cellStyle name="Style 1 2" xfId="535" xr:uid="{00000000-0005-0000-0000-000035020000}"/>
    <cellStyle name="STYLE1" xfId="536" xr:uid="{00000000-0005-0000-0000-000036020000}"/>
    <cellStyle name="sub heading" xfId="537" xr:uid="{00000000-0005-0000-0000-000037020000}"/>
    <cellStyle name="Title 2" xfId="538" xr:uid="{00000000-0005-0000-0000-000038020000}"/>
    <cellStyle name="Title 2 2" xfId="580" xr:uid="{00000000-0005-0000-0000-000039020000}"/>
    <cellStyle name="Title 3" xfId="539" xr:uid="{00000000-0005-0000-0000-00003A020000}"/>
    <cellStyle name="Title 3 2" xfId="540" xr:uid="{00000000-0005-0000-0000-00003B020000}"/>
    <cellStyle name="Total 2" xfId="541" xr:uid="{00000000-0005-0000-0000-00003C020000}"/>
    <cellStyle name="Total 2 2" xfId="542" xr:uid="{00000000-0005-0000-0000-00003D020000}"/>
    <cellStyle name="Total 2 3" xfId="543" xr:uid="{00000000-0005-0000-0000-00003E020000}"/>
    <cellStyle name="Total 3" xfId="544" xr:uid="{00000000-0005-0000-0000-00003F020000}"/>
    <cellStyle name="Total 3 2" xfId="545" xr:uid="{00000000-0005-0000-0000-000040020000}"/>
    <cellStyle name="Total 3 3" xfId="546" xr:uid="{00000000-0005-0000-0000-000041020000}"/>
    <cellStyle name="Total 4" xfId="547" xr:uid="{00000000-0005-0000-0000-000042020000}"/>
    <cellStyle name="Warning Text 2" xfId="548" xr:uid="{00000000-0005-0000-0000-000043020000}"/>
    <cellStyle name="Warning Text 3" xfId="549" xr:uid="{00000000-0005-0000-0000-000044020000}"/>
    <cellStyle name="WM_STANDARD" xfId="550" xr:uid="{00000000-0005-0000-0000-000045020000}"/>
  </cellStyles>
  <dxfs count="12"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 patternType="solid">
          <bgColor theme="9"/>
        </patternFill>
      </fill>
    </dxf>
    <dxf>
      <numFmt numFmtId="172" formatCode="_(&quot;$&quot;* #,##0_);_(&quot;$&quot;* \(#,##0\);_(&quot;$&quot;* &quot;-&quot;??_);_(@_)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pivotCacheDefinition" Target="pivotCache/pivotCacheDefinition1.xml"/><Relationship Id="rId73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LeMay\2183-1%20Pacific%20Disp,%20Butlers%20Cove\Filing%20Possibly%202012\Filing\Audit\Final%20Outcome%208-14-2012\Pro%20Forma%20Pacific%20Disposal_Staf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LeMay\2183-1%20Pacific%20Disp,%20Butlers%20Cove\Filing%20Possibly%202012\Filing\Audit\Final%20Outcome%208-14-2012\Pro%20Forma%20Pacific%20Disposal_Staf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2000%20Western%20Region%20Office\WUTC\WIP%20Files\LeMay%20Companies\2022\General%20Rate%20Filings\PCR%202022\2180_Price%20Out%20by%20Bill%20Area_June.21%20to%20May%2022%20-%20Deliverabl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Mason\Rate%20Increase%201-1-2013\1%20Filing%2011-14-2012\Revised%202-21-2013\staff%20Mason%20Proforma%209-30-2012-Linked%20Cust%20Count%20Fix%2012-2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Mason\Rate%20Increase%201-1-2013\1%20Filing%2011-14-2012\Revised%202-21-2013\staff%20Mason%20Proforma%209-30-2012-Linked%20Cust%20Count%20Fix%2012-2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Columbia%202025\General%20Filing%204-15-2016\Filed%204-15-16\CRD%20Pro%20forma%203-31-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Brent_Blair_Kortney\PO%20Report%20by%20Division\PO%20Report_v3b%202013-08-26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LeMay%20Companies\2018\Budget%20Pro%20formas\PCR%20Pro%20Forma%207.31.18\PCR%20Pro%20froma%207-31-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ControllerDir\JoeW\My%20Local%20Documents\OPF\Rate%20Reviews\2016\2016%20OPF%20Master%20DCR%20V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010%20Clark%20County-%202009%20Vancouver\12.31.2010%20Test%20Year\Proforma%20Clark%20County%20101231%20Filing-Draft-FINAL%20VERS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Annual%20Reports\2180%20LeMay\2009\LeMay%20Annual%20Report%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Annual%20Reports\2180%20LeMay\2009\LeMay%20Annual%20Report%20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regulatedIndustries/transportation/TransportationDocuments/SolidWaste-NonPublic%20LG%202018%20V5.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LeMay\Master%20Truck%20Schedule\South_LeMay%20Master%20Truck%20Schedule-Shar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andenburg\AppData\Local\Interject\FileCache\Capital%20-%20Budget%20Input%20v1.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112%20Olympic%20Disposal\Misc%20Analysis\2018%20Budget%20Pro%20forma\Olympic%20Pro%20forma%2018073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149%20Mason%20County\2021\General%20Rate%20Filing\.Mason%20Pro%20forma11.30.2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FAR_v3d_v1.0.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SRC%20Reports\SRC%20Format\Bonus%20Schedule\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SRC%20Reports\SRC%20Format\Bonus%20Schedule\PNWR%20SRC%20Bonus%20Schedu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SL035.0G1M001NOREC</v>
          </cell>
        </row>
      </sheetData>
      <sheetData sheetId="6"/>
      <sheetData sheetId="7">
        <row r="11">
          <cell r="B11" t="str">
            <v>SL035.0G1M001WREC</v>
          </cell>
        </row>
      </sheetData>
      <sheetData sheetId="8">
        <row r="11">
          <cell r="B11" t="str">
            <v>SL065.0G1W001WREC</v>
          </cell>
        </row>
      </sheetData>
      <sheetData sheetId="9">
        <row r="11">
          <cell r="B11" t="str">
            <v>BULKY-RES</v>
          </cell>
        </row>
      </sheetData>
      <sheetData sheetId="10">
        <row r="11">
          <cell r="B11" t="str">
            <v>RL020.0G1W001</v>
          </cell>
        </row>
      </sheetData>
      <sheetData sheetId="11">
        <row r="11">
          <cell r="B11" t="str">
            <v>SL020.0G1W001</v>
          </cell>
        </row>
      </sheetData>
      <sheetData sheetId="12">
        <row r="11">
          <cell r="B11" t="str">
            <v>SL035.0G1M001WREC</v>
          </cell>
        </row>
      </sheetData>
      <sheetData sheetId="13">
        <row r="11">
          <cell r="B11" t="str">
            <v>RL010.0G1W001WREC</v>
          </cell>
        </row>
      </sheetData>
      <sheetData sheetId="14">
        <row r="11">
          <cell r="B11" t="str">
            <v>SL035.0GEO001WREC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F16" t="str">
            <v>OK!: ReportRange Formula OK [jAction{}]</v>
          </cell>
        </row>
        <row r="23">
          <cell r="C23">
            <v>17444</v>
          </cell>
          <cell r="D23">
            <v>5026</v>
          </cell>
          <cell r="E23" t="str">
            <v>New CTE - Hook Lift 50K FRE 114SD w/ Galbreath</v>
          </cell>
          <cell r="F23" t="str">
            <v>N</v>
          </cell>
          <cell r="G23" t="str">
            <v>Package-Hook Lift</v>
          </cell>
          <cell r="H23" t="str">
            <v>Hook Lift</v>
          </cell>
          <cell r="I23">
            <v>250572</v>
          </cell>
          <cell r="J23"/>
        </row>
        <row r="24">
          <cell r="C24">
            <v>17445</v>
          </cell>
          <cell r="D24">
            <v>5026</v>
          </cell>
          <cell r="E24" t="str">
            <v>New FRE/McNeilus Rearload 3 Axle (25 yd Only)</v>
          </cell>
          <cell r="F24" t="str">
            <v>N</v>
          </cell>
          <cell r="G24" t="str">
            <v>Rear Loader</v>
          </cell>
          <cell r="H24" t="str">
            <v>Rear Loader</v>
          </cell>
          <cell r="I24">
            <v>298095</v>
          </cell>
          <cell r="J24"/>
        </row>
        <row r="29">
          <cell r="C29" t="str">
            <v>PO Subtype</v>
          </cell>
          <cell r="D29" t="str">
            <v>Truck Center System Type</v>
          </cell>
        </row>
        <row r="30">
          <cell r="C30" t="str">
            <v>PO Subtype</v>
          </cell>
          <cell r="D30" t="str">
            <v>Truck Center System Type</v>
          </cell>
        </row>
        <row r="31">
          <cell r="C31" t="str">
            <v>Automated</v>
          </cell>
          <cell r="D31" t="str">
            <v>Automated Sideloader</v>
          </cell>
        </row>
        <row r="32">
          <cell r="C32" t="str">
            <v>Container Delivery Truck</v>
          </cell>
          <cell r="D32" t="str">
            <v>Container Delivery</v>
          </cell>
        </row>
        <row r="33">
          <cell r="C33" t="str">
            <v>Front Load</v>
          </cell>
          <cell r="D33" t="str">
            <v>Front Loader</v>
          </cell>
        </row>
        <row r="34">
          <cell r="C34" t="str">
            <v>Grapple Brush Truck</v>
          </cell>
          <cell r="D34" t="str">
            <v>Grapple Truck</v>
          </cell>
        </row>
        <row r="35">
          <cell r="C35" t="str">
            <v>Hook Lift</v>
          </cell>
          <cell r="D35" t="str">
            <v>Hook Lift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Sideloader</v>
          </cell>
          <cell r="D37" t="str">
            <v>Sideloader</v>
          </cell>
        </row>
        <row r="38">
          <cell r="C38" t="str">
            <v>Other Truck</v>
          </cell>
          <cell r="D38" t="str">
            <v>Other</v>
          </cell>
        </row>
        <row r="39">
          <cell r="C39" t="str">
            <v>Passenger Car</v>
          </cell>
          <cell r="D39" t="str">
            <v>Other</v>
          </cell>
        </row>
        <row r="40">
          <cell r="C40" t="str">
            <v>Pickup</v>
          </cell>
          <cell r="D40" t="str">
            <v>Pickup</v>
          </cell>
        </row>
        <row r="41">
          <cell r="C41" t="str">
            <v>Pumper Truck</v>
          </cell>
          <cell r="D41" t="str">
            <v>Pumper Truck</v>
          </cell>
        </row>
        <row r="42">
          <cell r="C42" t="str">
            <v>Rear Load</v>
          </cell>
          <cell r="D42" t="str">
            <v>Rear Loader</v>
          </cell>
        </row>
        <row r="43">
          <cell r="C43" t="str">
            <v>Recycle Truck</v>
          </cell>
          <cell r="D43" t="str">
            <v>Recycle</v>
          </cell>
        </row>
        <row r="44">
          <cell r="C44" t="str">
            <v>Retriever</v>
          </cell>
          <cell r="D44" t="str">
            <v>Retriever</v>
          </cell>
        </row>
        <row r="45">
          <cell r="C45" t="str">
            <v>Roll Off</v>
          </cell>
          <cell r="D45" t="str">
            <v>Roll Off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Service Truck</v>
          </cell>
          <cell r="D47" t="str">
            <v>Service Truck</v>
          </cell>
        </row>
        <row r="48">
          <cell r="C48" t="str">
            <v>Tipper Trailer</v>
          </cell>
          <cell r="D48" t="str">
            <v>Trailer</v>
          </cell>
        </row>
        <row r="49">
          <cell r="C49" t="str">
            <v>Walking Floor Trailer</v>
          </cell>
          <cell r="D49" t="str">
            <v>Trailer</v>
          </cell>
        </row>
        <row r="50">
          <cell r="C50" t="str">
            <v>Roll Off Pup Trailer</v>
          </cell>
          <cell r="D50" t="str">
            <v>Trailer</v>
          </cell>
        </row>
        <row r="51">
          <cell r="C51" t="str">
            <v>Other Trailer</v>
          </cell>
          <cell r="D51" t="str">
            <v>Trailer</v>
          </cell>
        </row>
        <row r="52">
          <cell r="C52" t="str">
            <v>Container Delivery Trailer</v>
          </cell>
          <cell r="D52" t="str">
            <v>Trailer</v>
          </cell>
        </row>
        <row r="53">
          <cell r="C53" t="str">
            <v>Railroad Cars</v>
          </cell>
          <cell r="D53" t="str">
            <v>Trailer</v>
          </cell>
        </row>
        <row r="54">
          <cell r="C54" t="str">
            <v>Barge</v>
          </cell>
          <cell r="D54" t="str">
            <v>Trailer</v>
          </cell>
        </row>
        <row r="55">
          <cell r="C55" t="str">
            <v>Transfer Tractor</v>
          </cell>
          <cell r="D55" t="str">
            <v>Transfer Tractor</v>
          </cell>
        </row>
        <row r="56">
          <cell r="C56" t="str">
            <v>ATV/Gator</v>
          </cell>
          <cell r="D56" t="str">
            <v>UTV</v>
          </cell>
        </row>
        <row r="57">
          <cell r="C57" t="str">
            <v>Yard Mule</v>
          </cell>
          <cell r="D57" t="str">
            <v>Yard Mule</v>
          </cell>
        </row>
        <row r="58">
          <cell r="C58" t="str">
            <v>Automated</v>
          </cell>
          <cell r="D58" t="str">
            <v>Automated Sideloader</v>
          </cell>
        </row>
        <row r="59">
          <cell r="C59" t="str">
            <v>Container Delivery Truck</v>
          </cell>
          <cell r="D59" t="str">
            <v>Container Delivery</v>
          </cell>
        </row>
        <row r="60">
          <cell r="C60" t="str">
            <v>Front Load</v>
          </cell>
          <cell r="D60" t="str">
            <v>Front Loader</v>
          </cell>
        </row>
        <row r="61">
          <cell r="C61" t="str">
            <v>Grapple Brush Truck</v>
          </cell>
          <cell r="D61" t="str">
            <v>Grapple Truck</v>
          </cell>
        </row>
        <row r="62">
          <cell r="C62" t="str">
            <v>Hook Lift</v>
          </cell>
          <cell r="D62" t="str">
            <v>Hook Lift</v>
          </cell>
        </row>
        <row r="63">
          <cell r="C63" t="str">
            <v>Sideloader</v>
          </cell>
          <cell r="D63" t="str">
            <v>Manual Sideloader</v>
          </cell>
        </row>
        <row r="64">
          <cell r="C64" t="str">
            <v>Other Truck</v>
          </cell>
          <cell r="D64" t="str">
            <v>Other</v>
          </cell>
        </row>
        <row r="65">
          <cell r="C65" t="str">
            <v>Pickup</v>
          </cell>
          <cell r="D65" t="str">
            <v>Pickup</v>
          </cell>
        </row>
        <row r="66">
          <cell r="C66" t="str">
            <v>Pumper Truck</v>
          </cell>
          <cell r="D66" t="str">
            <v>Pumper Truck</v>
          </cell>
        </row>
        <row r="67">
          <cell r="C67" t="str">
            <v>Rear Load</v>
          </cell>
          <cell r="D67" t="str">
            <v>Rear Loader</v>
          </cell>
        </row>
        <row r="68">
          <cell r="C68" t="str">
            <v>Recycle Truck</v>
          </cell>
          <cell r="D68" t="str">
            <v>Recycle</v>
          </cell>
        </row>
        <row r="69">
          <cell r="C69" t="str">
            <v>Retriever</v>
          </cell>
          <cell r="D69" t="str">
            <v>Retriever</v>
          </cell>
        </row>
        <row r="70">
          <cell r="C70" t="str">
            <v>Roll Off</v>
          </cell>
          <cell r="D70" t="str">
            <v>Roll Off</v>
          </cell>
        </row>
        <row r="71">
          <cell r="C71" t="str">
            <v>Service Truck</v>
          </cell>
          <cell r="D71" t="str">
            <v>Serv Trk-Complete</v>
          </cell>
        </row>
        <row r="72">
          <cell r="C72" t="str">
            <v>Tipper Trailer</v>
          </cell>
          <cell r="D72" t="str">
            <v>Trailer</v>
          </cell>
        </row>
        <row r="73">
          <cell r="C73" t="str">
            <v>Walking Floor Trailer</v>
          </cell>
          <cell r="D73" t="str">
            <v>Trailer</v>
          </cell>
        </row>
        <row r="74">
          <cell r="C74" t="str">
            <v>Roll Off Pup Trailer</v>
          </cell>
          <cell r="D74" t="str">
            <v>Trailer</v>
          </cell>
        </row>
        <row r="75">
          <cell r="C75" t="str">
            <v>Barge</v>
          </cell>
          <cell r="D75" t="str">
            <v>Trailer</v>
          </cell>
        </row>
        <row r="76">
          <cell r="C76" t="str">
            <v>Railroad Cars</v>
          </cell>
          <cell r="D76" t="str">
            <v>Trailer</v>
          </cell>
        </row>
        <row r="77">
          <cell r="C77" t="str">
            <v>Container Delivery Trailer</v>
          </cell>
          <cell r="D77" t="str">
            <v>Trailer</v>
          </cell>
        </row>
        <row r="78">
          <cell r="C78" t="str">
            <v>Other Trailer</v>
          </cell>
          <cell r="D78" t="str">
            <v>Trailer</v>
          </cell>
        </row>
        <row r="79">
          <cell r="C79" t="str">
            <v>Transfer Tractor</v>
          </cell>
          <cell r="D79" t="str">
            <v>Transfer Tractor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G Total Reg"/>
      <sheetName val="LG Total Clallum"/>
      <sheetName val="LG Total Jefferson"/>
      <sheetName val="LG Total Mill Haul"/>
      <sheetName val="2112-2148_IS210"/>
      <sheetName val="2113_IS210"/>
      <sheetName val="Revenue"/>
      <sheetName val="Interject_LastPulledValues"/>
      <sheetName val="Debt"/>
      <sheetName val="Converted IS"/>
      <sheetName val="Deprec. Summary"/>
      <sheetName val="Sorted Master-2112-2148"/>
      <sheetName val="2112-2148 Key Allocators"/>
      <sheetName val="Bud Proforma Calcs - Revenue"/>
      <sheetName val="43001"/>
      <sheetName val="52170 - Real Estate Rental"/>
      <sheetName val="Pric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ject_LastPulledValues"/>
      <sheetName val="ProjDepr"/>
      <sheetName val="District Summary"/>
      <sheetName val="Invoice"/>
      <sheetName val="Assets"/>
      <sheetName val="2021.12 FAR"/>
    </sheetNames>
    <sheetDataSet>
      <sheetData sheetId="0"/>
      <sheetData sheetId="1">
        <row r="3">
          <cell r="D3" t="str">
            <v>OK!: ReportRange Formula OK [jAction{}]</v>
          </cell>
        </row>
        <row r="19">
          <cell r="D19" t="str">
            <v>2021-08</v>
          </cell>
        </row>
        <row r="20">
          <cell r="D20"/>
        </row>
        <row r="21">
          <cell r="D21"/>
        </row>
        <row r="22">
          <cell r="D22"/>
        </row>
      </sheetData>
      <sheetData sheetId="2"/>
      <sheetData sheetId="3">
        <row r="2">
          <cell r="C2" t="str">
            <v>OK!: ReportRange Formula OK [jAction{}]</v>
          </cell>
        </row>
        <row r="7">
          <cell r="E7"/>
        </row>
        <row r="8">
          <cell r="E8" t="str">
            <v/>
          </cell>
        </row>
        <row r="9">
          <cell r="E9" t="str">
            <v/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dsay Waldram" refreshedDate="44996.663725578706" createdVersion="7" refreshedVersion="8" minRefreshableVersion="3" recordCount="335" xr:uid="{6ABD0B85-1D0B-4242-8AB8-5335E1285D07}">
  <cacheSource type="worksheet">
    <worksheetSource ref="B13:AW500" sheet="FAR 12.2022"/>
  </cacheSource>
  <cacheFields count="48">
    <cacheField name="District" numFmtId="0">
      <sharedItems containsString="0" containsBlank="1" containsNumber="1" containsInteger="1" minValue="2120" maxValue="2120"/>
    </cacheField>
    <cacheField name="Asset #" numFmtId="0">
      <sharedItems containsString="0" containsBlank="1" containsNumber="1" containsInteger="1" minValue="24922" maxValue="299508"/>
    </cacheField>
    <cacheField name="Parent/ Child" numFmtId="0">
      <sharedItems containsBlank="1" containsMixedTypes="1" containsNumber="1" containsInteger="1" minValue="25787" maxValue="299122"/>
    </cacheField>
    <cacheField name="Descr" numFmtId="0">
      <sharedItems containsBlank="1"/>
    </cacheField>
    <cacheField name="Container Count" numFmtId="0">
      <sharedItems containsString="0" containsBlank="1" containsNumber="1" containsInteger="1" minValue="0" maxValue="2571"/>
    </cacheField>
    <cacheField name="Blank" numFmtId="0">
      <sharedItems containsNonDate="0" containsString="0" containsBlank="1"/>
    </cacheField>
    <cacheField name="MFG Serial#" numFmtId="0">
      <sharedItems containsBlank="1" containsMixedTypes="1" containsNumber="1" containsInteger="1" minValue="0" maxValue="0"/>
    </cacheField>
    <cacheField name="License Plate" numFmtId="0">
      <sharedItems containsBlank="1"/>
    </cacheField>
    <cacheField name="Model Year" numFmtId="0">
      <sharedItems containsString="0" containsBlank="1" containsNumber="1" containsInteger="1" minValue="0" maxValue="2023"/>
    </cacheField>
    <cacheField name="Vendor/Mfg" numFmtId="0">
      <sharedItems containsBlank="1"/>
    </cacheField>
    <cacheField name="Body Mfg" numFmtId="0">
      <sharedItems containsBlank="1"/>
    </cacheField>
    <cacheField name="Ins Category" numFmtId="0">
      <sharedItems containsBlank="1"/>
    </cacheField>
    <cacheField name="In Service Date" numFmtId="0">
      <sharedItems containsNonDate="0" containsDate="1" containsString="0" containsBlank="1" minDate="1998-09-01T00:00:00" maxDate="2023-02-11T00:00:00"/>
    </cacheField>
    <cacheField name="Acq Date" numFmtId="0">
      <sharedItems containsNonDate="0" containsDate="1" containsString="0" containsBlank="1" minDate="1998-09-01T00:00:00" maxDate="2023-02-11T00:00:00"/>
    </cacheField>
    <cacheField name="CER #" numFmtId="0">
      <sharedItems containsBlank="1" containsMixedTypes="1" containsNumber="1" containsInteger="1" minValue="42146003" maxValue="52120002"/>
    </cacheField>
    <cacheField name="Useful Life" numFmtId="0">
      <sharedItems containsString="0" containsBlank="1" containsNumber="1" containsInteger="1" minValue="0" maxValue="2000"/>
    </cacheField>
    <cacheField name="Asset Account" numFmtId="0">
      <sharedItems containsString="0" containsBlank="1" containsNumber="1" containsInteger="1" minValue="14000" maxValue="15260"/>
    </cacheField>
    <cacheField name="Cost" numFmtId="0">
      <sharedItems containsString="0" containsBlank="1" containsNumber="1" minValue="-94415.71" maxValue="2391918.46"/>
    </cacheField>
    <cacheField name="Accum Account" numFmtId="0">
      <sharedItems containsString="0" containsBlank="1" containsNumber="1" containsInteger="1" minValue="0" maxValue="15266"/>
    </cacheField>
    <cacheField name="Accum Life to Date" numFmtId="0">
      <sharedItems containsString="0" containsBlank="1" containsNumber="1" minValue="-4363.7700000000004" maxValue="185728.34"/>
    </cacheField>
    <cacheField name="NBV" numFmtId="0">
      <sharedItems containsString="0" containsBlank="1" containsNumber="1" minValue="-94415.71" maxValue="2391918.46"/>
    </cacheField>
    <cacheField name="Accum YTD" numFmtId="1">
      <sharedItems containsString="0" containsBlank="1" containsNumber="1" minValue="0" maxValue="2107.87"/>
    </cacheField>
    <cacheField name="Expense Account" numFmtId="0">
      <sharedItems containsString="0" containsBlank="1" containsNumber="1" containsInteger="1" minValue="0" maxValue="70269"/>
    </cacheField>
    <cacheField name="Current Depr" numFmtId="0">
      <sharedItems containsString="0" containsBlank="1" containsNumber="1" minValue="0" maxValue="2107.87"/>
    </cacheField>
    <cacheField name="Acq Type" numFmtId="0">
      <sharedItems containsBlank="1"/>
    </cacheField>
    <cacheField name="Former Company" numFmtId="0">
      <sharedItems containsBlank="1" containsMixedTypes="1" containsNumber="1" containsInteger="1" minValue="0" maxValue="0"/>
    </cacheField>
    <cacheField name="Invoice #" numFmtId="0">
      <sharedItems containsDate="1" containsBlank="1" containsMixedTypes="1" minDate="2023-01-01T00:00:00" maxDate="1900-01-10T05:13:05"/>
    </cacheField>
    <cacheField name="Company Asset #" numFmtId="0">
      <sharedItems containsString="0" containsBlank="1" containsNumber="1" containsInteger="1" minValue="1" maxValue="245"/>
    </cacheField>
    <cacheField name="Book" numFmtId="0">
      <sharedItems containsBlank="1"/>
    </cacheField>
    <cacheField name="Activity Cd" numFmtId="0">
      <sharedItems containsBlank="1"/>
    </cacheField>
    <cacheField name="Depr Meth" numFmtId="0">
      <sharedItems containsBlank="1"/>
    </cacheField>
    <cacheField name="Beg Date" numFmtId="0">
      <sharedItems containsNonDate="0" containsDate="1" containsString="0" containsBlank="1" minDate="2004-10-31T00:00:00" maxDate="2021-06-01T00:00:00"/>
    </cacheField>
    <cacheField name="Dbase" numFmtId="0">
      <sharedItems containsBlank="1"/>
    </cacheField>
    <cacheField name="Seq" numFmtId="0">
      <sharedItems containsString="0" containsBlank="1" containsNumber="1" containsInteger="1" minValue="0" maxValue="8"/>
    </cacheField>
    <cacheField name="Beg Depr" numFmtId="0">
      <sharedItems containsString="0" containsBlank="1" containsNumber="1" minValue="0" maxValue="71878.98"/>
    </cacheField>
    <cacheField name="Truck #" numFmtId="0">
      <sharedItems containsNonDate="0" containsString="0" containsBlank="1"/>
    </cacheField>
    <cacheField name="Equipment Type" numFmtId="0">
      <sharedItems containsBlank="1" count="16">
        <s v="Garbage - Shared"/>
        <s v="Shop Equipment"/>
        <s v="Office Equipment"/>
        <s v="Service Equipment"/>
        <s v="Drop Boxes"/>
        <s v="Garbage Carts"/>
        <s v="Resi Recycling/Garbage - Shared"/>
        <s v="Delivery Truck"/>
        <s v="Container"/>
        <m/>
        <s v="Garbage Containers" u="1"/>
        <s v="Roll-Off" u="1"/>
        <s v="Garbage" u="1"/>
        <s v="Containers" u="1"/>
        <s v="Comm Recycling/Garbage - Shared" u="1"/>
        <s v="GARBAGE/RECYCLING CARTS" u="1"/>
      </sharedItems>
    </cacheField>
    <cacheField name="Month" numFmtId="0">
      <sharedItems containsString="0" containsBlank="1" containsNumber="1" containsInteger="1" minValue="1" maxValue="12"/>
    </cacheField>
    <cacheField name="YearPIS" numFmtId="0">
      <sharedItems containsString="0" containsBlank="1" containsNumber="1" containsInteger="1" minValue="2021" maxValue="2023"/>
    </cacheField>
    <cacheField name="Year Fully Dep" numFmtId="0">
      <sharedItems containsString="0" containsBlank="1" containsNumber="1" containsInteger="1" minValue="2024" maxValue="2034"/>
    </cacheField>
    <cacheField name="Year/Mo Fully Dep" numFmtId="0">
      <sharedItems containsString="0" containsBlank="1" containsNumber="1" minValue="2024.75" maxValue="2034.75"/>
    </cacheField>
    <cacheField name="Monthly Dep" numFmtId="0">
      <sharedItems containsString="0" containsBlank="1" containsNumber="1" minValue="3.5588333333333337" maxValue="1562.5872499999998"/>
    </cacheField>
    <cacheField name="Annual Dep" numFmtId="0">
      <sharedItems containsString="0" containsBlank="1" containsNumber="1" minValue="42.706000000000003" maxValue="18751.046999999999"/>
    </cacheField>
    <cacheField name="Test Year Dep" numFmtId="0">
      <sharedItems containsString="0" containsBlank="1" containsNumber="1" minValue="42.706000000000003" maxValue="18751.046999999999"/>
    </cacheField>
    <cacheField name="BOY Accum" numFmtId="0">
      <sharedItems containsString="0" containsBlank="1" containsNumber="1" minValue="0" maxValue="896.05555555535102"/>
    </cacheField>
    <cacheField name="EOY Accum" numFmtId="0">
      <sharedItems containsString="0" containsBlank="1" containsNumber="1" minValue="42.706000000000003" maxValue="18751.046999999999"/>
    </cacheField>
    <cacheField name="EOY Average Investment" numFmtId="0">
      <sharedItems containsString="0" containsBlank="1" containsNumber="1" minValue="129.611111111117" maxValue="168759.42300000001"/>
    </cacheField>
    <cacheField name="Pre 9/1/21 Add?" numFmtId="0">
      <sharedItems containsBlank="1" count="2">
        <s v="N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5">
  <r>
    <n v="2120"/>
    <n v="299357"/>
    <n v="299122"/>
    <s v="2023 Peterbilt REL Truck - Body 2120-22-0002"/>
    <m/>
    <m/>
    <s v="1NPCLK0X9PD867888"/>
    <m/>
    <n v="2023"/>
    <m/>
    <m/>
    <s v="Non-Rolling Stock"/>
    <d v="2023-02-10T00:00:00"/>
    <d v="2023-02-10T00:00:00"/>
    <s v="2120-23-0002"/>
    <n v="1000"/>
    <n v="14040"/>
    <n v="140903.4"/>
    <n v="14046"/>
    <n v="0"/>
    <n v="140903.4"/>
    <n v="0"/>
    <n v="51260"/>
    <n v="0"/>
    <s v="P"/>
    <m/>
    <m/>
    <m/>
    <s v="Internal"/>
    <s v="A"/>
    <s v="SL"/>
    <m/>
    <s v="WCNX"/>
    <n v="0"/>
    <n v="0"/>
    <m/>
    <x v="0"/>
    <n v="2"/>
    <n v="2023"/>
    <n v="2033"/>
    <n v="2033.1666666666667"/>
    <n v="1174.1949999999999"/>
    <n v="14090.34"/>
    <n v="14090.34"/>
    <n v="0"/>
    <n v="14090.34"/>
    <n v="126813.06"/>
    <x v="0"/>
  </r>
  <r>
    <n v="2120"/>
    <n v="299122"/>
    <s v="P"/>
    <s v="2023 Peterbilt REL Truck - Chassis"/>
    <m/>
    <m/>
    <s v="1NPCLK0X9PD867888"/>
    <m/>
    <n v="2023"/>
    <m/>
    <m/>
    <s v="REL Truck"/>
    <d v="2023-02-10T00:00:00"/>
    <d v="2023-02-10T00:00:00"/>
    <s v="2120-22-0002"/>
    <n v="1000"/>
    <n v="14040"/>
    <n v="187510.47"/>
    <n v="14046"/>
    <n v="0"/>
    <n v="187510.47"/>
    <n v="0"/>
    <n v="51260"/>
    <n v="0"/>
    <s v="P"/>
    <m/>
    <m/>
    <m/>
    <s v="Internal"/>
    <s v="A"/>
    <s v="SL"/>
    <m/>
    <s v="WCNX"/>
    <n v="0"/>
    <n v="0"/>
    <m/>
    <x v="0"/>
    <n v="2"/>
    <n v="2023"/>
    <n v="2033"/>
    <n v="2033.1666666666667"/>
    <n v="1562.5872499999998"/>
    <n v="18751.046999999999"/>
    <n v="18751.046999999999"/>
    <n v="0"/>
    <n v="18751.046999999999"/>
    <n v="168759.42300000001"/>
    <x v="0"/>
  </r>
  <r>
    <n v="2120"/>
    <n v="299410"/>
    <n v="299122"/>
    <s v="Radio for New Truck"/>
    <m/>
    <m/>
    <s v="1NPCLK0X9PD867888"/>
    <m/>
    <n v="0"/>
    <s v="CLARK COMMUNICATIONS, INC"/>
    <m/>
    <s v="Non-Rolling Stock"/>
    <d v="2023-01-26T00:00:00"/>
    <d v="2023-01-26T00:00:00"/>
    <s v="2120-23-0002-1"/>
    <n v="500"/>
    <n v="14040"/>
    <n v="837.4"/>
    <n v="14046"/>
    <n v="0"/>
    <n v="837.4"/>
    <n v="0"/>
    <n v="51260"/>
    <n v="0"/>
    <s v="P"/>
    <m/>
    <d v="2023-01-01T00:00:00"/>
    <m/>
    <s v="Internal"/>
    <s v="A"/>
    <s v="SL"/>
    <m/>
    <s v="WCNX"/>
    <n v="0"/>
    <n v="0"/>
    <m/>
    <x v="0"/>
    <n v="1"/>
    <n v="2023"/>
    <n v="2028"/>
    <n v="2028.0833333333333"/>
    <n v="13.956666666666665"/>
    <n v="167.48"/>
    <n v="167.48"/>
    <n v="0"/>
    <n v="167.48"/>
    <n v="669.92"/>
    <x v="0"/>
  </r>
  <r>
    <n v="2120"/>
    <n v="299508"/>
    <s v="P"/>
    <s v="Panasonic TOUGHBOOK FZ-55-I5-8365U"/>
    <n v="1"/>
    <m/>
    <m/>
    <m/>
    <n v="0"/>
    <s v="NOREGON SYSTEMS INC"/>
    <m/>
    <m/>
    <d v="2023-01-09T00:00:00"/>
    <d v="2023-01-09T00:00:00"/>
    <s v="2120-23-0003-1"/>
    <n v="200"/>
    <n v="14110"/>
    <n v="2051.87"/>
    <n v="14116"/>
    <n v="0"/>
    <n v="2051.87"/>
    <n v="0"/>
    <n v="70260"/>
    <n v="0"/>
    <s v="P"/>
    <m/>
    <s v="INV00164127"/>
    <m/>
    <s v="Internal"/>
    <s v="A"/>
    <s v="SL"/>
    <m/>
    <s v="WCNX"/>
    <n v="0"/>
    <n v="0"/>
    <m/>
    <x v="1"/>
    <n v="1"/>
    <n v="2023"/>
    <n v="2025"/>
    <n v="2025.0833333333333"/>
    <n v="85.494583333333324"/>
    <n v="1025.9349999999999"/>
    <n v="1025.9349999999999"/>
    <n v="0"/>
    <n v="1025.9349999999999"/>
    <n v="1025.9349999999999"/>
    <x v="0"/>
  </r>
  <r>
    <n v="2120"/>
    <n v="293823"/>
    <s v="P"/>
    <s v="Shop Truck Lifts"/>
    <n v="4"/>
    <m/>
    <m/>
    <m/>
    <n v="0"/>
    <s v="GRAY MANUFACTURING CO INC"/>
    <m/>
    <m/>
    <d v="2022-11-28T00:00:00"/>
    <d v="2022-11-28T00:00:00"/>
    <s v="2120-22-0012-1"/>
    <n v="500"/>
    <n v="14070"/>
    <n v="65316.29"/>
    <n v="14076"/>
    <n v="2177.2199999999998"/>
    <n v="63139.07"/>
    <n v="1088.6099999999999"/>
    <n v="51260"/>
    <n v="1088.6099999999999"/>
    <s v="P"/>
    <m/>
    <n v="947547"/>
    <m/>
    <s v="Internal"/>
    <s v="A"/>
    <s v="SL"/>
    <m/>
    <s v="WCNX"/>
    <n v="0"/>
    <n v="0"/>
    <m/>
    <x v="1"/>
    <n v="11"/>
    <n v="2022"/>
    <n v="2027"/>
    <n v="2027.9166666666667"/>
    <n v="1088.6048333333333"/>
    <n v="13063.258"/>
    <n v="13063.258"/>
    <n v="0"/>
    <n v="13063.258"/>
    <n v="52253.031999999999"/>
    <x v="0"/>
  </r>
  <r>
    <n v="2120"/>
    <n v="292091"/>
    <s v="P"/>
    <s v="HP ProBook 440 G9 SN: 5CD2403T0H"/>
    <n v="1"/>
    <m/>
    <m/>
    <m/>
    <n v="0"/>
    <s v="CDW DIR #2120"/>
    <m/>
    <m/>
    <d v="2022-10-20T00:00:00"/>
    <d v="2022-10-20T00:00:00"/>
    <s v="2120-22-0010-1"/>
    <n v="300"/>
    <n v="14110"/>
    <n v="1100.71"/>
    <n v="14116"/>
    <n v="91.73"/>
    <n v="1008.98"/>
    <n v="30.58"/>
    <n v="70260"/>
    <n v="30.58"/>
    <s v="P"/>
    <m/>
    <s v="DP11157"/>
    <m/>
    <s v="Internal"/>
    <s v="A"/>
    <s v="SL"/>
    <m/>
    <s v="WCNX"/>
    <n v="0"/>
    <n v="0"/>
    <m/>
    <x v="2"/>
    <n v="10"/>
    <n v="2022"/>
    <n v="2025"/>
    <n v="2025.8333333333333"/>
    <n v="30.575277777777782"/>
    <n v="366.90333333333336"/>
    <n v="366.90333333333336"/>
    <n v="0"/>
    <n v="366.90333333333336"/>
    <n v="733.80666666666662"/>
    <x v="0"/>
  </r>
  <r>
    <n v="2120"/>
    <n v="292090"/>
    <n v="292091"/>
    <s v="Docking Station - No SN on Amazon Purchases"/>
    <n v="1"/>
    <m/>
    <m/>
    <m/>
    <n v="0"/>
    <s v="AMZN MKTP US H85272M50"/>
    <m/>
    <m/>
    <d v="2022-10-20T00:00:00"/>
    <d v="2022-10-20T00:00:00"/>
    <s v="2120-22-0010-1"/>
    <n v="300"/>
    <n v="14110"/>
    <n v="303.77999999999997"/>
    <n v="14116"/>
    <n v="25.32"/>
    <n v="278.45999999999998"/>
    <n v="8.44"/>
    <n v="70260"/>
    <n v="8.44"/>
    <s v="P"/>
    <m/>
    <n v="2017012"/>
    <m/>
    <s v="Internal"/>
    <s v="A"/>
    <s v="SL"/>
    <m/>
    <s v="WCNX"/>
    <n v="0"/>
    <n v="0"/>
    <m/>
    <x v="2"/>
    <n v="10"/>
    <n v="2022"/>
    <n v="2025"/>
    <n v="2025.8333333333333"/>
    <n v="8.4383333333333326"/>
    <n v="101.25999999999999"/>
    <n v="101.25999999999999"/>
    <n v="0"/>
    <n v="101.25999999999999"/>
    <n v="202.51999999999998"/>
    <x v="0"/>
  </r>
  <r>
    <n v="2120"/>
    <n v="294817"/>
    <s v="P"/>
    <s v="GeoTabs for fleet"/>
    <n v="19"/>
    <m/>
    <m/>
    <m/>
    <n v="0"/>
    <s v="ASSURED TELEMATICS INC"/>
    <m/>
    <m/>
    <d v="2022-10-17T00:00:00"/>
    <d v="2022-10-17T00:00:00"/>
    <s v="2120-22-0011-1"/>
    <n v="300"/>
    <n v="14110"/>
    <n v="2722"/>
    <n v="14116"/>
    <n v="226.83"/>
    <n v="2495.17"/>
    <n v="75.61"/>
    <n v="70260"/>
    <n v="75.61"/>
    <s v="P"/>
    <m/>
    <n v="98550"/>
    <m/>
    <s v="Internal"/>
    <s v="A"/>
    <s v="SL"/>
    <m/>
    <s v="WCNX"/>
    <n v="0"/>
    <n v="0"/>
    <m/>
    <x v="3"/>
    <n v="10"/>
    <n v="2022"/>
    <n v="2025"/>
    <n v="2025.8333333333333"/>
    <n v="75.611111111111114"/>
    <n v="907.33333333333337"/>
    <n v="907.33333333333337"/>
    <n v="0"/>
    <n v="907.33333333333337"/>
    <n v="1814.6666666666665"/>
    <x v="0"/>
  </r>
  <r>
    <n v="2120"/>
    <n v="288322"/>
    <s v="P"/>
    <s v="25yd RO Boxes"/>
    <n v="3"/>
    <m/>
    <m/>
    <m/>
    <n v="0"/>
    <s v="WASTEQUIP LLC"/>
    <m/>
    <s v="25 YD RO Box"/>
    <d v="2022-09-09T00:00:00"/>
    <d v="2022-09-09T00:00:00"/>
    <s v="2120-22-0005-1"/>
    <n v="1200"/>
    <n v="14050"/>
    <n v="33668.04"/>
    <n v="14056"/>
    <n v="1169.03"/>
    <n v="32499.010000000002"/>
    <n v="233.81"/>
    <n v="54260"/>
    <n v="233.81"/>
    <s v="P"/>
    <m/>
    <s v="20INV000219436"/>
    <m/>
    <s v="Internal"/>
    <s v="A"/>
    <s v="SL"/>
    <m/>
    <s v="WCNX"/>
    <n v="0"/>
    <n v="0"/>
    <m/>
    <x v="4"/>
    <n v="9"/>
    <n v="2022"/>
    <n v="2034"/>
    <n v="2034.75"/>
    <n v="233.80583333333334"/>
    <n v="2805.67"/>
    <n v="2805.67"/>
    <n v="0"/>
    <n v="2805.67"/>
    <n v="30862.370000000003"/>
    <x v="0"/>
  </r>
  <r>
    <n v="2120"/>
    <n v="289656"/>
    <s v="P"/>
    <s v="HP ProBook 440 G9 SN: 5CD2339Y3S"/>
    <n v="1"/>
    <m/>
    <m/>
    <m/>
    <n v="0"/>
    <s v="CDW DIR #2120"/>
    <m/>
    <m/>
    <d v="2022-09-02T00:00:00"/>
    <d v="2022-09-02T00:00:00"/>
    <s v="2120-22-0009-1"/>
    <n v="300"/>
    <n v="14110"/>
    <n v="1245.76"/>
    <n v="14116"/>
    <n v="173.01"/>
    <n v="1072.75"/>
    <n v="34.6"/>
    <n v="70260"/>
    <n v="34.6"/>
    <s v="P"/>
    <m/>
    <s v="CP82360"/>
    <m/>
    <s v="Internal"/>
    <s v="A"/>
    <s v="SL"/>
    <m/>
    <s v="WCNX"/>
    <n v="0"/>
    <n v="0"/>
    <m/>
    <x v="2"/>
    <n v="9"/>
    <n v="2022"/>
    <n v="2025"/>
    <n v="2025.75"/>
    <n v="34.604444444444447"/>
    <n v="415.25333333333333"/>
    <n v="415.25333333333333"/>
    <n v="0"/>
    <n v="415.25333333333333"/>
    <n v="830.50666666666666"/>
    <x v="0"/>
  </r>
  <r>
    <n v="2120"/>
    <n v="289542"/>
    <n v="289656"/>
    <s v="Anker 575 USB-C Docking Station: NO SN-Amazon Purchase"/>
    <n v="1"/>
    <m/>
    <m/>
    <m/>
    <n v="0"/>
    <s v="AMZN MKTP US 1V4M85711"/>
    <m/>
    <m/>
    <d v="2022-09-02T00:00:00"/>
    <d v="2022-09-02T00:00:00"/>
    <s v="2120-22-0009-1"/>
    <n v="300"/>
    <n v="14110"/>
    <n v="303.77999999999997"/>
    <n v="14116"/>
    <n v="42.19"/>
    <n v="261.58999999999997"/>
    <n v="8.44"/>
    <n v="70260"/>
    <n v="8.44"/>
    <s v="P"/>
    <m/>
    <n v="322623"/>
    <m/>
    <s v="Internal"/>
    <s v="A"/>
    <s v="SL"/>
    <m/>
    <s v="WCNX"/>
    <n v="0"/>
    <n v="0"/>
    <m/>
    <x v="2"/>
    <n v="9"/>
    <n v="2022"/>
    <n v="2025"/>
    <n v="2025.75"/>
    <n v="8.4383333333333326"/>
    <n v="101.25999999999999"/>
    <n v="101.25999999999999"/>
    <n v="0"/>
    <n v="101.25999999999999"/>
    <n v="202.51999999999998"/>
    <x v="0"/>
  </r>
  <r>
    <n v="2120"/>
    <n v="285911"/>
    <s v="P"/>
    <s v="64 GALLON CARTS"/>
    <n v="110"/>
    <m/>
    <m/>
    <m/>
    <n v="0"/>
    <s v="WASTEQUIP LLC"/>
    <m/>
    <s v="Non-Container Audit"/>
    <d v="2022-07-31T00:00:00"/>
    <d v="2022-07-31T00:00:00"/>
    <s v="2120-22-0008-1"/>
    <n v="700"/>
    <n v="14050"/>
    <n v="8870.73"/>
    <n v="14056"/>
    <n v="633.62"/>
    <n v="8237.1099999999988"/>
    <n v="105.6"/>
    <n v="54260"/>
    <n v="105.6"/>
    <s v="P"/>
    <m/>
    <s v="20INV000191977"/>
    <m/>
    <s v="Internal"/>
    <s v="A"/>
    <s v="SL"/>
    <m/>
    <s v="WCNX"/>
    <n v="0"/>
    <n v="0"/>
    <m/>
    <x v="5"/>
    <n v="7"/>
    <n v="2022"/>
    <n v="2029"/>
    <n v="2029.5833333333333"/>
    <n v="105.60392857142857"/>
    <n v="1267.2471428571428"/>
    <n v="1267.2471428571428"/>
    <n v="0"/>
    <n v="1267.2471428571428"/>
    <n v="7603.482857142857"/>
    <x v="0"/>
  </r>
  <r>
    <n v="2120"/>
    <n v="286041"/>
    <n v="86342"/>
    <s v="Packer Rebuild on Truck #1"/>
    <m/>
    <m/>
    <m/>
    <m/>
    <n v="0"/>
    <s v="SOLID WASTE SYSTEMS"/>
    <m/>
    <s v="Non-Rolling Stock"/>
    <d v="2022-07-27T00:00:00"/>
    <d v="2022-07-27T00:00:00"/>
    <s v="2120-22-0006-1"/>
    <n v="300"/>
    <n v="14040"/>
    <n v="5636.4"/>
    <n v="14046"/>
    <n v="939.4"/>
    <n v="4697"/>
    <n v="156.57"/>
    <n v="51260"/>
    <n v="156.57"/>
    <s v="P"/>
    <m/>
    <s v="0146061-IN"/>
    <m/>
    <s v="Internal"/>
    <s v="A"/>
    <s v="SL"/>
    <m/>
    <s v="WCNX"/>
    <n v="0"/>
    <n v="0"/>
    <m/>
    <x v="6"/>
    <n v="7"/>
    <n v="2022"/>
    <n v="2025"/>
    <n v="2025.5833333333333"/>
    <n v="156.56666666666666"/>
    <n v="1878.8"/>
    <n v="1878.8"/>
    <n v="0"/>
    <n v="1878.8"/>
    <n v="3757.5999999999995"/>
    <x v="0"/>
  </r>
  <r>
    <n v="2120"/>
    <n v="285457"/>
    <n v="283287"/>
    <s v="Lytx Drive Cam"/>
    <m/>
    <m/>
    <m/>
    <m/>
    <n v="0"/>
    <s v="Lytx"/>
    <m/>
    <s v="Non-Rolling Stock"/>
    <d v="2022-07-25T00:00:00"/>
    <d v="2022-07-25T00:00:00"/>
    <s v="2120-22-0001-1"/>
    <n v="500"/>
    <n v="14040"/>
    <n v="354.46"/>
    <n v="14046"/>
    <n v="35.450000000000003"/>
    <n v="319.01"/>
    <n v="5.91"/>
    <n v="51260"/>
    <n v="5.91"/>
    <s v="P"/>
    <m/>
    <n v="5513678"/>
    <m/>
    <s v="Internal"/>
    <s v="A"/>
    <s v="SL"/>
    <m/>
    <s v="WCNX"/>
    <n v="0"/>
    <n v="0"/>
    <m/>
    <x v="7"/>
    <n v="7"/>
    <n v="2022"/>
    <n v="2027"/>
    <n v="2027.5833333333333"/>
    <n v="5.9076666666666666"/>
    <n v="70.891999999999996"/>
    <n v="70.891999999999996"/>
    <n v="0"/>
    <n v="70.891999999999996"/>
    <n v="283.56799999999998"/>
    <x v="0"/>
  </r>
  <r>
    <n v="2120"/>
    <n v="284778"/>
    <n v="86342"/>
    <s v="repair on body floor Truck #01"/>
    <m/>
    <m/>
    <m/>
    <m/>
    <n v="0"/>
    <s v="SOLID WASTE SYSTEMS"/>
    <m/>
    <s v="Non-Rolling Stock"/>
    <d v="2022-07-14T00:00:00"/>
    <d v="2022-07-14T00:00:00"/>
    <s v="2120-22-0006-1"/>
    <n v="300"/>
    <n v="14040"/>
    <n v="25814.959999999999"/>
    <n v="14046"/>
    <n v="5019.57"/>
    <n v="20795.39"/>
    <n v="717.08"/>
    <n v="51260"/>
    <n v="717.08"/>
    <s v="P"/>
    <m/>
    <s v="0145626-IN"/>
    <m/>
    <s v="Internal"/>
    <s v="A"/>
    <s v="SL"/>
    <m/>
    <s v="WCNX"/>
    <n v="0"/>
    <n v="0"/>
    <m/>
    <x v="6"/>
    <n v="7"/>
    <n v="2022"/>
    <n v="2025"/>
    <n v="2025.5833333333333"/>
    <n v="717.08222222222219"/>
    <n v="8604.9866666666658"/>
    <n v="8604.9866666666658"/>
    <n v="0"/>
    <n v="8604.9866666666658"/>
    <n v="17209.973333333335"/>
    <x v="0"/>
  </r>
  <r>
    <n v="2120"/>
    <n v="283287"/>
    <s v="P"/>
    <s v="2022 F250 Ford Support Truck"/>
    <m/>
    <m/>
    <s v="1FT7X2B63NED79416"/>
    <m/>
    <n v="2022"/>
    <m/>
    <m/>
    <s v="Service Truck"/>
    <d v="2022-06-30T00:00:00"/>
    <d v="2022-06-30T00:00:00"/>
    <s v="2120-22-0001-1"/>
    <n v="1000"/>
    <n v="14040"/>
    <n v="43636.97"/>
    <n v="14046"/>
    <n v="2545.4899999999998"/>
    <n v="41091.480000000003"/>
    <n v="363.64"/>
    <n v="51260"/>
    <n v="363.64"/>
    <s v="P"/>
    <m/>
    <m/>
    <m/>
    <s v="Internal"/>
    <s v="A"/>
    <s v="SL"/>
    <m/>
    <s v="WCNX"/>
    <n v="0"/>
    <n v="0"/>
    <m/>
    <x v="7"/>
    <n v="6"/>
    <n v="2022"/>
    <n v="2032"/>
    <n v="2032.5"/>
    <n v="363.64141666666666"/>
    <n v="4363.6970000000001"/>
    <n v="4363.6970000000001"/>
    <n v="0"/>
    <n v="4363.6970000000001"/>
    <n v="39273.273000000001"/>
    <x v="0"/>
  </r>
  <r>
    <n v="2120"/>
    <n v="282801"/>
    <s v="P"/>
    <s v="6yd Containers REL"/>
    <n v="2"/>
    <m/>
    <m/>
    <m/>
    <n v="0"/>
    <s v="WASTEQUIP LLC"/>
    <m/>
    <s v="6 YD REL Container"/>
    <d v="2022-06-16T00:00:00"/>
    <d v="2022-06-16T00:00:00"/>
    <s v="2120-22-0007-1"/>
    <n v="1200"/>
    <n v="14050"/>
    <n v="5113.5"/>
    <n v="14056"/>
    <n v="248.57"/>
    <n v="4864.93"/>
    <n v="35.51"/>
    <n v="54260"/>
    <n v="35.51"/>
    <s v="P"/>
    <m/>
    <s v="20SO000089671"/>
    <m/>
    <s v="Internal"/>
    <s v="A"/>
    <s v="SL"/>
    <m/>
    <s v="WCNX"/>
    <n v="0"/>
    <n v="0"/>
    <m/>
    <x v="8"/>
    <n v="6"/>
    <n v="2022"/>
    <n v="2034"/>
    <n v="2034.5"/>
    <n v="35.510416666666664"/>
    <n v="426.125"/>
    <n v="426.125"/>
    <n v="0"/>
    <n v="426.125"/>
    <n v="4687.375"/>
    <x v="0"/>
  </r>
  <r>
    <n v="2120"/>
    <n v="282800"/>
    <s v="P"/>
    <s v="4yd Containers REL"/>
    <n v="8"/>
    <m/>
    <m/>
    <m/>
    <n v="0"/>
    <s v="WASTEQUIP LLC"/>
    <m/>
    <s v="4 YD REL Container"/>
    <d v="2022-06-16T00:00:00"/>
    <d v="2022-06-16T00:00:00"/>
    <s v="2120-22-0007-1"/>
    <n v="1200"/>
    <n v="14050"/>
    <n v="14966.03"/>
    <n v="14056"/>
    <n v="727.52"/>
    <n v="14238.51"/>
    <n v="103.93"/>
    <n v="54260"/>
    <n v="103.93"/>
    <s v="P"/>
    <m/>
    <s v="20SO000089671"/>
    <m/>
    <s v="Internal"/>
    <s v="A"/>
    <s v="SL"/>
    <m/>
    <s v="WCNX"/>
    <n v="0"/>
    <n v="0"/>
    <m/>
    <x v="8"/>
    <n v="6"/>
    <n v="2022"/>
    <n v="2034"/>
    <n v="2034.5"/>
    <n v="103.9307638888889"/>
    <n v="1247.1691666666668"/>
    <n v="1247.1691666666668"/>
    <n v="0"/>
    <n v="1247.1691666666668"/>
    <n v="13718.860833333334"/>
    <x v="0"/>
  </r>
  <r>
    <n v="2120"/>
    <n v="282799"/>
    <s v="P"/>
    <s v="3yd Containers REL"/>
    <n v="4"/>
    <m/>
    <m/>
    <m/>
    <n v="0"/>
    <s v="WASTEQUIP LLC"/>
    <m/>
    <s v="3 YD REL Container"/>
    <d v="2022-06-16T00:00:00"/>
    <d v="2022-06-16T00:00:00"/>
    <s v="2120-22-0007-1"/>
    <n v="1200"/>
    <n v="14050"/>
    <n v="5935.02"/>
    <n v="14056"/>
    <n v="288.51"/>
    <n v="5646.51"/>
    <n v="41.22"/>
    <n v="54260"/>
    <n v="41.22"/>
    <s v="P"/>
    <m/>
    <s v="20SO000089671"/>
    <m/>
    <s v="Internal"/>
    <s v="A"/>
    <s v="SL"/>
    <m/>
    <s v="WCNX"/>
    <n v="0"/>
    <n v="0"/>
    <m/>
    <x v="8"/>
    <n v="6"/>
    <n v="2022"/>
    <n v="2034"/>
    <n v="2034.5"/>
    <n v="41.21541666666667"/>
    <n v="494.58500000000004"/>
    <n v="494.58500000000004"/>
    <n v="0"/>
    <n v="494.58500000000004"/>
    <n v="5440.4350000000004"/>
    <x v="0"/>
  </r>
  <r>
    <n v="2120"/>
    <n v="282798"/>
    <s v="P"/>
    <s v="2yd Containers REL"/>
    <n v="4"/>
    <m/>
    <m/>
    <m/>
    <n v="0"/>
    <s v="WASTEQUIP LLC"/>
    <m/>
    <s v="2 YD REL Container"/>
    <d v="2022-06-16T00:00:00"/>
    <d v="2022-06-16T00:00:00"/>
    <s v="2120-22-0007-1"/>
    <n v="1200"/>
    <n v="14050"/>
    <n v="4779.0200000000004"/>
    <n v="14056"/>
    <n v="232.32"/>
    <n v="4546.7000000000007"/>
    <n v="33.19"/>
    <n v="54260"/>
    <n v="33.19"/>
    <s v="P"/>
    <m/>
    <s v="20SO000089671"/>
    <m/>
    <s v="Internal"/>
    <s v="A"/>
    <s v="SL"/>
    <m/>
    <s v="WCNX"/>
    <n v="0"/>
    <n v="0"/>
    <m/>
    <x v="8"/>
    <n v="6"/>
    <n v="2022"/>
    <n v="2034"/>
    <n v="2034.5"/>
    <n v="33.187638888888891"/>
    <n v="398.25166666666667"/>
    <n v="398.25166666666667"/>
    <n v="0"/>
    <n v="398.25166666666667"/>
    <n v="4380.7683333333334"/>
    <x v="0"/>
  </r>
  <r>
    <n v="2120"/>
    <n v="289361"/>
    <s v="P"/>
    <s v="95G Carts"/>
    <n v="224"/>
    <m/>
    <m/>
    <m/>
    <n v="0"/>
    <s v="REHRIG PACIFIC COMPANY IN"/>
    <m/>
    <s v="Non-Container Audit"/>
    <d v="2022-04-22T00:00:00"/>
    <d v="2022-04-22T00:00:00"/>
    <s v="2120-22-0004-1"/>
    <n v="700"/>
    <n v="14050"/>
    <n v="18811.2"/>
    <n v="14056"/>
    <n v="2015.48"/>
    <n v="16795.72"/>
    <n v="223.94"/>
    <n v="54260"/>
    <n v="223.94"/>
    <s v="P"/>
    <m/>
    <n v="50236999"/>
    <m/>
    <s v="Internal"/>
    <s v="A"/>
    <s v="SL"/>
    <m/>
    <s v="WCNX"/>
    <n v="0"/>
    <n v="0"/>
    <m/>
    <x v="5"/>
    <n v="4"/>
    <n v="2022"/>
    <n v="2029"/>
    <n v="2029.3333333333333"/>
    <n v="223.94285714285715"/>
    <n v="2687.3142857142857"/>
    <n v="2687.3142857142857"/>
    <n v="0"/>
    <n v="2687.3142857142857"/>
    <n v="16123.885714285716"/>
    <x v="0"/>
  </r>
  <r>
    <n v="2120"/>
    <n v="276841"/>
    <n v="283287"/>
    <s v="Radio Replacement / Repair"/>
    <m/>
    <m/>
    <m/>
    <m/>
    <n v="0"/>
    <s v="CLARK COMMUNICATIONS, INC"/>
    <m/>
    <s v="Non-Rolling Stock"/>
    <d v="2022-04-15T00:00:00"/>
    <d v="2022-04-15T00:00:00"/>
    <s v="2120-22-0001-1"/>
    <n v="500"/>
    <n v="14040"/>
    <n v="213.53"/>
    <n v="14046"/>
    <n v="35.590000000000003"/>
    <n v="177.94"/>
    <n v="3.56"/>
    <n v="51260"/>
    <n v="3.56"/>
    <s v="P"/>
    <m/>
    <n v="47509"/>
    <m/>
    <s v="Internal"/>
    <s v="A"/>
    <s v="SL"/>
    <m/>
    <s v="WCNX"/>
    <n v="0"/>
    <n v="0"/>
    <m/>
    <x v="7"/>
    <n v="4"/>
    <n v="2022"/>
    <n v="2027"/>
    <n v="2027.3333333333333"/>
    <n v="3.5588333333333337"/>
    <n v="42.706000000000003"/>
    <n v="42.706000000000003"/>
    <n v="0"/>
    <n v="42.706000000000003"/>
    <n v="170.82400000000001"/>
    <x v="0"/>
  </r>
  <r>
    <n v="2120"/>
    <n v="270180"/>
    <s v="P"/>
    <s v="6yd REL Containers"/>
    <n v="2"/>
    <m/>
    <m/>
    <m/>
    <n v="0"/>
    <s v="ENTERPRISE SALES INC"/>
    <m/>
    <s v="6 YD REL Container"/>
    <d v="2021-12-21T00:00:00"/>
    <d v="2021-12-21T00:00:00"/>
    <s v="2120-21-0014-1"/>
    <n v="1200"/>
    <n v="14050"/>
    <n v="4697.53"/>
    <n v="14056"/>
    <n v="424.06"/>
    <n v="4273.4699999999993"/>
    <n v="32.619999999999997"/>
    <n v="54260"/>
    <n v="32.619999999999997"/>
    <s v="P"/>
    <m/>
    <n v="9611"/>
    <m/>
    <s v="Internal"/>
    <s v="A"/>
    <s v="SL"/>
    <m/>
    <s v="WCNX"/>
    <n v="0"/>
    <n v="0"/>
    <m/>
    <x v="8"/>
    <n v="12"/>
    <n v="2021"/>
    <n v="2033"/>
    <n v="2034"/>
    <n v="32.621736111111112"/>
    <n v="391.46083333333331"/>
    <n v="391.46083333333331"/>
    <n v="32.621736111081191"/>
    <n v="424.0825694444145"/>
    <n v="4273.447430555585"/>
    <x v="0"/>
  </r>
  <r>
    <n v="2120"/>
    <n v="270147"/>
    <s v="P"/>
    <s v="3yd REL Containers"/>
    <n v="6"/>
    <m/>
    <m/>
    <m/>
    <n v="0"/>
    <s v="ENTERPRISE SALES INC"/>
    <m/>
    <s v="3 YD REL Container"/>
    <d v="2021-12-21T00:00:00"/>
    <d v="2021-12-21T00:00:00"/>
    <s v="2120-21-0014-1"/>
    <n v="1200"/>
    <n v="14050"/>
    <n v="9251.5300000000007"/>
    <n v="14056"/>
    <n v="835.21"/>
    <n v="8416.32"/>
    <n v="64.25"/>
    <n v="54260"/>
    <n v="64.25"/>
    <s v="P"/>
    <m/>
    <n v="9611"/>
    <m/>
    <s v="Internal"/>
    <s v="A"/>
    <s v="SL"/>
    <m/>
    <s v="WCNX"/>
    <n v="0"/>
    <n v="0"/>
    <m/>
    <x v="8"/>
    <n v="12"/>
    <n v="2021"/>
    <n v="2033"/>
    <n v="2034"/>
    <n v="64.246736111111119"/>
    <n v="770.96083333333343"/>
    <n v="770.96083333333343"/>
    <n v="64.246736111052087"/>
    <n v="835.20756944438551"/>
    <n v="8416.3224305556159"/>
    <x v="0"/>
  </r>
  <r>
    <n v="2120"/>
    <n v="270132"/>
    <s v="P"/>
    <s v="2yd REL Containers"/>
    <n v="6"/>
    <m/>
    <m/>
    <m/>
    <n v="0"/>
    <s v="ENTERPRISE SALES INC"/>
    <m/>
    <s v="2 YD REL Container"/>
    <d v="2021-12-21T00:00:00"/>
    <d v="2021-12-21T00:00:00"/>
    <s v="2120-21-0014-1"/>
    <n v="1200"/>
    <n v="14050"/>
    <n v="5921.53"/>
    <n v="14056"/>
    <n v="534.58000000000004"/>
    <n v="5386.95"/>
    <n v="41.12"/>
    <n v="54260"/>
    <n v="41.12"/>
    <s v="P"/>
    <m/>
    <n v="9611"/>
    <m/>
    <s v="Internal"/>
    <s v="A"/>
    <s v="SL"/>
    <m/>
    <s v="WCNX"/>
    <n v="0"/>
    <n v="0"/>
    <m/>
    <x v="8"/>
    <n v="12"/>
    <n v="2021"/>
    <n v="2033"/>
    <n v="2034"/>
    <n v="41.121736111111112"/>
    <n v="493.46083333333331"/>
    <n v="493.46083333333331"/>
    <n v="41.121736111073005"/>
    <n v="534.58256944440632"/>
    <n v="5386.9474305555932"/>
    <x v="0"/>
  </r>
  <r>
    <n v="2120"/>
    <n v="270121"/>
    <s v="P"/>
    <s v="1yd REL Containers"/>
    <n v="12"/>
    <m/>
    <m/>
    <m/>
    <n v="0"/>
    <s v="ENTERPRISE SALES INC"/>
    <m/>
    <s v="1 YD REL Container"/>
    <d v="2021-12-21T00:00:00"/>
    <d v="2021-12-21T00:00:00"/>
    <s v="2120-21-0014-1"/>
    <n v="1200"/>
    <n v="14050"/>
    <n v="10511.56"/>
    <n v="14056"/>
    <n v="948.96"/>
    <n v="9562.5999999999985"/>
    <n v="73"/>
    <n v="54260"/>
    <n v="73"/>
    <s v="P"/>
    <m/>
    <n v="9611"/>
    <m/>
    <s v="Internal"/>
    <s v="A"/>
    <s v="SL"/>
    <m/>
    <s v="WCNX"/>
    <n v="0"/>
    <n v="0"/>
    <m/>
    <x v="8"/>
    <n v="12"/>
    <n v="2021"/>
    <n v="2033"/>
    <n v="2034"/>
    <n v="72.996944444444438"/>
    <n v="875.96333333333325"/>
    <n v="875.96333333333325"/>
    <n v="72.996944444377732"/>
    <n v="948.96027777771098"/>
    <n v="9562.5997222222886"/>
    <x v="0"/>
  </r>
  <r>
    <n v="2120"/>
    <n v="270116"/>
    <s v="P"/>
    <s v="1.5yd REL Containers"/>
    <n v="6"/>
    <m/>
    <m/>
    <m/>
    <n v="0"/>
    <s v="ENTERPRISE SALES INC"/>
    <m/>
    <s v="1.5 YD REL Container"/>
    <d v="2021-12-21T00:00:00"/>
    <d v="2021-12-21T00:00:00"/>
    <s v="2120-21-0014-1"/>
    <n v="1200"/>
    <n v="14050"/>
    <n v="5795.53"/>
    <n v="14056"/>
    <n v="523.21"/>
    <n v="5272.32"/>
    <n v="40.25"/>
    <n v="54260"/>
    <n v="40.25"/>
    <s v="P"/>
    <m/>
    <n v="9611"/>
    <m/>
    <s v="Internal"/>
    <s v="A"/>
    <s v="SL"/>
    <m/>
    <s v="WCNX"/>
    <n v="0"/>
    <n v="0"/>
    <m/>
    <x v="8"/>
    <n v="12"/>
    <n v="2021"/>
    <n v="2033"/>
    <n v="2034"/>
    <n v="40.246736111111112"/>
    <n v="482.96083333333331"/>
    <n v="482.96083333333331"/>
    <n v="40.246736111073915"/>
    <n v="523.20756944440723"/>
    <n v="5272.3224305555923"/>
    <x v="0"/>
  </r>
  <r>
    <n v="2120"/>
    <n v="263514"/>
    <s v="P"/>
    <s v="4yd REL Containers"/>
    <n v="8"/>
    <m/>
    <s v="4 YD REL Container"/>
    <m/>
    <n v="0"/>
    <s v="ENTERPRISE SALES INC"/>
    <m/>
    <s v="4 YD REL Container"/>
    <d v="2021-10-19T00:00:00"/>
    <d v="2021-10-19T00:00:00"/>
    <s v="2120-21-0013-1"/>
    <n v="1200"/>
    <n v="14050"/>
    <n v="12207.27"/>
    <n v="14056"/>
    <n v="1271.5899999999999"/>
    <n v="10935.68"/>
    <n v="84.77"/>
    <n v="54260"/>
    <n v="84.77"/>
    <s v="P"/>
    <m/>
    <n v="9546"/>
    <m/>
    <s v="Internal"/>
    <s v="A"/>
    <s v="SL"/>
    <m/>
    <s v="WCNX"/>
    <n v="0"/>
    <n v="0"/>
    <m/>
    <x v="8"/>
    <n v="10"/>
    <n v="2021"/>
    <n v="2033"/>
    <n v="2033.8333333333333"/>
    <n v="84.772708333333341"/>
    <n v="1017.2725"/>
    <n v="1017.2725"/>
    <n v="254.31812499999978"/>
    <n v="1271.5906249999998"/>
    <n v="10935.679375"/>
    <x v="0"/>
  </r>
  <r>
    <n v="2120"/>
    <n v="263829"/>
    <n v="253139"/>
    <s v="docking station for laptop S/N# 2TK135Z0Y8"/>
    <n v="1"/>
    <m/>
    <m/>
    <m/>
    <n v="0"/>
    <s v="CDW DIR #2120-21-0009"/>
    <m/>
    <m/>
    <d v="2021-09-28T00:00:00"/>
    <d v="2021-09-28T00:00:00"/>
    <s v="2120-21-0009-1"/>
    <n v="300"/>
    <n v="14110"/>
    <n v="233.3"/>
    <n v="14116"/>
    <n v="103.69"/>
    <n v="129.61000000000001"/>
    <n v="6.48"/>
    <n v="70260"/>
    <n v="6.48"/>
    <s v="P"/>
    <m/>
    <s v="L393288"/>
    <m/>
    <s v="Internal"/>
    <s v="A"/>
    <s v="SL"/>
    <m/>
    <s v="WCNX"/>
    <n v="0"/>
    <n v="0"/>
    <m/>
    <x v="2"/>
    <n v="9"/>
    <n v="2021"/>
    <n v="2024"/>
    <n v="2024.75"/>
    <n v="6.4805555555555552"/>
    <n v="77.766666666666666"/>
    <n v="77.766666666666666"/>
    <n v="25.922222222216362"/>
    <n v="103.68888888888303"/>
    <n v="129.611111111117"/>
    <x v="0"/>
  </r>
  <r>
    <n v="2120"/>
    <n v="260891"/>
    <s v="P"/>
    <s v="40yd RO boxes"/>
    <n v="3"/>
    <m/>
    <m/>
    <m/>
    <n v="0"/>
    <s v="RULE STEEL TANKS INC"/>
    <m/>
    <s v="40 YD RO Box"/>
    <d v="2021-09-22T00:00:00"/>
    <d v="2021-09-22T00:00:00"/>
    <s v="2120-21-0010-1"/>
    <n v="1200"/>
    <n v="14050"/>
    <n v="32258"/>
    <n v="14056"/>
    <n v="3584.22"/>
    <n v="28673.78"/>
    <n v="224.01"/>
    <n v="54260"/>
    <n v="224.01"/>
    <s v="P"/>
    <m/>
    <s v="0039433-IN"/>
    <m/>
    <s v="Internal"/>
    <s v="A"/>
    <s v="SL"/>
    <m/>
    <s v="WCNX"/>
    <n v="0"/>
    <n v="0"/>
    <m/>
    <x v="4"/>
    <n v="9"/>
    <n v="2021"/>
    <n v="2033"/>
    <n v="2033.75"/>
    <n v="224.01388888888889"/>
    <n v="2688.1666666666665"/>
    <n v="2688.1666666666665"/>
    <n v="896.05555555535102"/>
    <n v="3584.2222222220175"/>
    <n v="28673.777777777981"/>
    <x v="0"/>
  </r>
  <r>
    <n v="2120"/>
    <n v="260956"/>
    <n v="256980"/>
    <s v="battery cable, led flood and junction box for new trailer"/>
    <m/>
    <m/>
    <m/>
    <m/>
    <n v="0"/>
    <s v="Jones Truck and Implement"/>
    <m/>
    <s v="Non-Rolling Stock"/>
    <d v="2021-08-18T00:00:00"/>
    <d v="2021-08-18T00:00:00"/>
    <s v="2120-21-0004-1"/>
    <n v="700"/>
    <n v="14040"/>
    <n v="413.1"/>
    <n v="14046"/>
    <n v="83.61"/>
    <n v="329.49"/>
    <n v="4.92"/>
    <n v="51260"/>
    <n v="4.92"/>
    <s v="P"/>
    <m/>
    <s v="5866-38851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9342"/>
    <n v="256980"/>
    <s v="TITLE, LICENSE AND SALES TAX FOR UTILITY TRAILER"/>
    <m/>
    <m/>
    <s v="3CV1U2227N2631018"/>
    <m/>
    <n v="0"/>
    <s v="WA DOL PULLMAN VEHICLE VE"/>
    <m/>
    <s v="Non-Rolling Stock"/>
    <d v="2021-08-18T00:00:00"/>
    <d v="2021-08-18T00:00:00"/>
    <s v="2120-21-0004-1"/>
    <n v="700"/>
    <n v="14040"/>
    <n v="483.9"/>
    <n v="14046"/>
    <n v="97.93"/>
    <n v="385.96999999999997"/>
    <n v="5.76"/>
    <n v="51260"/>
    <n v="5.76"/>
    <s v="P"/>
    <m/>
    <n v="9641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6055"/>
    <s v="P"/>
    <s v="95 Gallon Resi MSW Cart"/>
    <n v="112"/>
    <m/>
    <m/>
    <m/>
    <n v="0"/>
    <s v="REHRIG PACIFIC COMPANY IN"/>
    <m/>
    <s v="Non-Container Audit"/>
    <d v="2021-07-21T00:00:00"/>
    <d v="2021-07-21T00:00:00"/>
    <s v="2120-21-0012-1"/>
    <n v="700"/>
    <n v="14050"/>
    <n v="6621.16"/>
    <n v="14056"/>
    <n v="1418.82"/>
    <n v="5202.34"/>
    <n v="78.819999999999993"/>
    <n v="54260"/>
    <n v="78.819999999999993"/>
    <s v="P"/>
    <m/>
    <n v="5018232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6037"/>
    <s v="P"/>
    <s v="65 Gallon Resi MSW Cart"/>
    <n v="112"/>
    <m/>
    <m/>
    <m/>
    <n v="0"/>
    <s v="REHRIG PACIFIC COMPANY IN"/>
    <m/>
    <s v="Non-Container Audit"/>
    <d v="2021-07-21T00:00:00"/>
    <d v="2021-07-21T00:00:00"/>
    <s v="2120-21-0012-1"/>
    <n v="700"/>
    <n v="14050"/>
    <n v="5936.59"/>
    <n v="14056"/>
    <n v="1272.1300000000001"/>
    <n v="4664.46"/>
    <n v="70.67"/>
    <n v="54260"/>
    <n v="70.67"/>
    <s v="P"/>
    <m/>
    <n v="5018232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6980"/>
    <s v="P"/>
    <s v="2022 Container Trailer"/>
    <m/>
    <m/>
    <s v="3CV1U2227N2631018"/>
    <s v="94-3283464"/>
    <n v="2022"/>
    <s v="FREEBURG SALES &amp; SERVICE"/>
    <m/>
    <s v="Trailer"/>
    <d v="2021-07-14T00:00:00"/>
    <d v="2021-07-14T00:00:00"/>
    <s v="2120-21-0004-1"/>
    <n v="700"/>
    <n v="14040"/>
    <n v="4010"/>
    <n v="14046"/>
    <n v="907.03"/>
    <n v="3102.9700000000003"/>
    <n v="47.74"/>
    <n v="51260"/>
    <n v="47.74"/>
    <s v="P"/>
    <m/>
    <n v="65691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3139"/>
    <s v="P"/>
    <s v="HP ProBook 635 Aero G7 - S#5CG116106J"/>
    <m/>
    <m/>
    <m/>
    <m/>
    <n v="0"/>
    <m/>
    <m/>
    <m/>
    <d v="2021-05-31T00:00:00"/>
    <d v="2021-05-31T00:00:00"/>
    <s v="2120-21-0009"/>
    <n v="300"/>
    <n v="14110"/>
    <n v="1252.32"/>
    <n v="14116"/>
    <n v="695.74"/>
    <n v="556.57999999999993"/>
    <n v="34.79"/>
    <n v="70260"/>
    <n v="34.79"/>
    <s v="P"/>
    <m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1867"/>
    <s v="P"/>
    <s v="3 YD REL Containers"/>
    <n v="3"/>
    <m/>
    <m/>
    <m/>
    <n v="0"/>
    <s v="WASTEQUIP LLC"/>
    <m/>
    <s v="3 YD REL Container"/>
    <d v="2021-05-05T00:00:00"/>
    <d v="2021-05-05T00:00:00"/>
    <s v="2120-21-0007-1"/>
    <n v="1200"/>
    <n v="14050"/>
    <n v="3211.37"/>
    <n v="14056"/>
    <n v="468.32"/>
    <n v="2743.0499999999997"/>
    <n v="22.3"/>
    <n v="54260"/>
    <n v="22.3"/>
    <s v="P"/>
    <m/>
    <s v="20INV00001500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1866"/>
    <s v="P"/>
    <s v="1.5 YD REL Containers"/>
    <n v="12"/>
    <m/>
    <m/>
    <m/>
    <n v="0"/>
    <s v="WASTEQUIP LLC"/>
    <m/>
    <s v="1.5 YD REL Container"/>
    <d v="2021-05-05T00:00:00"/>
    <d v="2021-05-05T00:00:00"/>
    <s v="2120-21-0007-1"/>
    <n v="1200"/>
    <n v="14050"/>
    <n v="8132.43"/>
    <n v="14056"/>
    <n v="1185.98"/>
    <n v="6946.4500000000007"/>
    <n v="56.48"/>
    <n v="54260"/>
    <n v="56.48"/>
    <s v="P"/>
    <m/>
    <s v="20INV00001500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1865"/>
    <s v="P"/>
    <s v="1 YD REL Containers"/>
    <n v="12"/>
    <m/>
    <m/>
    <m/>
    <n v="0"/>
    <s v="WASTEQUIP LLC"/>
    <m/>
    <s v="1 YD REL Container"/>
    <d v="2021-05-05T00:00:00"/>
    <d v="2021-05-05T00:00:00"/>
    <s v="2120-21-0007-1"/>
    <n v="1200"/>
    <n v="14050"/>
    <n v="7744.35"/>
    <n v="14056"/>
    <n v="1129.3800000000001"/>
    <n v="6614.97"/>
    <n v="53.78"/>
    <n v="54260"/>
    <n v="53.78"/>
    <s v="P"/>
    <m/>
    <s v="20INV00001500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1864"/>
    <s v="P"/>
    <s v="4 YD REL Container"/>
    <n v="7"/>
    <m/>
    <m/>
    <m/>
    <n v="0"/>
    <s v="WASTEQUIP LLC"/>
    <m/>
    <s v="4 YD REL Container"/>
    <d v="2021-05-05T00:00:00"/>
    <d v="2021-05-05T00:00:00"/>
    <s v="2120-21-0007-1"/>
    <n v="1200"/>
    <n v="14050"/>
    <n v="10968.66"/>
    <n v="14056"/>
    <n v="1599.6"/>
    <n v="9369.06"/>
    <n v="76.17"/>
    <n v="54260"/>
    <n v="76.17"/>
    <s v="P"/>
    <m/>
    <s v="20INV00001517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1863"/>
    <s v="P"/>
    <s v="3 YD REL Container"/>
    <n v="4"/>
    <m/>
    <m/>
    <m/>
    <n v="0"/>
    <s v="WASTEQUIP LLC"/>
    <m/>
    <s v="3 YD REL Container"/>
    <d v="2021-05-05T00:00:00"/>
    <d v="2021-05-05T00:00:00"/>
    <s v="2120-21-0007-1"/>
    <n v="1200"/>
    <n v="14050"/>
    <n v="4497.42"/>
    <n v="14056"/>
    <n v="655.88"/>
    <n v="3841.54"/>
    <n v="31.23"/>
    <n v="54260"/>
    <n v="31.23"/>
    <s v="P"/>
    <m/>
    <s v="20INV00001517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0034"/>
    <s v="P"/>
    <s v="40 YD RO Boxes"/>
    <n v="3"/>
    <m/>
    <m/>
    <m/>
    <n v="0"/>
    <s v="RULE STEEL TANKS INC"/>
    <m/>
    <s v="40 YD RO Box"/>
    <d v="2021-04-07T00:00:00"/>
    <d v="2021-04-07T00:00:00"/>
    <s v="2120-21-0006-1"/>
    <n v="1200"/>
    <n v="14050"/>
    <n v="31493.77"/>
    <n v="14056"/>
    <n v="4811.55"/>
    <n v="26682.22"/>
    <n v="218.71"/>
    <n v="54260"/>
    <n v="218.71"/>
    <s v="P"/>
    <m/>
    <s v="0038893-IN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0268"/>
    <s v="P"/>
    <s v="65 Gal Resi MSW Carts"/>
    <n v="112"/>
    <m/>
    <m/>
    <m/>
    <n v="0"/>
    <s v="REHRIG PACIFIC COMPANY IN"/>
    <m/>
    <s v="Non-Container Audit"/>
    <d v="2021-04-06T00:00:00"/>
    <d v="2021-04-06T00:00:00"/>
    <s v="2120-21-0008-1"/>
    <n v="700"/>
    <n v="14050"/>
    <n v="5229.07"/>
    <n v="14056"/>
    <n v="1369.52"/>
    <n v="3859.5499999999997"/>
    <n v="62.25"/>
    <n v="54260"/>
    <n v="62.25"/>
    <s v="P"/>
    <m/>
    <n v="5016109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0267"/>
    <s v="P"/>
    <s v="95 Gal Resi MSW Carts"/>
    <n v="112"/>
    <m/>
    <m/>
    <m/>
    <n v="0"/>
    <s v="REHRIG PACIFIC COMPANY IN"/>
    <m/>
    <s v="Non-Container Audit"/>
    <d v="2021-04-06T00:00:00"/>
    <d v="2021-04-06T00:00:00"/>
    <s v="2120-21-0008-1"/>
    <n v="700"/>
    <n v="14050"/>
    <n v="5804.99"/>
    <n v="14056"/>
    <n v="1520.36"/>
    <n v="4284.63"/>
    <n v="69.11"/>
    <n v="54260"/>
    <n v="69.11"/>
    <s v="P"/>
    <m/>
    <n v="5016109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1930"/>
    <n v="251929"/>
    <s v="2021 Peterbilt Retriever Truck- Body"/>
    <m/>
    <m/>
    <s v="2NP2HJ6X5MM744769"/>
    <m/>
    <n v="2021"/>
    <m/>
    <m/>
    <s v="Non-Rolling Stock"/>
    <d v="2021-03-26T00:00:00"/>
    <d v="2021-03-26T00:00:00"/>
    <s v="2120-21-0005"/>
    <n v="1000"/>
    <n v="14040"/>
    <n v="92967.29"/>
    <n v="14046"/>
    <n v="17044.009999999998"/>
    <n v="75923.28"/>
    <n v="774.73"/>
    <n v="51260"/>
    <n v="774.73"/>
    <s v="P"/>
    <m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1929"/>
    <s v="P"/>
    <s v="2021 Peterbilt Retriever Truck- Chassis"/>
    <m/>
    <m/>
    <s v="2NP2HJ6X5MM744769"/>
    <m/>
    <n v="2021"/>
    <m/>
    <m/>
    <s v="Retriever Truck"/>
    <d v="2021-03-26T00:00:00"/>
    <d v="2021-03-26T00:00:00"/>
    <s v="2120-20-0002"/>
    <n v="1000"/>
    <n v="14040"/>
    <n v="100360"/>
    <n v="14046"/>
    <n v="18399.330000000002"/>
    <n v="81960.67"/>
    <n v="836.33"/>
    <n v="51260"/>
    <n v="836.33"/>
    <s v="P"/>
    <m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46248"/>
    <n v="243663"/>
    <s v="Registration &amp; Taxes"/>
    <m/>
    <m/>
    <m/>
    <m/>
    <n v="0"/>
    <m/>
    <m/>
    <s v="Non-Rolling Stock"/>
    <d v="2021-01-01T00:00:00"/>
    <d v="2021-01-01T00:00:00"/>
    <s v="2120-20-0013"/>
    <n v="1000"/>
    <n v="14040"/>
    <n v="17719.27"/>
    <n v="14046"/>
    <n v="3691.52"/>
    <n v="14027.75"/>
    <n v="147.66"/>
    <n v="51260"/>
    <n v="147.66"/>
    <s v="P"/>
    <m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43663"/>
    <s v="P"/>
    <s v="2020 Peterbilt 348 25cy REL"/>
    <m/>
    <m/>
    <s v="2NP3LJ0X6LM672541"/>
    <s v="90180RP"/>
    <n v="2020"/>
    <s v="Peterbilt"/>
    <s v="McNeilus"/>
    <s v="REL Truck"/>
    <d v="2020-12-28T00:00:00"/>
    <d v="2020-12-28T00:00:00"/>
    <s v="2120-20-0013"/>
    <n v="1000"/>
    <n v="14040"/>
    <n v="230644.94"/>
    <n v="14046"/>
    <n v="48051.02"/>
    <n v="182593.92000000001"/>
    <n v="1922.04"/>
    <n v="51260"/>
    <n v="1922.04"/>
    <s v="P"/>
    <m/>
    <m/>
    <n v="21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42994"/>
    <s v="P"/>
    <s v="65 Gal Resi MSW Cart - v"/>
    <n v="112"/>
    <m/>
    <m/>
    <m/>
    <n v="0"/>
    <s v="REHRIG PACIFIC COMPANY IN"/>
    <m/>
    <s v="Non-Container Audit"/>
    <d v="2020-12-10T00:00:00"/>
    <d v="2020-12-10T00:00:00"/>
    <s v="2120-20-0012-1"/>
    <n v="700"/>
    <n v="14050"/>
    <n v="4411.6899999999996"/>
    <n v="14056"/>
    <n v="1365.52"/>
    <n v="3046.1699999999996"/>
    <n v="52.52"/>
    <n v="54260"/>
    <n v="52.52"/>
    <s v="P"/>
    <m/>
    <n v="5013933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42993"/>
    <s v="P"/>
    <s v="95 Gal Resi MSW Cart -"/>
    <n v="112"/>
    <m/>
    <m/>
    <m/>
    <n v="0"/>
    <s v="REHRIG PACIFIC COMPANY IN"/>
    <m/>
    <s v="Non-Container Audit"/>
    <d v="2020-12-10T00:00:00"/>
    <d v="2020-12-10T00:00:00"/>
    <s v="2120-20-0012-1"/>
    <n v="700"/>
    <n v="14050"/>
    <n v="5015.38"/>
    <n v="14056"/>
    <n v="1552.38"/>
    <n v="3463"/>
    <n v="59.71"/>
    <n v="54260"/>
    <n v="59.71"/>
    <s v="P"/>
    <m/>
    <n v="5013933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41475"/>
    <s v="P"/>
    <s v="40 YD Metal RO Containers"/>
    <n v="2"/>
    <m/>
    <m/>
    <m/>
    <n v="0"/>
    <s v="RULE STEEL TANKS INC"/>
    <m/>
    <s v="40 YD RO Box"/>
    <d v="2020-11-04T00:00:00"/>
    <d v="2020-11-04T00:00:00"/>
    <s v="2120-20-0005-1"/>
    <n v="1200"/>
    <n v="14050"/>
    <n v="16538.68"/>
    <n v="14056"/>
    <n v="3100.99"/>
    <n v="13437.69"/>
    <n v="114.85"/>
    <n v="54260"/>
    <n v="114.85"/>
    <s v="P"/>
    <m/>
    <s v="0038292-IN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40608"/>
    <s v="P"/>
    <s v="Drive Cam- Qt 4"/>
    <n v="4"/>
    <m/>
    <m/>
    <m/>
    <n v="0"/>
    <s v="Lytx"/>
    <m/>
    <m/>
    <d v="2020-10-07T00:00:00"/>
    <d v="2020-10-07T00:00:00"/>
    <s v="2120-20-0011-1"/>
    <n v="500"/>
    <n v="14070"/>
    <n v="3833.92"/>
    <n v="14076"/>
    <n v="1789.16"/>
    <n v="2044.76"/>
    <n v="63.9"/>
    <n v="51260"/>
    <n v="63.9"/>
    <s v="P"/>
    <m/>
    <n v="531312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7469"/>
    <s v="P"/>
    <s v="95 Gal Resi MSW Carts"/>
    <n v="112"/>
    <m/>
    <m/>
    <m/>
    <n v="0"/>
    <s v="REHRIG PACIFIC COMPANY IN"/>
    <m/>
    <s v="Non-Container Audit"/>
    <d v="2020-09-08T00:00:00"/>
    <d v="2020-09-08T00:00:00"/>
    <s v="2120-20-0010-1"/>
    <n v="700"/>
    <n v="14050"/>
    <n v="4725.6099999999997"/>
    <n v="14056"/>
    <n v="1631.47"/>
    <n v="3094.1399999999994"/>
    <n v="56.26"/>
    <n v="54260"/>
    <n v="56.26"/>
    <s v="P"/>
    <m/>
    <n v="5012008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48101"/>
    <s v="P"/>
    <s v="Air Compressor"/>
    <m/>
    <m/>
    <m/>
    <m/>
    <n v="0"/>
    <s v="Compressor World LLC"/>
    <m/>
    <m/>
    <d v="2020-08-12T00:00:00"/>
    <m/>
    <s v="2125-20-0006-1"/>
    <n v="500"/>
    <n v="14070"/>
    <n v="5810.03"/>
    <n v="14076"/>
    <n v="2905.02"/>
    <n v="2905.0099999999998"/>
    <n v="96.83"/>
    <n v="51260"/>
    <n v="96.83"/>
    <s v="P"/>
    <m/>
    <n v="1052883"/>
    <m/>
    <s v="Internal"/>
    <s v="A"/>
    <s v="SL"/>
    <d v="2021-02-28T00:00:00"/>
    <s v="WCNX"/>
    <n v="0"/>
    <n v="677.84"/>
    <m/>
    <x v="9"/>
    <m/>
    <m/>
    <m/>
    <m/>
    <m/>
    <m/>
    <m/>
    <m/>
    <m/>
    <m/>
    <x v="1"/>
  </r>
  <r>
    <n v="2120"/>
    <n v="236068"/>
    <s v="P"/>
    <s v="4 Yard REL Container"/>
    <n v="7"/>
    <m/>
    <m/>
    <m/>
    <n v="0"/>
    <s v="ENTERPRISE SALES INC"/>
    <m/>
    <s v="4 YD FEL/REL/SL Metal"/>
    <d v="2020-07-29T00:00:00"/>
    <d v="2020-07-29T00:00:00"/>
    <s v="2120-20-0009-1"/>
    <n v="1200"/>
    <n v="14050"/>
    <n v="6040.61"/>
    <n v="14056"/>
    <n v="1258.47"/>
    <n v="4782.1399999999994"/>
    <n v="41.95"/>
    <n v="54260"/>
    <n v="41.95"/>
    <s v="P"/>
    <m/>
    <n v="898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6067"/>
    <s v="P"/>
    <s v="2 Yard REL Container"/>
    <n v="7"/>
    <m/>
    <m/>
    <m/>
    <n v="0"/>
    <s v="ENTERPRISE SALES INC"/>
    <m/>
    <s v="2 YD FEL/REL/SL Metal"/>
    <d v="2020-07-29T00:00:00"/>
    <d v="2020-07-29T00:00:00"/>
    <s v="2120-20-0009-1"/>
    <n v="1200"/>
    <n v="14050"/>
    <n v="4241.6000000000004"/>
    <n v="14056"/>
    <n v="883.68"/>
    <n v="3357.9200000000005"/>
    <n v="29.46"/>
    <n v="54260"/>
    <n v="29.46"/>
    <s v="P"/>
    <m/>
    <n v="898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6066"/>
    <s v="P"/>
    <s v="1.5 Yard REL Container"/>
    <n v="7"/>
    <m/>
    <m/>
    <m/>
    <n v="0"/>
    <s v="ENTERPRISE SALES INC"/>
    <m/>
    <s v="1.5 YD FEL/REL/SL Metal"/>
    <d v="2020-07-29T00:00:00"/>
    <d v="2020-07-29T00:00:00"/>
    <s v="2120-20-0009-1"/>
    <n v="1200"/>
    <n v="14050"/>
    <n v="4157.6000000000004"/>
    <n v="14056"/>
    <n v="866.17"/>
    <n v="3291.4300000000003"/>
    <n v="28.87"/>
    <n v="54260"/>
    <n v="28.87"/>
    <s v="P"/>
    <m/>
    <n v="898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3984"/>
    <s v="P"/>
    <s v="65 Gal Resi MSW Carts"/>
    <n v="112"/>
    <m/>
    <m/>
    <m/>
    <n v="0"/>
    <s v="REHRIG PACIFIC COMPANY IN"/>
    <m/>
    <s v="Non-Container Audit"/>
    <d v="2020-06-17T00:00:00"/>
    <d v="2020-06-17T00:00:00"/>
    <s v="2120-20-0008-1"/>
    <n v="700"/>
    <n v="14050"/>
    <n v="4195.58"/>
    <n v="14056"/>
    <n v="1548.38"/>
    <n v="2647.2"/>
    <n v="49.95"/>
    <n v="54260"/>
    <n v="49.95"/>
    <s v="P"/>
    <m/>
    <n v="5010433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3144"/>
    <n v="230179"/>
    <s v="Licensing/Registration - New Peterbilt REL"/>
    <m/>
    <m/>
    <m/>
    <m/>
    <n v="0"/>
    <s v="WA DOL LIC &amp; REG"/>
    <m/>
    <s v="Non-Rolling Stock"/>
    <d v="2020-05-06T00:00:00"/>
    <d v="2020-05-06T00:00:00"/>
    <s v="2120-20-0007-1"/>
    <n v="1000"/>
    <n v="14040"/>
    <n v="575.42999999999995"/>
    <n v="14046"/>
    <n v="158.24"/>
    <n v="417.18999999999994"/>
    <n v="4.8"/>
    <n v="51260"/>
    <n v="4.8"/>
    <s v="P"/>
    <m/>
    <n v="8630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2182"/>
    <n v="230179"/>
    <s v="Decals"/>
    <m/>
    <m/>
    <m/>
    <m/>
    <n v="0"/>
    <s v="The Sign Man"/>
    <m/>
    <s v="Non-Rolling Stock"/>
    <d v="2020-04-03T00:00:00"/>
    <d v="2020-04-03T00:00:00"/>
    <s v="2120-20-0007-1"/>
    <n v="1000"/>
    <n v="14040"/>
    <n v="800.42"/>
    <n v="14046"/>
    <n v="226.78"/>
    <n v="573.64"/>
    <n v="6.67"/>
    <n v="51260"/>
    <n v="6.67"/>
    <s v="P"/>
    <m/>
    <n v="2891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3652"/>
    <n v="230179"/>
    <s v="Radio for REL Truck"/>
    <m/>
    <m/>
    <m/>
    <m/>
    <n v="0"/>
    <s v="CLARK COMMUNICATIONS, INC"/>
    <m/>
    <s v="Non-Rolling Stock"/>
    <d v="2020-03-23T00:00:00"/>
    <d v="2020-03-23T00:00:00"/>
    <s v="2120-20-0007-1"/>
    <n v="500"/>
    <n v="14040"/>
    <n v="789.1"/>
    <n v="14046"/>
    <n v="447.16"/>
    <n v="341.94"/>
    <n v="13.15"/>
    <n v="51260"/>
    <n v="13.15"/>
    <s v="P"/>
    <m/>
    <n v="4517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0179"/>
    <s v="P"/>
    <s v="2020 Peterbilt 348 25cy REL"/>
    <m/>
    <m/>
    <s v="2NP3LJ0X2LM700271"/>
    <s v="C63951S"/>
    <n v="2020"/>
    <s v="Peterbilt"/>
    <s v="McNeilus"/>
    <s v="REL Truck"/>
    <d v="2020-03-23T00:00:00"/>
    <d v="2020-03-23T00:00:00"/>
    <s v="2120-20-0007"/>
    <n v="1000"/>
    <n v="14040"/>
    <n v="251005.24"/>
    <n v="14046"/>
    <n v="71118.14"/>
    <n v="179887.09999999998"/>
    <n v="2091.71"/>
    <n v="51260"/>
    <n v="2091.71"/>
    <s v="P"/>
    <m/>
    <m/>
    <n v="20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32181"/>
    <n v="230179"/>
    <s v="Drive Cam"/>
    <m/>
    <m/>
    <m/>
    <m/>
    <n v="0"/>
    <s v="Lytx"/>
    <m/>
    <s v="Non-Rolling Stock"/>
    <d v="2020-03-17T00:00:00"/>
    <d v="2020-03-17T00:00:00"/>
    <s v="2120-20-0007-1"/>
    <n v="500"/>
    <n v="14040"/>
    <n v="515.29999999999995"/>
    <n v="14046"/>
    <n v="292.01"/>
    <n v="223.28999999999996"/>
    <n v="8.59"/>
    <n v="51260"/>
    <n v="8.59"/>
    <s v="P"/>
    <m/>
    <n v="526352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25470"/>
    <s v="P"/>
    <s v="65 Gallon Resi MSW Cart"/>
    <m/>
    <m/>
    <m/>
    <m/>
    <n v="0"/>
    <m/>
    <m/>
    <s v="Non-Container Audit"/>
    <d v="2019-12-26T00:00:00"/>
    <d v="2019-12-26T00:00:00"/>
    <s v="2120-19-0012"/>
    <n v="700"/>
    <n v="14050"/>
    <n v="3209.85"/>
    <n v="14056"/>
    <n v="1413.86"/>
    <n v="1795.99"/>
    <n v="38.21"/>
    <n v="54260"/>
    <n v="38.21"/>
    <s v="P"/>
    <m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25976"/>
    <s v="P"/>
    <s v="Diagnostic Software - Davie 4"/>
    <m/>
    <m/>
    <m/>
    <m/>
    <n v="0"/>
    <s v="PACCAR"/>
    <m/>
    <m/>
    <d v="2019-12-20T00:00:00"/>
    <d v="2019-12-20T00:00:00"/>
    <s v="2120-19-0011-2"/>
    <n v="300"/>
    <n v="14110"/>
    <n v="1299"/>
    <n v="14116"/>
    <n v="1299"/>
    <n v="0"/>
    <n v="0"/>
    <n v="70260"/>
    <n v="0"/>
    <s v="P"/>
    <m/>
    <n v="301769730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24135"/>
    <s v="P"/>
    <s v="Panasonic Toughbook 54 Lite"/>
    <m/>
    <m/>
    <m/>
    <m/>
    <n v="0"/>
    <s v="CDW"/>
    <m/>
    <m/>
    <d v="2019-11-30T00:00:00"/>
    <d v="2019-11-30T00:00:00"/>
    <s v="2120-19-0011-1"/>
    <n v="200"/>
    <n v="14110"/>
    <n v="1556.1"/>
    <n v="14116"/>
    <n v="1556.1"/>
    <n v="0"/>
    <n v="0"/>
    <n v="70260"/>
    <n v="0"/>
    <s v="P"/>
    <m/>
    <s v="VTL206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25915"/>
    <n v="224135"/>
    <s v="Diagnostic Software - Allison"/>
    <m/>
    <m/>
    <m/>
    <m/>
    <n v="0"/>
    <s v="NOREGON SYSTEMS INC"/>
    <m/>
    <m/>
    <d v="2019-11-26T00:00:00"/>
    <d v="2019-11-26T00:00:00"/>
    <s v="2120-19-0011-2"/>
    <n v="300"/>
    <n v="14110"/>
    <n v="2050.11"/>
    <n v="14116"/>
    <n v="2050.11"/>
    <n v="0"/>
    <n v="0"/>
    <n v="70260"/>
    <n v="0"/>
    <s v="P"/>
    <m/>
    <s v="INV0001916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24061"/>
    <s v="P"/>
    <s v="95 Gallon Resi MSW Cart"/>
    <n v="250"/>
    <m/>
    <m/>
    <m/>
    <n v="0"/>
    <s v="REHRIG PACIFIC COMPANY IN"/>
    <m/>
    <s v="Non-Container Audit"/>
    <d v="2019-11-12T00:00:00"/>
    <d v="2019-11-12T00:00:00"/>
    <s v="2120-19-0012-1"/>
    <n v="700"/>
    <n v="14050"/>
    <n v="11502.26"/>
    <n v="14056"/>
    <n v="5340.33"/>
    <n v="6161.93"/>
    <n v="136.93"/>
    <n v="54260"/>
    <n v="136.93"/>
    <s v="P"/>
    <m/>
    <n v="5006011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21694"/>
    <s v="P"/>
    <s v="6 YD REL Metal Container"/>
    <n v="1"/>
    <m/>
    <m/>
    <m/>
    <n v="0"/>
    <s v="ENTERPRISE SALES INC"/>
    <m/>
    <s v="6 YD FEL/REL/SL Metal"/>
    <d v="2019-10-10T00:00:00"/>
    <d v="2019-10-10T00:00:00"/>
    <s v="2120-19-0008-1"/>
    <n v="1200"/>
    <n v="14050"/>
    <n v="1871.41"/>
    <n v="14056"/>
    <n v="519.84"/>
    <n v="1351.5700000000002"/>
    <n v="13"/>
    <n v="54260"/>
    <n v="13"/>
    <s v="P"/>
    <m/>
    <n v="861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22024"/>
    <s v="P"/>
    <s v="40 YD RO Boxes"/>
    <n v="2"/>
    <m/>
    <m/>
    <m/>
    <n v="0"/>
    <s v="WASTEQUIP LLC"/>
    <m/>
    <s v="40 YD RO Box"/>
    <d v="2019-10-03T00:00:00"/>
    <d v="2019-10-03T00:00:00"/>
    <s v="2120-19-0007-1"/>
    <n v="1200"/>
    <n v="14050"/>
    <n v="16511.240000000002"/>
    <n v="14056"/>
    <n v="4586.47"/>
    <n v="11924.77"/>
    <n v="114.66"/>
    <n v="54260"/>
    <n v="114.66"/>
    <s v="P"/>
    <m/>
    <n v="3721997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22838"/>
    <s v="P"/>
    <s v="25 YD RO Box"/>
    <n v="1"/>
    <m/>
    <m/>
    <m/>
    <n v="0"/>
    <s v="WASTEQUIP LLC"/>
    <m/>
    <s v="25 YD RO Box"/>
    <d v="2019-09-25T00:00:00"/>
    <d v="2019-09-25T00:00:00"/>
    <s v="2120-19-0007-1"/>
    <n v="1200"/>
    <n v="14050"/>
    <n v="8458"/>
    <n v="14056"/>
    <n v="2349.44"/>
    <n v="6108.5599999999995"/>
    <n v="58.74"/>
    <n v="54260"/>
    <n v="58.74"/>
    <s v="P"/>
    <m/>
    <n v="3721993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9598"/>
    <s v="P"/>
    <s v="4 YD Metal REL"/>
    <n v="10"/>
    <m/>
    <m/>
    <m/>
    <n v="0"/>
    <s v="ENTERPRISE SALES INC"/>
    <m/>
    <s v="4 YD FEL/REL/SL Metal"/>
    <d v="2019-09-12T00:00:00"/>
    <d v="2019-09-12T00:00:00"/>
    <s v="2120-19-0008-1"/>
    <n v="1200"/>
    <n v="14050"/>
    <n v="9238.4599999999991"/>
    <n v="14056"/>
    <n v="2630.39"/>
    <n v="6608.07"/>
    <n v="64.16"/>
    <n v="54260"/>
    <n v="64.16"/>
    <s v="P"/>
    <m/>
    <n v="856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9597"/>
    <s v="P"/>
    <s v="3 YD Metal REL"/>
    <n v="5"/>
    <m/>
    <m/>
    <m/>
    <n v="0"/>
    <s v="ENTERPRISE SALES INC"/>
    <m/>
    <s v="3 YD FEL/REL/SL Metal"/>
    <d v="2019-09-12T00:00:00"/>
    <d v="2019-09-12T00:00:00"/>
    <s v="2120-19-0008-1"/>
    <n v="1200"/>
    <n v="14050"/>
    <n v="4209.59"/>
    <n v="14056"/>
    <n v="1198.56"/>
    <n v="3011.03"/>
    <n v="29.23"/>
    <n v="54260"/>
    <n v="29.23"/>
    <s v="P"/>
    <m/>
    <n v="856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9596"/>
    <s v="P"/>
    <s v="1.5 YD Metal REL"/>
    <n v="5"/>
    <m/>
    <m/>
    <m/>
    <n v="0"/>
    <s v="ENTERPRISE SALES INC"/>
    <m/>
    <s v="1.5 YD FEL/REL/SL Metal"/>
    <d v="2019-09-12T00:00:00"/>
    <d v="2019-09-12T00:00:00"/>
    <s v="2120-19-0008-1"/>
    <n v="1200"/>
    <n v="14050"/>
    <n v="3013.01"/>
    <n v="14056"/>
    <n v="857.89"/>
    <n v="2155.1200000000003"/>
    <n v="20.92"/>
    <n v="54260"/>
    <n v="20.92"/>
    <s v="P"/>
    <m/>
    <n v="856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9595"/>
    <s v="P"/>
    <s v="1 YD Metal REL"/>
    <n v="10"/>
    <m/>
    <m/>
    <m/>
    <n v="0"/>
    <s v="ENTERPRISE SALES INC"/>
    <m/>
    <s v="1 YD FEL/REL/SL Metal"/>
    <d v="2019-09-12T00:00:00"/>
    <d v="2019-09-12T00:00:00"/>
    <s v="2120-19-0008-1"/>
    <n v="1200"/>
    <n v="14050"/>
    <n v="5627.16"/>
    <n v="14056"/>
    <n v="1602.18"/>
    <n v="4024.9799999999996"/>
    <n v="39.08"/>
    <n v="54260"/>
    <n v="39.08"/>
    <s v="P"/>
    <m/>
    <n v="856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3181"/>
    <s v="P"/>
    <s v="95 Gallon Resi MSW Carts"/>
    <n v="312"/>
    <m/>
    <m/>
    <m/>
    <n v="0"/>
    <s v="REHRIG PACIFIC COMPANY IN"/>
    <m/>
    <m/>
    <d v="2019-04-27T00:00:00"/>
    <d v="2019-04-27T00:00:00"/>
    <s v="2120-19-0006-1"/>
    <n v="700"/>
    <n v="14050"/>
    <n v="14985"/>
    <n v="14056"/>
    <n v="8027.69"/>
    <n v="6957.31"/>
    <n v="178.39"/>
    <n v="54260"/>
    <n v="178.39"/>
    <s v="P"/>
    <m/>
    <n v="5002266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4540"/>
    <s v="P"/>
    <s v="Diagnostic Software - Cummins"/>
    <m/>
    <m/>
    <m/>
    <m/>
    <n v="0"/>
    <s v="Cummins"/>
    <m/>
    <m/>
    <d v="2019-04-10T00:00:00"/>
    <d v="2019-04-10T00:00:00"/>
    <s v="2120-19-0009-1"/>
    <n v="300"/>
    <n v="14110"/>
    <n v="337.42"/>
    <n v="14116"/>
    <n v="337.42"/>
    <n v="0"/>
    <n v="0"/>
    <n v="70260"/>
    <n v="0"/>
    <s v="P"/>
    <m/>
    <s v="DA-4374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2759"/>
    <s v="P"/>
    <s v="Diagnostic Software - Noregon Systems Software"/>
    <m/>
    <m/>
    <m/>
    <s v="94-3283464"/>
    <n v="0"/>
    <s v="NOREGON SYSTEMS INC"/>
    <m/>
    <m/>
    <d v="2019-04-10T00:00:00"/>
    <d v="2019-04-10T00:00:00"/>
    <s v="2120-19-0009-1"/>
    <n v="300"/>
    <n v="14110"/>
    <n v="643.32000000000005"/>
    <n v="14116"/>
    <n v="643.32000000000005"/>
    <n v="0"/>
    <n v="0"/>
    <n v="70260"/>
    <n v="0"/>
    <s v="P"/>
    <m/>
    <n v="19558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8022"/>
    <n v="207231"/>
    <s v="2018 Peterbilt RO Truck - Licensing"/>
    <m/>
    <m/>
    <m/>
    <m/>
    <n v="0"/>
    <s v="SWS"/>
    <m/>
    <s v="Non-Rolling Stock"/>
    <d v="2018-12-31T00:00:00"/>
    <d v="2018-12-31T00:00:00"/>
    <s v="2120-18-0008-1"/>
    <n v="1000"/>
    <n v="14040"/>
    <n v="2187.5"/>
    <n v="14046"/>
    <n v="893.23"/>
    <n v="1294.27"/>
    <n v="18.23"/>
    <n v="51260"/>
    <n v="18.23"/>
    <s v="P"/>
    <m/>
    <n v="8547197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8021"/>
    <n v="207231"/>
    <s v="2018 Peterbilt RO Truck - Decals"/>
    <m/>
    <m/>
    <m/>
    <m/>
    <n v="0"/>
    <s v="SWS"/>
    <m/>
    <s v="Non-Rolling Stock"/>
    <d v="2018-12-31T00:00:00"/>
    <d v="2018-12-31T00:00:00"/>
    <s v="2120-18-0008-1"/>
    <n v="1000"/>
    <n v="14040"/>
    <n v="190.4"/>
    <n v="14046"/>
    <n v="77.75"/>
    <n v="112.65"/>
    <n v="1.59"/>
    <n v="51260"/>
    <n v="1.59"/>
    <s v="P"/>
    <m/>
    <n v="2745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7231"/>
    <s v="P"/>
    <s v="2019 Peterbilt 567 Roll Off Truck"/>
    <m/>
    <m/>
    <s v="1NPCX4EX6KD605621"/>
    <s v="C96677M"/>
    <n v="2019"/>
    <s v="Peterbilt"/>
    <s v="GalFab"/>
    <s v="R/O Truck"/>
    <d v="2018-12-31T00:00:00"/>
    <d v="2018-12-31T00:00:00"/>
    <s v="2120-18-0008-1"/>
    <n v="1000"/>
    <n v="14040"/>
    <n v="235440.3"/>
    <n v="14046"/>
    <n v="96138.12"/>
    <n v="139302.18"/>
    <n v="1962"/>
    <n v="51260"/>
    <n v="1962"/>
    <s v="P"/>
    <m/>
    <n v="238420"/>
    <n v="33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7436"/>
    <n v="207231"/>
    <s v="Toolbox for Truck"/>
    <m/>
    <m/>
    <m/>
    <m/>
    <n v="2018"/>
    <s v="SWS"/>
    <s v="SWS"/>
    <s v="Non-Rolling Stock"/>
    <d v="2018-12-06T00:00:00"/>
    <d v="2018-12-06T00:00:00"/>
    <s v="2120-18-0008-1"/>
    <n v="500"/>
    <n v="14040"/>
    <n v="1611.62"/>
    <n v="14046"/>
    <n v="1343"/>
    <n v="268.61999999999989"/>
    <n v="26.86"/>
    <n v="51260"/>
    <n v="26.86"/>
    <s v="P"/>
    <m/>
    <s v="0110078-IN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6404"/>
    <n v="207231"/>
    <s v="Radio"/>
    <m/>
    <m/>
    <m/>
    <m/>
    <n v="0"/>
    <s v="SWS"/>
    <m/>
    <s v="Non-Rolling Stock"/>
    <d v="2018-11-28T00:00:00"/>
    <d v="2018-11-28T00:00:00"/>
    <s v="2120-18-0008-1"/>
    <n v="500"/>
    <n v="14040"/>
    <n v="795.56"/>
    <n v="14046"/>
    <n v="662.96"/>
    <n v="132.59999999999991"/>
    <n v="13.26"/>
    <n v="51260"/>
    <n v="13.26"/>
    <s v="P"/>
    <m/>
    <n v="4237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6422"/>
    <s v="P"/>
    <s v="65 Gallon Resi MSW Carts"/>
    <n v="112"/>
    <m/>
    <m/>
    <m/>
    <n v="0"/>
    <s v="REHRIG PACIFIC COMPANY IN"/>
    <m/>
    <m/>
    <d v="2018-11-15T00:00:00"/>
    <d v="2018-11-15T00:00:00"/>
    <s v="2120-18-0016-1"/>
    <n v="700"/>
    <n v="14050"/>
    <n v="5155.43"/>
    <n v="14056"/>
    <n v="3130.08"/>
    <n v="2025.3500000000004"/>
    <n v="61.37"/>
    <n v="54260"/>
    <n v="61.37"/>
    <s v="P"/>
    <m/>
    <s v="LA22789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4848"/>
    <n v="207231"/>
    <s v="Drive Cam"/>
    <m/>
    <m/>
    <m/>
    <m/>
    <n v="0"/>
    <s v="SWS"/>
    <m/>
    <s v="Non-Rolling Stock"/>
    <d v="2018-10-25T00:00:00"/>
    <d v="2018-10-25T00:00:00"/>
    <s v="2120-18-0008-1"/>
    <n v="500"/>
    <n v="14040"/>
    <n v="488.34"/>
    <n v="14046"/>
    <n v="415.1"/>
    <n v="73.239999999999952"/>
    <n v="8.14"/>
    <n v="51260"/>
    <n v="8.14"/>
    <s v="P"/>
    <m/>
    <n v="515761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4804"/>
    <s v="P"/>
    <s v="40 yd RO Boxes"/>
    <n v="2"/>
    <m/>
    <m/>
    <m/>
    <n v="0"/>
    <s v="WASTEQUIP LLC"/>
    <m/>
    <s v="40 YD RO Box"/>
    <d v="2018-10-06T00:00:00"/>
    <d v="2018-10-06T00:00:00"/>
    <s v="2120-18-0012-1"/>
    <n v="1200"/>
    <n v="14050"/>
    <n v="17196.25"/>
    <n v="14056"/>
    <n v="6209.76"/>
    <n v="10986.49"/>
    <n v="119.42"/>
    <n v="54260"/>
    <n v="119.42"/>
    <s v="P"/>
    <m/>
    <n v="3721783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3940"/>
    <s v="P"/>
    <s v="2018 Chevrolet Silverado 1500"/>
    <m/>
    <m/>
    <s v="1GCNKNEC8JZ272986"/>
    <s v="C96526M"/>
    <n v="2018"/>
    <s v="Chevrolet"/>
    <s v="Chevrolet"/>
    <s v="Pick Up Truck"/>
    <d v="2018-10-03T00:00:00"/>
    <d v="2018-10-03T00:00:00"/>
    <s v="2120-18-0015-1"/>
    <n v="500"/>
    <n v="14040"/>
    <n v="34219.39"/>
    <n v="14046"/>
    <n v="29656.81"/>
    <n v="4562.5799999999981"/>
    <n v="570.32000000000005"/>
    <n v="51260"/>
    <n v="570.32000000000005"/>
    <s v="P"/>
    <m/>
    <n v="7769652940"/>
    <n v="9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3788"/>
    <s v="P"/>
    <s v="96 Gal Resi MSW Carts"/>
    <n v="100"/>
    <m/>
    <m/>
    <m/>
    <n v="0"/>
    <s v="TOTER LLC"/>
    <m/>
    <m/>
    <d v="2018-09-27T00:00:00"/>
    <d v="2018-09-27T00:00:00"/>
    <s v="2120-18-0013-1"/>
    <n v="700"/>
    <n v="14050"/>
    <n v="6316.47"/>
    <n v="14056"/>
    <n v="3910.19"/>
    <n v="2406.2800000000002"/>
    <n v="75.2"/>
    <n v="54260"/>
    <n v="75.2"/>
    <s v="P"/>
    <m/>
    <n v="6555572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3656"/>
    <s v="P"/>
    <s v="Shop Laptop - HP Probook 640"/>
    <m/>
    <m/>
    <m/>
    <m/>
    <n v="0"/>
    <s v="CDW"/>
    <m/>
    <m/>
    <d v="2018-09-11T00:00:00"/>
    <d v="2018-09-11T00:00:00"/>
    <s v="2120-18-0014-1"/>
    <n v="300"/>
    <n v="14110"/>
    <n v="1282.99"/>
    <n v="14116"/>
    <n v="1282.99"/>
    <n v="0"/>
    <n v="0"/>
    <n v="70260"/>
    <n v="0"/>
    <s v="P"/>
    <m/>
    <s v="PDC755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2950"/>
    <s v="P"/>
    <s v="3 Yd Metal REL Containers"/>
    <n v="6"/>
    <m/>
    <m/>
    <m/>
    <n v="0"/>
    <s v="ENTERPRISE SALES INC"/>
    <m/>
    <s v="3 YD FEL/REL/SL Metal"/>
    <d v="2018-09-05T00:00:00"/>
    <d v="2018-09-05T00:00:00"/>
    <s v="2120-18-0011-4"/>
    <n v="1200"/>
    <n v="14050"/>
    <n v="5441.74"/>
    <n v="14056"/>
    <n v="2002.87"/>
    <n v="3438.87"/>
    <n v="37.79"/>
    <n v="54260"/>
    <n v="37.79"/>
    <s v="P"/>
    <m/>
    <n v="810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2949"/>
    <s v="P"/>
    <s v="2 Yd Metal REL Containers"/>
    <n v="12"/>
    <m/>
    <m/>
    <m/>
    <n v="0"/>
    <s v="ENTERPRISE SALES INC"/>
    <m/>
    <s v="2 YD FEL/REL/SL Metal"/>
    <d v="2018-09-05T00:00:00"/>
    <d v="2018-09-05T00:00:00"/>
    <s v="2120-18-0011-3"/>
    <n v="1200"/>
    <n v="14050"/>
    <n v="7964.26"/>
    <n v="14056"/>
    <n v="2931.3"/>
    <n v="5032.96"/>
    <n v="55.31"/>
    <n v="54260"/>
    <n v="55.31"/>
    <s v="P"/>
    <m/>
    <n v="810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2948"/>
    <s v="P"/>
    <s v="1.5 Yd Metal REL Containers"/>
    <n v="12"/>
    <m/>
    <m/>
    <m/>
    <n v="0"/>
    <s v="ENTERPRISE SALES INC"/>
    <m/>
    <s v="1.5 YD FEL/REL/SL Metal"/>
    <d v="2018-09-05T00:00:00"/>
    <d v="2018-09-05T00:00:00"/>
    <s v="2120-18-0011-2"/>
    <n v="1200"/>
    <n v="14050"/>
    <n v="7602.06"/>
    <n v="14056"/>
    <n v="2798"/>
    <n v="4804.0600000000004"/>
    <n v="52.79"/>
    <n v="54260"/>
    <n v="52.79"/>
    <s v="P"/>
    <m/>
    <n v="810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2947"/>
    <s v="P"/>
    <s v="1 Yd Metal REL Containers"/>
    <n v="20"/>
    <m/>
    <m/>
    <m/>
    <n v="0"/>
    <s v="ENTERPRISE SALES INC"/>
    <m/>
    <s v="1 YD FEL/REL/SL Metal"/>
    <d v="2018-09-05T00:00:00"/>
    <d v="2018-09-05T00:00:00"/>
    <s v="2120-18-0011-1"/>
    <n v="1200"/>
    <n v="14050"/>
    <n v="12220.21"/>
    <n v="14056"/>
    <n v="4497.71"/>
    <n v="7722.4999999999991"/>
    <n v="84.86"/>
    <n v="54260"/>
    <n v="84.86"/>
    <s v="P"/>
    <m/>
    <n v="810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0988"/>
    <n v="200785"/>
    <s v="2018 Pete/McNeilus REL Truck-Decaling"/>
    <m/>
    <m/>
    <m/>
    <m/>
    <n v="2018"/>
    <s v="SWS"/>
    <s v="McNeilus"/>
    <s v="Non-Rolling Stock"/>
    <d v="2018-07-19T00:00:00"/>
    <d v="2018-07-19T00:00:00"/>
    <s v="2120-18-0007-1"/>
    <n v="1000"/>
    <n v="14040"/>
    <n v="745.28"/>
    <n v="14046"/>
    <n v="335.38"/>
    <n v="409.9"/>
    <n v="6.21"/>
    <n v="51260"/>
    <n v="6.21"/>
    <s v="P"/>
    <m/>
    <n v="2697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0785"/>
    <s v="P"/>
    <s v="2019 Peterbilt 348 25cy REL"/>
    <m/>
    <m/>
    <s v="2NP3LJ0X7KM274088"/>
    <s v="C96889M"/>
    <n v="2019"/>
    <s v="Peterbilt"/>
    <s v="McNeilus"/>
    <s v="REL Truck"/>
    <d v="2018-07-16T00:00:00"/>
    <d v="2018-07-16T00:00:00"/>
    <s v="2120-18-0007-1"/>
    <n v="1000"/>
    <n v="14040"/>
    <n v="251171.24"/>
    <n v="14046"/>
    <n v="113026.99"/>
    <n v="138144.25"/>
    <n v="2093.09"/>
    <n v="51260"/>
    <n v="2093.09"/>
    <s v="P"/>
    <m/>
    <m/>
    <n v="19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9415"/>
    <n v="197308"/>
    <s v="Signage for Truck # 18"/>
    <m/>
    <m/>
    <m/>
    <m/>
    <n v="0"/>
    <s v="The Signman Signs"/>
    <m/>
    <s v="Non-Rolling Stock"/>
    <d v="2018-05-31T00:00:00"/>
    <d v="2018-05-31T00:00:00"/>
    <s v="2120-18-0001-1"/>
    <n v="1000"/>
    <n v="14040"/>
    <n v="745.28"/>
    <n v="14046"/>
    <n v="347.81"/>
    <n v="397.46999999999997"/>
    <n v="6.21"/>
    <n v="51260"/>
    <n v="6.21"/>
    <s v="P"/>
    <m/>
    <n v="2682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9288"/>
    <n v="197308"/>
    <s v="Licensing for Truck # 18"/>
    <m/>
    <m/>
    <m/>
    <m/>
    <n v="0"/>
    <s v="WA Dept of Licensing"/>
    <m/>
    <s v="Non-Rolling Stock"/>
    <d v="2018-05-31T00:00:00"/>
    <d v="2018-05-31T00:00:00"/>
    <s v="2120-18-0001-1"/>
    <n v="1000"/>
    <n v="14040"/>
    <n v="672.33"/>
    <n v="14046"/>
    <n v="313.7"/>
    <n v="358.63000000000005"/>
    <n v="5.6"/>
    <n v="51260"/>
    <n v="5.6"/>
    <s v="P"/>
    <m/>
    <n v="7850761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7582"/>
    <n v="197308"/>
    <s v="Drivecam for 2018 REL Truck # 18"/>
    <m/>
    <m/>
    <m/>
    <m/>
    <n v="0"/>
    <s v="Lytx"/>
    <m/>
    <s v="Non-Rolling Stock"/>
    <d v="2018-05-31T00:00:00"/>
    <d v="2018-05-31T00:00:00"/>
    <s v="2120-18-0001-1"/>
    <n v="500"/>
    <n v="14040"/>
    <n v="487.27"/>
    <n v="14046"/>
    <n v="454.63"/>
    <n v="32.639999999999986"/>
    <n v="8.16"/>
    <n v="51260"/>
    <n v="8.16"/>
    <s v="P"/>
    <m/>
    <n v="512969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7492"/>
    <n v="197308"/>
    <s v="Radio for REL Truck # 18"/>
    <m/>
    <m/>
    <m/>
    <m/>
    <n v="0"/>
    <s v="Clark Communications"/>
    <m/>
    <s v="Non-Rolling Stock"/>
    <d v="2018-05-31T00:00:00"/>
    <d v="2018-05-31T00:00:00"/>
    <s v="2120-18-0001-1"/>
    <n v="500"/>
    <n v="14040"/>
    <n v="679.14"/>
    <n v="14046"/>
    <n v="633.87"/>
    <n v="45.269999999999982"/>
    <n v="11.32"/>
    <n v="51260"/>
    <n v="11.32"/>
    <s v="P"/>
    <m/>
    <n v="4166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7308"/>
    <s v="P"/>
    <s v="2019 Peterbilt 348 25cy REL"/>
    <m/>
    <m/>
    <s v="2NP3LJ0X5KM264045"/>
    <s v="C05128L"/>
    <n v="2019"/>
    <s v="Peterbilt"/>
    <s v="McNeilus"/>
    <s v="REL Truck"/>
    <d v="2018-05-31T00:00:00"/>
    <d v="2018-05-31T00:00:00"/>
    <s v="2120-18-0001-1"/>
    <n v="1000"/>
    <n v="14040"/>
    <n v="249922.9"/>
    <n v="14046"/>
    <n v="116630.69"/>
    <n v="133292.21"/>
    <n v="2082.69"/>
    <n v="51260"/>
    <n v="2082.69"/>
    <s v="P"/>
    <m/>
    <n v="3994062"/>
    <n v="18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7218"/>
    <n v="25787"/>
    <s v="Cap Repair- Engine Rebuild- Truck 7"/>
    <m/>
    <m/>
    <m/>
    <m/>
    <n v="0"/>
    <s v="Paccar/Western Peterbilt"/>
    <m/>
    <s v="Non-Rolling Stock"/>
    <d v="2018-04-28T00:00:00"/>
    <d v="2018-04-28T00:00:00"/>
    <s v="2120-18-0010-1"/>
    <n v="300"/>
    <n v="14040"/>
    <n v="17036.04"/>
    <n v="14046"/>
    <n v="17036.04"/>
    <n v="0"/>
    <n v="0"/>
    <n v="51260"/>
    <n v="0"/>
    <s v="P"/>
    <m/>
    <s v="SP37573-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5629"/>
    <s v="P"/>
    <s v="64 Gal Resi MSWCarts"/>
    <n v="150"/>
    <m/>
    <m/>
    <s v="94-3283464"/>
    <n v="0"/>
    <s v="TOTER LLC"/>
    <m/>
    <m/>
    <d v="2018-04-05T00:00:00"/>
    <d v="2018-04-05T00:00:00"/>
    <s v="2120-18-0009-1"/>
    <n v="700"/>
    <n v="14050"/>
    <n v="7990.68"/>
    <n v="14056"/>
    <n v="5517.4"/>
    <n v="2473.2800000000007"/>
    <n v="95.13"/>
    <n v="54260"/>
    <n v="95.13"/>
    <s v="P"/>
    <m/>
    <n v="6552590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5628"/>
    <s v="P"/>
    <s v="64 Gal Resi Recycle Carts"/>
    <n v="25"/>
    <m/>
    <m/>
    <s v="94-3283464"/>
    <n v="0"/>
    <s v="TOTER LLC"/>
    <m/>
    <m/>
    <d v="2018-04-05T00:00:00"/>
    <d v="2018-04-05T00:00:00"/>
    <s v="2120-18-0009-1"/>
    <n v="700"/>
    <n v="14050"/>
    <n v="1224.6300000000001"/>
    <n v="14056"/>
    <n v="845.59"/>
    <n v="379.04000000000008"/>
    <n v="14.58"/>
    <n v="54260"/>
    <n v="14.58"/>
    <s v="P"/>
    <m/>
    <n v="6552590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5627"/>
    <s v="P"/>
    <s v="96 Gal Resi MSW Carts"/>
    <n v="50"/>
    <m/>
    <m/>
    <s v="94-3283464"/>
    <n v="0"/>
    <s v="TOTER LLC"/>
    <m/>
    <m/>
    <d v="2018-04-05T00:00:00"/>
    <d v="2018-04-05T00:00:00"/>
    <s v="2120-18-0009-2"/>
    <n v="700"/>
    <n v="14050"/>
    <n v="4072"/>
    <n v="14056"/>
    <n v="2811.65"/>
    <n v="1260.3499999999999"/>
    <n v="48.48"/>
    <n v="54260"/>
    <n v="48.48"/>
    <s v="P"/>
    <m/>
    <n v="6552590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1383"/>
    <s v="P"/>
    <s v="96 Gal Resi MSW Carts"/>
    <n v="50"/>
    <m/>
    <m/>
    <s v="94-3283464"/>
    <n v="0"/>
    <s v="TOTER LLC"/>
    <m/>
    <m/>
    <d v="2018-01-01T00:00:00"/>
    <d v="2018-01-01T00:00:00"/>
    <s v="2120-17-0013-1"/>
    <n v="610"/>
    <n v="14050"/>
    <n v="2873.08"/>
    <n v="14056"/>
    <n v="2137.29"/>
    <n v="735.79"/>
    <n v="35.04"/>
    <n v="54260"/>
    <n v="35.04"/>
    <s v="P"/>
    <m/>
    <n v="6550271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1382"/>
    <s v="P"/>
    <s v="64 Gal Resi MSW Carts"/>
    <n v="50"/>
    <m/>
    <m/>
    <s v="94-3283464"/>
    <n v="0"/>
    <s v="TOTER LLC"/>
    <m/>
    <m/>
    <d v="2018-01-01T00:00:00"/>
    <d v="2018-01-01T00:00:00"/>
    <s v="2120-17-0013-1"/>
    <n v="610"/>
    <n v="14050"/>
    <n v="2684.44"/>
    <n v="14056"/>
    <n v="1996.99"/>
    <n v="687.45"/>
    <n v="32.74"/>
    <n v="54260"/>
    <n v="32.74"/>
    <s v="P"/>
    <m/>
    <n v="6550271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9671"/>
    <s v="P"/>
    <s v="2018 Chevrolet Silverado 2500HD"/>
    <m/>
    <m/>
    <s v="1GC2KUEG0JZ186443"/>
    <s v="C04586L"/>
    <n v="2018"/>
    <s v="Chevrolet"/>
    <m/>
    <s v="Pick Up Truck"/>
    <d v="2017-12-08T00:00:00"/>
    <d v="2017-12-08T00:00:00"/>
    <s v="2120-17-0016-1"/>
    <n v="500"/>
    <n v="14040"/>
    <n v="39177.08"/>
    <n v="14046"/>
    <n v="39177.08"/>
    <n v="0"/>
    <n v="0"/>
    <n v="51260"/>
    <n v="0"/>
    <s v="P"/>
    <m/>
    <n v="7636152940"/>
    <n v="3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9676"/>
    <s v="P"/>
    <s v="4 Yd Metal REL Containers"/>
    <n v="8"/>
    <m/>
    <m/>
    <s v="94-3283464"/>
    <n v="0"/>
    <s v="WASTEQUIP LLC"/>
    <m/>
    <s v="4 YD FEL/REL/SL Metal"/>
    <d v="2017-11-27T00:00:00"/>
    <d v="2017-11-27T00:00:00"/>
    <s v="2120-17-0012-1"/>
    <n v="1200"/>
    <n v="14050"/>
    <n v="10857.62"/>
    <n v="14056"/>
    <n v="4674.8"/>
    <n v="6182.8200000000006"/>
    <n v="75.400000000000006"/>
    <n v="54260"/>
    <n v="75.400000000000006"/>
    <s v="P"/>
    <m/>
    <n v="3721559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9675"/>
    <s v="P"/>
    <s v="8 Yd Metal REL Container"/>
    <n v="1"/>
    <m/>
    <m/>
    <s v="94-3283464"/>
    <n v="0"/>
    <s v="WASTEQUIP LLC"/>
    <m/>
    <s v="8 YD FEL/REL/SL Metal"/>
    <d v="2017-11-27T00:00:00"/>
    <d v="2017-11-27T00:00:00"/>
    <s v="2120-17-0012-3"/>
    <n v="1200"/>
    <n v="14050"/>
    <n v="2696.08"/>
    <n v="14056"/>
    <n v="1160.79"/>
    <n v="1535.29"/>
    <n v="18.72"/>
    <n v="54260"/>
    <n v="18.72"/>
    <s v="P"/>
    <m/>
    <n v="3721559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9674"/>
    <s v="P"/>
    <s v="6 Yd Metal REL Containers"/>
    <n v="2"/>
    <m/>
    <m/>
    <s v="94-3283464"/>
    <n v="0"/>
    <s v="WASTEQUIP LLC"/>
    <m/>
    <s v="6 YD FEL/REL/SL Metal"/>
    <d v="2017-11-27T00:00:00"/>
    <d v="2017-11-27T00:00:00"/>
    <s v="2120-17-0012-2"/>
    <n v="1200"/>
    <n v="14050"/>
    <n v="4012.32"/>
    <n v="14056"/>
    <n v="1727.52"/>
    <n v="2284.8000000000002"/>
    <n v="27.86"/>
    <n v="54260"/>
    <n v="27.86"/>
    <s v="P"/>
    <m/>
    <n v="3721559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90225"/>
    <n v="188921"/>
    <s v="Signage for Truck"/>
    <m/>
    <m/>
    <m/>
    <m/>
    <n v="0"/>
    <m/>
    <m/>
    <s v="Non-Rolling Stock "/>
    <d v="2017-11-15T00:00:00"/>
    <d v="2017-11-15T00:00:00"/>
    <s v="2120-17-0006-1"/>
    <n v="1000"/>
    <n v="14040"/>
    <n v="326.39999999999998"/>
    <n v="14046"/>
    <n v="171.36"/>
    <n v="155.03999999999996"/>
    <n v="2.72"/>
    <n v="51260"/>
    <n v="2.72"/>
    <s v="P"/>
    <m/>
    <n v="2639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9649"/>
    <n v="188921"/>
    <s v="Addl Sales Tax on Retriever Truck Radio"/>
    <m/>
    <m/>
    <m/>
    <s v="94-3283464"/>
    <n v="0"/>
    <s v="CLARK COMMUNICATIONS, INC"/>
    <m/>
    <s v="Non-Rolling Stock"/>
    <d v="2017-11-15T00:00:00"/>
    <d v="2017-11-15T00:00:00"/>
    <s v="2120-17-0006-1"/>
    <n v="1000"/>
    <n v="14040"/>
    <n v="12.89"/>
    <n v="14046"/>
    <n v="6.78"/>
    <n v="6.11"/>
    <n v="0.11"/>
    <n v="51260"/>
    <n v="0.11"/>
    <s v="P"/>
    <m/>
    <n v="4217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9228"/>
    <n v="188921"/>
    <s v="Licensing for New Retriever Truck #17"/>
    <m/>
    <m/>
    <m/>
    <s v="94-3283464"/>
    <n v="0"/>
    <s v="WA Dept of Licensing"/>
    <m/>
    <s v="Non-Rolling Stock"/>
    <d v="2017-11-15T00:00:00"/>
    <d v="2017-11-15T00:00:00"/>
    <s v="2120-17-0006-1"/>
    <n v="1000"/>
    <n v="14040"/>
    <n v="383.91"/>
    <n v="14046"/>
    <n v="201.55"/>
    <n v="182.36"/>
    <n v="3.2"/>
    <n v="51260"/>
    <n v="3.2"/>
    <s v="P"/>
    <m/>
    <n v="7293646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8921"/>
    <s v="P"/>
    <s v="2018 Peterbilt 220 10cy Retriever"/>
    <m/>
    <m/>
    <s v="3BPPHM6XXJF591590"/>
    <s v="C18588K"/>
    <n v="2018"/>
    <s v="Peterbilt"/>
    <s v="Heil"/>
    <s v="Retriever Truck"/>
    <d v="2017-11-15T00:00:00"/>
    <d v="2017-11-15T00:00:00"/>
    <s v="2120-17-0006-1"/>
    <n v="1000"/>
    <n v="14040"/>
    <n v="166605.79999999999"/>
    <n v="14046"/>
    <n v="87468.04"/>
    <n v="79137.759999999995"/>
    <n v="1388.38"/>
    <n v="51260"/>
    <n v="1388.38"/>
    <s v="P"/>
    <m/>
    <s v="P591590"/>
    <n v="17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5018"/>
    <n v="184583"/>
    <s v="Install of Security Cameras"/>
    <m/>
    <m/>
    <m/>
    <m/>
    <n v="0"/>
    <s v="STEVEN B BRETVELD"/>
    <m/>
    <m/>
    <d v="2017-07-31T00:00:00"/>
    <d v="2017-07-31T00:00:00"/>
    <s v="2120-17-0010-1"/>
    <n v="500"/>
    <n v="14070"/>
    <n v="344.96"/>
    <n v="14076"/>
    <n v="344.96"/>
    <n v="0"/>
    <n v="0"/>
    <n v="51260"/>
    <n v="0"/>
    <s v="P"/>
    <m/>
    <n v="20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4583"/>
    <s v="P"/>
    <s v="Perimeter Security Cameras"/>
    <m/>
    <m/>
    <m/>
    <m/>
    <n v="0"/>
    <s v="B&amp;H Photo"/>
    <m/>
    <m/>
    <d v="2017-07-31T00:00:00"/>
    <d v="2017-07-31T00:00:00"/>
    <s v="2120-17-0010-1"/>
    <n v="300"/>
    <n v="14110"/>
    <n v="1046.58"/>
    <n v="14116"/>
    <n v="1046.58"/>
    <n v="0"/>
    <n v="0"/>
    <n v="70260"/>
    <n v="0"/>
    <s v="P"/>
    <m/>
    <n v="67843717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5930"/>
    <s v="P"/>
    <s v="96 Gal Resi MSW Carts"/>
    <n v="100"/>
    <m/>
    <m/>
    <s v="94-3283464"/>
    <n v="0"/>
    <s v="TOTER LLC"/>
    <m/>
    <m/>
    <d v="2017-07-29T00:00:00"/>
    <d v="2017-07-29T00:00:00"/>
    <s v="2120-17-0011-1"/>
    <n v="700"/>
    <n v="14050"/>
    <n v="6159.59"/>
    <n v="14056"/>
    <n v="4839.67"/>
    <n v="1319.92"/>
    <n v="73.33"/>
    <n v="54260"/>
    <n v="73.33"/>
    <s v="P"/>
    <m/>
    <n v="6548200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84173"/>
    <s v="P"/>
    <s v="40 Yd Lidded RO Box"/>
    <n v="2"/>
    <m/>
    <m/>
    <m/>
    <n v="0"/>
    <s v="WESTERN SYSTEMS AND FABRI"/>
    <m/>
    <s v="40 YD RO Box"/>
    <d v="2017-07-11T00:00:00"/>
    <d v="2017-07-11T00:00:00"/>
    <s v="2120-17-0009-1"/>
    <n v="1200"/>
    <n v="14050"/>
    <n v="23286"/>
    <n v="14056"/>
    <n v="10834.46"/>
    <n v="12451.54"/>
    <n v="161.71"/>
    <n v="54260"/>
    <n v="161.71"/>
    <s v="P"/>
    <m/>
    <n v="1974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79935"/>
    <s v="P"/>
    <s v="64 Gal Resi MSW Carts"/>
    <n v="100"/>
    <m/>
    <m/>
    <m/>
    <n v="0"/>
    <s v="TOTER LLC"/>
    <m/>
    <m/>
    <d v="2017-04-04T00:00:00"/>
    <d v="2017-04-04T00:00:00"/>
    <s v="2120-17-0007-1"/>
    <n v="700"/>
    <n v="14050"/>
    <n v="5398.28"/>
    <n v="14056"/>
    <n v="4498.5600000000004"/>
    <n v="899.71999999999935"/>
    <n v="64.27"/>
    <n v="54260"/>
    <n v="64.27"/>
    <s v="P"/>
    <m/>
    <n v="6545198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79934"/>
    <s v="P"/>
    <s v="96 Gal Resi MSW Carts"/>
    <n v="100"/>
    <m/>
    <m/>
    <m/>
    <n v="0"/>
    <s v="TOTER LLC"/>
    <m/>
    <m/>
    <d v="2017-04-04T00:00:00"/>
    <d v="2017-04-04T00:00:00"/>
    <s v="2120-17-0007-2"/>
    <n v="700"/>
    <n v="14050"/>
    <n v="5748.27"/>
    <n v="14056"/>
    <n v="4790.17"/>
    <n v="958.10000000000036"/>
    <n v="68.430000000000007"/>
    <n v="54260"/>
    <n v="68.430000000000007"/>
    <s v="P"/>
    <m/>
    <n v="6545198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76458"/>
    <s v="P"/>
    <s v="Grandstream GSP2135 Phone"/>
    <m/>
    <m/>
    <m/>
    <m/>
    <n v="0"/>
    <m/>
    <m/>
    <m/>
    <d v="2017-02-28T00:00:00"/>
    <d v="2017-02-28T00:00:00"/>
    <s v="2120-16-0015-1"/>
    <n v="500"/>
    <n v="14100"/>
    <n v="937.45"/>
    <n v="14106"/>
    <n v="937.45"/>
    <n v="0"/>
    <n v="0"/>
    <n v="70260"/>
    <n v="0"/>
    <s v="P"/>
    <m/>
    <s v="FQC743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9271"/>
    <s v="P"/>
    <s v="12.75 HP Gas Air Compressor"/>
    <m/>
    <m/>
    <m/>
    <m/>
    <n v="0"/>
    <s v="Jones Truck and Implement"/>
    <m/>
    <m/>
    <d v="2016-10-24T00:00:00"/>
    <d v="2016-10-24T00:00:00"/>
    <s v="2120-16-0020-1"/>
    <n v="500"/>
    <n v="14070"/>
    <n v="2587.1999999999998"/>
    <n v="14076"/>
    <n v="2587.1999999999998"/>
    <n v="0"/>
    <n v="0"/>
    <n v="51260"/>
    <n v="0"/>
    <s v="P"/>
    <m/>
    <s v="5866-23913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8949"/>
    <s v="P"/>
    <s v="95 Gal Resi MSW Carts"/>
    <n v="100"/>
    <m/>
    <m/>
    <m/>
    <n v="0"/>
    <s v="TOTER LLC"/>
    <m/>
    <m/>
    <d v="2016-10-24T00:00:00"/>
    <d v="2016-10-24T00:00:00"/>
    <s v="2120-16-0018-3"/>
    <n v="700"/>
    <n v="14050"/>
    <n v="6085.16"/>
    <n v="14056"/>
    <n v="5433.19"/>
    <n v="651.97000000000025"/>
    <n v="72.44"/>
    <n v="54260"/>
    <n v="72.44"/>
    <s v="P"/>
    <m/>
    <n v="6543339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8948"/>
    <s v="P"/>
    <s v="64 Gal Resi Recycle Carts"/>
    <n v="100"/>
    <m/>
    <m/>
    <m/>
    <n v="0"/>
    <s v="TOTER LLC"/>
    <m/>
    <m/>
    <d v="2016-10-24T00:00:00"/>
    <d v="2016-10-24T00:00:00"/>
    <s v="2120-16-0018-2"/>
    <n v="700"/>
    <n v="14050"/>
    <n v="5818"/>
    <n v="14056"/>
    <n v="5194.62"/>
    <n v="623.38000000000011"/>
    <n v="69.260000000000005"/>
    <n v="54260"/>
    <n v="69.260000000000005"/>
    <s v="P"/>
    <m/>
    <n v="6543339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8825"/>
    <s v="P"/>
    <s v="1 Yd Metal REL Containers"/>
    <n v="25"/>
    <m/>
    <m/>
    <m/>
    <n v="0"/>
    <s v="ENTERPRISE SALES INC"/>
    <m/>
    <s v="1 YD FEL/REL/SL Metal"/>
    <d v="2016-10-06T00:00:00"/>
    <d v="2016-10-06T00:00:00"/>
    <s v="2120-16-0017-1"/>
    <n v="1200"/>
    <n v="14050"/>
    <n v="13420.74"/>
    <n v="14056"/>
    <n v="7083.2"/>
    <n v="6337.54"/>
    <n v="93.2"/>
    <n v="54260"/>
    <n v="93.2"/>
    <s v="P"/>
    <m/>
    <n v="726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8824"/>
    <s v="P"/>
    <s v="3 yd REL Metal Containers"/>
    <n v="6"/>
    <m/>
    <m/>
    <m/>
    <n v="0"/>
    <s v="ENTERPRISE SALES INC"/>
    <m/>
    <s v="3 YD FEL/REL/SL Metal"/>
    <d v="2016-10-06T00:00:00"/>
    <d v="2016-10-06T00:00:00"/>
    <s v="2120-16-0017-3"/>
    <n v="1200"/>
    <n v="14050"/>
    <n v="5116.91"/>
    <n v="14056"/>
    <n v="2700.52"/>
    <n v="2416.39"/>
    <n v="35.53"/>
    <n v="54260"/>
    <n v="35.53"/>
    <s v="P"/>
    <m/>
    <n v="726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8823"/>
    <s v="P"/>
    <s v="1.5 yd REL Metal Containers"/>
    <n v="15"/>
    <m/>
    <m/>
    <m/>
    <n v="0"/>
    <s v="ENTERPRISE SALES INC"/>
    <m/>
    <s v="1.5 YD FEL/REL/SL Metal"/>
    <d v="2016-10-06T00:00:00"/>
    <d v="2016-10-06T00:00:00"/>
    <s v="2120-16-0017-2"/>
    <n v="1200"/>
    <n v="14050"/>
    <n v="8418.82"/>
    <n v="14056"/>
    <n v="4443.2700000000004"/>
    <n v="3975.5499999999993"/>
    <n v="58.46"/>
    <n v="54260"/>
    <n v="58.46"/>
    <s v="P"/>
    <m/>
    <n v="726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7961"/>
    <s v="P"/>
    <s v="Hot Water Pressure Washer"/>
    <m/>
    <m/>
    <m/>
    <m/>
    <n v="0"/>
    <s v="The Pressure Doctor"/>
    <m/>
    <m/>
    <d v="2016-09-22T00:00:00"/>
    <d v="2016-09-22T00:00:00"/>
    <s v="2120-16-0004-1"/>
    <n v="500"/>
    <n v="14070"/>
    <n v="5329"/>
    <n v="14076"/>
    <n v="5329"/>
    <n v="0"/>
    <n v="0"/>
    <n v="51260"/>
    <n v="0"/>
    <s v="P"/>
    <m/>
    <n v="526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7672"/>
    <s v="P"/>
    <s v="40 Yd Lidded RO Boxes"/>
    <n v="2"/>
    <m/>
    <m/>
    <m/>
    <n v="0"/>
    <s v="WASTEQUIP LLC"/>
    <m/>
    <s v="40 YD RO Box"/>
    <d v="2016-09-19T00:00:00"/>
    <d v="2016-09-19T00:00:00"/>
    <s v="2120-16-0016-2"/>
    <n v="1200"/>
    <n v="14050"/>
    <n v="17274.96"/>
    <n v="14056"/>
    <n v="9117.35"/>
    <n v="8157.6099999999988"/>
    <n v="119.97"/>
    <n v="54260"/>
    <n v="119.97"/>
    <s v="P"/>
    <m/>
    <n v="3721291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7242"/>
    <s v="P"/>
    <s v="2 YD Metal REL Containers"/>
    <n v="6"/>
    <m/>
    <m/>
    <m/>
    <n v="0"/>
    <s v="WESTERN SYSTEMS AND FABRI"/>
    <m/>
    <s v="2 YD FEL/REL/SL Metal"/>
    <d v="2016-09-14T00:00:00"/>
    <d v="2016-09-14T00:00:00"/>
    <s v="2120-16-0019-1"/>
    <n v="1200"/>
    <n v="14050"/>
    <n v="3945.48"/>
    <n v="14056"/>
    <n v="2109.7399999999998"/>
    <n v="1835.7400000000002"/>
    <n v="27.4"/>
    <n v="54260"/>
    <n v="27.4"/>
    <s v="P"/>
    <m/>
    <n v="1636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7243"/>
    <s v="P"/>
    <s v="25 Yd Lidded RO Boxes"/>
    <n v="2"/>
    <m/>
    <m/>
    <m/>
    <n v="0"/>
    <s v="WASTEQUIP LLC"/>
    <m/>
    <s v="25 YD RO Box"/>
    <d v="2016-08-31T00:00:00"/>
    <d v="2016-08-31T00:00:00"/>
    <s v="2120-16-0016-1"/>
    <n v="1200"/>
    <n v="14050"/>
    <n v="16326.32"/>
    <n v="14056"/>
    <n v="8730.07"/>
    <n v="7596.25"/>
    <n v="113.38"/>
    <n v="54260"/>
    <n v="113.38"/>
    <s v="P"/>
    <m/>
    <n v="3721285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66669"/>
    <s v="P"/>
    <s v="(13) Pedestal Mounts and Sleeves for Route Tablets"/>
    <m/>
    <m/>
    <m/>
    <m/>
    <n v="0"/>
    <s v="ProClip USA, Inc."/>
    <m/>
    <m/>
    <d v="2016-06-22T00:00:00"/>
    <d v="2016-06-22T00:00:00"/>
    <s v="2120-16-0011-1"/>
    <n v="100"/>
    <n v="14110"/>
    <n v="3828.11"/>
    <n v="14116"/>
    <n v="3828.11"/>
    <n v="0"/>
    <n v="0"/>
    <n v="70260"/>
    <n v="0"/>
    <s v="P"/>
    <m/>
    <s v="SI-113937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39928"/>
    <s v="P"/>
    <s v="(13) Tablets for Routed Trucks"/>
    <m/>
    <m/>
    <m/>
    <m/>
    <n v="0"/>
    <s v="Verizon"/>
    <m/>
    <m/>
    <d v="2016-06-22T00:00:00"/>
    <d v="2016-06-22T00:00:00"/>
    <s v="2120-16-0011-1"/>
    <n v="100"/>
    <n v="14110"/>
    <n v="2532.91"/>
    <n v="14116"/>
    <n v="2532.91"/>
    <n v="0"/>
    <n v="0"/>
    <n v="70260"/>
    <n v="0"/>
    <s v="P"/>
    <m/>
    <s v="MB700000513831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33346"/>
    <n v="133345"/>
    <s v="PBX Appliance"/>
    <m/>
    <m/>
    <m/>
    <m/>
    <n v="0"/>
    <s v="Amazon.com"/>
    <m/>
    <m/>
    <d v="2016-03-23T00:00:00"/>
    <d v="2016-03-23T00:00:00"/>
    <s v="2190-16-0043-1"/>
    <n v="500"/>
    <n v="14100"/>
    <n v="583.35"/>
    <n v="14106"/>
    <n v="583.35"/>
    <n v="0"/>
    <n v="0"/>
    <n v="70260"/>
    <n v="0"/>
    <s v="P"/>
    <m/>
    <s v="104-1534689-4913826"/>
    <m/>
    <s v="Internal"/>
    <s v="A"/>
    <s v="SL"/>
    <d v="2016-05-31T00:00:00"/>
    <s v="WCNX"/>
    <n v="0"/>
    <n v="19.440000000000001"/>
    <m/>
    <x v="9"/>
    <m/>
    <m/>
    <m/>
    <m/>
    <m/>
    <m/>
    <m/>
    <m/>
    <m/>
    <m/>
    <x v="1"/>
  </r>
  <r>
    <n v="2120"/>
    <n v="133345"/>
    <s v="P"/>
    <s v="Grandstream Phone System"/>
    <m/>
    <m/>
    <m/>
    <m/>
    <n v="0"/>
    <s v="Amazon.com"/>
    <m/>
    <m/>
    <d v="2016-03-22T00:00:00"/>
    <d v="2016-03-22T00:00:00"/>
    <s v="2190-16-0043-1"/>
    <n v="500"/>
    <n v="14100"/>
    <n v="2075.02"/>
    <n v="14106"/>
    <n v="2075.02"/>
    <n v="0"/>
    <n v="0"/>
    <n v="70260"/>
    <n v="0"/>
    <s v="P"/>
    <m/>
    <s v="114-1609993-8374628"/>
    <m/>
    <s v="Internal"/>
    <s v="A"/>
    <s v="SL"/>
    <d v="2016-05-31T00:00:00"/>
    <s v="WCNX"/>
    <n v="0"/>
    <n v="69.17"/>
    <m/>
    <x v="9"/>
    <m/>
    <m/>
    <m/>
    <m/>
    <m/>
    <m/>
    <m/>
    <m/>
    <m/>
    <m/>
    <x v="1"/>
  </r>
  <r>
    <n v="2120"/>
    <n v="131033"/>
    <n v="25787"/>
    <s v="Transmission Replacement Truck 7"/>
    <m/>
    <m/>
    <m/>
    <m/>
    <n v="0"/>
    <s v="Western Peterbilt"/>
    <m/>
    <s v="Non-Rolling Stock"/>
    <d v="2016-01-21T00:00:00"/>
    <d v="2016-01-21T00:00:00"/>
    <s v="2120-16-0013-1"/>
    <n v="300"/>
    <n v="14040"/>
    <n v="5325.68"/>
    <n v="14046"/>
    <n v="5325.68"/>
    <n v="0"/>
    <n v="0"/>
    <n v="51260"/>
    <n v="0"/>
    <s v="P"/>
    <m/>
    <s v="SP27647-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31234"/>
    <n v="129371"/>
    <s v="Install of Decals on Truck 16"/>
    <m/>
    <m/>
    <m/>
    <m/>
    <n v="0"/>
    <s v="The Sign Man"/>
    <m/>
    <s v="Non-Rolling Stock"/>
    <d v="2016-01-20T00:00:00"/>
    <d v="2016-01-20T00:00:00"/>
    <s v="2120-16-0010-1"/>
    <n v="1000"/>
    <n v="14040"/>
    <n v="239.14"/>
    <n v="14046"/>
    <n v="167.37"/>
    <n v="71.769999999999982"/>
    <n v="1.99"/>
    <n v="51260"/>
    <n v="1.99"/>
    <s v="P"/>
    <m/>
    <n v="2430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30199"/>
    <n v="129371"/>
    <s v="Licensing for Truck # 16"/>
    <m/>
    <m/>
    <m/>
    <m/>
    <n v="0"/>
    <s v="WA DOL"/>
    <m/>
    <s v="Non-Rolling Stock"/>
    <d v="2016-01-20T00:00:00"/>
    <d v="2016-01-20T00:00:00"/>
    <s v="2120-16-0010-1"/>
    <n v="1000"/>
    <n v="14040"/>
    <n v="938.14"/>
    <n v="14046"/>
    <n v="656.68"/>
    <n v="281.46000000000004"/>
    <n v="7.82"/>
    <n v="51260"/>
    <n v="7.82"/>
    <s v="P"/>
    <m/>
    <s v="C23599E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30084"/>
    <n v="129371"/>
    <s v="Drivecam for Truck # 16"/>
    <m/>
    <m/>
    <m/>
    <m/>
    <n v="0"/>
    <s v="Lytx, Inc."/>
    <m/>
    <s v="Non-Rolling Stock"/>
    <d v="2016-01-20T00:00:00"/>
    <d v="2016-01-20T00:00:00"/>
    <s v="2120-16-0010-1"/>
    <n v="1000"/>
    <n v="14040"/>
    <n v="634.54999999999995"/>
    <n v="14046"/>
    <n v="444.22"/>
    <n v="190.32999999999993"/>
    <n v="5.29"/>
    <n v="51260"/>
    <n v="5.29"/>
    <s v="P"/>
    <m/>
    <n v="503414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30038"/>
    <n v="129371"/>
    <s v="Radio and install for Truck # 16"/>
    <m/>
    <m/>
    <m/>
    <m/>
    <n v="0"/>
    <s v="CLARK COMMUNICATIONS, INC"/>
    <m/>
    <s v="Non-Rolling Stock"/>
    <d v="2016-01-20T00:00:00"/>
    <d v="2016-01-20T00:00:00"/>
    <s v="2120-16-0010-1"/>
    <n v="1000"/>
    <n v="14040"/>
    <n v="1040.27"/>
    <n v="14046"/>
    <n v="728.21"/>
    <n v="312.05999999999995"/>
    <n v="8.67"/>
    <n v="51260"/>
    <n v="8.67"/>
    <s v="P"/>
    <m/>
    <n v="3846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9371"/>
    <s v="P"/>
    <s v="2016 Peterbilt 348 25cy REL"/>
    <m/>
    <m/>
    <s v="2NP3LJ0X0GM360740"/>
    <s v="C23599E"/>
    <n v="2016"/>
    <s v="Peterbilt"/>
    <s v="McNeilus"/>
    <s v="REL Truck"/>
    <d v="2016-01-20T00:00:00"/>
    <d v="2016-01-20T00:00:00"/>
    <s v="2120-16-0010-1"/>
    <n v="1000"/>
    <n v="14040"/>
    <n v="252944.72"/>
    <n v="14046"/>
    <n v="177061.29"/>
    <n v="75883.429999999993"/>
    <n v="2107.87"/>
    <n v="51260"/>
    <n v="2107.87"/>
    <s v="P"/>
    <m/>
    <s v="P360740"/>
    <n v="16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6735"/>
    <s v="P"/>
    <s v="96 Gal Resi Carts"/>
    <n v="100"/>
    <m/>
    <m/>
    <m/>
    <n v="0"/>
    <s v="TOTER INCORPORATED"/>
    <m/>
    <m/>
    <d v="2015-11-02T00:00:00"/>
    <d v="2015-11-02T00:00:00"/>
    <s v="2120-15-0009-1"/>
    <n v="700"/>
    <n v="14050"/>
    <n v="5641.04"/>
    <n v="14056"/>
    <n v="5641.04"/>
    <n v="0"/>
    <n v="0"/>
    <n v="54260"/>
    <n v="0"/>
    <s v="P"/>
    <m/>
    <n v="6538707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6734"/>
    <s v="P"/>
    <s v="64 Gal Resi Carts"/>
    <n v="100"/>
    <m/>
    <m/>
    <m/>
    <n v="0"/>
    <s v="TOTER INCORPORATED"/>
    <m/>
    <m/>
    <d v="2015-11-02T00:00:00"/>
    <d v="2015-11-02T00:00:00"/>
    <s v="2120-15-0009-1"/>
    <n v="700"/>
    <n v="14050"/>
    <n v="5371.53"/>
    <n v="14056"/>
    <n v="5371.53"/>
    <n v="0"/>
    <n v="0"/>
    <n v="54260"/>
    <n v="0"/>
    <s v="P"/>
    <m/>
    <n v="6538707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6344"/>
    <s v="P"/>
    <s v="6 Yd REL Metal Containers"/>
    <n v="10"/>
    <m/>
    <m/>
    <m/>
    <n v="0"/>
    <s v="WESTERN SYSTEMS AND FABRI"/>
    <m/>
    <s v="6 YD FEL/REL/SL Metal"/>
    <d v="2015-10-26T00:00:00"/>
    <d v="2015-10-26T00:00:00"/>
    <s v="2120-15-0007-1"/>
    <n v="1200"/>
    <n v="14050"/>
    <n v="14261.94"/>
    <n v="14056"/>
    <n v="8616.6200000000008"/>
    <n v="5645.32"/>
    <n v="99.04"/>
    <n v="54260"/>
    <n v="99.04"/>
    <s v="P"/>
    <m/>
    <n v="1300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6343"/>
    <s v="P"/>
    <s v="8 Yd REL Metal Container"/>
    <n v="1"/>
    <m/>
    <m/>
    <m/>
    <n v="0"/>
    <s v="WESTERN SYSTEMS AND FABRI"/>
    <m/>
    <s v="8 YD FEL/REL/SL Metal"/>
    <d v="2015-10-01T00:00:00"/>
    <d v="2015-10-01T00:00:00"/>
    <s v="2120-15-0007-1"/>
    <n v="1200"/>
    <n v="14050"/>
    <n v="1588.97"/>
    <n v="14056"/>
    <n v="971.08"/>
    <n v="617.89"/>
    <n v="11.04"/>
    <n v="54260"/>
    <n v="11.04"/>
    <s v="P"/>
    <m/>
    <n v="1300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6342"/>
    <s v="P"/>
    <s v="1 Yd Metal REL Containers"/>
    <n v="6"/>
    <m/>
    <m/>
    <m/>
    <n v="0"/>
    <s v="WESTERN SYSTEMS AND FABRI"/>
    <m/>
    <s v="1 YD FEL/REL/SL Metal"/>
    <d v="2015-10-01T00:00:00"/>
    <d v="2015-10-01T00:00:00"/>
    <s v="2120-15-0007-1"/>
    <n v="1200"/>
    <n v="14050"/>
    <n v="2781.24"/>
    <n v="14056"/>
    <n v="1699.64"/>
    <n v="1081.5999999999997"/>
    <n v="19.309999999999999"/>
    <n v="54260"/>
    <n v="19.309999999999999"/>
    <s v="P"/>
    <m/>
    <n v="1288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6208"/>
    <s v="P"/>
    <s v="4 yd REL Metal Containers"/>
    <n v="4"/>
    <m/>
    <m/>
    <m/>
    <n v="0"/>
    <s v="ENTERPRISE SALES INC"/>
    <m/>
    <s v="4 YD FEL/REL/SL Metal"/>
    <d v="2015-10-01T00:00:00"/>
    <d v="2015-10-01T00:00:00"/>
    <s v="2120-15-0007-1"/>
    <n v="1200"/>
    <n v="14050"/>
    <n v="3647.51"/>
    <n v="14056"/>
    <n v="2229.04"/>
    <n v="1418.4700000000003"/>
    <n v="25.33"/>
    <n v="54260"/>
    <n v="25.33"/>
    <s v="P"/>
    <m/>
    <n v="684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6207"/>
    <s v="P"/>
    <s v="3 yd REL Metal Containers"/>
    <n v="6"/>
    <m/>
    <m/>
    <m/>
    <n v="0"/>
    <s v="ENTERPRISE SALES INC"/>
    <m/>
    <s v="3 YD FEL/REL/SL Metal"/>
    <d v="2015-10-01T00:00:00"/>
    <d v="2015-10-01T00:00:00"/>
    <s v="2120-15-0007-1"/>
    <n v="1200"/>
    <n v="14050"/>
    <n v="4592.3999999999996"/>
    <n v="14056"/>
    <n v="2806.4"/>
    <n v="1785.9999999999995"/>
    <n v="31.89"/>
    <n v="54260"/>
    <n v="31.89"/>
    <s v="P"/>
    <m/>
    <n v="684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6206"/>
    <s v="P"/>
    <s v="1.5 yd REL Metal Containers"/>
    <n v="6"/>
    <m/>
    <m/>
    <m/>
    <n v="0"/>
    <s v="ENTERPRISE SALES INC"/>
    <m/>
    <s v="1.5 YD FEL/REL/SL Metal"/>
    <d v="2015-10-01T00:00:00"/>
    <d v="2015-10-01T00:00:00"/>
    <s v="2120-15-0007-1"/>
    <n v="1200"/>
    <n v="14050"/>
    <n v="3148.08"/>
    <n v="14056"/>
    <n v="1923.83"/>
    <n v="1224.25"/>
    <n v="21.86"/>
    <n v="54260"/>
    <n v="21.86"/>
    <s v="P"/>
    <m/>
    <n v="684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5750"/>
    <n v="125547"/>
    <s v="Licensing for Truck #14- Freightliner REL"/>
    <m/>
    <m/>
    <m/>
    <m/>
    <n v="0"/>
    <s v="WA DOL"/>
    <m/>
    <s v="Non-Rolling Stock"/>
    <d v="2015-09-01T00:00:00"/>
    <d v="2015-09-01T00:00:00"/>
    <s v="2120-15-0005-1"/>
    <n v="1000"/>
    <n v="14040"/>
    <n v="342.17"/>
    <n v="14046"/>
    <n v="253.8"/>
    <n v="88.37"/>
    <n v="2.85"/>
    <n v="51260"/>
    <n v="2.85"/>
    <s v="P"/>
    <m/>
    <s v="C51271D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5547"/>
    <s v="P"/>
    <s v="2016 Peterbilt 348 25cy REL"/>
    <m/>
    <m/>
    <s v="2NP3LJ0X9GM335531"/>
    <s v="55463RP"/>
    <n v="2016"/>
    <s v="Peterbilt"/>
    <s v="McNeilus"/>
    <s v="REL Truck"/>
    <d v="2015-09-01T00:00:00"/>
    <d v="2015-09-01T00:00:00"/>
    <s v="2120-15-0005-1"/>
    <n v="1000"/>
    <n v="14040"/>
    <n v="241172.15"/>
    <n v="14046"/>
    <n v="178869.38"/>
    <n v="62302.76999999999"/>
    <n v="2009.77"/>
    <n v="51260"/>
    <n v="2009.77"/>
    <s v="P"/>
    <m/>
    <s v="P335531"/>
    <n v="15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4346"/>
    <s v="P"/>
    <s v="Paving and Catch Basin Install- Stormwater Remediation"/>
    <m/>
    <m/>
    <m/>
    <m/>
    <n v="0"/>
    <s v="POE ASPHALT PAVING, INC"/>
    <m/>
    <m/>
    <d v="2015-07-16T00:00:00"/>
    <d v="2015-07-16T00:00:00"/>
    <s v="2120-15-0006-1"/>
    <n v="1000"/>
    <n v="14010"/>
    <n v="26050.41"/>
    <n v="14016"/>
    <n v="19537.8"/>
    <n v="6512.6100000000006"/>
    <n v="217.09"/>
    <n v="57260"/>
    <n v="217.09"/>
    <s v="P"/>
    <m/>
    <n v="2340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20298"/>
    <s v="P"/>
    <s v="(5) Winterms"/>
    <m/>
    <m/>
    <m/>
    <m/>
    <n v="0"/>
    <s v="CDW"/>
    <m/>
    <m/>
    <d v="2015-02-13T00:00:00"/>
    <d v="2015-02-13T00:00:00"/>
    <s v="2000-15-0007-1"/>
    <n v="300"/>
    <n v="14110"/>
    <n v="1655.52"/>
    <n v="14116"/>
    <n v="1655.52"/>
    <n v="0"/>
    <n v="0"/>
    <n v="70260"/>
    <n v="0"/>
    <s v="P"/>
    <m/>
    <s v="SL4387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8264"/>
    <s v="P"/>
    <s v="4YD REL Containers"/>
    <n v="2"/>
    <m/>
    <m/>
    <m/>
    <n v="0"/>
    <s v="ENTERPRISE SALES INC"/>
    <m/>
    <s v="4 YD FEL/REL/SL Metal"/>
    <d v="2014-12-20T00:00:00"/>
    <d v="2014-12-20T00:00:00"/>
    <s v="2120-14-0008-2"/>
    <n v="1200"/>
    <n v="14050"/>
    <n v="1892.97"/>
    <n v="14056"/>
    <n v="1275.1500000000001"/>
    <n v="617.81999999999994"/>
    <n v="13.15"/>
    <n v="54260"/>
    <n v="13.15"/>
    <s v="P"/>
    <m/>
    <n v="652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8263"/>
    <s v="P"/>
    <s v="3YD REL Containers"/>
    <n v="2"/>
    <m/>
    <m/>
    <m/>
    <n v="0"/>
    <s v="ENTERPRISE SALES INC"/>
    <m/>
    <s v="3 YD FEL/REL/SL Metal"/>
    <d v="2014-12-20T00:00:00"/>
    <d v="2014-12-20T00:00:00"/>
    <s v="2120-14-0008-2"/>
    <n v="1200"/>
    <n v="14050"/>
    <n v="1621.31"/>
    <n v="14056"/>
    <n v="1092.1400000000001"/>
    <n v="529.16999999999985"/>
    <n v="11.26"/>
    <n v="54260"/>
    <n v="11.26"/>
    <s v="P"/>
    <m/>
    <n v="652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8262"/>
    <s v="P"/>
    <s v="1.5YD REL Containers"/>
    <n v="3"/>
    <m/>
    <m/>
    <m/>
    <n v="0"/>
    <s v="ENTERPRISE SALES INC"/>
    <m/>
    <s v="1.5 YD FEL/REL/SL Metal"/>
    <d v="2014-12-20T00:00:00"/>
    <d v="2014-12-20T00:00:00"/>
    <s v="2120-14-0008-2"/>
    <n v="1200"/>
    <n v="14050"/>
    <n v="1656.89"/>
    <n v="14056"/>
    <n v="1116.1500000000001"/>
    <n v="540.74"/>
    <n v="11.51"/>
    <n v="54260"/>
    <n v="11.51"/>
    <s v="P"/>
    <m/>
    <n v="652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8261"/>
    <s v="P"/>
    <s v="1YD REL Containers"/>
    <n v="8"/>
    <m/>
    <m/>
    <m/>
    <n v="0"/>
    <s v="ENTERPRISE SALES INC"/>
    <m/>
    <s v="1 YD FEL/REL/SL Metal"/>
    <d v="2014-12-20T00:00:00"/>
    <d v="2014-12-20T00:00:00"/>
    <s v="2120-14-0008-1"/>
    <n v="1200"/>
    <n v="14050"/>
    <n v="4064.06"/>
    <n v="14056"/>
    <n v="2737.58"/>
    <n v="1326.48"/>
    <n v="28.22"/>
    <n v="54260"/>
    <n v="28.22"/>
    <s v="P"/>
    <m/>
    <n v="652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8265"/>
    <s v="P"/>
    <s v="25YD Roll Off Containers"/>
    <n v="2"/>
    <m/>
    <m/>
    <m/>
    <n v="0"/>
    <s v="WESTERN SYSTEMS AND FABRI"/>
    <m/>
    <s v="25 YD RO Box"/>
    <d v="2014-12-01T00:00:00"/>
    <d v="2014-12-01T00:00:00"/>
    <s v="2120-14-0008-2"/>
    <n v="1200"/>
    <n v="14050"/>
    <n v="16536.52"/>
    <n v="14056"/>
    <n v="11254"/>
    <n v="5282.52"/>
    <n v="114.84"/>
    <n v="54260"/>
    <n v="114.84"/>
    <s v="P"/>
    <m/>
    <n v="978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7628"/>
    <s v="P"/>
    <s v="HP Probook 640 G1"/>
    <m/>
    <m/>
    <m/>
    <m/>
    <n v="0"/>
    <s v="CDW Direct"/>
    <m/>
    <m/>
    <d v="2014-11-30T00:00:00"/>
    <d v="2014-11-30T00:00:00"/>
    <s v="2120-14-0010-1"/>
    <n v="300"/>
    <n v="14110"/>
    <n v="1076.26"/>
    <n v="14116"/>
    <n v="1076.26"/>
    <n v="0"/>
    <n v="0"/>
    <n v="70260"/>
    <n v="0"/>
    <s v="P"/>
    <m/>
    <s v="QQ5845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8506"/>
    <n v="95319"/>
    <s v="TRK# 11 - In-frame Engine Repair"/>
    <m/>
    <m/>
    <m/>
    <m/>
    <n v="0"/>
    <s v="Rush Truck Center"/>
    <m/>
    <s v="Non-Rolling Stock"/>
    <d v="2014-11-19T00:00:00"/>
    <d v="2014-11-19T00:00:00"/>
    <s v="2120-14-0011-1"/>
    <n v="300"/>
    <n v="14040"/>
    <n v="18065.71"/>
    <n v="14046"/>
    <n v="18065.71"/>
    <n v="0"/>
    <n v="0"/>
    <n v="51260"/>
    <n v="0"/>
    <s v="P"/>
    <m/>
    <s v="225-27440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7102"/>
    <s v="P"/>
    <s v="Winch Upgrade - Multiple Containers"/>
    <n v="0"/>
    <m/>
    <m/>
    <m/>
    <n v="0"/>
    <s v="WESTERN SYSTEMS AND FABRI"/>
    <m/>
    <m/>
    <d v="2014-10-31T00:00:00"/>
    <d v="2014-10-31T00:00:00"/>
    <s v="2120-14-0009-1"/>
    <n v="500"/>
    <n v="14050"/>
    <n v="3263.48"/>
    <n v="14056"/>
    <n v="3263.48"/>
    <n v="0"/>
    <n v="0"/>
    <n v="54260"/>
    <n v="0"/>
    <s v="P"/>
    <m/>
    <n v="969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5099"/>
    <s v="P"/>
    <s v="65 Gallon MSW Carts"/>
    <n v="180"/>
    <m/>
    <m/>
    <m/>
    <n v="0"/>
    <s v="REHRIG PACIFIC COMPANY"/>
    <m/>
    <m/>
    <d v="2014-07-19T00:00:00"/>
    <d v="2014-07-19T00:00:00"/>
    <s v="2120-14-0007-1"/>
    <n v="700"/>
    <n v="14050"/>
    <n v="9383.56"/>
    <n v="14056"/>
    <n v="9383.56"/>
    <n v="0"/>
    <n v="0"/>
    <n v="54260"/>
    <n v="0"/>
    <s v="P"/>
    <m/>
    <s v="LA18831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5098"/>
    <s v="P"/>
    <s v="95 Gallon MSW Carts"/>
    <n v="350"/>
    <m/>
    <m/>
    <m/>
    <n v="0"/>
    <s v="REHRIG PACIFIC COMPANY"/>
    <m/>
    <m/>
    <d v="2014-07-19T00:00:00"/>
    <d v="2014-07-19T00:00:00"/>
    <s v="2120-14-0007-1"/>
    <n v="700"/>
    <n v="14050"/>
    <n v="19892.87"/>
    <n v="14056"/>
    <n v="19892.87"/>
    <n v="0"/>
    <n v="0"/>
    <n v="54260"/>
    <n v="0"/>
    <s v="P"/>
    <m/>
    <s v="LA18831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3894"/>
    <s v="P"/>
    <s v="HP Prodesk 600 G1"/>
    <m/>
    <m/>
    <m/>
    <m/>
    <n v="0"/>
    <s v="CDW"/>
    <m/>
    <m/>
    <d v="2014-06-30T00:00:00"/>
    <d v="2014-06-30T00:00:00"/>
    <s v="2120-14-0006-1"/>
    <n v="300"/>
    <n v="14110"/>
    <n v="824.08"/>
    <n v="14116"/>
    <n v="824.08"/>
    <n v="0"/>
    <n v="0"/>
    <n v="70260"/>
    <n v="0"/>
    <s v="P"/>
    <m/>
    <s v="MM3354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07501"/>
    <s v="P"/>
    <s v="HP ProBook 6570b - 15.6&quot; - Core i5"/>
    <m/>
    <m/>
    <m/>
    <m/>
    <n v="0"/>
    <s v="CDW"/>
    <m/>
    <m/>
    <d v="2013-09-30T00:00:00"/>
    <d v="2013-09-30T00:00:00"/>
    <s v="2120-13-0008-1"/>
    <n v="300"/>
    <n v="14110"/>
    <n v="1010.1"/>
    <n v="14116"/>
    <n v="1010.1"/>
    <n v="0"/>
    <n v="0"/>
    <n v="70260"/>
    <n v="0"/>
    <s v="P"/>
    <m/>
    <s v="FW5594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07856"/>
    <s v="P"/>
    <s v="Pave new area 5,250 sq ft with 4 asphalt"/>
    <m/>
    <m/>
    <m/>
    <m/>
    <n v="0"/>
    <s v="POE ASPHALT PAVING, INC"/>
    <m/>
    <m/>
    <d v="2013-08-16T00:00:00"/>
    <d v="2013-08-16T00:00:00"/>
    <s v="2120-13-0006-1"/>
    <n v="1000"/>
    <n v="14010"/>
    <n v="32340"/>
    <n v="14016"/>
    <n v="30453.5"/>
    <n v="1886.5"/>
    <n v="269.5"/>
    <n v="57260"/>
    <n v="269.5"/>
    <s v="P"/>
    <m/>
    <n v="2330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07484"/>
    <s v="P"/>
    <s v="Paint office and shop- environmental compliance"/>
    <m/>
    <m/>
    <m/>
    <m/>
    <n v="0"/>
    <s v="Paint Crafters"/>
    <m/>
    <m/>
    <d v="2013-08-15T00:00:00"/>
    <d v="2013-08-15T00:00:00"/>
    <s v="2120-13-0005-1"/>
    <n v="1000"/>
    <n v="14080"/>
    <n v="11556.16"/>
    <n v="14086"/>
    <n v="10978.39"/>
    <n v="577.77000000000044"/>
    <n v="96.3"/>
    <n v="57260"/>
    <n v="96.3"/>
    <s v="P"/>
    <m/>
    <n v="188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05994"/>
    <s v="P"/>
    <s v="65 Gallon Green Roll carts"/>
    <n v="90"/>
    <m/>
    <m/>
    <m/>
    <n v="0"/>
    <s v="REHRIG PACIFIC COMPANY"/>
    <m/>
    <m/>
    <d v="2013-07-17T00:00:00"/>
    <d v="2013-07-17T00:00:00"/>
    <s v="2120-13-0007-1"/>
    <n v="700"/>
    <n v="14050"/>
    <n v="5310"/>
    <n v="14056"/>
    <n v="5310"/>
    <n v="0"/>
    <n v="0"/>
    <n v="54260"/>
    <n v="0"/>
    <s v="P"/>
    <m/>
    <s v="LA17941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05993"/>
    <s v="P"/>
    <s v="95 gallon Green Roll Carts"/>
    <n v="90"/>
    <m/>
    <m/>
    <m/>
    <n v="0"/>
    <s v="REHRIG PACIFIC COMPANY"/>
    <m/>
    <m/>
    <d v="2013-07-17T00:00:00"/>
    <d v="2013-07-17T00:00:00"/>
    <s v="2120-13-0007-1"/>
    <n v="700"/>
    <n v="14050"/>
    <n v="13689.69"/>
    <n v="14056"/>
    <n v="13689.69"/>
    <n v="0"/>
    <n v="0"/>
    <n v="54260"/>
    <n v="0"/>
    <s v="P"/>
    <m/>
    <s v="LA17979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02021"/>
    <n v="98562"/>
    <s v="CAT Diagnostic Software and Cables"/>
    <n v="0"/>
    <m/>
    <m/>
    <m/>
    <n v="0"/>
    <m/>
    <m/>
    <m/>
    <d v="2013-01-01T00:00:00"/>
    <d v="2013-01-01T00:00:00"/>
    <s v="2120-12-0007-1"/>
    <n v="210"/>
    <n v="14110"/>
    <n v="403.25"/>
    <n v="14116"/>
    <n v="403.25"/>
    <n v="0"/>
    <n v="0"/>
    <n v="70260"/>
    <n v="0"/>
    <s v="P"/>
    <m/>
    <s v="PC06071453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02020"/>
    <n v="99980"/>
    <s v="CAT Diagnostic Software and Cables"/>
    <n v="0"/>
    <m/>
    <m/>
    <m/>
    <n v="0"/>
    <m/>
    <m/>
    <m/>
    <d v="2013-01-01T00:00:00"/>
    <d v="2013-01-01T00:00:00"/>
    <s v="2120-12-0007-2"/>
    <n v="211"/>
    <n v="14110"/>
    <n v="412"/>
    <n v="14116"/>
    <n v="412"/>
    <n v="0"/>
    <n v="0"/>
    <n v="70260"/>
    <n v="0"/>
    <s v="P"/>
    <m/>
    <s v="PC06071453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99980"/>
    <s v="P"/>
    <s v="CAT Diagnostic software and install components"/>
    <n v="0"/>
    <m/>
    <m/>
    <m/>
    <n v="0"/>
    <s v="WESTERN STATES EQUIPMENT"/>
    <m/>
    <m/>
    <d v="2012-12-14T00:00:00"/>
    <d v="2012-12-14T00:00:00"/>
    <s v="2120-12-0007-2"/>
    <n v="300"/>
    <n v="14110"/>
    <n v="1244.81"/>
    <n v="14116"/>
    <n v="1244.81"/>
    <n v="0"/>
    <n v="0"/>
    <n v="70260"/>
    <n v="0"/>
    <s v="P"/>
    <m/>
    <s v="PC06071367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98389"/>
    <s v="P"/>
    <s v="1 yd REL Containers- White, Refuse"/>
    <n v="3"/>
    <m/>
    <m/>
    <m/>
    <n v="0"/>
    <s v="WESTERN SYSTEMS AND FABRI"/>
    <m/>
    <s v="1 YD FEL/REL/SL Metal"/>
    <d v="2012-11-14T00:00:00"/>
    <d v="2012-11-14T00:00:00"/>
    <s v="2120-12-0008-1"/>
    <n v="1200"/>
    <n v="14050"/>
    <n v="1342.11"/>
    <n v="14056"/>
    <n v="1146.3599999999999"/>
    <n v="195.75"/>
    <n v="9.32"/>
    <n v="54260"/>
    <n v="9.32"/>
    <s v="P"/>
    <m/>
    <n v="253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98388"/>
    <s v="P"/>
    <s v="2 yd REL Containers- White, Refuse"/>
    <n v="5"/>
    <m/>
    <m/>
    <m/>
    <n v="0"/>
    <s v="WESTERN SYSTEMS AND FABRI"/>
    <m/>
    <s v="2 YD FEL/REL/SL Metal"/>
    <d v="2012-11-09T00:00:00"/>
    <d v="2012-11-09T00:00:00"/>
    <s v="2120-12-0008-1"/>
    <n v="1200"/>
    <n v="14050"/>
    <n v="2484.79"/>
    <n v="14056"/>
    <n v="2122.4699999999998"/>
    <n v="362.32000000000016"/>
    <n v="17.260000000000002"/>
    <n v="54260"/>
    <n v="17.260000000000002"/>
    <s v="P"/>
    <m/>
    <n v="249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98562"/>
    <s v="P"/>
    <s v="Fleet Diagnostic Software and Laptop- Snapon Nexiq"/>
    <n v="0"/>
    <m/>
    <m/>
    <m/>
    <n v="0"/>
    <m/>
    <m/>
    <m/>
    <d v="2012-10-31T00:00:00"/>
    <d v="2012-10-31T00:00:00"/>
    <s v="2120-12-0007-1"/>
    <n v="300"/>
    <n v="14110"/>
    <n v="6021.71"/>
    <n v="14116"/>
    <n v="6021.71"/>
    <n v="0"/>
    <n v="0"/>
    <n v="70260"/>
    <n v="0"/>
    <s v="P"/>
    <m/>
    <s v="ARV/1836309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95878"/>
    <s v="P"/>
    <s v="Coat Metal Roof"/>
    <n v="0"/>
    <m/>
    <m/>
    <m/>
    <n v="0"/>
    <s v="EMPIRE ROOF COATINGS"/>
    <m/>
    <m/>
    <d v="2012-08-01T00:00:00"/>
    <d v="2012-08-01T00:00:00"/>
    <s v="2120-12-0002-1"/>
    <n v="1000"/>
    <n v="14080"/>
    <n v="31559.96"/>
    <n v="14086"/>
    <n v="31559.96"/>
    <n v="0"/>
    <n v="0"/>
    <n v="57260"/>
    <n v="0"/>
    <s v="P"/>
    <m/>
    <n v="14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95319"/>
    <s v="P"/>
    <s v="2011 International 7400 25cy REL"/>
    <n v="0"/>
    <m/>
    <s v="1HTWGAAT7BJ315303"/>
    <s v="B67005W"/>
    <n v="2011"/>
    <s v="International 7400"/>
    <s v="McNeilus"/>
    <s v="REL Truck"/>
    <d v="2012-07-31T00:00:00"/>
    <d v="2012-07-31T00:00:00"/>
    <s v="2120-12-0005-1"/>
    <n v="800"/>
    <n v="14040"/>
    <n v="160100"/>
    <n v="14046"/>
    <n v="160100"/>
    <n v="0"/>
    <n v="0"/>
    <n v="51260"/>
    <n v="0"/>
    <s v="P"/>
    <m/>
    <s v="RENT10267"/>
    <n v="11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95259"/>
    <n v="95319"/>
    <s v="Licensing for REL truck"/>
    <n v="0"/>
    <m/>
    <s v="1HTWGAAT7BJ315303"/>
    <m/>
    <n v="2011"/>
    <m/>
    <m/>
    <s v="Non-Rolling Stock"/>
    <d v="2012-07-31T00:00:00"/>
    <d v="2012-07-31T00:00:00"/>
    <s v="2120-12-0005-1"/>
    <n v="800"/>
    <n v="14040"/>
    <n v="12717"/>
    <n v="14046"/>
    <n v="12717"/>
    <n v="0"/>
    <n v="0"/>
    <n v="51260"/>
    <n v="0"/>
    <s v="P"/>
    <m/>
    <n v="334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95714"/>
    <s v="P"/>
    <s v="(1) Mobile radio and install on 2011 REL Truck"/>
    <n v="0"/>
    <m/>
    <m/>
    <m/>
    <n v="0"/>
    <s v="CLARK COMMUNICATIONS, INC"/>
    <m/>
    <m/>
    <d v="2012-07-28T00:00:00"/>
    <d v="2012-07-28T00:00:00"/>
    <s v="2120-12-0006-1"/>
    <n v="500"/>
    <n v="14070"/>
    <n v="629.54999999999995"/>
    <n v="14076"/>
    <n v="629.54999999999995"/>
    <n v="0"/>
    <n v="0"/>
    <n v="51260"/>
    <n v="0"/>
    <s v="P"/>
    <m/>
    <n v="3054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10469"/>
    <s v="P"/>
    <s v="RTA Equipment"/>
    <n v="0"/>
    <m/>
    <m/>
    <m/>
    <n v="0"/>
    <s v="CDW"/>
    <m/>
    <m/>
    <d v="2012-04-30T00:00:00"/>
    <d v="2012-04-30T00:00:00"/>
    <s v="1010-12-0021-1"/>
    <n v="300"/>
    <n v="14110"/>
    <n v="466.06"/>
    <n v="14116"/>
    <n v="466.06"/>
    <n v="0"/>
    <n v="0"/>
    <n v="70260"/>
    <n v="0"/>
    <s v="P"/>
    <m/>
    <s v="J787178"/>
    <m/>
    <s v="Internal"/>
    <s v="A"/>
    <s v="SL"/>
    <d v="2013-12-31T00:00:00"/>
    <s v="WCNX"/>
    <n v="0"/>
    <n v="258.92"/>
    <m/>
    <x v="9"/>
    <m/>
    <m/>
    <m/>
    <m/>
    <m/>
    <m/>
    <m/>
    <m/>
    <m/>
    <m/>
    <x v="1"/>
  </r>
  <r>
    <n v="2120"/>
    <n v="95045"/>
    <s v="P"/>
    <s v="RTA Equipment"/>
    <n v="0"/>
    <m/>
    <m/>
    <m/>
    <n v="0"/>
    <s v="CDW"/>
    <m/>
    <m/>
    <d v="2012-04-30T00:00:00"/>
    <d v="2012-04-30T00:00:00"/>
    <s v="1010-12-0021-1"/>
    <n v="300"/>
    <n v="14110"/>
    <n v="466.06"/>
    <n v="14116"/>
    <n v="466.06"/>
    <n v="0"/>
    <n v="0"/>
    <n v="70260"/>
    <n v="0"/>
    <s v="P"/>
    <m/>
    <s v="J787178"/>
    <m/>
    <s v="Internal"/>
    <s v="A"/>
    <s v="SL"/>
    <d v="2012-06-30T00:00:00"/>
    <s v="WCNX"/>
    <n v="0"/>
    <n v="25.89"/>
    <m/>
    <x v="9"/>
    <m/>
    <m/>
    <m/>
    <m/>
    <m/>
    <m/>
    <m/>
    <m/>
    <m/>
    <m/>
    <x v="1"/>
  </r>
  <r>
    <n v="2120"/>
    <n v="89096"/>
    <s v="P"/>
    <s v="(1) Sony Internet TV S/N# S0180642006"/>
    <n v="0"/>
    <m/>
    <m/>
    <m/>
    <n v="0"/>
    <s v="CDW"/>
    <m/>
    <m/>
    <d v="2011-12-31T00:00:00"/>
    <d v="2011-12-31T00:00:00"/>
    <s v="1010-11-0048-1"/>
    <n v="500"/>
    <n v="14110"/>
    <n v="846.18"/>
    <n v="14116"/>
    <n v="846.18"/>
    <n v="0"/>
    <n v="0"/>
    <n v="70260"/>
    <n v="0"/>
    <s v="P"/>
    <m/>
    <s v="C56302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9011"/>
    <s v="P"/>
    <s v="New High Efficiency shop and office lighting"/>
    <n v="0"/>
    <m/>
    <m/>
    <m/>
    <n v="0"/>
    <m/>
    <m/>
    <m/>
    <d v="2011-12-15T00:00:00"/>
    <d v="2011-12-15T00:00:00"/>
    <s v="2120-11-0014-1"/>
    <n v="1000"/>
    <n v="14080"/>
    <n v="11393"/>
    <n v="14086"/>
    <n v="11393"/>
    <n v="0"/>
    <n v="0"/>
    <n v="57260"/>
    <n v="0"/>
    <s v="P"/>
    <m/>
    <n v="3506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3601"/>
    <s v="P"/>
    <s v="3 YD Container"/>
    <n v="4"/>
    <m/>
    <m/>
    <m/>
    <n v="0"/>
    <s v="Enterprise Sales, Inc."/>
    <m/>
    <s v="Grouped Containers"/>
    <d v="2011-12-07T00:00:00"/>
    <d v="2011-12-07T00:00:00"/>
    <s v="2120-11-0003-1"/>
    <n v="1200"/>
    <n v="14050"/>
    <n v="2753.82"/>
    <n v="14056"/>
    <n v="2562.5700000000002"/>
    <n v="191.25"/>
    <n v="19.12"/>
    <n v="54260"/>
    <n v="19.12"/>
    <s v="P"/>
    <m/>
    <n v="5166"/>
    <m/>
    <s v="Internal"/>
    <s v="A"/>
    <s v="SL"/>
    <d v="2021-05-31T00:00:00"/>
    <s v="WCNX"/>
    <n v="0"/>
    <n v="2180.09"/>
    <m/>
    <x v="9"/>
    <m/>
    <m/>
    <m/>
    <m/>
    <m/>
    <m/>
    <m/>
    <m/>
    <m/>
    <m/>
    <x v="1"/>
  </r>
  <r>
    <n v="2120"/>
    <n v="253600"/>
    <s v="P"/>
    <s v="1.5 YD Container"/>
    <n v="4"/>
    <m/>
    <m/>
    <m/>
    <n v="0"/>
    <s v="Enterprise Sales, Inc."/>
    <m/>
    <s v="Grouped Containers"/>
    <d v="2011-12-07T00:00:00"/>
    <d v="2011-12-07T00:00:00"/>
    <s v="2120-11-0003-1"/>
    <n v="1200"/>
    <n v="14050"/>
    <n v="2753.82"/>
    <n v="14056"/>
    <n v="2562.58"/>
    <n v="191.24000000000024"/>
    <n v="19.12"/>
    <n v="54260"/>
    <n v="19.12"/>
    <s v="P"/>
    <m/>
    <n v="5166"/>
    <m/>
    <s v="Internal"/>
    <s v="A"/>
    <s v="SL"/>
    <d v="2021-05-31T00:00:00"/>
    <s v="WCNX"/>
    <n v="0"/>
    <n v="2180.1"/>
    <m/>
    <x v="9"/>
    <m/>
    <m/>
    <m/>
    <m/>
    <m/>
    <m/>
    <m/>
    <m/>
    <m/>
    <m/>
    <x v="1"/>
  </r>
  <r>
    <n v="2120"/>
    <n v="88948"/>
    <s v="P"/>
    <s v="4 YD FEL Container"/>
    <n v="3"/>
    <m/>
    <m/>
    <m/>
    <n v="0"/>
    <s v="Enterprise Sales, Inc."/>
    <m/>
    <s v="Grouped Containers"/>
    <d v="2011-12-07T00:00:00"/>
    <d v="2011-12-07T00:00:00"/>
    <s v="2120-11-0003-1"/>
    <n v="1200"/>
    <n v="14050"/>
    <n v="2065.36"/>
    <n v="14056"/>
    <n v="1921.92"/>
    <n v="143.44000000000005"/>
    <n v="14.34"/>
    <n v="54260"/>
    <n v="14.34"/>
    <s v="P"/>
    <m/>
    <n v="5166"/>
    <m/>
    <s v="Internal"/>
    <s v="A"/>
    <s v="SL"/>
    <d v="2021-05-31T00:00:00"/>
    <s v="WCNX"/>
    <n v="2"/>
    <n v="1635.07"/>
    <m/>
    <x v="9"/>
    <m/>
    <m/>
    <m/>
    <m/>
    <m/>
    <m/>
    <m/>
    <m/>
    <m/>
    <m/>
    <x v="1"/>
  </r>
  <r>
    <n v="2120"/>
    <n v="88796"/>
    <s v="P"/>
    <s v="Gas welder for service truck"/>
    <n v="0"/>
    <m/>
    <m/>
    <m/>
    <n v="0"/>
    <s v="A-L Compressed Gases"/>
    <m/>
    <m/>
    <d v="2011-12-01T00:00:00"/>
    <d v="2011-12-01T00:00:00"/>
    <s v="2120-11-0013-1"/>
    <n v="500"/>
    <n v="14070"/>
    <n v="6996.91"/>
    <n v="14076"/>
    <n v="6996.91"/>
    <n v="0"/>
    <n v="0"/>
    <n v="51260"/>
    <n v="0"/>
    <s v="P"/>
    <m/>
    <n v="133773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8949"/>
    <n v="88787"/>
    <s v="Freight on resi carts"/>
    <n v="0"/>
    <m/>
    <m/>
    <m/>
    <n v="0"/>
    <m/>
    <m/>
    <m/>
    <d v="2011-11-14T00:00:00"/>
    <d v="2011-11-14T00:00:00"/>
    <s v="2120-11-0001-1"/>
    <n v="700"/>
    <n v="14050"/>
    <n v="2465.52"/>
    <n v="14056"/>
    <n v="2465.52"/>
    <n v="0"/>
    <n v="0"/>
    <n v="54260"/>
    <n v="0"/>
    <s v="P"/>
    <m/>
    <n v="4251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8787"/>
    <s v="P"/>
    <s v="65 gal resi carts"/>
    <n v="296"/>
    <m/>
    <m/>
    <m/>
    <n v="0"/>
    <s v="Schaefer Systems"/>
    <m/>
    <m/>
    <d v="2011-11-14T00:00:00"/>
    <d v="2011-11-14T00:00:00"/>
    <s v="2120-11-0001-1"/>
    <n v="700"/>
    <n v="14050"/>
    <n v="13493.98"/>
    <n v="14056"/>
    <n v="13493.98"/>
    <n v="0"/>
    <n v="0"/>
    <n v="54260"/>
    <n v="0"/>
    <s v="P"/>
    <m/>
    <s v="WARA13862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8786"/>
    <s v="P"/>
    <s v="95 gal resi carts"/>
    <n v="238"/>
    <m/>
    <m/>
    <m/>
    <n v="0"/>
    <s v="Schaefer Systems"/>
    <m/>
    <m/>
    <d v="2011-11-14T00:00:00"/>
    <d v="2011-11-14T00:00:00"/>
    <s v="2120-11-0001-1"/>
    <n v="700"/>
    <n v="14050"/>
    <n v="11941.29"/>
    <n v="14056"/>
    <n v="11941.29"/>
    <n v="0"/>
    <n v="0"/>
    <n v="54260"/>
    <n v="0"/>
    <s v="P"/>
    <m/>
    <s v="WARA13862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6791"/>
    <n v="86342"/>
    <s v="Body for Peterbilt SL truck"/>
    <n v="0"/>
    <m/>
    <s v="2NPYHM5X7CM154780"/>
    <m/>
    <n v="2012"/>
    <m/>
    <m/>
    <s v="S/L Truck"/>
    <d v="2011-09-08T00:00:00"/>
    <d v="2011-09-08T00:00:00"/>
    <s v="2120-11-0004-1"/>
    <n v="1000"/>
    <n v="14040"/>
    <n v="60443.839999999997"/>
    <n v="14046"/>
    <n v="60443.839999999997"/>
    <n v="0"/>
    <n v="0"/>
    <n v="51260"/>
    <n v="0"/>
    <s v="P"/>
    <m/>
    <s v="0052145-IN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6342"/>
    <s v="P"/>
    <s v="2012 Peterbilt 325 S/L"/>
    <n v="0"/>
    <m/>
    <s v="2NPYHM5X7CM154780"/>
    <s v="B77353T"/>
    <n v="2012"/>
    <s v="Peterbilt 325"/>
    <s v="Wayne"/>
    <s v="Retriever Truck"/>
    <d v="2011-09-08T00:00:00"/>
    <d v="2011-09-08T00:00:00"/>
    <s v="2120-11-0004-1"/>
    <n v="1000"/>
    <n v="14040"/>
    <n v="66816.149999999994"/>
    <n v="14046"/>
    <n v="66816.149999999994"/>
    <n v="0"/>
    <n v="0"/>
    <n v="51260"/>
    <n v="0"/>
    <s v="P"/>
    <m/>
    <s v="P154780"/>
    <n v="1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9012"/>
    <n v="86025"/>
    <s v="Additional gutters on shop/office"/>
    <n v="0"/>
    <m/>
    <m/>
    <m/>
    <n v="0"/>
    <m/>
    <m/>
    <m/>
    <d v="2011-08-17T00:00:00"/>
    <d v="2011-08-17T00:00:00"/>
    <s v="2120-11-0006-1"/>
    <n v="1000"/>
    <n v="14080"/>
    <n v="620.91999999999996"/>
    <n v="14086"/>
    <n v="620.91999999999996"/>
    <n v="0"/>
    <n v="0"/>
    <n v="57260"/>
    <n v="0"/>
    <s v="P"/>
    <m/>
    <n v="1957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6025"/>
    <s v="P"/>
    <s v="Gutters- Empire Office/Shop"/>
    <n v="0"/>
    <m/>
    <m/>
    <m/>
    <n v="0"/>
    <s v="Spokane Gutter"/>
    <m/>
    <m/>
    <d v="2011-08-17T00:00:00"/>
    <d v="2011-08-17T00:00:00"/>
    <s v="2120-11-0006-1"/>
    <n v="1000"/>
    <n v="14080"/>
    <n v="1599.75"/>
    <n v="14086"/>
    <n v="1599.75"/>
    <n v="0"/>
    <n v="0"/>
    <n v="57260"/>
    <n v="0"/>
    <s v="P"/>
    <m/>
    <n v="8171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5176"/>
    <s v="P"/>
    <s v="2001 Ford F550 Service Truck"/>
    <n v="0"/>
    <m/>
    <s v="1FDAF56F31EA03972"/>
    <s v="B10025T"/>
    <n v="2001"/>
    <s v="FORD F-550"/>
    <s v="Stahl"/>
    <s v="Service Truck"/>
    <d v="2011-07-31T00:00:00"/>
    <d v="2011-07-31T00:00:00"/>
    <s v="2120-11-0007-1"/>
    <n v="300"/>
    <n v="14040"/>
    <n v="29999.71"/>
    <n v="14046"/>
    <n v="29999.71"/>
    <n v="0"/>
    <n v="0"/>
    <n v="51260"/>
    <n v="0"/>
    <s v="P"/>
    <m/>
    <n v="718111"/>
    <n v="2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0720"/>
    <s v="P"/>
    <s v="HP ProBook 6450B (SN = CNU10937Q5)  and Docking Station (SN = CNU104ZTCD)"/>
    <n v="0"/>
    <m/>
    <m/>
    <m/>
    <n v="0"/>
    <s v="CDW"/>
    <m/>
    <m/>
    <d v="2011-03-25T00:00:00"/>
    <d v="2011-03-25T00:00:00"/>
    <s v="2120-11-0012-1"/>
    <n v="300"/>
    <n v="14110"/>
    <n v="1120.45"/>
    <n v="14116"/>
    <n v="1120.45"/>
    <n v="0"/>
    <n v="0"/>
    <n v="70260"/>
    <n v="0"/>
    <s v="P"/>
    <m/>
    <s v="WTW915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0440"/>
    <s v="P"/>
    <s v="4yd RL Containers (4 swivel wheels, 2 lid with winch loops)"/>
    <n v="2"/>
    <m/>
    <m/>
    <m/>
    <n v="0"/>
    <s v="ENTERPRISE SALES INC"/>
    <m/>
    <s v="4 YD FEL/REL/SL Metal"/>
    <d v="2011-01-01T00:00:00"/>
    <d v="2011-01-01T00:00:00"/>
    <s v="2120-11-0002-1"/>
    <n v="1110"/>
    <n v="14050"/>
    <n v="1636.4"/>
    <n v="14056"/>
    <n v="1636.4"/>
    <n v="0"/>
    <n v="0"/>
    <n v="54260"/>
    <n v="0"/>
    <s v="P"/>
    <m/>
    <n v="471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0439"/>
    <s v="P"/>
    <s v="1.5yd RL Containers, (4 swivel wheels, 2-lid with winch loops)"/>
    <n v="3"/>
    <m/>
    <m/>
    <m/>
    <n v="0"/>
    <s v="ENTERPRISE SALES INC"/>
    <m/>
    <s v="1.5 YD FEL/REL/SL Metal"/>
    <d v="2011-01-01T00:00:00"/>
    <d v="2011-01-01T00:00:00"/>
    <s v="2120-11-0002-1"/>
    <n v="1110"/>
    <n v="14050"/>
    <n v="1623.47"/>
    <n v="14056"/>
    <n v="1623.47"/>
    <n v="0"/>
    <n v="0"/>
    <n v="54260"/>
    <n v="0"/>
    <s v="P"/>
    <m/>
    <n v="471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9181"/>
    <s v="P"/>
    <s v="Marlin Board for Empire Disposal"/>
    <n v="0"/>
    <m/>
    <m/>
    <m/>
    <n v="0"/>
    <s v="THE MARLIN COMPANY"/>
    <m/>
    <m/>
    <d v="2010-12-20T00:00:00"/>
    <d v="2010-12-20T00:00:00"/>
    <s v="2120-10-0010-1"/>
    <n v="300"/>
    <n v="14110"/>
    <n v="4249.4799999999996"/>
    <n v="14116"/>
    <n v="4249.4799999999996"/>
    <n v="0"/>
    <n v="0"/>
    <n v="70260"/>
    <n v="0"/>
    <s v="P"/>
    <m/>
    <n v="10704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6799"/>
    <n v="75874"/>
    <s v="Credit to cancel Curtain for Washpad"/>
    <n v="0"/>
    <m/>
    <m/>
    <m/>
    <n v="0"/>
    <s v="Daco"/>
    <m/>
    <m/>
    <d v="2010-07-15T00:00:00"/>
    <d v="2010-07-15T00:00:00"/>
    <s v="2120-10-0005-1"/>
    <n v="1000"/>
    <n v="14080"/>
    <n v="-4363.7700000000004"/>
    <n v="14086"/>
    <n v="-4363.7700000000004"/>
    <n v="0"/>
    <n v="0"/>
    <n v="57260"/>
    <n v="0"/>
    <s v="P"/>
    <m/>
    <s v="0050622C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5874"/>
    <s v="P"/>
    <s v="Washpad for Empire Shop"/>
    <n v="0"/>
    <m/>
    <m/>
    <m/>
    <n v="0"/>
    <m/>
    <m/>
    <m/>
    <d v="2010-07-15T00:00:00"/>
    <d v="2010-07-15T00:00:00"/>
    <s v="2120-10-0005-1"/>
    <n v="1000"/>
    <n v="14080"/>
    <n v="33338.769999999997"/>
    <n v="14086"/>
    <n v="33338.769999999997"/>
    <n v="0"/>
    <n v="0"/>
    <n v="57260"/>
    <n v="0"/>
    <s v="P"/>
    <m/>
    <n v="5062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5418"/>
    <s v="P"/>
    <s v="HP Notebook 6530b (SN SCNU0191KJH) and Docking Station (SN CNU021X0VL)"/>
    <n v="0"/>
    <m/>
    <m/>
    <m/>
    <n v="0"/>
    <s v="CDW"/>
    <m/>
    <m/>
    <d v="2010-06-15T00:00:00"/>
    <d v="2010-06-15T00:00:00"/>
    <s v="2120-10-0008-1"/>
    <n v="300"/>
    <n v="14110"/>
    <n v="1043.42"/>
    <n v="14116"/>
    <n v="1043.42"/>
    <n v="0"/>
    <n v="0"/>
    <n v="70260"/>
    <n v="0"/>
    <s v="P"/>
    <m/>
    <s v="SXH973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4175"/>
    <s v="P"/>
    <s v="1.5 Yard REL Containers"/>
    <n v="3"/>
    <m/>
    <m/>
    <m/>
    <n v="0"/>
    <s v="WESTERN SYSTEMS &amp; FABRICA"/>
    <m/>
    <s v="1.5 YD FEL/REL/SL Metal"/>
    <d v="2010-05-05T00:00:00"/>
    <d v="2010-05-05T00:00:00"/>
    <s v="2120-10-0002-1"/>
    <n v="1200"/>
    <n v="14050"/>
    <n v="1293.5999999999999"/>
    <n v="14056"/>
    <n v="1293.5999999999999"/>
    <n v="0"/>
    <n v="0"/>
    <n v="54260"/>
    <n v="0"/>
    <s v="P"/>
    <m/>
    <s v="10-2558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4174"/>
    <s v="P"/>
    <s v="1 Yard REL Containers"/>
    <n v="5"/>
    <m/>
    <m/>
    <m/>
    <n v="0"/>
    <s v="WESTERN SYSTEMS &amp; FABRICA"/>
    <m/>
    <s v="1 YD FEL/REL/SL Metal"/>
    <d v="2010-05-05T00:00:00"/>
    <d v="2010-05-05T00:00:00"/>
    <s v="2120-10-0002-1"/>
    <n v="1200"/>
    <n v="14050"/>
    <n v="1994.3"/>
    <n v="14056"/>
    <n v="1994.3"/>
    <n v="0"/>
    <n v="0"/>
    <n v="54260"/>
    <n v="0"/>
    <s v="P"/>
    <m/>
    <s v="10-25581"/>
    <m/>
    <s v="Internal"/>
    <s v="A"/>
    <s v="SL"/>
    <m/>
    <s v="WCNX"/>
    <n v="2"/>
    <n v="0"/>
    <m/>
    <x v="9"/>
    <m/>
    <m/>
    <m/>
    <m/>
    <m/>
    <m/>
    <m/>
    <m/>
    <m/>
    <m/>
    <x v="1"/>
  </r>
  <r>
    <n v="2120"/>
    <n v="73782"/>
    <s v="P"/>
    <s v="Planning &amp; Permitting for Truck Washpad"/>
    <n v="0"/>
    <m/>
    <m/>
    <m/>
    <n v="0"/>
    <s v="Keltic Engineerning"/>
    <m/>
    <m/>
    <d v="2010-04-30T00:00:00"/>
    <d v="2010-04-30T00:00:00"/>
    <s v="2120-9-0017-1"/>
    <n v="1000"/>
    <n v="14080"/>
    <n v="7530"/>
    <n v="14086"/>
    <n v="7530"/>
    <n v="0"/>
    <n v="0"/>
    <n v="57260"/>
    <n v="0"/>
    <s v="P"/>
    <m/>
    <s v="09-2260K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4642"/>
    <s v="P"/>
    <s v="1 Yard FEL Containers"/>
    <n v="1"/>
    <m/>
    <m/>
    <m/>
    <n v="0"/>
    <s v="WASTEQUIP - OREGON"/>
    <m/>
    <s v="1 YD FEL/REL/SL Metal"/>
    <d v="2010-04-15T00:00:00"/>
    <d v="2010-04-15T00:00:00"/>
    <s v="2146-10-0001-1"/>
    <n v="1200"/>
    <n v="14050"/>
    <n v="468.15"/>
    <n v="14056"/>
    <n v="468.15"/>
    <n v="0"/>
    <n v="0"/>
    <n v="54260"/>
    <n v="0"/>
    <s v="P"/>
    <m/>
    <n v="37200841"/>
    <m/>
    <s v="Internal"/>
    <s v="A"/>
    <s v="SL"/>
    <d v="2021-05-31T00:00:00"/>
    <s v="WCNX"/>
    <n v="0"/>
    <n v="435.64"/>
    <m/>
    <x v="9"/>
    <m/>
    <m/>
    <m/>
    <m/>
    <m/>
    <m/>
    <m/>
    <m/>
    <m/>
    <m/>
    <x v="1"/>
  </r>
  <r>
    <n v="2120"/>
    <n v="110468"/>
    <s v="P"/>
    <s v="Drivecam Installation Equipment"/>
    <n v="0"/>
    <m/>
    <m/>
    <m/>
    <n v="0"/>
    <s v="DRIVECAM INC"/>
    <m/>
    <m/>
    <d v="2010-04-09T00:00:00"/>
    <d v="2010-04-09T00:00:00"/>
    <s v="2121-10-0005-1"/>
    <n v="500"/>
    <n v="14070"/>
    <n v="572.38"/>
    <n v="14076"/>
    <n v="572.38"/>
    <n v="0"/>
    <n v="0"/>
    <n v="51260"/>
    <n v="0"/>
    <s v="P"/>
    <m/>
    <n v="486084"/>
    <m/>
    <s v="Internal"/>
    <s v="A"/>
    <s v="SL"/>
    <d v="2013-12-31T00:00:00"/>
    <s v="WCNX"/>
    <n v="0"/>
    <n v="429.3"/>
    <m/>
    <x v="9"/>
    <m/>
    <m/>
    <m/>
    <m/>
    <m/>
    <m/>
    <m/>
    <m/>
    <m/>
    <m/>
    <x v="1"/>
  </r>
  <r>
    <n v="2120"/>
    <n v="110467"/>
    <s v="P"/>
    <s v="Drivecam Installation"/>
    <n v="0"/>
    <m/>
    <m/>
    <m/>
    <n v="0"/>
    <s v="DRIVECAM INC"/>
    <m/>
    <m/>
    <d v="2010-04-09T00:00:00"/>
    <d v="2010-04-09T00:00:00"/>
    <s v="2121-10-0005-1"/>
    <n v="500"/>
    <n v="14070"/>
    <n v="4000"/>
    <n v="14076"/>
    <n v="4000"/>
    <n v="0"/>
    <n v="0"/>
    <n v="51260"/>
    <n v="0"/>
    <s v="P"/>
    <m/>
    <n v="485788"/>
    <m/>
    <s v="Internal"/>
    <s v="A"/>
    <s v="SL"/>
    <d v="2013-12-31T00:00:00"/>
    <s v="WCNX"/>
    <n v="0"/>
    <n v="3000"/>
    <m/>
    <x v="9"/>
    <m/>
    <m/>
    <m/>
    <m/>
    <m/>
    <m/>
    <m/>
    <m/>
    <m/>
    <m/>
    <x v="1"/>
  </r>
  <r>
    <n v="2120"/>
    <n v="75368"/>
    <s v="P"/>
    <s v="(26) Drive-cams for Trucks"/>
    <n v="0"/>
    <m/>
    <m/>
    <m/>
    <n v="0"/>
    <s v="Drive cam"/>
    <m/>
    <m/>
    <d v="2010-04-01T00:00:00"/>
    <d v="2010-04-01T00:00:00"/>
    <s v="2120-10-0006-1"/>
    <n v="500"/>
    <n v="14070"/>
    <n v="14237.59"/>
    <n v="14076"/>
    <n v="14237.59"/>
    <n v="0"/>
    <n v="0"/>
    <n v="51260"/>
    <n v="0"/>
    <s v="P"/>
    <m/>
    <n v="48492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2185"/>
    <n v="71167"/>
    <s v="(2) New 2010 Cart Tippers"/>
    <n v="0"/>
    <m/>
    <s v="2NPRLN0X9AM107957"/>
    <m/>
    <n v="2010"/>
    <m/>
    <m/>
    <s v="REL Truck"/>
    <d v="2010-01-01T00:00:00"/>
    <d v="2010-01-01T00:00:00"/>
    <s v="2120-10-0007-1"/>
    <n v="911"/>
    <n v="14040"/>
    <n v="13204.61"/>
    <n v="14046"/>
    <n v="13204.61"/>
    <n v="0"/>
    <n v="0"/>
    <n v="51260"/>
    <n v="0"/>
    <s v="P"/>
    <m/>
    <n v="1215714"/>
    <n v="10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1938"/>
    <s v="P"/>
    <s v="Plasma cutter for shop"/>
    <n v="0"/>
    <m/>
    <m/>
    <m/>
    <n v="0"/>
    <s v="JONES TRUCK &amp; IMPLEMENT I"/>
    <m/>
    <m/>
    <d v="2010-01-01T00:00:00"/>
    <d v="2010-01-01T00:00:00"/>
    <s v="2120-9-0018-1"/>
    <n v="500"/>
    <n v="14070"/>
    <n v="2200"/>
    <n v="14076"/>
    <n v="2200"/>
    <n v="0"/>
    <n v="0"/>
    <n v="51260"/>
    <n v="0"/>
    <s v="P"/>
    <m/>
    <s v="5866-5113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71167"/>
    <s v="P"/>
    <s v="2010 Peterbilt 340 25cy REL"/>
    <n v="0"/>
    <m/>
    <s v="2NPRLN0X9AM107957"/>
    <s v="B39071N"/>
    <n v="2010"/>
    <s v="Peterbilt"/>
    <s v="McNeilus"/>
    <s v="REL Truck"/>
    <d v="2009-12-15T00:00:00"/>
    <d v="2009-12-15T00:00:00"/>
    <s v="2120-9-0015-1"/>
    <n v="1000"/>
    <n v="14040"/>
    <n v="185728.34"/>
    <n v="14046"/>
    <n v="185728.34"/>
    <n v="0"/>
    <n v="0"/>
    <n v="51260"/>
    <n v="0"/>
    <s v="P"/>
    <m/>
    <n v="1177322"/>
    <n v="10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2896"/>
    <n v="202893"/>
    <s v="Engine Replacement on truck #245 (Engine &amp; Labor)"/>
    <n v="0"/>
    <m/>
    <m/>
    <m/>
    <n v="0"/>
    <m/>
    <m/>
    <s v="Non-Rolling Stock"/>
    <d v="2009-09-25T00:00:00"/>
    <d v="2009-09-25T00:00:00"/>
    <s v="2010-9-0060-1"/>
    <n v="300"/>
    <n v="14040"/>
    <n v="14680.19"/>
    <n v="14046"/>
    <n v="14680.19"/>
    <n v="0"/>
    <n v="0"/>
    <n v="51260"/>
    <n v="0"/>
    <s v="P"/>
    <m/>
    <s v="WO 17222"/>
    <n v="245"/>
    <s v="Internal"/>
    <s v="A"/>
    <s v="SL"/>
    <d v="2018-08-31T00:00:00"/>
    <s v="WCNX"/>
    <n v="0"/>
    <n v="14680.19"/>
    <m/>
    <x v="9"/>
    <m/>
    <m/>
    <m/>
    <m/>
    <m/>
    <m/>
    <m/>
    <m/>
    <m/>
    <m/>
    <x v="1"/>
  </r>
  <r>
    <n v="2120"/>
    <n v="66099"/>
    <s v="P"/>
    <s v="(165) 65 Gallon and (289) 95 Gallon Resi Garbage Carts"/>
    <n v="454"/>
    <m/>
    <m/>
    <m/>
    <n v="0"/>
    <s v="WESTERN SYSTEMS &amp; FABRICA"/>
    <m/>
    <m/>
    <d v="2009-06-26T00:00:00"/>
    <d v="2009-06-26T00:00:00"/>
    <s v="2120-9-0008-1"/>
    <n v="700"/>
    <n v="14050"/>
    <n v="23223.89"/>
    <n v="14056"/>
    <n v="23223.89"/>
    <n v="0"/>
    <n v="0"/>
    <n v="54260"/>
    <n v="0"/>
    <s v="P"/>
    <m/>
    <s v="09-2341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02895"/>
    <n v="202893"/>
    <s v="Transmission replacement on front-line recycle truck #245"/>
    <n v="0"/>
    <m/>
    <m/>
    <m/>
    <n v="0"/>
    <m/>
    <m/>
    <s v="Non-Rolling Stock"/>
    <d v="2009-06-15T00:00:00"/>
    <d v="2009-06-15T00:00:00"/>
    <s v="2010-9-0041-1"/>
    <n v="300"/>
    <n v="14040"/>
    <n v="7065.91"/>
    <n v="14046"/>
    <n v="7065.91"/>
    <n v="0"/>
    <n v="0"/>
    <n v="51260"/>
    <n v="0"/>
    <s v="P"/>
    <m/>
    <s v="5193408-00"/>
    <n v="245"/>
    <s v="Internal"/>
    <s v="A"/>
    <s v="SL"/>
    <d v="2018-08-31T00:00:00"/>
    <s v="WCNX"/>
    <n v="0"/>
    <n v="7065.91"/>
    <m/>
    <x v="9"/>
    <m/>
    <m/>
    <m/>
    <m/>
    <m/>
    <m/>
    <m/>
    <m/>
    <m/>
    <m/>
    <x v="1"/>
  </r>
  <r>
    <n v="2120"/>
    <n v="63319"/>
    <s v="P"/>
    <s v="Route Manager License for Empire Disposal Site a 5 User Licenses"/>
    <n v="0"/>
    <m/>
    <m/>
    <m/>
    <n v="0"/>
    <s v="DESERT MICRO"/>
    <m/>
    <m/>
    <d v="2009-02-01T00:00:00"/>
    <d v="2009-02-01T00:00:00"/>
    <s v="2120-9-0013-1"/>
    <n v="300"/>
    <n v="14110"/>
    <n v="6775"/>
    <n v="14116"/>
    <n v="6775"/>
    <n v="0"/>
    <n v="0"/>
    <n v="70260"/>
    <n v="0"/>
    <s v="P"/>
    <m/>
    <n v="1031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63283"/>
    <s v="P"/>
    <s v="Waste Management Inc - Moscow Contract"/>
    <n v="0"/>
    <m/>
    <m/>
    <m/>
    <n v="0"/>
    <m/>
    <m/>
    <m/>
    <d v="2009-01-01T00:00:00"/>
    <d v="2009-01-01T00:00:00"/>
    <m/>
    <n v="1406"/>
    <n v="15250"/>
    <n v="100000"/>
    <n v="15256"/>
    <n v="97126.42"/>
    <n v="2873.5800000000017"/>
    <n v="574.72"/>
    <n v="70269"/>
    <n v="574.72"/>
    <s v="P"/>
    <n v="0"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80845"/>
    <s v="P"/>
    <s v="1 Yard REL Commercial Containers"/>
    <n v="12"/>
    <m/>
    <m/>
    <m/>
    <n v="0"/>
    <m/>
    <m/>
    <s v="1 YD FEL/REL/SL Metal"/>
    <d v="2008-11-03T00:00:00"/>
    <d v="2008-11-03T00:00:00"/>
    <m/>
    <n v="1200"/>
    <n v="14050"/>
    <n v="804.18"/>
    <n v="14056"/>
    <n v="804.18"/>
    <n v="0"/>
    <n v="0"/>
    <n v="54260"/>
    <n v="0"/>
    <s v="A"/>
    <s v="LeMay Enterprises"/>
    <m/>
    <m/>
    <s v="Internal"/>
    <s v="A"/>
    <s v="SL"/>
    <d v="2011-03-31T00:00:00"/>
    <s v="WCNX"/>
    <n v="0"/>
    <n v="161.94999999999999"/>
    <m/>
    <x v="9"/>
    <m/>
    <m/>
    <m/>
    <m/>
    <m/>
    <m/>
    <m/>
    <m/>
    <m/>
    <m/>
    <x v="1"/>
  </r>
  <r>
    <n v="2120"/>
    <n v="64731"/>
    <s v="P"/>
    <s v="3 Yard Commercial Containers"/>
    <n v="6"/>
    <m/>
    <m/>
    <m/>
    <n v="0"/>
    <m/>
    <m/>
    <s v="3 YD FEL/REL/SL Metal"/>
    <d v="2008-11-03T00:00:00"/>
    <d v="2008-11-03T00:00:00"/>
    <m/>
    <n v="1200"/>
    <n v="14050"/>
    <n v="1560"/>
    <n v="14056"/>
    <n v="1560"/>
    <n v="0"/>
    <n v="0"/>
    <n v="54260"/>
    <n v="0"/>
    <s v="A"/>
    <s v="LeMay Enterprises"/>
    <m/>
    <m/>
    <s v="Internal"/>
    <s v="A"/>
    <s v="SL"/>
    <d v="2009-04-30T00:00:00"/>
    <s v="WCNX"/>
    <n v="0"/>
    <n v="65"/>
    <m/>
    <x v="9"/>
    <m/>
    <m/>
    <m/>
    <m/>
    <m/>
    <m/>
    <m/>
    <m/>
    <m/>
    <m/>
    <x v="1"/>
  </r>
  <r>
    <n v="2120"/>
    <n v="64729"/>
    <s v="P"/>
    <s v="2 Yard Commercial Containers"/>
    <n v="4"/>
    <m/>
    <m/>
    <m/>
    <n v="0"/>
    <m/>
    <m/>
    <s v="2 YD FEL/REL/SL Metal"/>
    <d v="2008-11-03T00:00:00"/>
    <d v="2008-11-03T00:00:00"/>
    <m/>
    <n v="1200"/>
    <n v="14050"/>
    <n v="872.5"/>
    <n v="14056"/>
    <n v="872.5"/>
    <n v="0"/>
    <n v="0"/>
    <n v="54260"/>
    <n v="0"/>
    <s v="A"/>
    <s v="LeMay Enterprises"/>
    <m/>
    <m/>
    <s v="Internal"/>
    <s v="A"/>
    <s v="SL"/>
    <d v="2009-04-30T00:00:00"/>
    <s v="WCNX"/>
    <n v="0"/>
    <n v="36.35"/>
    <m/>
    <x v="9"/>
    <m/>
    <m/>
    <m/>
    <m/>
    <m/>
    <m/>
    <m/>
    <m/>
    <m/>
    <m/>
    <x v="1"/>
  </r>
  <r>
    <n v="2120"/>
    <n v="64728"/>
    <s v="P"/>
    <s v="1.5 Yard Commercial Containers"/>
    <n v="5"/>
    <m/>
    <m/>
    <m/>
    <n v="0"/>
    <m/>
    <m/>
    <s v="1.5 YD FEL/REL/SL Metal"/>
    <d v="2008-11-03T00:00:00"/>
    <d v="2008-11-03T00:00:00"/>
    <m/>
    <n v="1200"/>
    <n v="14050"/>
    <n v="587.5"/>
    <n v="14056"/>
    <n v="587.5"/>
    <n v="0"/>
    <n v="0"/>
    <n v="54260"/>
    <n v="0"/>
    <s v="A"/>
    <s v="LeMay Enterprises"/>
    <m/>
    <m/>
    <s v="Internal"/>
    <s v="A"/>
    <s v="SL"/>
    <d v="2009-04-30T00:00:00"/>
    <s v="WCNX"/>
    <n v="0"/>
    <n v="24.48"/>
    <m/>
    <x v="9"/>
    <m/>
    <m/>
    <m/>
    <m/>
    <m/>
    <m/>
    <m/>
    <m/>
    <m/>
    <m/>
    <x v="1"/>
  </r>
  <r>
    <n v="2120"/>
    <n v="54540"/>
    <s v="P"/>
    <s v="95 GA Carts"/>
    <n v="300"/>
    <m/>
    <n v="0"/>
    <m/>
    <n v="0"/>
    <s v="WESTERN SYSTEMS &amp; FABRICA"/>
    <m/>
    <m/>
    <d v="2007-11-19T00:00:00"/>
    <d v="2007-11-19T00:00:00"/>
    <s v="07-2120-404"/>
    <n v="700"/>
    <n v="14050"/>
    <n v="17653.66"/>
    <n v="14056"/>
    <n v="17653.66"/>
    <n v="0"/>
    <n v="0"/>
    <n v="54260"/>
    <n v="0"/>
    <s v="P"/>
    <m/>
    <s v="07-1974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4539"/>
    <s v="P"/>
    <s v="65 Gallon Carts"/>
    <n v="165"/>
    <m/>
    <n v="0"/>
    <m/>
    <n v="0"/>
    <s v="WESTERN SYSTEMS &amp; FABRICA"/>
    <m/>
    <m/>
    <d v="2007-11-19T00:00:00"/>
    <d v="2007-11-19T00:00:00"/>
    <s v="07-2120-404"/>
    <n v="700"/>
    <n v="14050"/>
    <n v="8921.85"/>
    <n v="14056"/>
    <n v="8921.85"/>
    <n v="0"/>
    <n v="0"/>
    <n v="54260"/>
    <n v="0"/>
    <s v="P"/>
    <m/>
    <s v="07-1974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1724"/>
    <s v="P"/>
    <s v="4YD REL"/>
    <n v="6"/>
    <m/>
    <n v="0"/>
    <m/>
    <n v="0"/>
    <s v="ENTERPRISE SALES, INC"/>
    <m/>
    <s v="4 YD FEL/REL/SL Metal"/>
    <d v="2007-08-15T00:00:00"/>
    <d v="2007-08-15T00:00:00"/>
    <s v="07-2120-008"/>
    <n v="1200"/>
    <n v="14050"/>
    <n v="4733.93"/>
    <n v="14056"/>
    <n v="4733.93"/>
    <n v="0"/>
    <n v="0"/>
    <n v="54260"/>
    <n v="0"/>
    <s v="P"/>
    <m/>
    <n v="348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1723"/>
    <s v="P"/>
    <s v="3YD REL"/>
    <n v="3"/>
    <m/>
    <n v="0"/>
    <m/>
    <n v="0"/>
    <s v="ENTERPRISE SALES, INC"/>
    <m/>
    <s v="3 YD FEL/REL/SL Metal"/>
    <d v="2007-08-15T00:00:00"/>
    <d v="2007-08-15T00:00:00"/>
    <s v="07-2120-008"/>
    <n v="1200"/>
    <n v="14050"/>
    <n v="1905.42"/>
    <n v="14056"/>
    <n v="1905.42"/>
    <n v="0"/>
    <n v="0"/>
    <n v="54260"/>
    <n v="0"/>
    <s v="P"/>
    <m/>
    <n v="348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3658"/>
    <s v="P"/>
    <s v="1.5YD REL"/>
    <n v="5"/>
    <m/>
    <n v="0"/>
    <m/>
    <n v="0"/>
    <s v="WESTERN SYSTEMS &amp; FABRICA"/>
    <m/>
    <s v="1.5 YD FEL/REL/SL Metal"/>
    <d v="2007-07-24T00:00:00"/>
    <d v="2007-07-24T00:00:00"/>
    <s v="07-2120-008"/>
    <n v="1200"/>
    <n v="14050"/>
    <n v="2225"/>
    <n v="14056"/>
    <n v="2225"/>
    <n v="0"/>
    <n v="0"/>
    <n v="54260"/>
    <n v="0"/>
    <s v="P"/>
    <m/>
    <s v="07-1893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3657"/>
    <s v="P"/>
    <s v="1YD REL"/>
    <n v="3"/>
    <m/>
    <n v="0"/>
    <m/>
    <n v="0"/>
    <s v="WESTERN SYSTEMS &amp; FABRICA"/>
    <m/>
    <s v="1 YD FEL/REL/SL Metal"/>
    <d v="2007-07-24T00:00:00"/>
    <d v="2007-07-24T00:00:00"/>
    <s v="07-2120-008"/>
    <n v="1200"/>
    <n v="14050"/>
    <n v="1275"/>
    <n v="14056"/>
    <n v="1275"/>
    <n v="0"/>
    <n v="0"/>
    <n v="54260"/>
    <n v="0"/>
    <s v="P"/>
    <m/>
    <s v="07-1893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2123"/>
    <s v="P"/>
    <s v="2YD REL"/>
    <n v="2"/>
    <m/>
    <n v="0"/>
    <m/>
    <n v="0"/>
    <s v="WESTERN SYSTEMS &amp; FABRICA"/>
    <m/>
    <s v="2 YD FEL/REL/SL Metal"/>
    <d v="2007-06-28T00:00:00"/>
    <d v="2007-06-28T00:00:00"/>
    <s v="07-2120-008"/>
    <n v="1200"/>
    <n v="14050"/>
    <n v="930"/>
    <n v="14056"/>
    <n v="930"/>
    <n v="0"/>
    <n v="0"/>
    <n v="54260"/>
    <n v="0"/>
    <s v="P"/>
    <m/>
    <s v="07-18753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1841"/>
    <s v="P"/>
    <s v="40YD Roll Off"/>
    <n v="1"/>
    <m/>
    <n v="0"/>
    <m/>
    <n v="2006"/>
    <s v="WESTERN SYSTEMS &amp; FABRICA"/>
    <s v="Other"/>
    <s v="40 YD RO Box"/>
    <d v="2007-06-01T00:00:00"/>
    <d v="2007-06-01T00:00:00"/>
    <s v="07-2120-005"/>
    <n v="1200"/>
    <n v="14050"/>
    <n v="7750"/>
    <n v="14056"/>
    <n v="7750"/>
    <n v="0"/>
    <n v="0"/>
    <n v="54260"/>
    <n v="0"/>
    <s v="P"/>
    <m/>
    <s v="07-1853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1840"/>
    <s v="P"/>
    <s v="25yd Container"/>
    <n v="2"/>
    <m/>
    <n v="0"/>
    <m/>
    <n v="2006"/>
    <s v="WESTERN SYSTEMS &amp; FABRICA"/>
    <s v="Other"/>
    <s v="25 YD RO Box"/>
    <d v="2007-06-01T00:00:00"/>
    <d v="2007-06-01T00:00:00"/>
    <s v="07-2120-005"/>
    <n v="1200"/>
    <n v="14050"/>
    <n v="13490"/>
    <n v="14056"/>
    <n v="13490"/>
    <n v="0"/>
    <n v="0"/>
    <n v="54260"/>
    <n v="0"/>
    <s v="P"/>
    <m/>
    <s v="07-1853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4180"/>
    <s v="P"/>
    <s v="4 Yard REL Containers"/>
    <n v="3"/>
    <m/>
    <n v="0"/>
    <m/>
    <n v="0"/>
    <s v="ENTERPRISE SALES INC"/>
    <m/>
    <s v="4 YD FEL/REL/SL Metal"/>
    <d v="2007-05-14T00:00:00"/>
    <d v="2007-05-14T00:00:00"/>
    <s v="07-2120-007"/>
    <n v="1200"/>
    <n v="14050"/>
    <n v="2458.58"/>
    <n v="14056"/>
    <n v="2458.58"/>
    <n v="0"/>
    <n v="0"/>
    <n v="54260"/>
    <n v="0"/>
    <s v="P"/>
    <m/>
    <n v="338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4179"/>
    <s v="P"/>
    <s v="3 Yard REL Containers"/>
    <n v="2"/>
    <m/>
    <n v="0"/>
    <m/>
    <n v="0"/>
    <s v="ENTERPRISE SALES INC"/>
    <m/>
    <s v="3 YD FEL/REL/SL Metal"/>
    <d v="2007-05-14T00:00:00"/>
    <d v="2007-05-14T00:00:00"/>
    <s v="07-2120-007"/>
    <n v="1200"/>
    <n v="14050"/>
    <n v="1336.78"/>
    <n v="14056"/>
    <n v="1336.78"/>
    <n v="0"/>
    <n v="0"/>
    <n v="54260"/>
    <n v="0"/>
    <s v="P"/>
    <m/>
    <n v="338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1101"/>
    <s v="P"/>
    <s v="2YD REL"/>
    <n v="2"/>
    <m/>
    <s v="7LN00226"/>
    <m/>
    <n v="1997"/>
    <s v="OTHER"/>
    <s v="Other"/>
    <s v="2 YD FEL/REL/SL Metal"/>
    <d v="2007-05-09T00:00:00"/>
    <d v="2007-05-09T00:00:00"/>
    <s v="07-2120-007"/>
    <n v="1200"/>
    <n v="14050"/>
    <n v="1012.34"/>
    <n v="14056"/>
    <n v="1012.34"/>
    <n v="0"/>
    <n v="0"/>
    <n v="54260"/>
    <n v="0"/>
    <s v="P"/>
    <m/>
    <s v="07-1837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1100"/>
    <s v="P"/>
    <s v="1.5YD REL"/>
    <n v="3"/>
    <m/>
    <n v="0"/>
    <m/>
    <n v="0"/>
    <s v="WESTERN SYSTEMS &amp; FABRICA"/>
    <m/>
    <s v="1.5 YD FEL/REL/SL Metal"/>
    <d v="2007-05-09T00:00:00"/>
    <d v="2007-05-09T00:00:00"/>
    <s v="07-2120-007"/>
    <n v="1200"/>
    <n v="14050"/>
    <n v="1449.01"/>
    <n v="14056"/>
    <n v="1449.01"/>
    <n v="0"/>
    <n v="0"/>
    <n v="54260"/>
    <n v="0"/>
    <s v="P"/>
    <m/>
    <s v="07-1837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51099"/>
    <s v="P"/>
    <s v="1YD REL"/>
    <n v="12"/>
    <m/>
    <n v="0"/>
    <m/>
    <n v="0"/>
    <s v="WESTERN SYSTEMS &amp; FABRICA"/>
    <m/>
    <s v="1 YD FEL/REL/SL Metal"/>
    <d v="2007-05-09T00:00:00"/>
    <d v="2007-05-09T00:00:00"/>
    <s v="07-2120-007"/>
    <n v="1200"/>
    <n v="14050"/>
    <n v="5537.04"/>
    <n v="14056"/>
    <n v="5537.04"/>
    <n v="0"/>
    <n v="0"/>
    <n v="54260"/>
    <n v="0"/>
    <s v="P"/>
    <m/>
    <s v="07-1837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105616"/>
    <s v="P"/>
    <s v="3-Yard REL Containers"/>
    <n v="5"/>
    <m/>
    <n v="0"/>
    <m/>
    <n v="0"/>
    <s v="WESTERN SYSTEMS &amp; FABRICA"/>
    <m/>
    <s v="3 YD FEL/REL/SL Metal"/>
    <d v="2007-01-01T00:00:00"/>
    <d v="2007-01-01T00:00:00"/>
    <s v="07-2146-402"/>
    <n v="1108"/>
    <n v="14050"/>
    <n v="3186.3"/>
    <n v="14056"/>
    <n v="3186.3"/>
    <n v="0"/>
    <n v="0"/>
    <n v="54260"/>
    <n v="0"/>
    <s v="P"/>
    <m/>
    <s v="06-16969"/>
    <m/>
    <s v="Internal"/>
    <s v="A"/>
    <s v="SL"/>
    <d v="2013-06-30T00:00:00"/>
    <s v="WCNX"/>
    <n v="0"/>
    <n v="1775.22"/>
    <m/>
    <x v="9"/>
    <m/>
    <m/>
    <m/>
    <m/>
    <m/>
    <m/>
    <m/>
    <m/>
    <m/>
    <m/>
    <x v="1"/>
  </r>
  <r>
    <n v="2120"/>
    <n v="48841"/>
    <s v="P"/>
    <s v="1.5-Yard REL Containers"/>
    <n v="2"/>
    <m/>
    <n v="0"/>
    <m/>
    <n v="0"/>
    <s v="WESTERN SYSTEMS &amp; FABRICA"/>
    <m/>
    <s v="1.5 YD FEL/REL/SL Metal"/>
    <d v="2007-01-01T00:00:00"/>
    <d v="2007-01-01T00:00:00"/>
    <s v="07-2120-402"/>
    <n v="1108"/>
    <n v="14050"/>
    <n v="900"/>
    <n v="14056"/>
    <n v="900"/>
    <n v="0"/>
    <n v="0"/>
    <n v="54260"/>
    <n v="0"/>
    <s v="P"/>
    <m/>
    <s v="06-1689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8840"/>
    <s v="P"/>
    <s v="1-Yard REL Containers"/>
    <n v="2"/>
    <m/>
    <n v="0"/>
    <m/>
    <n v="0"/>
    <s v="WESTERN SYSTEMS &amp; FABRICA"/>
    <m/>
    <s v="1 YD FEL/REL/SL Metal"/>
    <d v="2007-01-01T00:00:00"/>
    <d v="2007-01-01T00:00:00"/>
    <s v="07-2120-402"/>
    <n v="1108"/>
    <n v="14050"/>
    <n v="860"/>
    <n v="14056"/>
    <n v="860"/>
    <n v="0"/>
    <n v="0"/>
    <n v="54260"/>
    <n v="0"/>
    <s v="P"/>
    <m/>
    <s v="06-1689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8839"/>
    <s v="P"/>
    <s v="2 Yard REL Container"/>
    <n v="3"/>
    <m/>
    <n v="0"/>
    <m/>
    <n v="0"/>
    <s v="WESTERN SYSTEMS &amp; FABRICA"/>
    <m/>
    <s v="2 YD FEL/REL/SL Metal"/>
    <d v="2007-01-01T00:00:00"/>
    <d v="2007-01-01T00:00:00"/>
    <s v="07-2120-402"/>
    <n v="1110"/>
    <n v="14050"/>
    <n v="1410"/>
    <n v="14056"/>
    <n v="1410"/>
    <n v="0"/>
    <n v="0"/>
    <n v="54260"/>
    <n v="0"/>
    <s v="P"/>
    <m/>
    <s v="06-1666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8053"/>
    <s v="P"/>
    <s v="25 Yd  06 box, carry over cap from 06"/>
    <n v="1"/>
    <m/>
    <n v="0"/>
    <m/>
    <n v="2006"/>
    <s v="WESTERN SYSTEMS &amp; FABRICA"/>
    <s v="Other"/>
    <s v="25 YD RO Box"/>
    <d v="2007-01-01T00:00:00"/>
    <d v="2007-01-01T00:00:00"/>
    <s v="06-2120-003"/>
    <n v="1107"/>
    <n v="14050"/>
    <n v="6620"/>
    <n v="14056"/>
    <n v="6620"/>
    <n v="0"/>
    <n v="0"/>
    <n v="54260"/>
    <n v="0"/>
    <s v="P"/>
    <m/>
    <s v="06-1649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7979"/>
    <s v="P"/>
    <s v="4 Yard REL Containers"/>
    <n v="2"/>
    <m/>
    <n v="0"/>
    <m/>
    <n v="0"/>
    <s v="ENTERPRISE SALES INC"/>
    <m/>
    <s v="4 YD FEL/REL/SL Metal"/>
    <d v="2006-08-14T00:00:00"/>
    <d v="2006-08-14T00:00:00"/>
    <s v="06-2120-004"/>
    <n v="1200"/>
    <n v="14050"/>
    <n v="1454"/>
    <n v="14056"/>
    <n v="1454"/>
    <n v="0"/>
    <n v="0"/>
    <n v="54260"/>
    <n v="0"/>
    <s v="P"/>
    <m/>
    <n v="307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7978"/>
    <s v="P"/>
    <s v="3 Yard REL Containers"/>
    <n v="8"/>
    <m/>
    <n v="0"/>
    <m/>
    <n v="0"/>
    <s v="ENTERPRISE SALES INC"/>
    <m/>
    <s v="3 YD FEL/REL/SL Metal"/>
    <d v="2006-08-14T00:00:00"/>
    <d v="2006-08-14T00:00:00"/>
    <s v="06-2120-004"/>
    <n v="1200"/>
    <n v="14050"/>
    <n v="4912"/>
    <n v="14056"/>
    <n v="4912"/>
    <n v="0"/>
    <n v="0"/>
    <n v="54260"/>
    <n v="0"/>
    <s v="P"/>
    <m/>
    <n v="307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9448"/>
    <s v="P"/>
    <s v="1.5 Yd REL Containers"/>
    <n v="4"/>
    <m/>
    <n v="0"/>
    <m/>
    <n v="0"/>
    <s v="WESTERN SYSTEMS &amp; FABRICA"/>
    <m/>
    <s v="1.5 YD FEL/REL/SL Metal"/>
    <d v="2006-06-16T00:00:00"/>
    <d v="2006-06-16T00:00:00"/>
    <s v="06-2146-004"/>
    <n v="1200"/>
    <n v="14050"/>
    <n v="1624.66"/>
    <n v="14056"/>
    <n v="1624.66"/>
    <n v="0"/>
    <n v="0"/>
    <n v="54260"/>
    <n v="0"/>
    <s v="P"/>
    <m/>
    <s v="06-15921"/>
    <m/>
    <s v="Internal"/>
    <s v="A"/>
    <s v="SL"/>
    <d v="2019-08-31T00:00:00"/>
    <s v="WCNX"/>
    <n v="0"/>
    <n v="1624.66"/>
    <m/>
    <x v="9"/>
    <m/>
    <m/>
    <m/>
    <m/>
    <m/>
    <m/>
    <m/>
    <m/>
    <m/>
    <m/>
    <x v="1"/>
  </r>
  <r>
    <n v="2120"/>
    <n v="254643"/>
    <s v="P"/>
    <s v="1.5 Yd REL Containers"/>
    <n v="3"/>
    <m/>
    <n v="0"/>
    <m/>
    <n v="0"/>
    <s v="WESTERN SYSTEMS &amp; FABRICA"/>
    <m/>
    <s v="1.5 YD FEL/REL/SL Metal"/>
    <d v="2006-05-04T00:00:00"/>
    <d v="2006-05-04T00:00:00"/>
    <s v="06-2146-003"/>
    <n v="1200"/>
    <n v="14050"/>
    <n v="1218.49"/>
    <n v="14056"/>
    <n v="1218.49"/>
    <n v="0"/>
    <n v="0"/>
    <n v="54260"/>
    <n v="0"/>
    <s v="P"/>
    <m/>
    <s v="06-15588"/>
    <m/>
    <s v="Internal"/>
    <s v="A"/>
    <s v="SL"/>
    <d v="2021-05-31T00:00:00"/>
    <s v="WCNX"/>
    <n v="0"/>
    <n v="1218.49"/>
    <m/>
    <x v="9"/>
    <m/>
    <m/>
    <m/>
    <m/>
    <m/>
    <m/>
    <m/>
    <m/>
    <m/>
    <m/>
    <x v="1"/>
  </r>
  <r>
    <n v="2120"/>
    <n v="219446"/>
    <s v="P"/>
    <s v="4 Yd REL Containers"/>
    <n v="1"/>
    <m/>
    <n v="0"/>
    <m/>
    <n v="0"/>
    <s v="WESTERN SYSTEMS &amp; FABRICA"/>
    <m/>
    <s v="4 YD FEL/REL/SL Metal"/>
    <d v="2006-05-04T00:00:00"/>
    <d v="2006-05-04T00:00:00"/>
    <s v="06-2146-003"/>
    <n v="1200"/>
    <n v="14050"/>
    <n v="974.14"/>
    <n v="14056"/>
    <n v="974.14"/>
    <n v="0"/>
    <n v="0"/>
    <n v="54260"/>
    <n v="0"/>
    <s v="P"/>
    <m/>
    <s v="06-15588"/>
    <m/>
    <s v="Internal"/>
    <s v="A"/>
    <s v="SL"/>
    <d v="2019-08-31T00:00:00"/>
    <s v="WCNX"/>
    <n v="0"/>
    <n v="974.14"/>
    <m/>
    <x v="9"/>
    <m/>
    <m/>
    <m/>
    <m/>
    <m/>
    <m/>
    <m/>
    <m/>
    <m/>
    <m/>
    <x v="1"/>
  </r>
  <r>
    <n v="2120"/>
    <n v="42987"/>
    <s v="P"/>
    <s v="95 Gallon Carts"/>
    <n v="427"/>
    <m/>
    <n v="0"/>
    <m/>
    <n v="0"/>
    <s v="WESTERN SYSTEMS &amp; FABRICA"/>
    <m/>
    <m/>
    <d v="2006-04-21T00:00:00"/>
    <d v="2006-04-21T00:00:00"/>
    <s v="06-2120-002"/>
    <n v="700"/>
    <n v="14050"/>
    <n v="26081.66"/>
    <n v="14056"/>
    <n v="26081.66"/>
    <n v="0"/>
    <n v="0"/>
    <n v="54260"/>
    <n v="0"/>
    <s v="P"/>
    <m/>
    <s v="06-1550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3739"/>
    <s v="P"/>
    <s v="3-Yard REL Containers"/>
    <n v="2"/>
    <m/>
    <n v="0"/>
    <m/>
    <n v="0"/>
    <s v="WESTERN SYSTEMS &amp; FABRICA"/>
    <m/>
    <s v="3 YD FEL/REL/SL Metal"/>
    <d v="2006-04-05T00:00:00"/>
    <d v="2006-04-05T00:00:00"/>
    <s v="06-2120-001"/>
    <n v="1200"/>
    <n v="14050"/>
    <n v="1802.76"/>
    <n v="14056"/>
    <n v="1802.76"/>
    <n v="0"/>
    <n v="0"/>
    <n v="54260"/>
    <n v="0"/>
    <s v="P"/>
    <m/>
    <s v="06-1539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3738"/>
    <s v="P"/>
    <s v="1.5-Yard REL Containers"/>
    <n v="5"/>
    <m/>
    <n v="0"/>
    <m/>
    <n v="0"/>
    <s v="WESTERN SYSTEMS &amp; FABRICA"/>
    <m/>
    <s v="1.5 YD FEL/REL/SL Metal"/>
    <d v="2006-04-05T00:00:00"/>
    <d v="2006-04-05T00:00:00"/>
    <s v="06-2120-001"/>
    <n v="1200"/>
    <n v="14050"/>
    <n v="2253.4499999999998"/>
    <n v="14056"/>
    <n v="2253.4499999999998"/>
    <n v="0"/>
    <n v="0"/>
    <n v="54260"/>
    <n v="0"/>
    <s v="P"/>
    <m/>
    <s v="06-1539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3737"/>
    <s v="P"/>
    <s v="1-Yard REL Containers"/>
    <n v="7"/>
    <m/>
    <n v="0"/>
    <m/>
    <n v="0"/>
    <s v="WESTERN SYSTEMS &amp; FABRICA"/>
    <m/>
    <s v="1 YD FEL/REL/SL Metal"/>
    <d v="2006-04-05T00:00:00"/>
    <d v="2006-04-05T00:00:00"/>
    <s v="06-2120-001"/>
    <n v="1200"/>
    <n v="14050"/>
    <n v="2926.77"/>
    <n v="14056"/>
    <n v="2926.77"/>
    <n v="0"/>
    <n v="0"/>
    <n v="54260"/>
    <n v="0"/>
    <s v="P"/>
    <m/>
    <s v="06-15392"/>
    <m/>
    <s v="Internal"/>
    <s v="A"/>
    <s v="SL"/>
    <m/>
    <s v="WCNX"/>
    <n v="2"/>
    <n v="0"/>
    <m/>
    <x v="9"/>
    <m/>
    <m/>
    <m/>
    <m/>
    <m/>
    <m/>
    <m/>
    <m/>
    <m/>
    <m/>
    <x v="1"/>
  </r>
  <r>
    <n v="2120"/>
    <n v="42180"/>
    <s v="P"/>
    <s v="4Yd REL Containers"/>
    <n v="4"/>
    <m/>
    <n v="0"/>
    <m/>
    <n v="0"/>
    <s v="ENTERPRISE SALES INC"/>
    <m/>
    <s v="4 YD FEL/REL/SL Metal"/>
    <d v="2006-03-20T00:00:00"/>
    <d v="2006-03-20T00:00:00"/>
    <s v="06-2120-001"/>
    <n v="1200"/>
    <n v="14050"/>
    <n v="3148.85"/>
    <n v="14056"/>
    <n v="3148.85"/>
    <n v="0"/>
    <n v="0"/>
    <n v="54260"/>
    <n v="0"/>
    <s v="P"/>
    <m/>
    <n v="282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2179"/>
    <s v="P"/>
    <s v="3Yd REL Containers"/>
    <n v="4"/>
    <m/>
    <n v="0"/>
    <m/>
    <n v="0"/>
    <s v="ENTERPRISE SALES INC"/>
    <m/>
    <s v="3 YD FEL/REL/SL Metal"/>
    <d v="2006-03-20T00:00:00"/>
    <d v="2006-03-20T00:00:00"/>
    <s v="06-2120-001"/>
    <n v="1200"/>
    <n v="14050"/>
    <n v="2567.09"/>
    <n v="14056"/>
    <n v="2567.09"/>
    <n v="0"/>
    <n v="0"/>
    <n v="54260"/>
    <n v="0"/>
    <s v="P"/>
    <m/>
    <n v="282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2267"/>
    <s v="P"/>
    <s v="Controller Laptop - HP NX9600"/>
    <n v="0"/>
    <m/>
    <n v="0"/>
    <m/>
    <n v="0"/>
    <s v="CDW DIRECT, LLC"/>
    <m/>
    <m/>
    <d v="2006-03-16T00:00:00"/>
    <d v="2006-03-16T00:00:00"/>
    <s v="06-2120-401"/>
    <n v="300"/>
    <n v="14110"/>
    <n v="1327.04"/>
    <n v="14116"/>
    <n v="1327.04"/>
    <n v="0"/>
    <n v="0"/>
    <n v="70260"/>
    <n v="0"/>
    <s v="P"/>
    <m/>
    <s v="XD5089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3736"/>
    <s v="P"/>
    <s v="2-Yard REL Containers"/>
    <n v="8"/>
    <m/>
    <n v="0"/>
    <m/>
    <n v="0"/>
    <s v="WESTERN SYSTEMS &amp; FABRICA"/>
    <m/>
    <s v="2 YD FEL/REL/SL Metal"/>
    <d v="2006-03-15T00:00:00"/>
    <d v="2006-03-15T00:00:00"/>
    <s v="06-2120-001"/>
    <n v="1200"/>
    <n v="14050"/>
    <n v="3749.76"/>
    <n v="14056"/>
    <n v="3749.76"/>
    <n v="0"/>
    <n v="0"/>
    <n v="54260"/>
    <n v="0"/>
    <s v="P"/>
    <m/>
    <s v="06-1526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40931"/>
    <s v="P"/>
    <s v="95 Gal Schaefer Carts - Green w/ Black Lids, Wheels"/>
    <n v="150"/>
    <m/>
    <n v="0"/>
    <m/>
    <n v="0"/>
    <s v="WESTERN SYSTEMS &amp; FABRICA"/>
    <m/>
    <m/>
    <d v="2006-01-01T00:00:00"/>
    <d v="2006-01-01T00:00:00"/>
    <s v="06-2120-400"/>
    <n v="700"/>
    <n v="14050"/>
    <n v="10022.94"/>
    <n v="14056"/>
    <n v="10022.94"/>
    <n v="0"/>
    <n v="0"/>
    <n v="54260"/>
    <n v="0"/>
    <s v="P"/>
    <n v="0"/>
    <s v="05-1435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8676"/>
    <m/>
    <s v="(2) OTC 1591A - Air Lift Jack"/>
    <n v="0"/>
    <m/>
    <m/>
    <m/>
    <n v="0"/>
    <s v="Jones Truck &amp; Implement,"/>
    <m/>
    <m/>
    <d v="2005-11-02T00:00:00"/>
    <d v="2005-11-02T00:00:00"/>
    <s v="U052120009"/>
    <n v="500"/>
    <n v="14070"/>
    <n v="1969.08"/>
    <n v="14076"/>
    <n v="1969.08"/>
    <n v="0"/>
    <n v="0"/>
    <n v="51260"/>
    <n v="0"/>
    <s v="P"/>
    <n v="0"/>
    <s v="D16157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9063"/>
    <s v="P"/>
    <s v="3 Yd RL Container; 4 Swivel Wheels, 4 Lid"/>
    <n v="1"/>
    <m/>
    <m/>
    <m/>
    <n v="0"/>
    <s v="Enterprise Sales, Inc"/>
    <m/>
    <s v="3 YD FEL/REL/SL Metal"/>
    <d v="2005-10-04T00:00:00"/>
    <d v="2005-10-04T00:00:00"/>
    <s v="052120008B"/>
    <n v="1200"/>
    <n v="14050"/>
    <n v="691.74"/>
    <n v="14056"/>
    <n v="691.74"/>
    <n v="0"/>
    <n v="0"/>
    <n v="54260"/>
    <n v="0"/>
    <s v="P"/>
    <n v="0"/>
    <n v="264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9062"/>
    <s v="P"/>
    <s v="4 Yd RL Container; 4 Swivel Wheels, 4 Lid"/>
    <n v="2"/>
    <m/>
    <m/>
    <m/>
    <n v="0"/>
    <s v="Enterprise Sales, Inc"/>
    <m/>
    <s v="4 YD FEL/REL/SL Metal"/>
    <d v="2005-10-04T00:00:00"/>
    <d v="2005-10-04T00:00:00"/>
    <s v="052120008B"/>
    <n v="1200"/>
    <n v="14050"/>
    <n v="1696.98"/>
    <n v="14056"/>
    <n v="1696.98"/>
    <n v="0"/>
    <n v="0"/>
    <n v="54260"/>
    <n v="0"/>
    <s v="P"/>
    <n v="0"/>
    <n v="264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9061"/>
    <s v="P"/>
    <s v="2 Yd Containers, Swivel Casters - White"/>
    <n v="3"/>
    <m/>
    <m/>
    <m/>
    <n v="0"/>
    <s v="Western Systems &amp; Fabrica"/>
    <m/>
    <s v="2 YD FEL/REL/SL Metal"/>
    <d v="2005-08-30T00:00:00"/>
    <d v="2005-08-30T00:00:00"/>
    <s v="052120008A"/>
    <n v="1200"/>
    <n v="14050"/>
    <n v="1265.3800000000001"/>
    <n v="14056"/>
    <n v="1265.3800000000001"/>
    <n v="0"/>
    <n v="0"/>
    <n v="54260"/>
    <n v="0"/>
    <s v="P"/>
    <n v="0"/>
    <s v="05-1381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9059"/>
    <s v="P"/>
    <s v="1.5 Yd Containers, Swivel Casters - White"/>
    <n v="8"/>
    <m/>
    <m/>
    <m/>
    <n v="0"/>
    <s v="Western Systems &amp; Fabrica"/>
    <m/>
    <s v="1.5 YD FEL/REL/SL Metal"/>
    <d v="2005-08-30T00:00:00"/>
    <d v="2005-08-30T00:00:00"/>
    <s v="052120008A"/>
    <n v="1200"/>
    <n v="14050"/>
    <n v="3228"/>
    <n v="14056"/>
    <n v="3228"/>
    <n v="0"/>
    <n v="0"/>
    <n v="54260"/>
    <n v="0"/>
    <s v="P"/>
    <n v="0"/>
    <s v="05-1381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6403"/>
    <s v="P"/>
    <s v="3 Yd RL Highback Container-Casters, Winch Hook"/>
    <n v="3"/>
    <m/>
    <m/>
    <m/>
    <n v="0"/>
    <s v="Western Systems &amp; Fabrica"/>
    <m/>
    <s v="3 YD FEL/REL/SL Metal"/>
    <d v="2005-08-15T00:00:00"/>
    <d v="2005-08-15T00:00:00"/>
    <s v="052120008A"/>
    <n v="1200"/>
    <n v="14050"/>
    <n v="2469.42"/>
    <n v="14056"/>
    <n v="2469.42"/>
    <n v="0"/>
    <n v="0"/>
    <n v="54260"/>
    <n v="0"/>
    <s v="P"/>
    <n v="0"/>
    <s v="05-1373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5116"/>
    <s v="P"/>
    <s v="4 Yard R/L Containers, Wheels, Lid, Winch Loop"/>
    <n v="2"/>
    <m/>
    <m/>
    <m/>
    <n v="0"/>
    <s v="Enterprise Sales, Inc"/>
    <m/>
    <s v="4 YD FEL/REL/SL Metal"/>
    <d v="2005-04-25T00:00:00"/>
    <d v="2005-04-25T00:00:00"/>
    <n v="52120001"/>
    <n v="1200"/>
    <n v="14050"/>
    <n v="1484"/>
    <n v="14056"/>
    <n v="1484"/>
    <n v="0"/>
    <n v="0"/>
    <n v="54260"/>
    <n v="0"/>
    <s v="P"/>
    <n v="0"/>
    <n v="244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5115"/>
    <s v="P"/>
    <s v="3 Yard R/L Containers, Wheels, Lid, Winch Loop"/>
    <n v="3"/>
    <m/>
    <m/>
    <m/>
    <n v="0"/>
    <s v="Enterprise Sales, Inc"/>
    <m/>
    <s v="3 YD FEL/REL/SL Metal"/>
    <d v="2005-04-25T00:00:00"/>
    <d v="2005-04-25T00:00:00"/>
    <n v="52120001"/>
    <n v="1200"/>
    <n v="14050"/>
    <n v="1848"/>
    <n v="14056"/>
    <n v="1848"/>
    <n v="0"/>
    <n v="0"/>
    <n v="54260"/>
    <n v="0"/>
    <s v="P"/>
    <n v="0"/>
    <n v="244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3152"/>
    <s v="P"/>
    <s v="65 Gallon Schaefer Carts, Black Lids-Green"/>
    <n v="273"/>
    <m/>
    <m/>
    <m/>
    <n v="0"/>
    <s v="Western Systems &amp; Fabrica"/>
    <m/>
    <m/>
    <d v="2005-04-13T00:00:00"/>
    <d v="2005-04-13T00:00:00"/>
    <n v="52120002"/>
    <n v="700"/>
    <n v="14050"/>
    <n v="13476.85"/>
    <n v="14056"/>
    <n v="13476.85"/>
    <n v="0"/>
    <n v="0"/>
    <n v="54260"/>
    <n v="0"/>
    <s v="P"/>
    <n v="0"/>
    <s v="05-12952"/>
    <m/>
    <s v="Internal"/>
    <s v="A"/>
    <s v="SL"/>
    <m/>
    <s v="WCNX"/>
    <n v="2"/>
    <n v="0"/>
    <m/>
    <x v="9"/>
    <m/>
    <m/>
    <m/>
    <m/>
    <m/>
    <m/>
    <m/>
    <m/>
    <m/>
    <m/>
    <x v="1"/>
  </r>
  <r>
    <n v="2120"/>
    <n v="33151"/>
    <s v="P"/>
    <s v="95 Gallon Schaefer Carts, Black Lids-Green"/>
    <n v="200"/>
    <m/>
    <m/>
    <m/>
    <n v="0"/>
    <s v="Western Systems &amp; Fabrica"/>
    <m/>
    <m/>
    <d v="2005-04-13T00:00:00"/>
    <d v="2005-04-13T00:00:00"/>
    <n v="52120002"/>
    <n v="700"/>
    <n v="14050"/>
    <n v="10739.33"/>
    <n v="14056"/>
    <n v="10739.33"/>
    <n v="0"/>
    <n v="0"/>
    <n v="54260"/>
    <n v="0"/>
    <s v="P"/>
    <n v="0"/>
    <s v="05-1295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2740"/>
    <s v="P"/>
    <s v="2 Rearload Containers, Swivel Casters-White"/>
    <n v="2"/>
    <m/>
    <m/>
    <m/>
    <n v="0"/>
    <s v="Western Systems &amp; Fabrica"/>
    <m/>
    <s v="2 YD FEL/REL/SL Metal"/>
    <d v="2005-03-16T00:00:00"/>
    <d v="2005-03-16T00:00:00"/>
    <n v="52120001"/>
    <n v="1200"/>
    <n v="14050"/>
    <n v="820"/>
    <n v="14056"/>
    <n v="820"/>
    <n v="0"/>
    <n v="0"/>
    <n v="54260"/>
    <n v="0"/>
    <s v="P"/>
    <n v="0"/>
    <s v="05-1274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2739"/>
    <s v="P"/>
    <s v="1 1/2 Rearload Containers, Swivel Casters"/>
    <n v="6"/>
    <m/>
    <m/>
    <m/>
    <n v="0"/>
    <s v="Western Systems &amp; Fabrica"/>
    <m/>
    <s v="1.5 YD FEL/REL/SL Metal"/>
    <d v="2005-03-16T00:00:00"/>
    <d v="2005-03-16T00:00:00"/>
    <n v="52120001"/>
    <n v="1200"/>
    <n v="14050"/>
    <n v="2340"/>
    <n v="14056"/>
    <n v="2340"/>
    <n v="0"/>
    <n v="0"/>
    <n v="54260"/>
    <n v="0"/>
    <s v="P"/>
    <n v="0"/>
    <s v="05-1274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9809"/>
    <m/>
    <s v="reclass GW to site costs"/>
    <n v="0"/>
    <m/>
    <m/>
    <m/>
    <n v="0"/>
    <m/>
    <m/>
    <m/>
    <d v="2005-01-01T00:00:00"/>
    <d v="2005-01-01T00:00:00"/>
    <m/>
    <n v="0"/>
    <n v="15110"/>
    <n v="-94415.71"/>
    <n v="15120"/>
    <n v="0"/>
    <n v="-94415.71"/>
    <n v="0"/>
    <n v="0"/>
    <n v="0"/>
    <s v="A"/>
    <s v="Empire Disposal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30490"/>
    <m/>
    <s v="Sales Tax on New Laptop &amp; Printer for Empire DM"/>
    <n v="0"/>
    <m/>
    <s v="CNU415110R"/>
    <m/>
    <n v="0"/>
    <s v="State of Washington"/>
    <m/>
    <m/>
    <d v="2005-01-01T00:00:00"/>
    <d v="2005-01-01T00:00:00"/>
    <s v="U042120002"/>
    <n v="205"/>
    <n v="14110"/>
    <n v="212.27"/>
    <n v="14116"/>
    <n v="212.27"/>
    <n v="0"/>
    <n v="0"/>
    <n v="70260"/>
    <n v="0"/>
    <s v="P"/>
    <n v="0"/>
    <s v="JE# 6860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9759"/>
    <s v="P"/>
    <s v="95-B Schaefer Carts, Breen w/ Black Lids"/>
    <n v="100"/>
    <m/>
    <m/>
    <m/>
    <n v="0"/>
    <s v="Western Systems &amp; Fabrica"/>
    <m/>
    <m/>
    <d v="2004-12-07T00:00:00"/>
    <d v="2004-12-07T00:00:00"/>
    <s v="U042120005"/>
    <n v="700"/>
    <n v="14050"/>
    <n v="5707.26"/>
    <n v="14056"/>
    <n v="5707.26"/>
    <n v="0"/>
    <n v="0"/>
    <n v="54260"/>
    <n v="0"/>
    <s v="P"/>
    <n v="0"/>
    <s v="04-1221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745"/>
    <m/>
    <s v="Shop Upgrades-Install Ballasts; Repaired Switches"/>
    <n v="0"/>
    <m/>
    <m/>
    <m/>
    <n v="0"/>
    <s v="M&amp;M Harrison Electric Co."/>
    <m/>
    <m/>
    <d v="2004-08-19T00:00:00"/>
    <d v="2004-08-19T00:00:00"/>
    <s v="U042120001"/>
    <n v="300"/>
    <n v="14080"/>
    <n v="793.93"/>
    <n v="14086"/>
    <n v="793.93"/>
    <n v="0"/>
    <n v="0"/>
    <n v="57260"/>
    <n v="0"/>
    <s v="P"/>
    <n v="0"/>
    <n v="1926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264"/>
    <m/>
    <s v="Shop Upgrades-Hard wire 19 lights, istall lights"/>
    <n v="0"/>
    <m/>
    <m/>
    <m/>
    <n v="0"/>
    <s v="M&amp;M Harrison Electric Co."/>
    <m/>
    <m/>
    <d v="2004-08-19T00:00:00"/>
    <d v="2004-08-19T00:00:00"/>
    <s v="U042120001"/>
    <n v="300"/>
    <n v="14080"/>
    <n v="1707.61"/>
    <n v="14086"/>
    <n v="1707.61"/>
    <n v="0"/>
    <n v="0"/>
    <n v="57260"/>
    <n v="0"/>
    <s v="P"/>
    <n v="0"/>
    <s v="EMPIRE BID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743"/>
    <m/>
    <s v="Shop Upgrades-(3) 3 Shelf Cabinet Full; (1) 4 Shlf"/>
    <n v="0"/>
    <m/>
    <m/>
    <m/>
    <n v="0"/>
    <s v="Cintas First Aid &amp; Safety"/>
    <m/>
    <m/>
    <d v="2004-08-03T00:00:00"/>
    <d v="2004-08-03T00:00:00"/>
    <s v="U042120001"/>
    <n v="300"/>
    <n v="14080"/>
    <n v="731.25"/>
    <n v="14086"/>
    <n v="731.25"/>
    <n v="0"/>
    <n v="0"/>
    <n v="57260"/>
    <n v="0"/>
    <s v="P"/>
    <n v="0"/>
    <n v="17311031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746"/>
    <m/>
    <s v="Shop Upgrades-Hook Up Compressor; Repair Outlet"/>
    <n v="0"/>
    <m/>
    <m/>
    <m/>
    <n v="0"/>
    <s v="M&amp;M Harrison Electric Co."/>
    <m/>
    <m/>
    <d v="2004-08-02T00:00:00"/>
    <d v="2004-08-02T00:00:00"/>
    <s v="U042120001"/>
    <n v="300"/>
    <n v="14080"/>
    <n v="383.32"/>
    <n v="14086"/>
    <n v="383.32"/>
    <n v="0"/>
    <n v="0"/>
    <n v="57260"/>
    <n v="0"/>
    <s v="P"/>
    <n v="0"/>
    <n v="1946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265"/>
    <m/>
    <s v="Shop Upgrades-Install Reznor Gas Unit Heater"/>
    <n v="0"/>
    <m/>
    <m/>
    <m/>
    <n v="0"/>
    <s v="Nolan Heating &amp; Air"/>
    <m/>
    <m/>
    <d v="2004-07-30T00:00:00"/>
    <d v="2004-07-30T00:00:00"/>
    <s v="U042120001"/>
    <n v="300"/>
    <n v="14080"/>
    <n v="1917.04"/>
    <n v="14086"/>
    <n v="1917.04"/>
    <n v="0"/>
    <n v="0"/>
    <n v="57260"/>
    <n v="0"/>
    <s v="P"/>
    <n v="0"/>
    <n v="837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472"/>
    <s v="P"/>
    <s v="25 yd Container"/>
    <n v="1"/>
    <m/>
    <m/>
    <m/>
    <n v="2004"/>
    <s v="Western Systems &amp; Fabrica"/>
    <s v="Other"/>
    <s v="25 YD RO Box"/>
    <d v="2004-07-26T00:00:00"/>
    <d v="2004-07-26T00:00:00"/>
    <s v="U042120004"/>
    <n v="1200"/>
    <n v="14050"/>
    <n v="5500"/>
    <n v="14056"/>
    <n v="5500"/>
    <n v="0"/>
    <n v="0"/>
    <n v="54260"/>
    <n v="0"/>
    <s v="P"/>
    <n v="0"/>
    <s v="04-1163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471"/>
    <s v="P"/>
    <s v="4 Rearload Containers"/>
    <n v="3"/>
    <m/>
    <m/>
    <m/>
    <n v="0"/>
    <s v="Western Systems &amp; Fabrica"/>
    <m/>
    <s v="4 YD FEL/REL/SL Metal"/>
    <d v="2004-07-26T00:00:00"/>
    <d v="2004-07-26T00:00:00"/>
    <s v="U042120004"/>
    <n v="1200"/>
    <n v="14050"/>
    <n v="2745"/>
    <n v="14056"/>
    <n v="2745"/>
    <n v="0"/>
    <n v="0"/>
    <n v="54260"/>
    <n v="0"/>
    <s v="P"/>
    <n v="0"/>
    <s v="04-1163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470"/>
    <s v="P"/>
    <s v="2 Way Dome Screen Lid for R/O 25"/>
    <n v="1"/>
    <m/>
    <m/>
    <m/>
    <n v="0"/>
    <s v="Western Systems &amp; Fabrica"/>
    <m/>
    <s v="Non Audit Assets"/>
    <d v="2004-07-26T00:00:00"/>
    <d v="2004-07-26T00:00:00"/>
    <s v="U042120004"/>
    <n v="1200"/>
    <n v="14050"/>
    <n v="1055"/>
    <n v="14056"/>
    <n v="1055"/>
    <n v="0"/>
    <n v="0"/>
    <n v="54260"/>
    <n v="0"/>
    <s v="P"/>
    <n v="0"/>
    <s v="04-1163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744"/>
    <m/>
    <s v="Shop Upgrades-Stand, Support Tall; Height Extender"/>
    <n v="0"/>
    <m/>
    <m/>
    <m/>
    <n v="0"/>
    <s v="Automotive Resources, Inc"/>
    <m/>
    <m/>
    <d v="2004-07-23T00:00:00"/>
    <d v="2004-07-23T00:00:00"/>
    <s v="U042120001"/>
    <n v="300"/>
    <n v="14080"/>
    <n v="935.78"/>
    <n v="14086"/>
    <n v="935.78"/>
    <n v="0"/>
    <n v="0"/>
    <n v="57260"/>
    <n v="0"/>
    <s v="P"/>
    <n v="0"/>
    <s v="0019779-IN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813"/>
    <s v="P"/>
    <s v="1 1/2 Rearload Containers"/>
    <n v="10"/>
    <m/>
    <m/>
    <m/>
    <n v="0"/>
    <s v="Western Systems &amp; Fabrica"/>
    <m/>
    <s v="1.5 YD FEL/REL/SL Metal"/>
    <d v="2004-07-16T00:00:00"/>
    <d v="2004-07-16T00:00:00"/>
    <s v="U042120004"/>
    <n v="1200"/>
    <n v="14050"/>
    <n v="3950"/>
    <n v="14056"/>
    <n v="3950"/>
    <n v="0"/>
    <n v="0"/>
    <n v="54260"/>
    <n v="0"/>
    <s v="P"/>
    <n v="0"/>
    <s v="04-1160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310"/>
    <s v="P"/>
    <s v="40 Yd Container"/>
    <n v="1"/>
    <m/>
    <m/>
    <m/>
    <n v="2004"/>
    <s v="Western Systems &amp; Fabrica"/>
    <s v="Other"/>
    <s v="40 YD RO Box"/>
    <d v="2004-07-15T00:00:00"/>
    <d v="2004-07-15T00:00:00"/>
    <s v="U042120004"/>
    <n v="1200"/>
    <n v="14050"/>
    <n v="6750"/>
    <n v="14056"/>
    <n v="6750"/>
    <n v="0"/>
    <n v="0"/>
    <n v="54260"/>
    <n v="0"/>
    <s v="P"/>
    <n v="0"/>
    <s v="04-1159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309"/>
    <s v="P"/>
    <s v="3 Long Rearload Containers"/>
    <n v="6"/>
    <m/>
    <m/>
    <m/>
    <n v="0"/>
    <s v="Western Systems &amp; Fabrica"/>
    <m/>
    <s v="40 YD RO Box"/>
    <d v="2004-07-15T00:00:00"/>
    <d v="2004-07-15T00:00:00"/>
    <s v="U042120004"/>
    <n v="1200"/>
    <n v="14050"/>
    <n v="4590"/>
    <n v="14056"/>
    <n v="4590"/>
    <n v="0"/>
    <n v="0"/>
    <n v="54260"/>
    <n v="0"/>
    <s v="P"/>
    <n v="0"/>
    <s v="04-1159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308"/>
    <s v="P"/>
    <s v="3 Tall Rearload Containers"/>
    <n v="4"/>
    <m/>
    <m/>
    <m/>
    <n v="0"/>
    <s v="Western Systems &amp; Fabrica"/>
    <m/>
    <s v="3 YD FEL/REL/SL Metal"/>
    <d v="2004-07-15T00:00:00"/>
    <d v="2004-07-15T00:00:00"/>
    <s v="U042120004"/>
    <n v="1200"/>
    <n v="14050"/>
    <n v="3040"/>
    <n v="14056"/>
    <n v="3040"/>
    <n v="0"/>
    <n v="0"/>
    <n v="54260"/>
    <n v="0"/>
    <s v="P"/>
    <n v="0"/>
    <s v="04-11592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7473"/>
    <s v="P"/>
    <s v="95B Carts, Green Bases, Black"/>
    <n v="67"/>
    <m/>
    <m/>
    <m/>
    <n v="0"/>
    <s v="Western Systems &amp; Fabrica"/>
    <m/>
    <m/>
    <d v="2004-07-12T00:00:00"/>
    <d v="2004-07-12T00:00:00"/>
    <s v="U042120003"/>
    <n v="700"/>
    <n v="14050"/>
    <n v="3209.3"/>
    <n v="14056"/>
    <n v="3209.3"/>
    <n v="0"/>
    <n v="0"/>
    <n v="54260"/>
    <n v="0"/>
    <s v="P"/>
    <n v="0"/>
    <s v="04-11580"/>
    <m/>
    <s v="Internal"/>
    <s v="A"/>
    <s v="SL"/>
    <m/>
    <s v="WCNX"/>
    <n v="2"/>
    <n v="0"/>
    <m/>
    <x v="9"/>
    <m/>
    <m/>
    <m/>
    <m/>
    <m/>
    <m/>
    <m/>
    <m/>
    <m/>
    <m/>
    <x v="1"/>
  </r>
  <r>
    <n v="2120"/>
    <n v="26878"/>
    <s v="P"/>
    <s v="Shop Upgrades-Fire Extinguisher Signs"/>
    <n v="0"/>
    <m/>
    <s v="UO42120-001"/>
    <m/>
    <n v="2004"/>
    <s v="Oxarc, Inc."/>
    <s v="Other"/>
    <s v="Trailer"/>
    <d v="2004-07-12T00:00:00"/>
    <d v="2004-07-12T00:00:00"/>
    <s v="U042120001"/>
    <n v="300"/>
    <n v="14070"/>
    <n v="54.63"/>
    <n v="14076"/>
    <n v="54.63"/>
    <n v="0"/>
    <n v="0"/>
    <n v="51260"/>
    <n v="0"/>
    <s v="P"/>
    <n v="0"/>
    <s v="LWK489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381"/>
    <m/>
    <s v="Shop Upgrades-EA Tri-Elite Series Cabinets"/>
    <n v="0"/>
    <m/>
    <m/>
    <m/>
    <n v="0"/>
    <s v="Northern Safety Co., Inc."/>
    <m/>
    <m/>
    <d v="2004-07-07T00:00:00"/>
    <d v="2004-07-07T00:00:00"/>
    <s v="U042120001"/>
    <n v="300"/>
    <n v="14080"/>
    <n v="335.29"/>
    <n v="14086"/>
    <n v="335.29"/>
    <n v="0"/>
    <n v="0"/>
    <n v="57260"/>
    <n v="0"/>
    <s v="P"/>
    <n v="0"/>
    <s v="P093584901010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380"/>
    <m/>
    <s v="Shop Upgrades-EA Tri-Benchtop Safety Cabinet"/>
    <n v="0"/>
    <m/>
    <m/>
    <m/>
    <n v="0"/>
    <s v="Northern Safety Co., Inc."/>
    <m/>
    <m/>
    <d v="2004-06-30T00:00:00"/>
    <d v="2004-06-30T00:00:00"/>
    <s v="U042120001"/>
    <n v="300"/>
    <n v="14080"/>
    <n v="784.61"/>
    <n v="14086"/>
    <n v="784.61"/>
    <n v="0"/>
    <n v="0"/>
    <n v="57260"/>
    <n v="0"/>
    <s v="P"/>
    <n v="0"/>
    <s v="P093584901036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881"/>
    <s v="P"/>
    <s v="Shop Upgrades-Storage Cabinet 40 Gal Combust Man 2"/>
    <n v="0"/>
    <m/>
    <s v="UO42120-001"/>
    <m/>
    <n v="2004"/>
    <s v="Northern Safety Co., Inc."/>
    <s v="Other"/>
    <s v="Trailer"/>
    <d v="2004-06-29T00:00:00"/>
    <d v="2004-06-29T00:00:00"/>
    <s v="U042120001"/>
    <n v="300"/>
    <n v="14070"/>
    <n v="572.01"/>
    <n v="14076"/>
    <n v="572.01"/>
    <n v="0"/>
    <n v="0"/>
    <n v="51260"/>
    <n v="0"/>
    <s v="P"/>
    <n v="0"/>
    <s v="P093584901028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879"/>
    <s v="P"/>
    <s v="Shop Upgrades-Exit Awareness Signs, Lockout Tag"/>
    <n v="0"/>
    <m/>
    <s v="UO42120-001"/>
    <m/>
    <n v="2004"/>
    <s v="Northern Safety Co., Inc."/>
    <s v="Other"/>
    <s v="Trailer"/>
    <d v="2004-06-24T00:00:00"/>
    <d v="2004-06-24T00:00:00"/>
    <s v="U042120001"/>
    <n v="300"/>
    <n v="14070"/>
    <n v="318.3"/>
    <n v="14076"/>
    <n v="318.3"/>
    <n v="0"/>
    <n v="0"/>
    <n v="51260"/>
    <n v="0"/>
    <s v="P"/>
    <n v="0"/>
    <s v="P093584901044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880"/>
    <s v="P"/>
    <s v="Shop Upgrades-Eyesaline Flashflood Eyewash Station"/>
    <n v="0"/>
    <m/>
    <s v="UO42120-001"/>
    <m/>
    <n v="2004"/>
    <s v="Northern Safety Co., Inc."/>
    <s v="Other"/>
    <s v="Trailer"/>
    <d v="2004-06-23T00:00:00"/>
    <d v="2004-06-23T00:00:00"/>
    <s v="U042120001"/>
    <n v="300"/>
    <n v="14070"/>
    <n v="229.2"/>
    <n v="14076"/>
    <n v="229.2"/>
    <n v="0"/>
    <n v="0"/>
    <n v="51260"/>
    <n v="0"/>
    <s v="P"/>
    <n v="0"/>
    <s v="P093584901051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379"/>
    <m/>
    <s v="Shop Upgrades-EA Tri-Class Fire Extinguishers 5 lb"/>
    <n v="0"/>
    <m/>
    <m/>
    <m/>
    <n v="0"/>
    <s v="Northern Safety Co., Inc."/>
    <m/>
    <m/>
    <d v="2004-06-23T00:00:00"/>
    <d v="2004-06-23T00:00:00"/>
    <s v="U042120001"/>
    <n v="300"/>
    <n v="14080"/>
    <n v="186.43"/>
    <n v="14086"/>
    <n v="186.43"/>
    <n v="0"/>
    <n v="0"/>
    <n v="57260"/>
    <n v="0"/>
    <s v="P"/>
    <n v="0"/>
    <s v="P093584901069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378"/>
    <m/>
    <s v="Shop Upgrades-EA Right-To-Know Compliance Center"/>
    <n v="0"/>
    <m/>
    <m/>
    <m/>
    <n v="0"/>
    <s v="Northern Safety Co., Inc."/>
    <m/>
    <m/>
    <d v="2004-06-23T00:00:00"/>
    <d v="2004-06-23T00:00:00"/>
    <s v="U042120001"/>
    <n v="300"/>
    <n v="14080"/>
    <n v="59.25"/>
    <n v="14086"/>
    <n v="59.25"/>
    <n v="0"/>
    <n v="0"/>
    <n v="57260"/>
    <n v="0"/>
    <s v="P"/>
    <n v="0"/>
    <s v="P093584901085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30289"/>
    <m/>
    <s v="Laptop for New Controller"/>
    <n v="0"/>
    <m/>
    <s v="CNU415110R"/>
    <m/>
    <n v="0"/>
    <s v="Quest"/>
    <m/>
    <m/>
    <d v="2004-06-08T00:00:00"/>
    <d v="2004-06-08T00:00:00"/>
    <s v="U042120002"/>
    <n v="300"/>
    <n v="14110"/>
    <n v="2792.97"/>
    <n v="14116"/>
    <n v="2792.97"/>
    <n v="0"/>
    <n v="0"/>
    <n v="70260"/>
    <n v="0"/>
    <s v="P"/>
    <n v="0"/>
    <n v="32113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027"/>
    <m/>
    <s v="Laptop for New Controller"/>
    <n v="0"/>
    <m/>
    <s v="CNU415110R"/>
    <m/>
    <n v="0"/>
    <s v="Quest"/>
    <m/>
    <m/>
    <d v="2004-06-08T00:00:00"/>
    <d v="2004-06-08T00:00:00"/>
    <s v="U042120002"/>
    <n v="300"/>
    <n v="14110"/>
    <n v="2792.97"/>
    <n v="14116"/>
    <n v="2792.97"/>
    <n v="0"/>
    <n v="0"/>
    <n v="70260"/>
    <n v="0"/>
    <s v="P"/>
    <n v="0"/>
    <n v="321137"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19447"/>
    <s v="P"/>
    <s v="3 YD RL Dumpsters"/>
    <n v="2"/>
    <m/>
    <m/>
    <m/>
    <n v="0"/>
    <s v="City of Olympia"/>
    <m/>
    <s v="3 YD FEL/REL/SL Metal"/>
    <d v="2004-05-17T00:00:00"/>
    <d v="2004-05-17T00:00:00"/>
    <s v="U042146004"/>
    <n v="1200"/>
    <n v="14050"/>
    <n v="129.96"/>
    <n v="14056"/>
    <n v="129.96"/>
    <n v="0"/>
    <n v="0"/>
    <n v="54260"/>
    <n v="0"/>
    <s v="P"/>
    <n v="0"/>
    <s v="Bill of Sale 1"/>
    <m/>
    <s v="Internal"/>
    <s v="A"/>
    <s v="SL"/>
    <d v="2019-08-31T00:00:00"/>
    <s v="WCNX"/>
    <n v="0"/>
    <n v="129.96"/>
    <m/>
    <x v="9"/>
    <m/>
    <m/>
    <m/>
    <m/>
    <m/>
    <m/>
    <m/>
    <m/>
    <m/>
    <m/>
    <x v="1"/>
  </r>
  <r>
    <n v="2120"/>
    <n v="105643"/>
    <s v="P"/>
    <s v="4 YD RL Containers, Duraflex Lids, Green"/>
    <n v="3"/>
    <m/>
    <m/>
    <m/>
    <n v="0"/>
    <s v="Western Systems &amp; Fabrica"/>
    <m/>
    <s v="4 YD FEL/REL/SL Metal"/>
    <d v="2004-04-29T00:00:00"/>
    <d v="2004-04-29T00:00:00"/>
    <n v="42146003"/>
    <n v="1200"/>
    <n v="14050"/>
    <n v="2589"/>
    <n v="14056"/>
    <n v="2589"/>
    <n v="0"/>
    <n v="0"/>
    <n v="54260"/>
    <n v="0"/>
    <s v="P"/>
    <n v="0"/>
    <s v="04-11246"/>
    <m/>
    <s v="Internal"/>
    <s v="A"/>
    <s v="SL"/>
    <d v="2013-06-30T00:00:00"/>
    <s v="WCNX"/>
    <n v="0"/>
    <n v="1977.77"/>
    <m/>
    <x v="9"/>
    <m/>
    <m/>
    <m/>
    <m/>
    <m/>
    <m/>
    <m/>
    <m/>
    <m/>
    <m/>
    <x v="1"/>
  </r>
  <r>
    <n v="2120"/>
    <n v="186756"/>
    <m/>
    <s v="Opening Entry"/>
    <n v="0"/>
    <m/>
    <m/>
    <m/>
    <n v="0"/>
    <m/>
    <m/>
    <m/>
    <d v="2004-04-23T00:00:00"/>
    <d v="2004-04-23T00:00:00"/>
    <m/>
    <n v="1500"/>
    <n v="15250"/>
    <n v="11549.44"/>
    <n v="15256"/>
    <n v="11549.44"/>
    <n v="0"/>
    <n v="0"/>
    <n v="70269"/>
    <n v="0"/>
    <s v="A"/>
    <s v="Empire"/>
    <m/>
    <m/>
    <s v="Internal"/>
    <s v="A"/>
    <s v="SL"/>
    <m/>
    <s v="WCNX"/>
    <n v="2"/>
    <n v="0"/>
    <m/>
    <x v="9"/>
    <m/>
    <m/>
    <m/>
    <m/>
    <m/>
    <m/>
    <m/>
    <m/>
    <m/>
    <m/>
    <x v="1"/>
  </r>
  <r>
    <n v="2120"/>
    <n v="110464"/>
    <s v="P-Tax"/>
    <s v="Hyster Forklift - Large"/>
    <n v="0"/>
    <m/>
    <s v="B7P9288X"/>
    <m/>
    <n v="1994"/>
    <s v="Other"/>
    <s v="Other"/>
    <s v="Forklift"/>
    <d v="2004-04-23T00:00:00"/>
    <d v="2004-04-23T00:00:00"/>
    <m/>
    <n v="0"/>
    <n v="14030"/>
    <n v="0"/>
    <n v="14036"/>
    <n v="0"/>
    <n v="0"/>
    <n v="0"/>
    <n v="51260"/>
    <n v="0"/>
    <s v="A"/>
    <s v="Empire Disposal"/>
    <m/>
    <n v="5"/>
    <s v="Internal"/>
    <s v="A"/>
    <s v="NO"/>
    <d v="2013-12-31T00:00:00"/>
    <s v="WCNX"/>
    <n v="0"/>
    <n v="0"/>
    <m/>
    <x v="9"/>
    <m/>
    <m/>
    <m/>
    <m/>
    <m/>
    <m/>
    <m/>
    <m/>
    <m/>
    <m/>
    <x v="1"/>
  </r>
  <r>
    <n v="2120"/>
    <n v="81872"/>
    <s v="P-Tax"/>
    <s v="1984 Chevrolet C20 outfitted with snowplow"/>
    <n v="0"/>
    <m/>
    <s v="2GCGK24M8E1116950"/>
    <s v="B96537E"/>
    <n v="1984"/>
    <s v="Chevrolet C20"/>
    <s v="Other"/>
    <s v="Pick Up Truck"/>
    <d v="2004-04-23T00:00:00"/>
    <d v="2004-04-23T00:00:00"/>
    <m/>
    <n v="0"/>
    <n v="14040"/>
    <n v="0"/>
    <n v="14046"/>
    <n v="0"/>
    <n v="0"/>
    <n v="0"/>
    <n v="51260"/>
    <n v="0"/>
    <s v="A"/>
    <s v="Empire Disposal"/>
    <m/>
    <n v="84"/>
    <s v="Internal"/>
    <s v="A"/>
    <s v="NO"/>
    <d v="2011-04-30T00:00:00"/>
    <s v="WCNX"/>
    <n v="0"/>
    <n v="0"/>
    <m/>
    <x v="9"/>
    <m/>
    <m/>
    <m/>
    <m/>
    <m/>
    <m/>
    <m/>
    <m/>
    <m/>
    <m/>
    <x v="1"/>
  </r>
  <r>
    <n v="2120"/>
    <n v="29364"/>
    <m/>
    <s v="Accrue additional deal costs"/>
    <n v="0"/>
    <m/>
    <m/>
    <m/>
    <n v="0"/>
    <m/>
    <m/>
    <m/>
    <d v="2004-04-23T00:00:00"/>
    <d v="2004-04-23T00:00:00"/>
    <m/>
    <n v="0"/>
    <n v="15110"/>
    <n v="65000"/>
    <n v="15120"/>
    <n v="0"/>
    <n v="65000"/>
    <n v="0"/>
    <n v="0"/>
    <n v="0"/>
    <s v="A"/>
    <s v="Empire Disposal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7206"/>
    <s v="P"/>
    <s v="Chevrolet Silverado 2500HD Diesel"/>
    <n v="0"/>
    <m/>
    <s v="1GCHK29104E104887"/>
    <s v="B96423R"/>
    <n v="2004"/>
    <s v="Chevrolet"/>
    <s v="Other"/>
    <s v="Pick Up Truck"/>
    <d v="2004-04-23T00:00:00"/>
    <d v="2004-04-23T00:00:00"/>
    <m/>
    <n v="500"/>
    <n v="14040"/>
    <n v="33940"/>
    <n v="14046"/>
    <n v="33940"/>
    <n v="0"/>
    <n v="0"/>
    <n v="51260"/>
    <n v="0"/>
    <s v="A"/>
    <s v="Empire Disposal"/>
    <m/>
    <n v="4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6957"/>
    <m/>
    <s v="Final Empire WC entries"/>
    <n v="0"/>
    <m/>
    <m/>
    <m/>
    <n v="0"/>
    <m/>
    <m/>
    <m/>
    <d v="2004-04-23T00:00:00"/>
    <d v="2004-04-23T00:00:00"/>
    <m/>
    <n v="0"/>
    <n v="15110"/>
    <n v="91781.75"/>
    <n v="0"/>
    <n v="0"/>
    <n v="91781.75"/>
    <n v="0"/>
    <n v="0"/>
    <n v="0"/>
    <s v="A"/>
    <s v="Empire Disposal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5826"/>
    <m/>
    <s v="Pole Barn"/>
    <n v="0"/>
    <m/>
    <m/>
    <m/>
    <n v="0"/>
    <m/>
    <m/>
    <m/>
    <d v="2004-04-23T00:00:00"/>
    <d v="2004-04-23T00:00:00"/>
    <m/>
    <n v="2000"/>
    <n v="14080"/>
    <n v="50000"/>
    <n v="14086"/>
    <n v="46875.06"/>
    <n v="3124.9400000000023"/>
    <n v="208.33"/>
    <n v="57260"/>
    <n v="208.33"/>
    <s v="A"/>
    <s v="Empire Disposal"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825"/>
    <m/>
    <s v="Office Bldg"/>
    <n v="0"/>
    <m/>
    <m/>
    <m/>
    <n v="0"/>
    <m/>
    <m/>
    <m/>
    <d v="2004-04-23T00:00:00"/>
    <d v="2004-04-23T00:00:00"/>
    <m/>
    <n v="2000"/>
    <n v="14080"/>
    <n v="150000"/>
    <n v="14086"/>
    <n v="140625.04999999999"/>
    <n v="9374.9500000000116"/>
    <n v="625"/>
    <n v="57260"/>
    <n v="625"/>
    <s v="A"/>
    <s v="Empire Disposal"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824"/>
    <m/>
    <s v="Land - Roll Off Storage - LaCrosse"/>
    <n v="0"/>
    <m/>
    <m/>
    <m/>
    <n v="0"/>
    <m/>
    <m/>
    <m/>
    <d v="2004-04-23T00:00:00"/>
    <d v="2004-04-23T00:00:00"/>
    <m/>
    <n v="0"/>
    <n v="14000"/>
    <n v="5000"/>
    <n v="0"/>
    <n v="0"/>
    <n v="5000"/>
    <n v="0"/>
    <n v="0"/>
    <n v="0"/>
    <s v="A"/>
    <s v="Empire Disposal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5823"/>
    <m/>
    <s v="Land - Roll Off Storage - Colfax"/>
    <n v="0"/>
    <m/>
    <m/>
    <m/>
    <n v="0"/>
    <m/>
    <m/>
    <m/>
    <d v="2004-04-23T00:00:00"/>
    <d v="2004-04-23T00:00:00"/>
    <m/>
    <n v="0"/>
    <n v="14000"/>
    <n v="5000"/>
    <n v="0"/>
    <n v="0"/>
    <n v="5000"/>
    <n v="0"/>
    <n v="0"/>
    <n v="0"/>
    <s v="A"/>
    <s v="Empire Disposal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5822"/>
    <m/>
    <s v="Land - 905 Sumner"/>
    <n v="0"/>
    <m/>
    <m/>
    <m/>
    <n v="0"/>
    <m/>
    <m/>
    <m/>
    <d v="2004-04-23T00:00:00"/>
    <d v="2004-04-23T00:00:00"/>
    <m/>
    <n v="0"/>
    <n v="14000"/>
    <n v="34000"/>
    <n v="0"/>
    <n v="0"/>
    <n v="34000"/>
    <n v="0"/>
    <n v="0"/>
    <n v="0"/>
    <s v="A"/>
    <s v="Empire Disposal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5821"/>
    <m/>
    <s v="Land - 902 Sumner"/>
    <n v="0"/>
    <m/>
    <m/>
    <m/>
    <n v="0"/>
    <m/>
    <m/>
    <m/>
    <d v="2004-04-23T00:00:00"/>
    <d v="2004-04-23T00:00:00"/>
    <m/>
    <n v="0"/>
    <n v="14000"/>
    <n v="50000"/>
    <n v="0"/>
    <n v="0"/>
    <n v="50000"/>
    <n v="0"/>
    <n v="0"/>
    <n v="0"/>
    <s v="A"/>
    <s v="Empire Disposal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5820"/>
    <s v="P"/>
    <s v="40 Yard Acquisition Capital"/>
    <n v="5"/>
    <m/>
    <m/>
    <m/>
    <n v="2004"/>
    <s v="Other"/>
    <s v="Other"/>
    <s v="40 YD RO Box"/>
    <d v="2004-04-23T00:00:00"/>
    <d v="2004-04-23T00:00:00"/>
    <m/>
    <n v="702"/>
    <n v="14050"/>
    <n v="2530"/>
    <n v="14056"/>
    <n v="2530"/>
    <n v="0"/>
    <n v="0"/>
    <n v="54260"/>
    <n v="0"/>
    <s v="A"/>
    <s v="Empire Disposal"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819"/>
    <s v="P"/>
    <s v="25 Yard Acquistion Capital"/>
    <n v="10"/>
    <m/>
    <m/>
    <m/>
    <n v="2004"/>
    <s v="Other"/>
    <s v="Other"/>
    <s v="25 YD RO Box"/>
    <d v="2004-04-23T00:00:00"/>
    <d v="2004-04-23T00:00:00"/>
    <m/>
    <n v="702"/>
    <n v="14050"/>
    <n v="4000"/>
    <n v="14056"/>
    <n v="4000"/>
    <n v="0"/>
    <n v="0"/>
    <n v="54260"/>
    <n v="0"/>
    <s v="A"/>
    <s v="Empire Disposal"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818"/>
    <s v="P"/>
    <s v="20 Yard Acquisition Capital"/>
    <n v="1"/>
    <m/>
    <m/>
    <m/>
    <n v="2004"/>
    <s v="other"/>
    <s v="Other"/>
    <s v="20 YD RO Box"/>
    <d v="2004-04-23T00:00:00"/>
    <d v="2004-04-23T00:00:00"/>
    <m/>
    <n v="702"/>
    <n v="14050"/>
    <n v="375"/>
    <n v="14056"/>
    <n v="375"/>
    <n v="0"/>
    <n v="0"/>
    <n v="54260"/>
    <n v="0"/>
    <s v="A"/>
    <s v="Empire Disposal"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817"/>
    <s v="P"/>
    <s v="8YD REL Containers"/>
    <n v="3"/>
    <m/>
    <m/>
    <m/>
    <n v="0"/>
    <m/>
    <m/>
    <s v="8 YD FEL/REL/SL Metal"/>
    <d v="2004-04-23T00:00:00"/>
    <d v="2004-04-23T00:00:00"/>
    <m/>
    <n v="702"/>
    <n v="14050"/>
    <n v="246"/>
    <n v="14056"/>
    <n v="246"/>
    <n v="0"/>
    <n v="0"/>
    <n v="54260"/>
    <n v="0"/>
    <s v="A"/>
    <s v="Empire Disposal"/>
    <m/>
    <m/>
    <s v="Internal"/>
    <s v="A"/>
    <s v="SL"/>
    <m/>
    <s v="WCNX"/>
    <n v="4"/>
    <n v="0"/>
    <m/>
    <x v="9"/>
    <m/>
    <m/>
    <m/>
    <m/>
    <m/>
    <m/>
    <m/>
    <m/>
    <m/>
    <m/>
    <x v="1"/>
  </r>
  <r>
    <n v="2120"/>
    <n v="25816"/>
    <s v="P"/>
    <s v="6YD REL Containers"/>
    <n v="37"/>
    <m/>
    <m/>
    <m/>
    <n v="0"/>
    <m/>
    <m/>
    <s v="6 YD FEL/REL/SL Metal"/>
    <d v="2004-04-23T00:00:00"/>
    <d v="2004-04-23T00:00:00"/>
    <m/>
    <n v="702"/>
    <n v="14050"/>
    <n v="2791.74"/>
    <n v="14056"/>
    <n v="2791.74"/>
    <n v="0"/>
    <n v="0"/>
    <n v="54260"/>
    <n v="0"/>
    <s v="A"/>
    <s v="Empire Disposal"/>
    <m/>
    <m/>
    <s v="Internal"/>
    <s v="A"/>
    <s v="SL"/>
    <m/>
    <s v="WCNX"/>
    <n v="4"/>
    <n v="0"/>
    <m/>
    <x v="9"/>
    <m/>
    <m/>
    <m/>
    <m/>
    <m/>
    <m/>
    <m/>
    <m/>
    <m/>
    <m/>
    <x v="1"/>
  </r>
  <r>
    <n v="2120"/>
    <n v="25815"/>
    <s v="P"/>
    <s v="4 YD REL Containers"/>
    <n v="43"/>
    <m/>
    <m/>
    <m/>
    <n v="0"/>
    <m/>
    <m/>
    <s v="4 YD FEL/REL/SL Metal"/>
    <d v="2004-04-23T00:00:00"/>
    <d v="2004-04-23T00:00:00"/>
    <m/>
    <n v="702"/>
    <n v="14050"/>
    <n v="4803.1000000000004"/>
    <n v="14056"/>
    <n v="4803.1000000000004"/>
    <n v="0"/>
    <n v="0"/>
    <n v="54260"/>
    <n v="0"/>
    <s v="A"/>
    <s v="Empire Disposal"/>
    <m/>
    <m/>
    <s v="Internal"/>
    <s v="A"/>
    <s v="SL"/>
    <m/>
    <s v="WCNX"/>
    <n v="8"/>
    <n v="0"/>
    <m/>
    <x v="9"/>
    <m/>
    <m/>
    <m/>
    <m/>
    <m/>
    <m/>
    <m/>
    <m/>
    <m/>
    <m/>
    <x v="1"/>
  </r>
  <r>
    <n v="2120"/>
    <n v="25814"/>
    <s v="P"/>
    <s v="3 YD REL Containers"/>
    <n v="66"/>
    <m/>
    <m/>
    <m/>
    <n v="0"/>
    <m/>
    <m/>
    <s v="3 YD FEL/REL/SL Metal"/>
    <d v="2004-04-23T00:00:00"/>
    <d v="2004-04-23T00:00:00"/>
    <m/>
    <n v="702"/>
    <n v="14050"/>
    <n v="4367.34"/>
    <n v="14056"/>
    <n v="4367.34"/>
    <n v="0"/>
    <n v="0"/>
    <n v="54260"/>
    <n v="0"/>
    <s v="A"/>
    <s v="Empire Disposal"/>
    <m/>
    <m/>
    <s v="Internal"/>
    <s v="A"/>
    <s v="SL"/>
    <m/>
    <s v="WCNX"/>
    <n v="8"/>
    <n v="0"/>
    <m/>
    <x v="9"/>
    <m/>
    <m/>
    <m/>
    <m/>
    <m/>
    <m/>
    <m/>
    <m/>
    <m/>
    <m/>
    <x v="1"/>
  </r>
  <r>
    <n v="2120"/>
    <n v="25813"/>
    <s v="P"/>
    <s v="2 YD REL Containers"/>
    <n v="76"/>
    <m/>
    <m/>
    <m/>
    <n v="0"/>
    <m/>
    <m/>
    <s v="2 YD FEL/REL/SL Metal"/>
    <d v="2004-04-23T00:00:00"/>
    <d v="2004-04-23T00:00:00"/>
    <m/>
    <n v="702"/>
    <n v="14050"/>
    <n v="4722.1899999999996"/>
    <n v="14056"/>
    <n v="4722.1899999999996"/>
    <n v="0"/>
    <n v="0"/>
    <n v="54260"/>
    <n v="0"/>
    <s v="A"/>
    <s v="Empire Disposal"/>
    <m/>
    <m/>
    <s v="Internal"/>
    <s v="A"/>
    <s v="SL"/>
    <m/>
    <s v="WCNX"/>
    <n v="6"/>
    <n v="0"/>
    <m/>
    <x v="9"/>
    <m/>
    <m/>
    <m/>
    <m/>
    <m/>
    <m/>
    <m/>
    <m/>
    <m/>
    <m/>
    <x v="1"/>
  </r>
  <r>
    <n v="2120"/>
    <n v="25812"/>
    <s v="P"/>
    <s v="1.5 YD REL Containers"/>
    <n v="96"/>
    <m/>
    <m/>
    <m/>
    <n v="0"/>
    <m/>
    <m/>
    <s v="1.5 YD FEL/REL/SL Metal"/>
    <d v="2004-04-23T00:00:00"/>
    <d v="2004-04-23T00:00:00"/>
    <m/>
    <n v="702"/>
    <n v="14050"/>
    <n v="5308.39"/>
    <n v="14056"/>
    <n v="5308.39"/>
    <n v="0"/>
    <n v="0"/>
    <n v="54260"/>
    <n v="0"/>
    <s v="A"/>
    <s v="Empire Disposal"/>
    <m/>
    <m/>
    <s v="Internal"/>
    <s v="A"/>
    <s v="SL"/>
    <m/>
    <s v="WCNX"/>
    <n v="8"/>
    <n v="0"/>
    <m/>
    <x v="9"/>
    <m/>
    <m/>
    <m/>
    <m/>
    <m/>
    <m/>
    <m/>
    <m/>
    <m/>
    <m/>
    <x v="1"/>
  </r>
  <r>
    <n v="2120"/>
    <n v="25811"/>
    <s v="P"/>
    <s v="154 1YD REL Containers"/>
    <n v="116"/>
    <m/>
    <m/>
    <m/>
    <n v="0"/>
    <m/>
    <m/>
    <s v="1 YD FEL/REL/SL Metal"/>
    <d v="2004-04-23T00:00:00"/>
    <d v="2004-04-23T00:00:00"/>
    <m/>
    <n v="702"/>
    <n v="14050"/>
    <n v="5701.32"/>
    <n v="14056"/>
    <n v="5701.32"/>
    <n v="0"/>
    <n v="0"/>
    <n v="54260"/>
    <n v="0"/>
    <s v="A"/>
    <s v="Empire Disposal"/>
    <m/>
    <m/>
    <s v="Internal"/>
    <s v="A"/>
    <s v="SL"/>
    <m/>
    <s v="WCNX"/>
    <n v="4"/>
    <n v="0"/>
    <m/>
    <x v="9"/>
    <m/>
    <m/>
    <m/>
    <m/>
    <m/>
    <m/>
    <m/>
    <m/>
    <m/>
    <m/>
    <x v="1"/>
  </r>
  <r>
    <n v="2120"/>
    <n v="25810"/>
    <s v="P"/>
    <s v="2571 Residential Carts"/>
    <n v="2571"/>
    <m/>
    <m/>
    <m/>
    <n v="0"/>
    <m/>
    <m/>
    <m/>
    <d v="2004-04-23T00:00:00"/>
    <d v="2004-04-23T00:00:00"/>
    <m/>
    <n v="500"/>
    <n v="14050"/>
    <n v="25040"/>
    <n v="14056"/>
    <n v="25040"/>
    <n v="0"/>
    <n v="0"/>
    <n v="54260"/>
    <n v="0"/>
    <s v="A"/>
    <s v="Empire Disposal"/>
    <m/>
    <m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787"/>
    <s v="P"/>
    <s v="Roll Off Truck with Marathon Hoist"/>
    <n v="0"/>
    <m/>
    <s v="1NKDLB9X2JS519107"/>
    <s v="A17140P"/>
    <n v="1988"/>
    <s v="Kenworth"/>
    <s v="Marathon"/>
    <s v="R/O Truck"/>
    <d v="2004-04-23T00:00:00"/>
    <d v="2004-04-23T00:00:00"/>
    <m/>
    <n v="0"/>
    <n v="14040"/>
    <n v="0"/>
    <n v="14046"/>
    <n v="0"/>
    <n v="0"/>
    <n v="0"/>
    <n v="51260"/>
    <n v="0"/>
    <s v="A"/>
    <s v="Empire Disposal"/>
    <m/>
    <n v="7"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5782"/>
    <n v="27206"/>
    <s v="Model 2500HD Pick Up Truck"/>
    <n v="0"/>
    <m/>
    <s v="1GCHK29104E104887"/>
    <m/>
    <n v="2004"/>
    <s v="Chevrolet 2500"/>
    <s v="Other"/>
    <s v="Pick Up Truck"/>
    <d v="2004-04-23T00:00:00"/>
    <d v="2004-04-23T00:00:00"/>
    <m/>
    <n v="500"/>
    <n v="14040"/>
    <n v="25000"/>
    <n v="14046"/>
    <n v="25000"/>
    <n v="0"/>
    <n v="0"/>
    <n v="51260"/>
    <n v="0"/>
    <s v="A"/>
    <s v="Empire Disposal"/>
    <m/>
    <n v="4"/>
    <s v="Internal"/>
    <s v="A"/>
    <s v="SL"/>
    <m/>
    <s v="WCNX"/>
    <n v="0"/>
    <n v="0"/>
    <m/>
    <x v="9"/>
    <m/>
    <m/>
    <m/>
    <m/>
    <m/>
    <m/>
    <m/>
    <m/>
    <m/>
    <m/>
    <x v="1"/>
  </r>
  <r>
    <n v="2120"/>
    <n v="25779"/>
    <s v="P"/>
    <s v="Hyster Forklift - Small"/>
    <n v="0"/>
    <m/>
    <s v="C004005308B"/>
    <m/>
    <n v="1984"/>
    <s v="Other"/>
    <s v="Other"/>
    <s v="Forklift"/>
    <d v="2004-04-23T00:00:00"/>
    <d v="2004-04-23T00:00:00"/>
    <m/>
    <n v="0"/>
    <n v="14030"/>
    <n v="0"/>
    <n v="14036"/>
    <n v="0"/>
    <n v="0"/>
    <n v="0"/>
    <n v="51260"/>
    <n v="0"/>
    <s v="A"/>
    <s v="Empire Disposal"/>
    <m/>
    <n v="6"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4925"/>
    <m/>
    <s v="Opening Entry"/>
    <n v="0"/>
    <m/>
    <m/>
    <m/>
    <n v="0"/>
    <m/>
    <m/>
    <m/>
    <d v="2004-04-23T00:00:00"/>
    <d v="2004-04-23T00:00:00"/>
    <m/>
    <n v="0"/>
    <n v="15260"/>
    <n v="167101.01999999999"/>
    <n v="15266"/>
    <n v="0"/>
    <n v="167101.01999999999"/>
    <n v="0"/>
    <n v="70264"/>
    <n v="0"/>
    <s v="A"/>
    <s v="Empire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4924"/>
    <m/>
    <s v="Opening Entry"/>
    <n v="0"/>
    <m/>
    <m/>
    <m/>
    <n v="0"/>
    <m/>
    <m/>
    <m/>
    <d v="2004-04-23T00:00:00"/>
    <d v="2004-04-23T00:00:00"/>
    <m/>
    <n v="0"/>
    <n v="15250"/>
    <n v="0"/>
    <n v="15256"/>
    <n v="0"/>
    <n v="0"/>
    <n v="0"/>
    <n v="70269"/>
    <n v="0"/>
    <s v="A"/>
    <s v="Empire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4923"/>
    <m/>
    <s v="Opening Entry"/>
    <n v="0"/>
    <m/>
    <m/>
    <m/>
    <n v="0"/>
    <m/>
    <m/>
    <m/>
    <d v="2004-04-23T00:00:00"/>
    <d v="2004-04-23T00:00:00"/>
    <m/>
    <n v="500"/>
    <n v="15210"/>
    <n v="31000"/>
    <n v="15216"/>
    <n v="31000"/>
    <n v="0"/>
    <n v="0"/>
    <n v="70266"/>
    <n v="0"/>
    <s v="A"/>
    <s v="Empire"/>
    <m/>
    <m/>
    <s v="Internal"/>
    <s v="A"/>
    <s v="SL"/>
    <d v="2004-10-31T00:00:00"/>
    <s v="WCNX"/>
    <n v="0"/>
    <n v="3100.01"/>
    <m/>
    <x v="9"/>
    <m/>
    <m/>
    <m/>
    <m/>
    <m/>
    <m/>
    <m/>
    <m/>
    <m/>
    <m/>
    <x v="1"/>
  </r>
  <r>
    <n v="2120"/>
    <n v="24922"/>
    <m/>
    <s v="Opening Entry"/>
    <n v="0"/>
    <m/>
    <m/>
    <m/>
    <n v="0"/>
    <m/>
    <m/>
    <m/>
    <d v="2004-04-23T00:00:00"/>
    <d v="2004-04-23T00:00:00"/>
    <m/>
    <n v="0"/>
    <n v="15110"/>
    <n v="2391918.46"/>
    <n v="15120"/>
    <n v="0"/>
    <n v="2391918.46"/>
    <n v="0"/>
    <n v="70268"/>
    <n v="0"/>
    <s v="A"/>
    <s v="Empire"/>
    <m/>
    <m/>
    <s v="Internal"/>
    <s v="A"/>
    <s v="NO"/>
    <m/>
    <s v="WCNX"/>
    <n v="0"/>
    <n v="0"/>
    <m/>
    <x v="9"/>
    <m/>
    <m/>
    <m/>
    <m/>
    <m/>
    <m/>
    <m/>
    <m/>
    <m/>
    <m/>
    <x v="1"/>
  </r>
  <r>
    <n v="2120"/>
    <n v="235383"/>
    <s v="P"/>
    <s v="65 Gallon Roll Carts"/>
    <n v="35"/>
    <m/>
    <s v="6150000001-6150000100"/>
    <m/>
    <n v="0"/>
    <s v="Otto Industries"/>
    <m/>
    <m/>
    <d v="2001-04-06T00:00:00"/>
    <m/>
    <s v="01-2011-001"/>
    <n v="1000"/>
    <n v="14050"/>
    <n v="1225"/>
    <n v="14056"/>
    <n v="1225"/>
    <n v="0"/>
    <n v="0"/>
    <n v="54260"/>
    <n v="0"/>
    <s v="P"/>
    <m/>
    <n v="45304"/>
    <m/>
    <s v="Internal"/>
    <s v="A"/>
    <s v="SL"/>
    <d v="2020-06-30T00:00:00"/>
    <s v="WCNX"/>
    <n v="0"/>
    <n v="1225"/>
    <m/>
    <x v="9"/>
    <m/>
    <m/>
    <m/>
    <m/>
    <m/>
    <m/>
    <m/>
    <m/>
    <m/>
    <m/>
    <x v="1"/>
  </r>
  <r>
    <n v="2120"/>
    <n v="202894"/>
    <n v="202893"/>
    <s v="1- Labrie Top Select 1000 Recycler"/>
    <n v="210"/>
    <m/>
    <m/>
    <m/>
    <n v="0"/>
    <m/>
    <m/>
    <s v="Non-Rolling Stock"/>
    <d v="2000-06-30T00:00:00"/>
    <d v="2000-06-30T00:00:00"/>
    <s v="00-2010-B"/>
    <n v="1000"/>
    <n v="14040"/>
    <n v="46599"/>
    <n v="14046"/>
    <n v="46599"/>
    <n v="0"/>
    <n v="0"/>
    <n v="51260"/>
    <n v="0"/>
    <s v="P"/>
    <m/>
    <m/>
    <n v="245"/>
    <s v="Internal"/>
    <s v="A"/>
    <s v="SL"/>
    <d v="2018-08-31T00:00:00"/>
    <s v="WCNX"/>
    <n v="0"/>
    <n v="46599"/>
    <m/>
    <x v="9"/>
    <m/>
    <m/>
    <m/>
    <m/>
    <m/>
    <m/>
    <m/>
    <m/>
    <m/>
    <m/>
    <x v="1"/>
  </r>
  <r>
    <n v="2120"/>
    <n v="202893"/>
    <s v="P"/>
    <s v="2000 Peterbilt 320 Storage Truck"/>
    <n v="200"/>
    <m/>
    <s v="1NPZHZ7X0YD712979"/>
    <s v="C18883G"/>
    <n v="2000"/>
    <s v="Peterbilt 320"/>
    <s v="Hew Van Body"/>
    <s v="Recycle Truck"/>
    <d v="2000-06-01T00:00:00"/>
    <d v="2000-06-01T00:00:00"/>
    <s v="2000-2010-F003"/>
    <n v="1000"/>
    <n v="14040"/>
    <n v="71878.98"/>
    <n v="14046"/>
    <n v="71878.98"/>
    <n v="0"/>
    <n v="0"/>
    <n v="51260"/>
    <n v="0"/>
    <s v="P"/>
    <m/>
    <m/>
    <n v="25"/>
    <s v="Internal"/>
    <s v="A"/>
    <s v="SL"/>
    <d v="2018-08-31T00:00:00"/>
    <s v="WCNX"/>
    <n v="0"/>
    <n v="71878.98"/>
    <m/>
    <x v="9"/>
    <m/>
    <m/>
    <m/>
    <m/>
    <m/>
    <m/>
    <m/>
    <m/>
    <m/>
    <m/>
    <x v="1"/>
  </r>
  <r>
    <n v="2120"/>
    <n v="254641"/>
    <s v="P"/>
    <s v="2YD Rearload Containers"/>
    <n v="2"/>
    <m/>
    <m/>
    <m/>
    <n v="0"/>
    <m/>
    <m/>
    <s v="2 YD FEL/REL/SL Metal"/>
    <d v="2000-02-01T00:00:00"/>
    <d v="2000-02-01T00:00:00"/>
    <m/>
    <n v="700"/>
    <n v="14050"/>
    <n v="72.12"/>
    <n v="14056"/>
    <n v="72.12"/>
    <n v="0"/>
    <n v="0"/>
    <n v="54260"/>
    <n v="0"/>
    <s v="A"/>
    <s v="Lakeside Disposal"/>
    <m/>
    <m/>
    <s v="Internal"/>
    <s v="A"/>
    <s v="SL"/>
    <d v="2021-05-31T00:00:00"/>
    <s v="WCNX"/>
    <n v="0"/>
    <n v="72.12"/>
    <m/>
    <x v="9"/>
    <m/>
    <m/>
    <m/>
    <m/>
    <m/>
    <m/>
    <m/>
    <m/>
    <m/>
    <m/>
    <x v="1"/>
  </r>
  <r>
    <n v="2120"/>
    <n v="219444"/>
    <s v="P"/>
    <s v="2YD Rearload Containers"/>
    <n v="10"/>
    <m/>
    <m/>
    <m/>
    <n v="0"/>
    <m/>
    <m/>
    <s v="2 YD FEL/REL/SL Metal"/>
    <d v="2000-02-01T00:00:00"/>
    <d v="2000-02-01T00:00:00"/>
    <m/>
    <n v="700"/>
    <n v="14050"/>
    <n v="360.6"/>
    <n v="14056"/>
    <n v="360.6"/>
    <n v="0"/>
    <n v="0"/>
    <n v="54260"/>
    <n v="0"/>
    <s v="A"/>
    <s v="Lakeside Disposal"/>
    <m/>
    <m/>
    <s v="Internal"/>
    <s v="A"/>
    <s v="SL"/>
    <d v="2019-08-31T00:00:00"/>
    <s v="WCNX"/>
    <n v="0"/>
    <n v="360.6"/>
    <m/>
    <x v="9"/>
    <m/>
    <m/>
    <m/>
    <m/>
    <m/>
    <m/>
    <m/>
    <m/>
    <m/>
    <m/>
    <x v="1"/>
  </r>
  <r>
    <n v="2120"/>
    <n v="109473"/>
    <s v="P"/>
    <s v="2YD Rearload Containers"/>
    <n v="5"/>
    <m/>
    <m/>
    <m/>
    <n v="0"/>
    <m/>
    <m/>
    <s v="2 YD FEL/REL/SL Metal"/>
    <d v="2000-02-01T00:00:00"/>
    <d v="2000-02-01T00:00:00"/>
    <m/>
    <n v="700"/>
    <n v="14050"/>
    <n v="180.3"/>
    <n v="14056"/>
    <n v="180.3"/>
    <n v="0"/>
    <n v="0"/>
    <n v="54260"/>
    <n v="0"/>
    <s v="A"/>
    <s v="Lakeside Disposal"/>
    <m/>
    <m/>
    <s v="Internal"/>
    <s v="A"/>
    <s v="SL"/>
    <d v="2013-11-30T00:00:00"/>
    <s v="WCNX"/>
    <n v="0"/>
    <n v="180.3"/>
    <m/>
    <x v="9"/>
    <m/>
    <m/>
    <m/>
    <m/>
    <m/>
    <m/>
    <m/>
    <m/>
    <m/>
    <m/>
    <x v="1"/>
  </r>
  <r>
    <n v="2120"/>
    <n v="105610"/>
    <s v="P"/>
    <s v="2 YD Rearload Containers"/>
    <n v="9"/>
    <m/>
    <m/>
    <m/>
    <n v="0"/>
    <m/>
    <m/>
    <s v="2 YD FEL/REL/SL Metal"/>
    <d v="2000-02-01T00:00:00"/>
    <d v="2000-02-01T00:00:00"/>
    <m/>
    <n v="700"/>
    <n v="14050"/>
    <n v="324.54000000000002"/>
    <n v="14056"/>
    <n v="324.54000000000002"/>
    <n v="0"/>
    <n v="0"/>
    <n v="54260"/>
    <n v="0"/>
    <s v="A"/>
    <s v="Lakeside Disposal"/>
    <m/>
    <m/>
    <s v="Internal"/>
    <s v="A"/>
    <s v="SL"/>
    <d v="2013-06-30T00:00:00"/>
    <s v="WCNX"/>
    <n v="0"/>
    <n v="324.54000000000002"/>
    <m/>
    <x v="9"/>
    <m/>
    <m/>
    <m/>
    <m/>
    <m/>
    <m/>
    <m/>
    <m/>
    <m/>
    <m/>
    <x v="1"/>
  </r>
  <r>
    <n v="2120"/>
    <n v="254644"/>
    <s v="P"/>
    <s v="1 Yard Containers"/>
    <n v="8"/>
    <m/>
    <m/>
    <m/>
    <n v="0"/>
    <m/>
    <m/>
    <s v="1 YD FEL/REL/SL Metal"/>
    <d v="1998-09-01T00:00:00"/>
    <d v="1998-09-01T00:00:00"/>
    <m/>
    <n v="700"/>
    <n v="14050"/>
    <n v="600"/>
    <n v="14056"/>
    <n v="600"/>
    <n v="0"/>
    <n v="0"/>
    <n v="54260"/>
    <n v="0"/>
    <s v="A"/>
    <s v="Evergreen"/>
    <m/>
    <m/>
    <s v="Internal"/>
    <s v="A"/>
    <s v="SL"/>
    <d v="2021-05-31T00:00:00"/>
    <s v="WCNX"/>
    <n v="0"/>
    <n v="600"/>
    <m/>
    <x v="9"/>
    <m/>
    <m/>
    <m/>
    <m/>
    <m/>
    <m/>
    <m/>
    <m/>
    <m/>
    <m/>
    <x v="1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  <m/>
    <m/>
    <m/>
    <m/>
    <m/>
    <m/>
    <m/>
    <m/>
    <m/>
    <m/>
    <x v="1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9"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C3A08F-073E-4453-A1A9-1B1409084925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4:F14" firstHeaderRow="0" firstDataRow="1" firstDataCol="1" rowPageCount="1" colPageCount="1"/>
  <pivotFields count="4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7" showAll="0"/>
    <pivotField numFmtId="167" showAll="0"/>
    <pivotField showAll="0"/>
    <pivotField showAll="0"/>
    <pivotField showAll="0"/>
    <pivotField dataField="1" numFmtId="43" showAll="0"/>
    <pivotField showAll="0"/>
    <pivotField numFmtId="43" showAll="0"/>
    <pivotField numFmtId="43" showAll="0"/>
    <pivotField numFmtId="1" showAll="0"/>
    <pivotField showAll="0"/>
    <pivotField numFmtId="4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7">
        <item x="2"/>
        <item x="1"/>
        <item x="7"/>
        <item m="1" x="14"/>
        <item m="1" x="11"/>
        <item x="5"/>
        <item x="6"/>
        <item m="1" x="13"/>
        <item h="1" x="9"/>
        <item m="1" x="15"/>
        <item m="1" x="10"/>
        <item x="0"/>
        <item x="4"/>
        <item m="1" x="12"/>
        <item x="3"/>
        <item x="8"/>
        <item t="default"/>
      </items>
    </pivotField>
    <pivotField numFmtId="1" showAll="0"/>
    <pivotField numFmtId="1" showAll="0"/>
    <pivotField numFmtId="1" showAll="0"/>
    <pivotField numFmtId="171" showAll="0"/>
    <pivotField numFmtId="1" showAll="0"/>
    <pivotField numFmtId="1" showAll="0"/>
    <pivotField dataField="1" numFmtId="1" showAll="0"/>
    <pivotField dataField="1" numFmtId="1" showAll="0"/>
    <pivotField dataField="1" numFmtId="1" showAll="0"/>
    <pivotField dataField="1" numFmtId="1" showAll="0"/>
    <pivotField axis="axisPage" multipleItemSelectionAllowed="1" showAll="0">
      <items count="3">
        <item x="0"/>
        <item x="1"/>
        <item t="default"/>
      </items>
    </pivotField>
  </pivotFields>
  <rowFields count="1">
    <field x="36"/>
  </rowFields>
  <rowItems count="10">
    <i>
      <x/>
    </i>
    <i>
      <x v="1"/>
    </i>
    <i>
      <x v="2"/>
    </i>
    <i>
      <x v="5"/>
    </i>
    <i>
      <x v="6"/>
    </i>
    <i>
      <x v="11"/>
    </i>
    <i>
      <x v="12"/>
    </i>
    <i>
      <x v="14"/>
    </i>
    <i>
      <x v="1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47" hier="-1"/>
  </pageFields>
  <dataFields count="5">
    <dataField name="Sum of Cost" fld="17" baseField="0" baseItem="0" numFmtId="172"/>
    <dataField name="Sum of Test Year Dep" fld="43" baseField="0" baseItem="0"/>
    <dataField name="Sum of BOY Accum" fld="44" baseField="0" baseItem="0"/>
    <dataField name="Sum of EOY Accum" fld="45" baseField="0" baseItem="0"/>
    <dataField name="Sum of EOY Average Investment" fld="46" baseField="0" baseItem="0"/>
  </dataFields>
  <formats count="2">
    <format dxfId="11">
      <pivotArea outline="0" collapsedLevelsAreSubtotals="1" fieldPosition="0"/>
    </format>
    <format dxfId="10">
      <pivotArea collapsedLevelsAreSubtotals="1" fieldPosition="0">
        <references count="2">
          <reference field="4294967294" count="1" selected="0">
            <x v="0"/>
          </reference>
          <reference field="36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7" tint="0.59999389629810485"/>
  </sheetPr>
  <dimension ref="A1:AK54"/>
  <sheetViews>
    <sheetView view="pageBreakPreview" zoomScaleNormal="100" zoomScaleSheetLayoutView="100" workbookViewId="0">
      <selection activeCell="C20" sqref="C20"/>
    </sheetView>
  </sheetViews>
  <sheetFormatPr defaultColWidth="11.42578125" defaultRowHeight="12"/>
  <cols>
    <col min="1" max="1" width="28.42578125" style="172" customWidth="1"/>
    <col min="2" max="2" width="13.7109375" style="172" bestFit="1" customWidth="1"/>
    <col min="3" max="3" width="12.42578125" style="172" bestFit="1" customWidth="1"/>
    <col min="4" max="4" width="14" style="172" bestFit="1" customWidth="1"/>
    <col min="5" max="5" width="11.85546875" style="172" bestFit="1" customWidth="1"/>
    <col min="6" max="7" width="14" style="172" bestFit="1" customWidth="1"/>
    <col min="8" max="8" width="13.42578125" style="172" bestFit="1" customWidth="1"/>
    <col min="9" max="9" width="4.5703125" style="172" bestFit="1" customWidth="1"/>
    <col min="10" max="10" width="29.42578125" style="172" bestFit="1" customWidth="1"/>
    <col min="11" max="11" width="11.85546875" style="172" bestFit="1" customWidth="1"/>
    <col min="12" max="17" width="11.42578125" style="172"/>
    <col min="18" max="18" width="4.5703125" style="172" bestFit="1" customWidth="1"/>
    <col min="19" max="19" width="29.42578125" style="172" bestFit="1" customWidth="1"/>
    <col min="20" max="26" width="11.42578125" style="172"/>
    <col min="27" max="27" width="4.5703125" style="172" bestFit="1" customWidth="1"/>
    <col min="28" max="28" width="29.42578125" style="172" bestFit="1" customWidth="1"/>
    <col min="29" max="29" width="13.42578125" style="172" bestFit="1" customWidth="1"/>
    <col min="30" max="30" width="11.42578125" style="172"/>
    <col min="31" max="31" width="13.42578125" style="172" bestFit="1" customWidth="1"/>
    <col min="32" max="32" width="11.42578125" style="172"/>
    <col min="33" max="34" width="14" style="172" bestFit="1" customWidth="1"/>
    <col min="35" max="35" width="13.42578125" style="172" bestFit="1" customWidth="1"/>
    <col min="36" max="245" width="11.42578125" style="172"/>
    <col min="246" max="246" width="16.28515625" style="172" customWidth="1"/>
    <col min="247" max="250" width="11.42578125" style="172" customWidth="1"/>
    <col min="251" max="251" width="12" style="172" customWidth="1"/>
    <col min="252" max="253" width="11.42578125" style="172" customWidth="1"/>
    <col min="254" max="254" width="1.85546875" style="172" customWidth="1"/>
    <col min="255" max="255" width="12.140625" style="172" customWidth="1"/>
    <col min="256" max="256" width="12.7109375" style="172" customWidth="1"/>
    <col min="257" max="259" width="11.42578125" style="172" customWidth="1"/>
    <col min="260" max="260" width="1.85546875" style="172" customWidth="1"/>
    <col min="261" max="261" width="13.5703125" style="172" customWidth="1"/>
    <col min="262" max="262" width="11.42578125" style="172" customWidth="1"/>
    <col min="263" max="264" width="12.42578125" style="172" customWidth="1"/>
    <col min="265" max="501" width="11.42578125" style="172"/>
    <col min="502" max="502" width="16.28515625" style="172" customWidth="1"/>
    <col min="503" max="506" width="11.42578125" style="172" customWidth="1"/>
    <col min="507" max="507" width="12" style="172" customWidth="1"/>
    <col min="508" max="509" width="11.42578125" style="172" customWidth="1"/>
    <col min="510" max="510" width="1.85546875" style="172" customWidth="1"/>
    <col min="511" max="511" width="12.140625" style="172" customWidth="1"/>
    <col min="512" max="512" width="12.7109375" style="172" customWidth="1"/>
    <col min="513" max="515" width="11.42578125" style="172" customWidth="1"/>
    <col min="516" max="516" width="1.85546875" style="172" customWidth="1"/>
    <col min="517" max="517" width="13.5703125" style="172" customWidth="1"/>
    <col min="518" max="518" width="11.42578125" style="172" customWidth="1"/>
    <col min="519" max="520" width="12.42578125" style="172" customWidth="1"/>
    <col min="521" max="757" width="11.42578125" style="172"/>
    <col min="758" max="758" width="16.28515625" style="172" customWidth="1"/>
    <col min="759" max="762" width="11.42578125" style="172" customWidth="1"/>
    <col min="763" max="763" width="12" style="172" customWidth="1"/>
    <col min="764" max="765" width="11.42578125" style="172" customWidth="1"/>
    <col min="766" max="766" width="1.85546875" style="172" customWidth="1"/>
    <col min="767" max="767" width="12.140625" style="172" customWidth="1"/>
    <col min="768" max="768" width="12.7109375" style="172" customWidth="1"/>
    <col min="769" max="771" width="11.42578125" style="172" customWidth="1"/>
    <col min="772" max="772" width="1.85546875" style="172" customWidth="1"/>
    <col min="773" max="773" width="13.5703125" style="172" customWidth="1"/>
    <col min="774" max="774" width="11.42578125" style="172" customWidth="1"/>
    <col min="775" max="776" width="12.42578125" style="172" customWidth="1"/>
    <col min="777" max="1013" width="11.42578125" style="172"/>
    <col min="1014" max="1014" width="16.28515625" style="172" customWidth="1"/>
    <col min="1015" max="1018" width="11.42578125" style="172" customWidth="1"/>
    <col min="1019" max="1019" width="12" style="172" customWidth="1"/>
    <col min="1020" max="1021" width="11.42578125" style="172" customWidth="1"/>
    <col min="1022" max="1022" width="1.85546875" style="172" customWidth="1"/>
    <col min="1023" max="1023" width="12.140625" style="172" customWidth="1"/>
    <col min="1024" max="1024" width="12.7109375" style="172" customWidth="1"/>
    <col min="1025" max="1027" width="11.42578125" style="172" customWidth="1"/>
    <col min="1028" max="1028" width="1.85546875" style="172" customWidth="1"/>
    <col min="1029" max="1029" width="13.5703125" style="172" customWidth="1"/>
    <col min="1030" max="1030" width="11.42578125" style="172" customWidth="1"/>
    <col min="1031" max="1032" width="12.42578125" style="172" customWidth="1"/>
    <col min="1033" max="1269" width="11.42578125" style="172"/>
    <col min="1270" max="1270" width="16.28515625" style="172" customWidth="1"/>
    <col min="1271" max="1274" width="11.42578125" style="172" customWidth="1"/>
    <col min="1275" max="1275" width="12" style="172" customWidth="1"/>
    <col min="1276" max="1277" width="11.42578125" style="172" customWidth="1"/>
    <col min="1278" max="1278" width="1.85546875" style="172" customWidth="1"/>
    <col min="1279" max="1279" width="12.140625" style="172" customWidth="1"/>
    <col min="1280" max="1280" width="12.7109375" style="172" customWidth="1"/>
    <col min="1281" max="1283" width="11.42578125" style="172" customWidth="1"/>
    <col min="1284" max="1284" width="1.85546875" style="172" customWidth="1"/>
    <col min="1285" max="1285" width="13.5703125" style="172" customWidth="1"/>
    <col min="1286" max="1286" width="11.42578125" style="172" customWidth="1"/>
    <col min="1287" max="1288" width="12.42578125" style="172" customWidth="1"/>
    <col min="1289" max="1525" width="11.42578125" style="172"/>
    <col min="1526" max="1526" width="16.28515625" style="172" customWidth="1"/>
    <col min="1527" max="1530" width="11.42578125" style="172" customWidth="1"/>
    <col min="1531" max="1531" width="12" style="172" customWidth="1"/>
    <col min="1532" max="1533" width="11.42578125" style="172" customWidth="1"/>
    <col min="1534" max="1534" width="1.85546875" style="172" customWidth="1"/>
    <col min="1535" max="1535" width="12.140625" style="172" customWidth="1"/>
    <col min="1536" max="1536" width="12.7109375" style="172" customWidth="1"/>
    <col min="1537" max="1539" width="11.42578125" style="172" customWidth="1"/>
    <col min="1540" max="1540" width="1.85546875" style="172" customWidth="1"/>
    <col min="1541" max="1541" width="13.5703125" style="172" customWidth="1"/>
    <col min="1542" max="1542" width="11.42578125" style="172" customWidth="1"/>
    <col min="1543" max="1544" width="12.42578125" style="172" customWidth="1"/>
    <col min="1545" max="1781" width="11.42578125" style="172"/>
    <col min="1782" max="1782" width="16.28515625" style="172" customWidth="1"/>
    <col min="1783" max="1786" width="11.42578125" style="172" customWidth="1"/>
    <col min="1787" max="1787" width="12" style="172" customWidth="1"/>
    <col min="1788" max="1789" width="11.42578125" style="172" customWidth="1"/>
    <col min="1790" max="1790" width="1.85546875" style="172" customWidth="1"/>
    <col min="1791" max="1791" width="12.140625" style="172" customWidth="1"/>
    <col min="1792" max="1792" width="12.7109375" style="172" customWidth="1"/>
    <col min="1793" max="1795" width="11.42578125" style="172" customWidth="1"/>
    <col min="1796" max="1796" width="1.85546875" style="172" customWidth="1"/>
    <col min="1797" max="1797" width="13.5703125" style="172" customWidth="1"/>
    <col min="1798" max="1798" width="11.42578125" style="172" customWidth="1"/>
    <col min="1799" max="1800" width="12.42578125" style="172" customWidth="1"/>
    <col min="1801" max="2037" width="11.42578125" style="172"/>
    <col min="2038" max="2038" width="16.28515625" style="172" customWidth="1"/>
    <col min="2039" max="2042" width="11.42578125" style="172" customWidth="1"/>
    <col min="2043" max="2043" width="12" style="172" customWidth="1"/>
    <col min="2044" max="2045" width="11.42578125" style="172" customWidth="1"/>
    <col min="2046" max="2046" width="1.85546875" style="172" customWidth="1"/>
    <col min="2047" max="2047" width="12.140625" style="172" customWidth="1"/>
    <col min="2048" max="2048" width="12.7109375" style="172" customWidth="1"/>
    <col min="2049" max="2051" width="11.42578125" style="172" customWidth="1"/>
    <col min="2052" max="2052" width="1.85546875" style="172" customWidth="1"/>
    <col min="2053" max="2053" width="13.5703125" style="172" customWidth="1"/>
    <col min="2054" max="2054" width="11.42578125" style="172" customWidth="1"/>
    <col min="2055" max="2056" width="12.42578125" style="172" customWidth="1"/>
    <col min="2057" max="2293" width="11.42578125" style="172"/>
    <col min="2294" max="2294" width="16.28515625" style="172" customWidth="1"/>
    <col min="2295" max="2298" width="11.42578125" style="172" customWidth="1"/>
    <col min="2299" max="2299" width="12" style="172" customWidth="1"/>
    <col min="2300" max="2301" width="11.42578125" style="172" customWidth="1"/>
    <col min="2302" max="2302" width="1.85546875" style="172" customWidth="1"/>
    <col min="2303" max="2303" width="12.140625" style="172" customWidth="1"/>
    <col min="2304" max="2304" width="12.7109375" style="172" customWidth="1"/>
    <col min="2305" max="2307" width="11.42578125" style="172" customWidth="1"/>
    <col min="2308" max="2308" width="1.85546875" style="172" customWidth="1"/>
    <col min="2309" max="2309" width="13.5703125" style="172" customWidth="1"/>
    <col min="2310" max="2310" width="11.42578125" style="172" customWidth="1"/>
    <col min="2311" max="2312" width="12.42578125" style="172" customWidth="1"/>
    <col min="2313" max="2549" width="11.42578125" style="172"/>
    <col min="2550" max="2550" width="16.28515625" style="172" customWidth="1"/>
    <col min="2551" max="2554" width="11.42578125" style="172" customWidth="1"/>
    <col min="2555" max="2555" width="12" style="172" customWidth="1"/>
    <col min="2556" max="2557" width="11.42578125" style="172" customWidth="1"/>
    <col min="2558" max="2558" width="1.85546875" style="172" customWidth="1"/>
    <col min="2559" max="2559" width="12.140625" style="172" customWidth="1"/>
    <col min="2560" max="2560" width="12.7109375" style="172" customWidth="1"/>
    <col min="2561" max="2563" width="11.42578125" style="172" customWidth="1"/>
    <col min="2564" max="2564" width="1.85546875" style="172" customWidth="1"/>
    <col min="2565" max="2565" width="13.5703125" style="172" customWidth="1"/>
    <col min="2566" max="2566" width="11.42578125" style="172" customWidth="1"/>
    <col min="2567" max="2568" width="12.42578125" style="172" customWidth="1"/>
    <col min="2569" max="2805" width="11.42578125" style="172"/>
    <col min="2806" max="2806" width="16.28515625" style="172" customWidth="1"/>
    <col min="2807" max="2810" width="11.42578125" style="172" customWidth="1"/>
    <col min="2811" max="2811" width="12" style="172" customWidth="1"/>
    <col min="2812" max="2813" width="11.42578125" style="172" customWidth="1"/>
    <col min="2814" max="2814" width="1.85546875" style="172" customWidth="1"/>
    <col min="2815" max="2815" width="12.140625" style="172" customWidth="1"/>
    <col min="2816" max="2816" width="12.7109375" style="172" customWidth="1"/>
    <col min="2817" max="2819" width="11.42578125" style="172" customWidth="1"/>
    <col min="2820" max="2820" width="1.85546875" style="172" customWidth="1"/>
    <col min="2821" max="2821" width="13.5703125" style="172" customWidth="1"/>
    <col min="2822" max="2822" width="11.42578125" style="172" customWidth="1"/>
    <col min="2823" max="2824" width="12.42578125" style="172" customWidth="1"/>
    <col min="2825" max="3061" width="11.42578125" style="172"/>
    <col min="3062" max="3062" width="16.28515625" style="172" customWidth="1"/>
    <col min="3063" max="3066" width="11.42578125" style="172" customWidth="1"/>
    <col min="3067" max="3067" width="12" style="172" customWidth="1"/>
    <col min="3068" max="3069" width="11.42578125" style="172" customWidth="1"/>
    <col min="3070" max="3070" width="1.85546875" style="172" customWidth="1"/>
    <col min="3071" max="3071" width="12.140625" style="172" customWidth="1"/>
    <col min="3072" max="3072" width="12.7109375" style="172" customWidth="1"/>
    <col min="3073" max="3075" width="11.42578125" style="172" customWidth="1"/>
    <col min="3076" max="3076" width="1.85546875" style="172" customWidth="1"/>
    <col min="3077" max="3077" width="13.5703125" style="172" customWidth="1"/>
    <col min="3078" max="3078" width="11.42578125" style="172" customWidth="1"/>
    <col min="3079" max="3080" width="12.42578125" style="172" customWidth="1"/>
    <col min="3081" max="3317" width="11.42578125" style="172"/>
    <col min="3318" max="3318" width="16.28515625" style="172" customWidth="1"/>
    <col min="3319" max="3322" width="11.42578125" style="172" customWidth="1"/>
    <col min="3323" max="3323" width="12" style="172" customWidth="1"/>
    <col min="3324" max="3325" width="11.42578125" style="172" customWidth="1"/>
    <col min="3326" max="3326" width="1.85546875" style="172" customWidth="1"/>
    <col min="3327" max="3327" width="12.140625" style="172" customWidth="1"/>
    <col min="3328" max="3328" width="12.7109375" style="172" customWidth="1"/>
    <col min="3329" max="3331" width="11.42578125" style="172" customWidth="1"/>
    <col min="3332" max="3332" width="1.85546875" style="172" customWidth="1"/>
    <col min="3333" max="3333" width="13.5703125" style="172" customWidth="1"/>
    <col min="3334" max="3334" width="11.42578125" style="172" customWidth="1"/>
    <col min="3335" max="3336" width="12.42578125" style="172" customWidth="1"/>
    <col min="3337" max="3573" width="11.42578125" style="172"/>
    <col min="3574" max="3574" width="16.28515625" style="172" customWidth="1"/>
    <col min="3575" max="3578" width="11.42578125" style="172" customWidth="1"/>
    <col min="3579" max="3579" width="12" style="172" customWidth="1"/>
    <col min="3580" max="3581" width="11.42578125" style="172" customWidth="1"/>
    <col min="3582" max="3582" width="1.85546875" style="172" customWidth="1"/>
    <col min="3583" max="3583" width="12.140625" style="172" customWidth="1"/>
    <col min="3584" max="3584" width="12.7109375" style="172" customWidth="1"/>
    <col min="3585" max="3587" width="11.42578125" style="172" customWidth="1"/>
    <col min="3588" max="3588" width="1.85546875" style="172" customWidth="1"/>
    <col min="3589" max="3589" width="13.5703125" style="172" customWidth="1"/>
    <col min="3590" max="3590" width="11.42578125" style="172" customWidth="1"/>
    <col min="3591" max="3592" width="12.42578125" style="172" customWidth="1"/>
    <col min="3593" max="3829" width="11.42578125" style="172"/>
    <col min="3830" max="3830" width="16.28515625" style="172" customWidth="1"/>
    <col min="3831" max="3834" width="11.42578125" style="172" customWidth="1"/>
    <col min="3835" max="3835" width="12" style="172" customWidth="1"/>
    <col min="3836" max="3837" width="11.42578125" style="172" customWidth="1"/>
    <col min="3838" max="3838" width="1.85546875" style="172" customWidth="1"/>
    <col min="3839" max="3839" width="12.140625" style="172" customWidth="1"/>
    <col min="3840" max="3840" width="12.7109375" style="172" customWidth="1"/>
    <col min="3841" max="3843" width="11.42578125" style="172" customWidth="1"/>
    <col min="3844" max="3844" width="1.85546875" style="172" customWidth="1"/>
    <col min="3845" max="3845" width="13.5703125" style="172" customWidth="1"/>
    <col min="3846" max="3846" width="11.42578125" style="172" customWidth="1"/>
    <col min="3847" max="3848" width="12.42578125" style="172" customWidth="1"/>
    <col min="3849" max="4085" width="11.42578125" style="172"/>
    <col min="4086" max="4086" width="16.28515625" style="172" customWidth="1"/>
    <col min="4087" max="4090" width="11.42578125" style="172" customWidth="1"/>
    <col min="4091" max="4091" width="12" style="172" customWidth="1"/>
    <col min="4092" max="4093" width="11.42578125" style="172" customWidth="1"/>
    <col min="4094" max="4094" width="1.85546875" style="172" customWidth="1"/>
    <col min="4095" max="4095" width="12.140625" style="172" customWidth="1"/>
    <col min="4096" max="4096" width="12.7109375" style="172" customWidth="1"/>
    <col min="4097" max="4099" width="11.42578125" style="172" customWidth="1"/>
    <col min="4100" max="4100" width="1.85546875" style="172" customWidth="1"/>
    <col min="4101" max="4101" width="13.5703125" style="172" customWidth="1"/>
    <col min="4102" max="4102" width="11.42578125" style="172" customWidth="1"/>
    <col min="4103" max="4104" width="12.42578125" style="172" customWidth="1"/>
    <col min="4105" max="4341" width="11.42578125" style="172"/>
    <col min="4342" max="4342" width="16.28515625" style="172" customWidth="1"/>
    <col min="4343" max="4346" width="11.42578125" style="172" customWidth="1"/>
    <col min="4347" max="4347" width="12" style="172" customWidth="1"/>
    <col min="4348" max="4349" width="11.42578125" style="172" customWidth="1"/>
    <col min="4350" max="4350" width="1.85546875" style="172" customWidth="1"/>
    <col min="4351" max="4351" width="12.140625" style="172" customWidth="1"/>
    <col min="4352" max="4352" width="12.7109375" style="172" customWidth="1"/>
    <col min="4353" max="4355" width="11.42578125" style="172" customWidth="1"/>
    <col min="4356" max="4356" width="1.85546875" style="172" customWidth="1"/>
    <col min="4357" max="4357" width="13.5703125" style="172" customWidth="1"/>
    <col min="4358" max="4358" width="11.42578125" style="172" customWidth="1"/>
    <col min="4359" max="4360" width="12.42578125" style="172" customWidth="1"/>
    <col min="4361" max="4597" width="11.42578125" style="172"/>
    <col min="4598" max="4598" width="16.28515625" style="172" customWidth="1"/>
    <col min="4599" max="4602" width="11.42578125" style="172" customWidth="1"/>
    <col min="4603" max="4603" width="12" style="172" customWidth="1"/>
    <col min="4604" max="4605" width="11.42578125" style="172" customWidth="1"/>
    <col min="4606" max="4606" width="1.85546875" style="172" customWidth="1"/>
    <col min="4607" max="4607" width="12.140625" style="172" customWidth="1"/>
    <col min="4608" max="4608" width="12.7109375" style="172" customWidth="1"/>
    <col min="4609" max="4611" width="11.42578125" style="172" customWidth="1"/>
    <col min="4612" max="4612" width="1.85546875" style="172" customWidth="1"/>
    <col min="4613" max="4613" width="13.5703125" style="172" customWidth="1"/>
    <col min="4614" max="4614" width="11.42578125" style="172" customWidth="1"/>
    <col min="4615" max="4616" width="12.42578125" style="172" customWidth="1"/>
    <col min="4617" max="4853" width="11.42578125" style="172"/>
    <col min="4854" max="4854" width="16.28515625" style="172" customWidth="1"/>
    <col min="4855" max="4858" width="11.42578125" style="172" customWidth="1"/>
    <col min="4859" max="4859" width="12" style="172" customWidth="1"/>
    <col min="4860" max="4861" width="11.42578125" style="172" customWidth="1"/>
    <col min="4862" max="4862" width="1.85546875" style="172" customWidth="1"/>
    <col min="4863" max="4863" width="12.140625" style="172" customWidth="1"/>
    <col min="4864" max="4864" width="12.7109375" style="172" customWidth="1"/>
    <col min="4865" max="4867" width="11.42578125" style="172" customWidth="1"/>
    <col min="4868" max="4868" width="1.85546875" style="172" customWidth="1"/>
    <col min="4869" max="4869" width="13.5703125" style="172" customWidth="1"/>
    <col min="4870" max="4870" width="11.42578125" style="172" customWidth="1"/>
    <col min="4871" max="4872" width="12.42578125" style="172" customWidth="1"/>
    <col min="4873" max="5109" width="11.42578125" style="172"/>
    <col min="5110" max="5110" width="16.28515625" style="172" customWidth="1"/>
    <col min="5111" max="5114" width="11.42578125" style="172" customWidth="1"/>
    <col min="5115" max="5115" width="12" style="172" customWidth="1"/>
    <col min="5116" max="5117" width="11.42578125" style="172" customWidth="1"/>
    <col min="5118" max="5118" width="1.85546875" style="172" customWidth="1"/>
    <col min="5119" max="5119" width="12.140625" style="172" customWidth="1"/>
    <col min="5120" max="5120" width="12.7109375" style="172" customWidth="1"/>
    <col min="5121" max="5123" width="11.42578125" style="172" customWidth="1"/>
    <col min="5124" max="5124" width="1.85546875" style="172" customWidth="1"/>
    <col min="5125" max="5125" width="13.5703125" style="172" customWidth="1"/>
    <col min="5126" max="5126" width="11.42578125" style="172" customWidth="1"/>
    <col min="5127" max="5128" width="12.42578125" style="172" customWidth="1"/>
    <col min="5129" max="5365" width="11.42578125" style="172"/>
    <col min="5366" max="5366" width="16.28515625" style="172" customWidth="1"/>
    <col min="5367" max="5370" width="11.42578125" style="172" customWidth="1"/>
    <col min="5371" max="5371" width="12" style="172" customWidth="1"/>
    <col min="5372" max="5373" width="11.42578125" style="172" customWidth="1"/>
    <col min="5374" max="5374" width="1.85546875" style="172" customWidth="1"/>
    <col min="5375" max="5375" width="12.140625" style="172" customWidth="1"/>
    <col min="5376" max="5376" width="12.7109375" style="172" customWidth="1"/>
    <col min="5377" max="5379" width="11.42578125" style="172" customWidth="1"/>
    <col min="5380" max="5380" width="1.85546875" style="172" customWidth="1"/>
    <col min="5381" max="5381" width="13.5703125" style="172" customWidth="1"/>
    <col min="5382" max="5382" width="11.42578125" style="172" customWidth="1"/>
    <col min="5383" max="5384" width="12.42578125" style="172" customWidth="1"/>
    <col min="5385" max="5621" width="11.42578125" style="172"/>
    <col min="5622" max="5622" width="16.28515625" style="172" customWidth="1"/>
    <col min="5623" max="5626" width="11.42578125" style="172" customWidth="1"/>
    <col min="5627" max="5627" width="12" style="172" customWidth="1"/>
    <col min="5628" max="5629" width="11.42578125" style="172" customWidth="1"/>
    <col min="5630" max="5630" width="1.85546875" style="172" customWidth="1"/>
    <col min="5631" max="5631" width="12.140625" style="172" customWidth="1"/>
    <col min="5632" max="5632" width="12.7109375" style="172" customWidth="1"/>
    <col min="5633" max="5635" width="11.42578125" style="172" customWidth="1"/>
    <col min="5636" max="5636" width="1.85546875" style="172" customWidth="1"/>
    <col min="5637" max="5637" width="13.5703125" style="172" customWidth="1"/>
    <col min="5638" max="5638" width="11.42578125" style="172" customWidth="1"/>
    <col min="5639" max="5640" width="12.42578125" style="172" customWidth="1"/>
    <col min="5641" max="5877" width="11.42578125" style="172"/>
    <col min="5878" max="5878" width="16.28515625" style="172" customWidth="1"/>
    <col min="5879" max="5882" width="11.42578125" style="172" customWidth="1"/>
    <col min="5883" max="5883" width="12" style="172" customWidth="1"/>
    <col min="5884" max="5885" width="11.42578125" style="172" customWidth="1"/>
    <col min="5886" max="5886" width="1.85546875" style="172" customWidth="1"/>
    <col min="5887" max="5887" width="12.140625" style="172" customWidth="1"/>
    <col min="5888" max="5888" width="12.7109375" style="172" customWidth="1"/>
    <col min="5889" max="5891" width="11.42578125" style="172" customWidth="1"/>
    <col min="5892" max="5892" width="1.85546875" style="172" customWidth="1"/>
    <col min="5893" max="5893" width="13.5703125" style="172" customWidth="1"/>
    <col min="5894" max="5894" width="11.42578125" style="172" customWidth="1"/>
    <col min="5895" max="5896" width="12.42578125" style="172" customWidth="1"/>
    <col min="5897" max="6133" width="11.42578125" style="172"/>
    <col min="6134" max="6134" width="16.28515625" style="172" customWidth="1"/>
    <col min="6135" max="6138" width="11.42578125" style="172" customWidth="1"/>
    <col min="6139" max="6139" width="12" style="172" customWidth="1"/>
    <col min="6140" max="6141" width="11.42578125" style="172" customWidth="1"/>
    <col min="6142" max="6142" width="1.85546875" style="172" customWidth="1"/>
    <col min="6143" max="6143" width="12.140625" style="172" customWidth="1"/>
    <col min="6144" max="6144" width="12.7109375" style="172" customWidth="1"/>
    <col min="6145" max="6147" width="11.42578125" style="172" customWidth="1"/>
    <col min="6148" max="6148" width="1.85546875" style="172" customWidth="1"/>
    <col min="6149" max="6149" width="13.5703125" style="172" customWidth="1"/>
    <col min="6150" max="6150" width="11.42578125" style="172" customWidth="1"/>
    <col min="6151" max="6152" width="12.42578125" style="172" customWidth="1"/>
    <col min="6153" max="6389" width="11.42578125" style="172"/>
    <col min="6390" max="6390" width="16.28515625" style="172" customWidth="1"/>
    <col min="6391" max="6394" width="11.42578125" style="172" customWidth="1"/>
    <col min="6395" max="6395" width="12" style="172" customWidth="1"/>
    <col min="6396" max="6397" width="11.42578125" style="172" customWidth="1"/>
    <col min="6398" max="6398" width="1.85546875" style="172" customWidth="1"/>
    <col min="6399" max="6399" width="12.140625" style="172" customWidth="1"/>
    <col min="6400" max="6400" width="12.7109375" style="172" customWidth="1"/>
    <col min="6401" max="6403" width="11.42578125" style="172" customWidth="1"/>
    <col min="6404" max="6404" width="1.85546875" style="172" customWidth="1"/>
    <col min="6405" max="6405" width="13.5703125" style="172" customWidth="1"/>
    <col min="6406" max="6406" width="11.42578125" style="172" customWidth="1"/>
    <col min="6407" max="6408" width="12.42578125" style="172" customWidth="1"/>
    <col min="6409" max="6645" width="11.42578125" style="172"/>
    <col min="6646" max="6646" width="16.28515625" style="172" customWidth="1"/>
    <col min="6647" max="6650" width="11.42578125" style="172" customWidth="1"/>
    <col min="6651" max="6651" width="12" style="172" customWidth="1"/>
    <col min="6652" max="6653" width="11.42578125" style="172" customWidth="1"/>
    <col min="6654" max="6654" width="1.85546875" style="172" customWidth="1"/>
    <col min="6655" max="6655" width="12.140625" style="172" customWidth="1"/>
    <col min="6656" max="6656" width="12.7109375" style="172" customWidth="1"/>
    <col min="6657" max="6659" width="11.42578125" style="172" customWidth="1"/>
    <col min="6660" max="6660" width="1.85546875" style="172" customWidth="1"/>
    <col min="6661" max="6661" width="13.5703125" style="172" customWidth="1"/>
    <col min="6662" max="6662" width="11.42578125" style="172" customWidth="1"/>
    <col min="6663" max="6664" width="12.42578125" style="172" customWidth="1"/>
    <col min="6665" max="6901" width="11.42578125" style="172"/>
    <col min="6902" max="6902" width="16.28515625" style="172" customWidth="1"/>
    <col min="6903" max="6906" width="11.42578125" style="172" customWidth="1"/>
    <col min="6907" max="6907" width="12" style="172" customWidth="1"/>
    <col min="6908" max="6909" width="11.42578125" style="172" customWidth="1"/>
    <col min="6910" max="6910" width="1.85546875" style="172" customWidth="1"/>
    <col min="6911" max="6911" width="12.140625" style="172" customWidth="1"/>
    <col min="6912" max="6912" width="12.7109375" style="172" customWidth="1"/>
    <col min="6913" max="6915" width="11.42578125" style="172" customWidth="1"/>
    <col min="6916" max="6916" width="1.85546875" style="172" customWidth="1"/>
    <col min="6917" max="6917" width="13.5703125" style="172" customWidth="1"/>
    <col min="6918" max="6918" width="11.42578125" style="172" customWidth="1"/>
    <col min="6919" max="6920" width="12.42578125" style="172" customWidth="1"/>
    <col min="6921" max="7157" width="11.42578125" style="172"/>
    <col min="7158" max="7158" width="16.28515625" style="172" customWidth="1"/>
    <col min="7159" max="7162" width="11.42578125" style="172" customWidth="1"/>
    <col min="7163" max="7163" width="12" style="172" customWidth="1"/>
    <col min="7164" max="7165" width="11.42578125" style="172" customWidth="1"/>
    <col min="7166" max="7166" width="1.85546875" style="172" customWidth="1"/>
    <col min="7167" max="7167" width="12.140625" style="172" customWidth="1"/>
    <col min="7168" max="7168" width="12.7109375" style="172" customWidth="1"/>
    <col min="7169" max="7171" width="11.42578125" style="172" customWidth="1"/>
    <col min="7172" max="7172" width="1.85546875" style="172" customWidth="1"/>
    <col min="7173" max="7173" width="13.5703125" style="172" customWidth="1"/>
    <col min="7174" max="7174" width="11.42578125" style="172" customWidth="1"/>
    <col min="7175" max="7176" width="12.42578125" style="172" customWidth="1"/>
    <col min="7177" max="7413" width="11.42578125" style="172"/>
    <col min="7414" max="7414" width="16.28515625" style="172" customWidth="1"/>
    <col min="7415" max="7418" width="11.42578125" style="172" customWidth="1"/>
    <col min="7419" max="7419" width="12" style="172" customWidth="1"/>
    <col min="7420" max="7421" width="11.42578125" style="172" customWidth="1"/>
    <col min="7422" max="7422" width="1.85546875" style="172" customWidth="1"/>
    <col min="7423" max="7423" width="12.140625" style="172" customWidth="1"/>
    <col min="7424" max="7424" width="12.7109375" style="172" customWidth="1"/>
    <col min="7425" max="7427" width="11.42578125" style="172" customWidth="1"/>
    <col min="7428" max="7428" width="1.85546875" style="172" customWidth="1"/>
    <col min="7429" max="7429" width="13.5703125" style="172" customWidth="1"/>
    <col min="7430" max="7430" width="11.42578125" style="172" customWidth="1"/>
    <col min="7431" max="7432" width="12.42578125" style="172" customWidth="1"/>
    <col min="7433" max="7669" width="11.42578125" style="172"/>
    <col min="7670" max="7670" width="16.28515625" style="172" customWidth="1"/>
    <col min="7671" max="7674" width="11.42578125" style="172" customWidth="1"/>
    <col min="7675" max="7675" width="12" style="172" customWidth="1"/>
    <col min="7676" max="7677" width="11.42578125" style="172" customWidth="1"/>
    <col min="7678" max="7678" width="1.85546875" style="172" customWidth="1"/>
    <col min="7679" max="7679" width="12.140625" style="172" customWidth="1"/>
    <col min="7680" max="7680" width="12.7109375" style="172" customWidth="1"/>
    <col min="7681" max="7683" width="11.42578125" style="172" customWidth="1"/>
    <col min="7684" max="7684" width="1.85546875" style="172" customWidth="1"/>
    <col min="7685" max="7685" width="13.5703125" style="172" customWidth="1"/>
    <col min="7686" max="7686" width="11.42578125" style="172" customWidth="1"/>
    <col min="7687" max="7688" width="12.42578125" style="172" customWidth="1"/>
    <col min="7689" max="7925" width="11.42578125" style="172"/>
    <col min="7926" max="7926" width="16.28515625" style="172" customWidth="1"/>
    <col min="7927" max="7930" width="11.42578125" style="172" customWidth="1"/>
    <col min="7931" max="7931" width="12" style="172" customWidth="1"/>
    <col min="7932" max="7933" width="11.42578125" style="172" customWidth="1"/>
    <col min="7934" max="7934" width="1.85546875" style="172" customWidth="1"/>
    <col min="7935" max="7935" width="12.140625" style="172" customWidth="1"/>
    <col min="7936" max="7936" width="12.7109375" style="172" customWidth="1"/>
    <col min="7937" max="7939" width="11.42578125" style="172" customWidth="1"/>
    <col min="7940" max="7940" width="1.85546875" style="172" customWidth="1"/>
    <col min="7941" max="7941" width="13.5703125" style="172" customWidth="1"/>
    <col min="7942" max="7942" width="11.42578125" style="172" customWidth="1"/>
    <col min="7943" max="7944" width="12.42578125" style="172" customWidth="1"/>
    <col min="7945" max="8181" width="11.42578125" style="172"/>
    <col min="8182" max="8182" width="16.28515625" style="172" customWidth="1"/>
    <col min="8183" max="8186" width="11.42578125" style="172" customWidth="1"/>
    <col min="8187" max="8187" width="12" style="172" customWidth="1"/>
    <col min="8188" max="8189" width="11.42578125" style="172" customWidth="1"/>
    <col min="8190" max="8190" width="1.85546875" style="172" customWidth="1"/>
    <col min="8191" max="8191" width="12.140625" style="172" customWidth="1"/>
    <col min="8192" max="8192" width="12.7109375" style="172" customWidth="1"/>
    <col min="8193" max="8195" width="11.42578125" style="172" customWidth="1"/>
    <col min="8196" max="8196" width="1.85546875" style="172" customWidth="1"/>
    <col min="8197" max="8197" width="13.5703125" style="172" customWidth="1"/>
    <col min="8198" max="8198" width="11.42578125" style="172" customWidth="1"/>
    <col min="8199" max="8200" width="12.42578125" style="172" customWidth="1"/>
    <col min="8201" max="8437" width="11.42578125" style="172"/>
    <col min="8438" max="8438" width="16.28515625" style="172" customWidth="1"/>
    <col min="8439" max="8442" width="11.42578125" style="172" customWidth="1"/>
    <col min="8443" max="8443" width="12" style="172" customWidth="1"/>
    <col min="8444" max="8445" width="11.42578125" style="172" customWidth="1"/>
    <col min="8446" max="8446" width="1.85546875" style="172" customWidth="1"/>
    <col min="8447" max="8447" width="12.140625" style="172" customWidth="1"/>
    <col min="8448" max="8448" width="12.7109375" style="172" customWidth="1"/>
    <col min="8449" max="8451" width="11.42578125" style="172" customWidth="1"/>
    <col min="8452" max="8452" width="1.85546875" style="172" customWidth="1"/>
    <col min="8453" max="8453" width="13.5703125" style="172" customWidth="1"/>
    <col min="8454" max="8454" width="11.42578125" style="172" customWidth="1"/>
    <col min="8455" max="8456" width="12.42578125" style="172" customWidth="1"/>
    <col min="8457" max="8693" width="11.42578125" style="172"/>
    <col min="8694" max="8694" width="16.28515625" style="172" customWidth="1"/>
    <col min="8695" max="8698" width="11.42578125" style="172" customWidth="1"/>
    <col min="8699" max="8699" width="12" style="172" customWidth="1"/>
    <col min="8700" max="8701" width="11.42578125" style="172" customWidth="1"/>
    <col min="8702" max="8702" width="1.85546875" style="172" customWidth="1"/>
    <col min="8703" max="8703" width="12.140625" style="172" customWidth="1"/>
    <col min="8704" max="8704" width="12.7109375" style="172" customWidth="1"/>
    <col min="8705" max="8707" width="11.42578125" style="172" customWidth="1"/>
    <col min="8708" max="8708" width="1.85546875" style="172" customWidth="1"/>
    <col min="8709" max="8709" width="13.5703125" style="172" customWidth="1"/>
    <col min="8710" max="8710" width="11.42578125" style="172" customWidth="1"/>
    <col min="8711" max="8712" width="12.42578125" style="172" customWidth="1"/>
    <col min="8713" max="8949" width="11.42578125" style="172"/>
    <col min="8950" max="8950" width="16.28515625" style="172" customWidth="1"/>
    <col min="8951" max="8954" width="11.42578125" style="172" customWidth="1"/>
    <col min="8955" max="8955" width="12" style="172" customWidth="1"/>
    <col min="8956" max="8957" width="11.42578125" style="172" customWidth="1"/>
    <col min="8958" max="8958" width="1.85546875" style="172" customWidth="1"/>
    <col min="8959" max="8959" width="12.140625" style="172" customWidth="1"/>
    <col min="8960" max="8960" width="12.7109375" style="172" customWidth="1"/>
    <col min="8961" max="8963" width="11.42578125" style="172" customWidth="1"/>
    <col min="8964" max="8964" width="1.85546875" style="172" customWidth="1"/>
    <col min="8965" max="8965" width="13.5703125" style="172" customWidth="1"/>
    <col min="8966" max="8966" width="11.42578125" style="172" customWidth="1"/>
    <col min="8967" max="8968" width="12.42578125" style="172" customWidth="1"/>
    <col min="8969" max="9205" width="11.42578125" style="172"/>
    <col min="9206" max="9206" width="16.28515625" style="172" customWidth="1"/>
    <col min="9207" max="9210" width="11.42578125" style="172" customWidth="1"/>
    <col min="9211" max="9211" width="12" style="172" customWidth="1"/>
    <col min="9212" max="9213" width="11.42578125" style="172" customWidth="1"/>
    <col min="9214" max="9214" width="1.85546875" style="172" customWidth="1"/>
    <col min="9215" max="9215" width="12.140625" style="172" customWidth="1"/>
    <col min="9216" max="9216" width="12.7109375" style="172" customWidth="1"/>
    <col min="9217" max="9219" width="11.42578125" style="172" customWidth="1"/>
    <col min="9220" max="9220" width="1.85546875" style="172" customWidth="1"/>
    <col min="9221" max="9221" width="13.5703125" style="172" customWidth="1"/>
    <col min="9222" max="9222" width="11.42578125" style="172" customWidth="1"/>
    <col min="9223" max="9224" width="12.42578125" style="172" customWidth="1"/>
    <col min="9225" max="9461" width="11.42578125" style="172"/>
    <col min="9462" max="9462" width="16.28515625" style="172" customWidth="1"/>
    <col min="9463" max="9466" width="11.42578125" style="172" customWidth="1"/>
    <col min="9467" max="9467" width="12" style="172" customWidth="1"/>
    <col min="9468" max="9469" width="11.42578125" style="172" customWidth="1"/>
    <col min="9470" max="9470" width="1.85546875" style="172" customWidth="1"/>
    <col min="9471" max="9471" width="12.140625" style="172" customWidth="1"/>
    <col min="9472" max="9472" width="12.7109375" style="172" customWidth="1"/>
    <col min="9473" max="9475" width="11.42578125" style="172" customWidth="1"/>
    <col min="9476" max="9476" width="1.85546875" style="172" customWidth="1"/>
    <col min="9477" max="9477" width="13.5703125" style="172" customWidth="1"/>
    <col min="9478" max="9478" width="11.42578125" style="172" customWidth="1"/>
    <col min="9479" max="9480" width="12.42578125" style="172" customWidth="1"/>
    <col min="9481" max="9717" width="11.42578125" style="172"/>
    <col min="9718" max="9718" width="16.28515625" style="172" customWidth="1"/>
    <col min="9719" max="9722" width="11.42578125" style="172" customWidth="1"/>
    <col min="9723" max="9723" width="12" style="172" customWidth="1"/>
    <col min="9724" max="9725" width="11.42578125" style="172" customWidth="1"/>
    <col min="9726" max="9726" width="1.85546875" style="172" customWidth="1"/>
    <col min="9727" max="9727" width="12.140625" style="172" customWidth="1"/>
    <col min="9728" max="9728" width="12.7109375" style="172" customWidth="1"/>
    <col min="9729" max="9731" width="11.42578125" style="172" customWidth="1"/>
    <col min="9732" max="9732" width="1.85546875" style="172" customWidth="1"/>
    <col min="9733" max="9733" width="13.5703125" style="172" customWidth="1"/>
    <col min="9734" max="9734" width="11.42578125" style="172" customWidth="1"/>
    <col min="9735" max="9736" width="12.42578125" style="172" customWidth="1"/>
    <col min="9737" max="9973" width="11.42578125" style="172"/>
    <col min="9974" max="9974" width="16.28515625" style="172" customWidth="1"/>
    <col min="9975" max="9978" width="11.42578125" style="172" customWidth="1"/>
    <col min="9979" max="9979" width="12" style="172" customWidth="1"/>
    <col min="9980" max="9981" width="11.42578125" style="172" customWidth="1"/>
    <col min="9982" max="9982" width="1.85546875" style="172" customWidth="1"/>
    <col min="9983" max="9983" width="12.140625" style="172" customWidth="1"/>
    <col min="9984" max="9984" width="12.7109375" style="172" customWidth="1"/>
    <col min="9985" max="9987" width="11.42578125" style="172" customWidth="1"/>
    <col min="9988" max="9988" width="1.85546875" style="172" customWidth="1"/>
    <col min="9989" max="9989" width="13.5703125" style="172" customWidth="1"/>
    <col min="9990" max="9990" width="11.42578125" style="172" customWidth="1"/>
    <col min="9991" max="9992" width="12.42578125" style="172" customWidth="1"/>
    <col min="9993" max="10229" width="11.42578125" style="172"/>
    <col min="10230" max="10230" width="16.28515625" style="172" customWidth="1"/>
    <col min="10231" max="10234" width="11.42578125" style="172" customWidth="1"/>
    <col min="10235" max="10235" width="12" style="172" customWidth="1"/>
    <col min="10236" max="10237" width="11.42578125" style="172" customWidth="1"/>
    <col min="10238" max="10238" width="1.85546875" style="172" customWidth="1"/>
    <col min="10239" max="10239" width="12.140625" style="172" customWidth="1"/>
    <col min="10240" max="10240" width="12.7109375" style="172" customWidth="1"/>
    <col min="10241" max="10243" width="11.42578125" style="172" customWidth="1"/>
    <col min="10244" max="10244" width="1.85546875" style="172" customWidth="1"/>
    <col min="10245" max="10245" width="13.5703125" style="172" customWidth="1"/>
    <col min="10246" max="10246" width="11.42578125" style="172" customWidth="1"/>
    <col min="10247" max="10248" width="12.42578125" style="172" customWidth="1"/>
    <col min="10249" max="10485" width="11.42578125" style="172"/>
    <col min="10486" max="10486" width="16.28515625" style="172" customWidth="1"/>
    <col min="10487" max="10490" width="11.42578125" style="172" customWidth="1"/>
    <col min="10491" max="10491" width="12" style="172" customWidth="1"/>
    <col min="10492" max="10493" width="11.42578125" style="172" customWidth="1"/>
    <col min="10494" max="10494" width="1.85546875" style="172" customWidth="1"/>
    <col min="10495" max="10495" width="12.140625" style="172" customWidth="1"/>
    <col min="10496" max="10496" width="12.7109375" style="172" customWidth="1"/>
    <col min="10497" max="10499" width="11.42578125" style="172" customWidth="1"/>
    <col min="10500" max="10500" width="1.85546875" style="172" customWidth="1"/>
    <col min="10501" max="10501" width="13.5703125" style="172" customWidth="1"/>
    <col min="10502" max="10502" width="11.42578125" style="172" customWidth="1"/>
    <col min="10503" max="10504" width="12.42578125" style="172" customWidth="1"/>
    <col min="10505" max="10741" width="11.42578125" style="172"/>
    <col min="10742" max="10742" width="16.28515625" style="172" customWidth="1"/>
    <col min="10743" max="10746" width="11.42578125" style="172" customWidth="1"/>
    <col min="10747" max="10747" width="12" style="172" customWidth="1"/>
    <col min="10748" max="10749" width="11.42578125" style="172" customWidth="1"/>
    <col min="10750" max="10750" width="1.85546875" style="172" customWidth="1"/>
    <col min="10751" max="10751" width="12.140625" style="172" customWidth="1"/>
    <col min="10752" max="10752" width="12.7109375" style="172" customWidth="1"/>
    <col min="10753" max="10755" width="11.42578125" style="172" customWidth="1"/>
    <col min="10756" max="10756" width="1.85546875" style="172" customWidth="1"/>
    <col min="10757" max="10757" width="13.5703125" style="172" customWidth="1"/>
    <col min="10758" max="10758" width="11.42578125" style="172" customWidth="1"/>
    <col min="10759" max="10760" width="12.42578125" style="172" customWidth="1"/>
    <col min="10761" max="10997" width="11.42578125" style="172"/>
    <col min="10998" max="10998" width="16.28515625" style="172" customWidth="1"/>
    <col min="10999" max="11002" width="11.42578125" style="172" customWidth="1"/>
    <col min="11003" max="11003" width="12" style="172" customWidth="1"/>
    <col min="11004" max="11005" width="11.42578125" style="172" customWidth="1"/>
    <col min="11006" max="11006" width="1.85546875" style="172" customWidth="1"/>
    <col min="11007" max="11007" width="12.140625" style="172" customWidth="1"/>
    <col min="11008" max="11008" width="12.7109375" style="172" customWidth="1"/>
    <col min="11009" max="11011" width="11.42578125" style="172" customWidth="1"/>
    <col min="11012" max="11012" width="1.85546875" style="172" customWidth="1"/>
    <col min="11013" max="11013" width="13.5703125" style="172" customWidth="1"/>
    <col min="11014" max="11014" width="11.42578125" style="172" customWidth="1"/>
    <col min="11015" max="11016" width="12.42578125" style="172" customWidth="1"/>
    <col min="11017" max="11253" width="11.42578125" style="172"/>
    <col min="11254" max="11254" width="16.28515625" style="172" customWidth="1"/>
    <col min="11255" max="11258" width="11.42578125" style="172" customWidth="1"/>
    <col min="11259" max="11259" width="12" style="172" customWidth="1"/>
    <col min="11260" max="11261" width="11.42578125" style="172" customWidth="1"/>
    <col min="11262" max="11262" width="1.85546875" style="172" customWidth="1"/>
    <col min="11263" max="11263" width="12.140625" style="172" customWidth="1"/>
    <col min="11264" max="11264" width="12.7109375" style="172" customWidth="1"/>
    <col min="11265" max="11267" width="11.42578125" style="172" customWidth="1"/>
    <col min="11268" max="11268" width="1.85546875" style="172" customWidth="1"/>
    <col min="11269" max="11269" width="13.5703125" style="172" customWidth="1"/>
    <col min="11270" max="11270" width="11.42578125" style="172" customWidth="1"/>
    <col min="11271" max="11272" width="12.42578125" style="172" customWidth="1"/>
    <col min="11273" max="11509" width="11.42578125" style="172"/>
    <col min="11510" max="11510" width="16.28515625" style="172" customWidth="1"/>
    <col min="11511" max="11514" width="11.42578125" style="172" customWidth="1"/>
    <col min="11515" max="11515" width="12" style="172" customWidth="1"/>
    <col min="11516" max="11517" width="11.42578125" style="172" customWidth="1"/>
    <col min="11518" max="11518" width="1.85546875" style="172" customWidth="1"/>
    <col min="11519" max="11519" width="12.140625" style="172" customWidth="1"/>
    <col min="11520" max="11520" width="12.7109375" style="172" customWidth="1"/>
    <col min="11521" max="11523" width="11.42578125" style="172" customWidth="1"/>
    <col min="11524" max="11524" width="1.85546875" style="172" customWidth="1"/>
    <col min="11525" max="11525" width="13.5703125" style="172" customWidth="1"/>
    <col min="11526" max="11526" width="11.42578125" style="172" customWidth="1"/>
    <col min="11527" max="11528" width="12.42578125" style="172" customWidth="1"/>
    <col min="11529" max="11765" width="11.42578125" style="172"/>
    <col min="11766" max="11766" width="16.28515625" style="172" customWidth="1"/>
    <col min="11767" max="11770" width="11.42578125" style="172" customWidth="1"/>
    <col min="11771" max="11771" width="12" style="172" customWidth="1"/>
    <col min="11772" max="11773" width="11.42578125" style="172" customWidth="1"/>
    <col min="11774" max="11774" width="1.85546875" style="172" customWidth="1"/>
    <col min="11775" max="11775" width="12.140625" style="172" customWidth="1"/>
    <col min="11776" max="11776" width="12.7109375" style="172" customWidth="1"/>
    <col min="11777" max="11779" width="11.42578125" style="172" customWidth="1"/>
    <col min="11780" max="11780" width="1.85546875" style="172" customWidth="1"/>
    <col min="11781" max="11781" width="13.5703125" style="172" customWidth="1"/>
    <col min="11782" max="11782" width="11.42578125" style="172" customWidth="1"/>
    <col min="11783" max="11784" width="12.42578125" style="172" customWidth="1"/>
    <col min="11785" max="12021" width="11.42578125" style="172"/>
    <col min="12022" max="12022" width="16.28515625" style="172" customWidth="1"/>
    <col min="12023" max="12026" width="11.42578125" style="172" customWidth="1"/>
    <col min="12027" max="12027" width="12" style="172" customWidth="1"/>
    <col min="12028" max="12029" width="11.42578125" style="172" customWidth="1"/>
    <col min="12030" max="12030" width="1.85546875" style="172" customWidth="1"/>
    <col min="12031" max="12031" width="12.140625" style="172" customWidth="1"/>
    <col min="12032" max="12032" width="12.7109375" style="172" customWidth="1"/>
    <col min="12033" max="12035" width="11.42578125" style="172" customWidth="1"/>
    <col min="12036" max="12036" width="1.85546875" style="172" customWidth="1"/>
    <col min="12037" max="12037" width="13.5703125" style="172" customWidth="1"/>
    <col min="12038" max="12038" width="11.42578125" style="172" customWidth="1"/>
    <col min="12039" max="12040" width="12.42578125" style="172" customWidth="1"/>
    <col min="12041" max="12277" width="11.42578125" style="172"/>
    <col min="12278" max="12278" width="16.28515625" style="172" customWidth="1"/>
    <col min="12279" max="12282" width="11.42578125" style="172" customWidth="1"/>
    <col min="12283" max="12283" width="12" style="172" customWidth="1"/>
    <col min="12284" max="12285" width="11.42578125" style="172" customWidth="1"/>
    <col min="12286" max="12286" width="1.85546875" style="172" customWidth="1"/>
    <col min="12287" max="12287" width="12.140625" style="172" customWidth="1"/>
    <col min="12288" max="12288" width="12.7109375" style="172" customWidth="1"/>
    <col min="12289" max="12291" width="11.42578125" style="172" customWidth="1"/>
    <col min="12292" max="12292" width="1.85546875" style="172" customWidth="1"/>
    <col min="12293" max="12293" width="13.5703125" style="172" customWidth="1"/>
    <col min="12294" max="12294" width="11.42578125" style="172" customWidth="1"/>
    <col min="12295" max="12296" width="12.42578125" style="172" customWidth="1"/>
    <col min="12297" max="12533" width="11.42578125" style="172"/>
    <col min="12534" max="12534" width="16.28515625" style="172" customWidth="1"/>
    <col min="12535" max="12538" width="11.42578125" style="172" customWidth="1"/>
    <col min="12539" max="12539" width="12" style="172" customWidth="1"/>
    <col min="12540" max="12541" width="11.42578125" style="172" customWidth="1"/>
    <col min="12542" max="12542" width="1.85546875" style="172" customWidth="1"/>
    <col min="12543" max="12543" width="12.140625" style="172" customWidth="1"/>
    <col min="12544" max="12544" width="12.7109375" style="172" customWidth="1"/>
    <col min="12545" max="12547" width="11.42578125" style="172" customWidth="1"/>
    <col min="12548" max="12548" width="1.85546875" style="172" customWidth="1"/>
    <col min="12549" max="12549" width="13.5703125" style="172" customWidth="1"/>
    <col min="12550" max="12550" width="11.42578125" style="172" customWidth="1"/>
    <col min="12551" max="12552" width="12.42578125" style="172" customWidth="1"/>
    <col min="12553" max="12789" width="11.42578125" style="172"/>
    <col min="12790" max="12790" width="16.28515625" style="172" customWidth="1"/>
    <col min="12791" max="12794" width="11.42578125" style="172" customWidth="1"/>
    <col min="12795" max="12795" width="12" style="172" customWidth="1"/>
    <col min="12796" max="12797" width="11.42578125" style="172" customWidth="1"/>
    <col min="12798" max="12798" width="1.85546875" style="172" customWidth="1"/>
    <col min="12799" max="12799" width="12.140625" style="172" customWidth="1"/>
    <col min="12800" max="12800" width="12.7109375" style="172" customWidth="1"/>
    <col min="12801" max="12803" width="11.42578125" style="172" customWidth="1"/>
    <col min="12804" max="12804" width="1.85546875" style="172" customWidth="1"/>
    <col min="12805" max="12805" width="13.5703125" style="172" customWidth="1"/>
    <col min="12806" max="12806" width="11.42578125" style="172" customWidth="1"/>
    <col min="12807" max="12808" width="12.42578125" style="172" customWidth="1"/>
    <col min="12809" max="13045" width="11.42578125" style="172"/>
    <col min="13046" max="13046" width="16.28515625" style="172" customWidth="1"/>
    <col min="13047" max="13050" width="11.42578125" style="172" customWidth="1"/>
    <col min="13051" max="13051" width="12" style="172" customWidth="1"/>
    <col min="13052" max="13053" width="11.42578125" style="172" customWidth="1"/>
    <col min="13054" max="13054" width="1.85546875" style="172" customWidth="1"/>
    <col min="13055" max="13055" width="12.140625" style="172" customWidth="1"/>
    <col min="13056" max="13056" width="12.7109375" style="172" customWidth="1"/>
    <col min="13057" max="13059" width="11.42578125" style="172" customWidth="1"/>
    <col min="13060" max="13060" width="1.85546875" style="172" customWidth="1"/>
    <col min="13061" max="13061" width="13.5703125" style="172" customWidth="1"/>
    <col min="13062" max="13062" width="11.42578125" style="172" customWidth="1"/>
    <col min="13063" max="13064" width="12.42578125" style="172" customWidth="1"/>
    <col min="13065" max="13301" width="11.42578125" style="172"/>
    <col min="13302" max="13302" width="16.28515625" style="172" customWidth="1"/>
    <col min="13303" max="13306" width="11.42578125" style="172" customWidth="1"/>
    <col min="13307" max="13307" width="12" style="172" customWidth="1"/>
    <col min="13308" max="13309" width="11.42578125" style="172" customWidth="1"/>
    <col min="13310" max="13310" width="1.85546875" style="172" customWidth="1"/>
    <col min="13311" max="13311" width="12.140625" style="172" customWidth="1"/>
    <col min="13312" max="13312" width="12.7109375" style="172" customWidth="1"/>
    <col min="13313" max="13315" width="11.42578125" style="172" customWidth="1"/>
    <col min="13316" max="13316" width="1.85546875" style="172" customWidth="1"/>
    <col min="13317" max="13317" width="13.5703125" style="172" customWidth="1"/>
    <col min="13318" max="13318" width="11.42578125" style="172" customWidth="1"/>
    <col min="13319" max="13320" width="12.42578125" style="172" customWidth="1"/>
    <col min="13321" max="13557" width="11.42578125" style="172"/>
    <col min="13558" max="13558" width="16.28515625" style="172" customWidth="1"/>
    <col min="13559" max="13562" width="11.42578125" style="172" customWidth="1"/>
    <col min="13563" max="13563" width="12" style="172" customWidth="1"/>
    <col min="13564" max="13565" width="11.42578125" style="172" customWidth="1"/>
    <col min="13566" max="13566" width="1.85546875" style="172" customWidth="1"/>
    <col min="13567" max="13567" width="12.140625" style="172" customWidth="1"/>
    <col min="13568" max="13568" width="12.7109375" style="172" customWidth="1"/>
    <col min="13569" max="13571" width="11.42578125" style="172" customWidth="1"/>
    <col min="13572" max="13572" width="1.85546875" style="172" customWidth="1"/>
    <col min="13573" max="13573" width="13.5703125" style="172" customWidth="1"/>
    <col min="13574" max="13574" width="11.42578125" style="172" customWidth="1"/>
    <col min="13575" max="13576" width="12.42578125" style="172" customWidth="1"/>
    <col min="13577" max="13813" width="11.42578125" style="172"/>
    <col min="13814" max="13814" width="16.28515625" style="172" customWidth="1"/>
    <col min="13815" max="13818" width="11.42578125" style="172" customWidth="1"/>
    <col min="13819" max="13819" width="12" style="172" customWidth="1"/>
    <col min="13820" max="13821" width="11.42578125" style="172" customWidth="1"/>
    <col min="13822" max="13822" width="1.85546875" style="172" customWidth="1"/>
    <col min="13823" max="13823" width="12.140625" style="172" customWidth="1"/>
    <col min="13824" max="13824" width="12.7109375" style="172" customWidth="1"/>
    <col min="13825" max="13827" width="11.42578125" style="172" customWidth="1"/>
    <col min="13828" max="13828" width="1.85546875" style="172" customWidth="1"/>
    <col min="13829" max="13829" width="13.5703125" style="172" customWidth="1"/>
    <col min="13830" max="13830" width="11.42578125" style="172" customWidth="1"/>
    <col min="13831" max="13832" width="12.42578125" style="172" customWidth="1"/>
    <col min="13833" max="14069" width="11.42578125" style="172"/>
    <col min="14070" max="14070" width="16.28515625" style="172" customWidth="1"/>
    <col min="14071" max="14074" width="11.42578125" style="172" customWidth="1"/>
    <col min="14075" max="14075" width="12" style="172" customWidth="1"/>
    <col min="14076" max="14077" width="11.42578125" style="172" customWidth="1"/>
    <col min="14078" max="14078" width="1.85546875" style="172" customWidth="1"/>
    <col min="14079" max="14079" width="12.140625" style="172" customWidth="1"/>
    <col min="14080" max="14080" width="12.7109375" style="172" customWidth="1"/>
    <col min="14081" max="14083" width="11.42578125" style="172" customWidth="1"/>
    <col min="14084" max="14084" width="1.85546875" style="172" customWidth="1"/>
    <col min="14085" max="14085" width="13.5703125" style="172" customWidth="1"/>
    <col min="14086" max="14086" width="11.42578125" style="172" customWidth="1"/>
    <col min="14087" max="14088" width="12.42578125" style="172" customWidth="1"/>
    <col min="14089" max="14325" width="11.42578125" style="172"/>
    <col min="14326" max="14326" width="16.28515625" style="172" customWidth="1"/>
    <col min="14327" max="14330" width="11.42578125" style="172" customWidth="1"/>
    <col min="14331" max="14331" width="12" style="172" customWidth="1"/>
    <col min="14332" max="14333" width="11.42578125" style="172" customWidth="1"/>
    <col min="14334" max="14334" width="1.85546875" style="172" customWidth="1"/>
    <col min="14335" max="14335" width="12.140625" style="172" customWidth="1"/>
    <col min="14336" max="14336" width="12.7109375" style="172" customWidth="1"/>
    <col min="14337" max="14339" width="11.42578125" style="172" customWidth="1"/>
    <col min="14340" max="14340" width="1.85546875" style="172" customWidth="1"/>
    <col min="14341" max="14341" width="13.5703125" style="172" customWidth="1"/>
    <col min="14342" max="14342" width="11.42578125" style="172" customWidth="1"/>
    <col min="14343" max="14344" width="12.42578125" style="172" customWidth="1"/>
    <col min="14345" max="14581" width="11.42578125" style="172"/>
    <col min="14582" max="14582" width="16.28515625" style="172" customWidth="1"/>
    <col min="14583" max="14586" width="11.42578125" style="172" customWidth="1"/>
    <col min="14587" max="14587" width="12" style="172" customWidth="1"/>
    <col min="14588" max="14589" width="11.42578125" style="172" customWidth="1"/>
    <col min="14590" max="14590" width="1.85546875" style="172" customWidth="1"/>
    <col min="14591" max="14591" width="12.140625" style="172" customWidth="1"/>
    <col min="14592" max="14592" width="12.7109375" style="172" customWidth="1"/>
    <col min="14593" max="14595" width="11.42578125" style="172" customWidth="1"/>
    <col min="14596" max="14596" width="1.85546875" style="172" customWidth="1"/>
    <col min="14597" max="14597" width="13.5703125" style="172" customWidth="1"/>
    <col min="14598" max="14598" width="11.42578125" style="172" customWidth="1"/>
    <col min="14599" max="14600" width="12.42578125" style="172" customWidth="1"/>
    <col min="14601" max="14837" width="11.42578125" style="172"/>
    <col min="14838" max="14838" width="16.28515625" style="172" customWidth="1"/>
    <col min="14839" max="14842" width="11.42578125" style="172" customWidth="1"/>
    <col min="14843" max="14843" width="12" style="172" customWidth="1"/>
    <col min="14844" max="14845" width="11.42578125" style="172" customWidth="1"/>
    <col min="14846" max="14846" width="1.85546875" style="172" customWidth="1"/>
    <col min="14847" max="14847" width="12.140625" style="172" customWidth="1"/>
    <col min="14848" max="14848" width="12.7109375" style="172" customWidth="1"/>
    <col min="14849" max="14851" width="11.42578125" style="172" customWidth="1"/>
    <col min="14852" max="14852" width="1.85546875" style="172" customWidth="1"/>
    <col min="14853" max="14853" width="13.5703125" style="172" customWidth="1"/>
    <col min="14854" max="14854" width="11.42578125" style="172" customWidth="1"/>
    <col min="14855" max="14856" width="12.42578125" style="172" customWidth="1"/>
    <col min="14857" max="15093" width="11.42578125" style="172"/>
    <col min="15094" max="15094" width="16.28515625" style="172" customWidth="1"/>
    <col min="15095" max="15098" width="11.42578125" style="172" customWidth="1"/>
    <col min="15099" max="15099" width="12" style="172" customWidth="1"/>
    <col min="15100" max="15101" width="11.42578125" style="172" customWidth="1"/>
    <col min="15102" max="15102" width="1.85546875" style="172" customWidth="1"/>
    <col min="15103" max="15103" width="12.140625" style="172" customWidth="1"/>
    <col min="15104" max="15104" width="12.7109375" style="172" customWidth="1"/>
    <col min="15105" max="15107" width="11.42578125" style="172" customWidth="1"/>
    <col min="15108" max="15108" width="1.85546875" style="172" customWidth="1"/>
    <col min="15109" max="15109" width="13.5703125" style="172" customWidth="1"/>
    <col min="15110" max="15110" width="11.42578125" style="172" customWidth="1"/>
    <col min="15111" max="15112" width="12.42578125" style="172" customWidth="1"/>
    <col min="15113" max="15349" width="11.42578125" style="172"/>
    <col min="15350" max="15350" width="16.28515625" style="172" customWidth="1"/>
    <col min="15351" max="15354" width="11.42578125" style="172" customWidth="1"/>
    <col min="15355" max="15355" width="12" style="172" customWidth="1"/>
    <col min="15356" max="15357" width="11.42578125" style="172" customWidth="1"/>
    <col min="15358" max="15358" width="1.85546875" style="172" customWidth="1"/>
    <col min="15359" max="15359" width="12.140625" style="172" customWidth="1"/>
    <col min="15360" max="15360" width="12.7109375" style="172" customWidth="1"/>
    <col min="15361" max="15363" width="11.42578125" style="172" customWidth="1"/>
    <col min="15364" max="15364" width="1.85546875" style="172" customWidth="1"/>
    <col min="15365" max="15365" width="13.5703125" style="172" customWidth="1"/>
    <col min="15366" max="15366" width="11.42578125" style="172" customWidth="1"/>
    <col min="15367" max="15368" width="12.42578125" style="172" customWidth="1"/>
    <col min="15369" max="15605" width="11.42578125" style="172"/>
    <col min="15606" max="15606" width="16.28515625" style="172" customWidth="1"/>
    <col min="15607" max="15610" width="11.42578125" style="172" customWidth="1"/>
    <col min="15611" max="15611" width="12" style="172" customWidth="1"/>
    <col min="15612" max="15613" width="11.42578125" style="172" customWidth="1"/>
    <col min="15614" max="15614" width="1.85546875" style="172" customWidth="1"/>
    <col min="15615" max="15615" width="12.140625" style="172" customWidth="1"/>
    <col min="15616" max="15616" width="12.7109375" style="172" customWidth="1"/>
    <col min="15617" max="15619" width="11.42578125" style="172" customWidth="1"/>
    <col min="15620" max="15620" width="1.85546875" style="172" customWidth="1"/>
    <col min="15621" max="15621" width="13.5703125" style="172" customWidth="1"/>
    <col min="15622" max="15622" width="11.42578125" style="172" customWidth="1"/>
    <col min="15623" max="15624" width="12.42578125" style="172" customWidth="1"/>
    <col min="15625" max="15861" width="11.42578125" style="172"/>
    <col min="15862" max="15862" width="16.28515625" style="172" customWidth="1"/>
    <col min="15863" max="15866" width="11.42578125" style="172" customWidth="1"/>
    <col min="15867" max="15867" width="12" style="172" customWidth="1"/>
    <col min="15868" max="15869" width="11.42578125" style="172" customWidth="1"/>
    <col min="15870" max="15870" width="1.85546875" style="172" customWidth="1"/>
    <col min="15871" max="15871" width="12.140625" style="172" customWidth="1"/>
    <col min="15872" max="15872" width="12.7109375" style="172" customWidth="1"/>
    <col min="15873" max="15875" width="11.42578125" style="172" customWidth="1"/>
    <col min="15876" max="15876" width="1.85546875" style="172" customWidth="1"/>
    <col min="15877" max="15877" width="13.5703125" style="172" customWidth="1"/>
    <col min="15878" max="15878" width="11.42578125" style="172" customWidth="1"/>
    <col min="15879" max="15880" width="12.42578125" style="172" customWidth="1"/>
    <col min="15881" max="16117" width="11.42578125" style="172"/>
    <col min="16118" max="16118" width="16.28515625" style="172" customWidth="1"/>
    <col min="16119" max="16122" width="11.42578125" style="172" customWidth="1"/>
    <col min="16123" max="16123" width="12" style="172" customWidth="1"/>
    <col min="16124" max="16125" width="11.42578125" style="172" customWidth="1"/>
    <col min="16126" max="16126" width="1.85546875" style="172" customWidth="1"/>
    <col min="16127" max="16127" width="12.140625" style="172" customWidth="1"/>
    <col min="16128" max="16128" width="12.7109375" style="172" customWidth="1"/>
    <col min="16129" max="16131" width="11.42578125" style="172" customWidth="1"/>
    <col min="16132" max="16132" width="1.85546875" style="172" customWidth="1"/>
    <col min="16133" max="16133" width="13.5703125" style="172" customWidth="1"/>
    <col min="16134" max="16134" width="11.42578125" style="172" customWidth="1"/>
    <col min="16135" max="16136" width="12.42578125" style="172" customWidth="1"/>
    <col min="16137" max="16384" width="11.42578125" style="172"/>
  </cols>
  <sheetData>
    <row r="1" spans="1:37">
      <c r="A1" s="171" t="s">
        <v>0</v>
      </c>
    </row>
    <row r="2" spans="1:37">
      <c r="A2" s="171" t="s">
        <v>1</v>
      </c>
    </row>
    <row r="3" spans="1:37" ht="12.75" thickBot="1"/>
    <row r="4" spans="1:37" ht="15" customHeight="1">
      <c r="A4" s="393" t="s">
        <v>1145</v>
      </c>
      <c r="B4" s="394"/>
      <c r="C4" s="394"/>
      <c r="D4" s="394"/>
      <c r="E4" s="394"/>
      <c r="F4" s="394"/>
      <c r="G4" s="394"/>
      <c r="H4" s="395"/>
      <c r="J4" s="393" t="s">
        <v>1146</v>
      </c>
      <c r="K4" s="394"/>
      <c r="L4" s="394"/>
      <c r="M4" s="394"/>
      <c r="N4" s="394"/>
      <c r="O4" s="394"/>
      <c r="P4" s="394"/>
      <c r="Q4" s="395"/>
      <c r="S4" s="393" t="s">
        <v>421</v>
      </c>
      <c r="T4" s="394"/>
      <c r="U4" s="394"/>
      <c r="V4" s="394"/>
      <c r="W4" s="394"/>
      <c r="X4" s="394"/>
      <c r="Y4" s="394"/>
      <c r="Z4" s="395"/>
      <c r="AB4" s="393" t="s">
        <v>423</v>
      </c>
      <c r="AC4" s="394"/>
      <c r="AD4" s="394"/>
      <c r="AE4" s="394"/>
      <c r="AF4" s="394"/>
      <c r="AG4" s="394"/>
      <c r="AH4" s="394"/>
      <c r="AI4" s="395"/>
    </row>
    <row r="5" spans="1:37">
      <c r="A5" s="396"/>
      <c r="B5" s="397"/>
      <c r="C5" s="397"/>
      <c r="D5" s="397"/>
      <c r="E5" s="397"/>
      <c r="F5" s="397"/>
      <c r="G5" s="397"/>
      <c r="H5" s="398"/>
      <c r="J5" s="396"/>
      <c r="K5" s="397"/>
      <c r="L5" s="397"/>
      <c r="M5" s="397"/>
      <c r="N5" s="397"/>
      <c r="O5" s="397"/>
      <c r="P5" s="397"/>
      <c r="Q5" s="398"/>
      <c r="S5" s="396"/>
      <c r="T5" s="397"/>
      <c r="U5" s="397"/>
      <c r="V5" s="397"/>
      <c r="W5" s="397"/>
      <c r="X5" s="397"/>
      <c r="Y5" s="397"/>
      <c r="Z5" s="398"/>
      <c r="AB5" s="396"/>
      <c r="AC5" s="397"/>
      <c r="AD5" s="397"/>
      <c r="AE5" s="397"/>
      <c r="AF5" s="397"/>
      <c r="AG5" s="397"/>
      <c r="AH5" s="397"/>
      <c r="AI5" s="398"/>
    </row>
    <row r="6" spans="1:37">
      <c r="A6" s="173"/>
      <c r="F6" s="174" t="s">
        <v>2</v>
      </c>
      <c r="G6" s="174" t="s">
        <v>3</v>
      </c>
      <c r="H6" s="175" t="s">
        <v>4</v>
      </c>
      <c r="I6" s="174"/>
      <c r="J6" s="173"/>
      <c r="O6" s="174" t="s">
        <v>2</v>
      </c>
      <c r="P6" s="174" t="s">
        <v>3</v>
      </c>
      <c r="Q6" s="175" t="s">
        <v>4</v>
      </c>
      <c r="S6" s="173"/>
      <c r="X6" s="174" t="s">
        <v>2</v>
      </c>
      <c r="Y6" s="174" t="s">
        <v>3</v>
      </c>
      <c r="Z6" s="175" t="s">
        <v>4</v>
      </c>
      <c r="AB6" s="173"/>
      <c r="AG6" s="174" t="s">
        <v>2</v>
      </c>
      <c r="AH6" s="174" t="s">
        <v>3</v>
      </c>
      <c r="AI6" s="175" t="s">
        <v>4</v>
      </c>
    </row>
    <row r="7" spans="1:37">
      <c r="A7" s="176" t="s">
        <v>5</v>
      </c>
      <c r="B7" s="174" t="s">
        <v>6</v>
      </c>
      <c r="C7" s="174" t="s">
        <v>7</v>
      </c>
      <c r="D7" s="174" t="s">
        <v>8</v>
      </c>
      <c r="E7" s="174" t="s">
        <v>9</v>
      </c>
      <c r="F7" s="174" t="s">
        <v>10</v>
      </c>
      <c r="G7" s="174" t="s">
        <v>10</v>
      </c>
      <c r="H7" s="175" t="s">
        <v>11</v>
      </c>
      <c r="I7" s="174"/>
      <c r="J7" s="176" t="s">
        <v>5</v>
      </c>
      <c r="K7" s="174" t="s">
        <v>6</v>
      </c>
      <c r="L7" s="174" t="s">
        <v>7</v>
      </c>
      <c r="M7" s="174" t="s">
        <v>8</v>
      </c>
      <c r="N7" s="174" t="s">
        <v>9</v>
      </c>
      <c r="O7" s="174" t="s">
        <v>10</v>
      </c>
      <c r="P7" s="174" t="s">
        <v>10</v>
      </c>
      <c r="Q7" s="175" t="s">
        <v>11</v>
      </c>
      <c r="S7" s="176" t="s">
        <v>5</v>
      </c>
      <c r="T7" s="174" t="s">
        <v>6</v>
      </c>
      <c r="U7" s="174" t="s">
        <v>7</v>
      </c>
      <c r="V7" s="174" t="s">
        <v>8</v>
      </c>
      <c r="W7" s="174" t="s">
        <v>9</v>
      </c>
      <c r="X7" s="174" t="s">
        <v>10</v>
      </c>
      <c r="Y7" s="174" t="s">
        <v>10</v>
      </c>
      <c r="Z7" s="175" t="s">
        <v>11</v>
      </c>
      <c r="AB7" s="176" t="s">
        <v>5</v>
      </c>
      <c r="AC7" s="174" t="s">
        <v>6</v>
      </c>
      <c r="AD7" s="174" t="s">
        <v>7</v>
      </c>
      <c r="AE7" s="174" t="s">
        <v>8</v>
      </c>
      <c r="AF7" s="174" t="s">
        <v>9</v>
      </c>
      <c r="AG7" s="174" t="s">
        <v>10</v>
      </c>
      <c r="AH7" s="174" t="s">
        <v>10</v>
      </c>
      <c r="AI7" s="175" t="s">
        <v>11</v>
      </c>
      <c r="AK7" s="386"/>
    </row>
    <row r="8" spans="1:37">
      <c r="A8" s="177"/>
      <c r="B8" s="174"/>
      <c r="C8" s="174"/>
      <c r="D8" s="174" t="s">
        <v>6</v>
      </c>
      <c r="E8" s="174" t="s">
        <v>8</v>
      </c>
      <c r="F8" s="163">
        <v>44562</v>
      </c>
      <c r="G8" s="163">
        <v>44926</v>
      </c>
      <c r="H8" s="166">
        <f>G8</f>
        <v>44926</v>
      </c>
      <c r="I8" s="178"/>
      <c r="J8" s="177"/>
      <c r="K8" s="174"/>
      <c r="L8" s="174"/>
      <c r="M8" s="174" t="s">
        <v>6</v>
      </c>
      <c r="N8" s="174" t="s">
        <v>8</v>
      </c>
      <c r="O8" s="163">
        <f>F8</f>
        <v>44562</v>
      </c>
      <c r="P8" s="163">
        <f>G8</f>
        <v>44926</v>
      </c>
      <c r="Q8" s="166">
        <f>H8</f>
        <v>44926</v>
      </c>
      <c r="S8" s="177"/>
      <c r="T8" s="174"/>
      <c r="U8" s="174"/>
      <c r="V8" s="174" t="s">
        <v>6</v>
      </c>
      <c r="W8" s="174" t="s">
        <v>8</v>
      </c>
      <c r="X8" s="163">
        <f>O8</f>
        <v>44562</v>
      </c>
      <c r="Y8" s="163">
        <f>P8</f>
        <v>44926</v>
      </c>
      <c r="Z8" s="166">
        <f>Q8</f>
        <v>44926</v>
      </c>
      <c r="AB8" s="177"/>
      <c r="AC8" s="174"/>
      <c r="AD8" s="174"/>
      <c r="AE8" s="174" t="s">
        <v>6</v>
      </c>
      <c r="AF8" s="174" t="s">
        <v>8</v>
      </c>
      <c r="AG8" s="163">
        <f>X8</f>
        <v>44562</v>
      </c>
      <c r="AH8" s="163">
        <f>Y8</f>
        <v>44926</v>
      </c>
      <c r="AI8" s="166">
        <f>Z8</f>
        <v>44926</v>
      </c>
    </row>
    <row r="9" spans="1:37">
      <c r="A9" s="179" t="s">
        <v>12</v>
      </c>
      <c r="B9" s="180"/>
      <c r="H9" s="181"/>
      <c r="J9" s="179" t="s">
        <v>12</v>
      </c>
      <c r="K9" s="180"/>
      <c r="Q9" s="181"/>
      <c r="S9" s="179" t="s">
        <v>12</v>
      </c>
      <c r="T9" s="180"/>
      <c r="Z9" s="181"/>
      <c r="AB9" s="179" t="s">
        <v>12</v>
      </c>
      <c r="AC9" s="180"/>
      <c r="AI9" s="181"/>
    </row>
    <row r="10" spans="1:37">
      <c r="A10" s="173" t="s">
        <v>13</v>
      </c>
      <c r="B10" s="182">
        <f>+'Truck Depr - w Salvage '!L38</f>
        <v>1968081.5999999999</v>
      </c>
      <c r="C10" s="182">
        <f>B10-D10</f>
        <v>0</v>
      </c>
      <c r="D10" s="182">
        <f>+'Truck Depr - w Salvage '!M38</f>
        <v>1968081.5999999999</v>
      </c>
      <c r="E10" s="182">
        <f>+'Truck Depr - w Salvage '!P38</f>
        <v>168628.92133333543</v>
      </c>
      <c r="F10" s="182">
        <f>+'Truck Depr - w Salvage '!R38</f>
        <v>988572.26916665549</v>
      </c>
      <c r="G10" s="182">
        <f>+'Truck Depr - w Salvage '!S38</f>
        <v>1157201.1904999909</v>
      </c>
      <c r="H10" s="183">
        <f>+'Truck Depr - w Salvage '!T38</f>
        <v>810880.40950000891</v>
      </c>
      <c r="J10" s="173" t="s">
        <v>13</v>
      </c>
      <c r="K10" s="182">
        <f>IFERROR(VLOOKUP($J10,'FAR Dep Summary'!$A$19:$F$29,2,FALSE),0)</f>
        <v>329251.27</v>
      </c>
      <c r="L10" s="182">
        <f>K10-M10</f>
        <v>0</v>
      </c>
      <c r="M10" s="182">
        <f>K10</f>
        <v>329251.27</v>
      </c>
      <c r="N10" s="182">
        <f>IFERROR(VLOOKUP($J10,'FAR Dep Summary'!$A$19:$F$29,3,FALSE),0)</f>
        <v>33008.867000000006</v>
      </c>
      <c r="O10" s="182">
        <f>IFERROR(VLOOKUP($J10,'FAR Dep Summary'!$A$19:$F$29,4,FALSE),0)</f>
        <v>0</v>
      </c>
      <c r="P10" s="182">
        <f>IFERROR(VLOOKUP($J10,'FAR Dep Summary'!$A$19:$F$29,5,FALSE),0)</f>
        <v>33008.867000000006</v>
      </c>
      <c r="Q10" s="183">
        <f>IFERROR(VLOOKUP($J10,'FAR Dep Summary'!$A$19:$F$29,6,FALSE),0)</f>
        <v>296242.40299999999</v>
      </c>
      <c r="S10" s="173" t="s">
        <v>13</v>
      </c>
      <c r="T10" s="182">
        <f>+IFERROR(VLOOKUP($S10,'2023 Bud Capital'!$Q$57:$Y$64,3,FALSE),0)</f>
        <v>0</v>
      </c>
      <c r="U10" s="182">
        <f>+IFERROR(VLOOKUP($S10,'2023 Bud Capital'!$Q$57:$Y$64,4,FALSE),0)</f>
        <v>0</v>
      </c>
      <c r="V10" s="182">
        <f>+T10-U10</f>
        <v>0</v>
      </c>
      <c r="W10" s="182">
        <f>+IFERROR(VLOOKUP($S10,'2023 Bud Capital'!$Q$57:$Y$64,6,FALSE),0)</f>
        <v>0</v>
      </c>
      <c r="X10" s="182">
        <f>+IFERROR(VLOOKUP($S10,'2023 Bud Capital'!$Q$57:$Y$64,7,FALSE),0)</f>
        <v>0</v>
      </c>
      <c r="Y10" s="182">
        <f>+IFERROR(VLOOKUP($S10,'2023 Bud Capital'!$Q$57:$Y$64,8,FALSE),0)</f>
        <v>0</v>
      </c>
      <c r="Z10" s="183">
        <f>+IFERROR(VLOOKUP($S10,'2023 Bud Capital'!$Q$57:$Y$64,9,FALSE),0)</f>
        <v>0</v>
      </c>
      <c r="AB10" s="173" t="s">
        <v>13</v>
      </c>
      <c r="AC10" s="182">
        <f>B10+K10+T10</f>
        <v>2297332.87</v>
      </c>
      <c r="AD10" s="182">
        <f t="shared" ref="AD10:AI10" si="0">C10+L10+U10</f>
        <v>0</v>
      </c>
      <c r="AE10" s="182">
        <f t="shared" si="0"/>
        <v>2297332.87</v>
      </c>
      <c r="AF10" s="182">
        <f t="shared" si="0"/>
        <v>201637.78833333543</v>
      </c>
      <c r="AG10" s="182">
        <f t="shared" si="0"/>
        <v>988572.26916665549</v>
      </c>
      <c r="AH10" s="182">
        <f t="shared" si="0"/>
        <v>1190210.057499991</v>
      </c>
      <c r="AI10" s="183">
        <f t="shared" si="0"/>
        <v>1107122.8125000088</v>
      </c>
      <c r="AK10" s="386"/>
    </row>
    <row r="11" spans="1:37">
      <c r="A11" s="179"/>
      <c r="B11" s="180"/>
      <c r="H11" s="181"/>
      <c r="J11" s="179"/>
      <c r="K11" s="180"/>
      <c r="Q11" s="181"/>
      <c r="S11" s="179"/>
      <c r="T11" s="180"/>
      <c r="Z11" s="181"/>
      <c r="AB11" s="179"/>
      <c r="AC11" s="180"/>
      <c r="AI11" s="181"/>
    </row>
    <row r="12" spans="1:37">
      <c r="A12" s="173" t="s">
        <v>14</v>
      </c>
      <c r="B12" s="182">
        <f>+'Truck Depr - w Salvage '!L56</f>
        <v>566346.12</v>
      </c>
      <c r="C12" s="182">
        <f>B12-D12</f>
        <v>0</v>
      </c>
      <c r="D12" s="182">
        <f>+'Truck Depr - w Salvage '!M56</f>
        <v>566346.12</v>
      </c>
      <c r="E12" s="182">
        <f>+'Truck Depr - w Salvage '!P56</f>
        <v>41102.750815898798</v>
      </c>
      <c r="F12" s="182">
        <f>+'Truck Depr - w Salvage '!R56</f>
        <v>285359.41611282283</v>
      </c>
      <c r="G12" s="182">
        <f>+'Truck Depr - w Salvage '!S56</f>
        <v>326462.16692872165</v>
      </c>
      <c r="H12" s="183">
        <f>+'Truck Depr - w Salvage '!T56</f>
        <v>239883.95307127832</v>
      </c>
      <c r="I12" s="180"/>
      <c r="J12" s="173" t="s">
        <v>14</v>
      </c>
      <c r="K12" s="182">
        <f>IFERROR(VLOOKUP($J12,'FAR Dep Summary'!$A$19:$F$29,2,FALSE),0)</f>
        <v>0</v>
      </c>
      <c r="L12" s="182">
        <f>K12-M12</f>
        <v>0</v>
      </c>
      <c r="M12" s="182">
        <f>K12</f>
        <v>0</v>
      </c>
      <c r="N12" s="182">
        <f>IFERROR(VLOOKUP($J12,'FAR Dep Summary'!$A$19:$F$29,3,FALSE),0)</f>
        <v>0</v>
      </c>
      <c r="O12" s="182">
        <f>IFERROR(VLOOKUP($J12,'FAR Dep Summary'!$A$19:$F$29,4,FALSE),0)</f>
        <v>0</v>
      </c>
      <c r="P12" s="182">
        <f>IFERROR(VLOOKUP($J12,'FAR Dep Summary'!$A$19:$F$29,5,FALSE),0)</f>
        <v>0</v>
      </c>
      <c r="Q12" s="183">
        <f>IFERROR(VLOOKUP($J12,'FAR Dep Summary'!$A$19:$F$29,6,FALSE),0)</f>
        <v>0</v>
      </c>
      <c r="S12" s="173" t="s">
        <v>14</v>
      </c>
      <c r="T12" s="182">
        <f>+IFERROR(VLOOKUP($S12,'2023 Bud Capital'!$Q$57:$Y$64,3,FALSE),0)</f>
        <v>0</v>
      </c>
      <c r="U12" s="182">
        <f>+IFERROR(VLOOKUP($S12,'2023 Bud Capital'!$Q$57:$Y$64,4,FALSE),0)</f>
        <v>0</v>
      </c>
      <c r="V12" s="182">
        <f>+T12-U12</f>
        <v>0</v>
      </c>
      <c r="W12" s="182">
        <f>+IFERROR(VLOOKUP($S12,'2023 Bud Capital'!$Q$57:$Y$64,6,FALSE),0)</f>
        <v>0</v>
      </c>
      <c r="X12" s="182">
        <f>+IFERROR(VLOOKUP($S12,'2023 Bud Capital'!$Q$57:$Y$64,7,FALSE),0)</f>
        <v>0</v>
      </c>
      <c r="Y12" s="182">
        <f>+IFERROR(VLOOKUP($S12,'2023 Bud Capital'!$Q$57:$Y$64,8,FALSE),0)</f>
        <v>0</v>
      </c>
      <c r="Z12" s="183">
        <f>+IFERROR(VLOOKUP($S12,'2023 Bud Capital'!$Q$57:$Y$64,9,FALSE),0)</f>
        <v>0</v>
      </c>
      <c r="AB12" s="173" t="s">
        <v>14</v>
      </c>
      <c r="AC12" s="182">
        <f>B12+K12+T12</f>
        <v>566346.12</v>
      </c>
      <c r="AD12" s="182">
        <f t="shared" ref="AD12" si="1">C12+L12+U12</f>
        <v>0</v>
      </c>
      <c r="AE12" s="182">
        <f t="shared" ref="AE12" si="2">D12+M12+V12</f>
        <v>566346.12</v>
      </c>
      <c r="AF12" s="182">
        <f t="shared" ref="AF12" si="3">E12+N12+W12</f>
        <v>41102.750815898798</v>
      </c>
      <c r="AG12" s="182">
        <f t="shared" ref="AG12" si="4">F12+O12+X12</f>
        <v>285359.41611282283</v>
      </c>
      <c r="AH12" s="182">
        <f t="shared" ref="AH12" si="5">G12+P12+Y12</f>
        <v>326462.16692872165</v>
      </c>
      <c r="AI12" s="183">
        <f t="shared" ref="AI12" si="6">H12+Q12+Z12</f>
        <v>239883.95307127832</v>
      </c>
      <c r="AK12" s="386"/>
    </row>
    <row r="13" spans="1:37">
      <c r="A13" s="173"/>
      <c r="B13" s="182"/>
      <c r="C13" s="182"/>
      <c r="D13" s="182"/>
      <c r="E13" s="182"/>
      <c r="F13" s="182"/>
      <c r="G13" s="182"/>
      <c r="H13" s="183"/>
      <c r="I13" s="180"/>
      <c r="J13" s="173"/>
      <c r="K13" s="182"/>
      <c r="L13" s="182"/>
      <c r="M13" s="182"/>
      <c r="N13" s="182"/>
      <c r="O13" s="182"/>
      <c r="P13" s="182"/>
      <c r="Q13" s="183"/>
      <c r="S13" s="173"/>
      <c r="T13" s="182"/>
      <c r="U13" s="182"/>
      <c r="V13" s="182"/>
      <c r="W13" s="182"/>
      <c r="X13" s="182"/>
      <c r="Y13" s="182"/>
      <c r="Z13" s="183"/>
      <c r="AB13" s="173"/>
      <c r="AC13" s="182"/>
      <c r="AD13" s="182"/>
      <c r="AE13" s="182"/>
      <c r="AF13" s="182"/>
      <c r="AG13" s="182"/>
      <c r="AH13" s="182"/>
      <c r="AI13" s="183"/>
    </row>
    <row r="14" spans="1:37">
      <c r="A14" s="173" t="s">
        <v>313</v>
      </c>
      <c r="B14" s="182">
        <f>+'Truck Depr - w Salvage '!L63</f>
        <v>127259.98999999999</v>
      </c>
      <c r="C14" s="182">
        <f>B14-D14</f>
        <v>0</v>
      </c>
      <c r="D14" s="182">
        <f>+'Truck Depr - w Salvage '!M63</f>
        <v>127259.98999999999</v>
      </c>
      <c r="E14" s="182">
        <f>+'Truck Depr - w Salvage '!P63</f>
        <v>12.612486620416249</v>
      </c>
      <c r="F14" s="182">
        <f>+'Truck Depr - w Salvage '!R63</f>
        <v>101871.05443310208</v>
      </c>
      <c r="G14" s="182">
        <f>+'Truck Depr - w Salvage '!S63</f>
        <v>101883.6669197225</v>
      </c>
      <c r="H14" s="183">
        <f>+'Truck Depr - w Salvage '!T63</f>
        <v>25376.3230802775</v>
      </c>
      <c r="I14" s="180"/>
      <c r="J14" s="173" t="s">
        <v>313</v>
      </c>
      <c r="K14" s="182">
        <f>IFERROR(VLOOKUP($J14,'FAR Dep Summary'!$A$19:$F$29,2,FALSE),0)</f>
        <v>31451.360000000001</v>
      </c>
      <c r="L14" s="182">
        <f>K14-M14</f>
        <v>0</v>
      </c>
      <c r="M14" s="182">
        <f>K14</f>
        <v>31451.360000000001</v>
      </c>
      <c r="N14" s="182">
        <f>IFERROR(VLOOKUP($J14,'FAR Dep Summary'!$A$19:$F$29,3,FALSE),0)</f>
        <v>10483.786666666665</v>
      </c>
      <c r="O14" s="182">
        <f>IFERROR(VLOOKUP($J14,'FAR Dep Summary'!$A$19:$F$29,4,FALSE),0)</f>
        <v>0</v>
      </c>
      <c r="P14" s="182">
        <f>IFERROR(VLOOKUP($J14,'FAR Dep Summary'!$A$19:$F$29,5,FALSE),0)</f>
        <v>10483.786666666665</v>
      </c>
      <c r="Q14" s="183">
        <f>IFERROR(VLOOKUP($J14,'FAR Dep Summary'!$A$19:$F$29,6,FALSE),0)</f>
        <v>20967.573333333334</v>
      </c>
      <c r="S14" s="173" t="s">
        <v>313</v>
      </c>
      <c r="T14" s="182">
        <f>+IFERROR(VLOOKUP($S14,'2023 Bud Capital'!$Q$57:$Y$64,3,FALSE),0)</f>
        <v>0</v>
      </c>
      <c r="U14" s="182">
        <f>+IFERROR(VLOOKUP($S14,'2023 Bud Capital'!$Q$57:$Y$64,4,FALSE),0)</f>
        <v>0</v>
      </c>
      <c r="V14" s="182">
        <f>+T14-U14</f>
        <v>0</v>
      </c>
      <c r="W14" s="182">
        <f>+IFERROR(VLOOKUP($S14,'2023 Bud Capital'!$Q$57:$Y$64,6,FALSE),0)</f>
        <v>0</v>
      </c>
      <c r="X14" s="182">
        <f>+IFERROR(VLOOKUP($S14,'2023 Bud Capital'!$Q$57:$Y$64,7,FALSE),0)</f>
        <v>0</v>
      </c>
      <c r="Y14" s="182">
        <f>+IFERROR(VLOOKUP($S14,'2023 Bud Capital'!$Q$57:$Y$64,8,FALSE),0)</f>
        <v>0</v>
      </c>
      <c r="Z14" s="183">
        <f>+IFERROR(VLOOKUP($S14,'2023 Bud Capital'!$Q$57:$Y$64,9,FALSE),0)</f>
        <v>0</v>
      </c>
      <c r="AB14" s="173" t="s">
        <v>313</v>
      </c>
      <c r="AC14" s="182">
        <f>B14+K14+T14</f>
        <v>158711.34999999998</v>
      </c>
      <c r="AD14" s="182">
        <f t="shared" ref="AD14" si="7">C14+L14+U14</f>
        <v>0</v>
      </c>
      <c r="AE14" s="182">
        <f t="shared" ref="AE14" si="8">D14+M14+V14</f>
        <v>158711.34999999998</v>
      </c>
      <c r="AF14" s="182">
        <f t="shared" ref="AF14" si="9">E14+N14+W14</f>
        <v>10496.39915328708</v>
      </c>
      <c r="AG14" s="182">
        <f t="shared" ref="AG14" si="10">F14+O14+X14</f>
        <v>101871.05443310208</v>
      </c>
      <c r="AH14" s="182">
        <f t="shared" ref="AH14" si="11">G14+P14+Y14</f>
        <v>112367.45358638917</v>
      </c>
      <c r="AI14" s="183">
        <f t="shared" ref="AI14" si="12">H14+Q14+Z14</f>
        <v>46343.896413610833</v>
      </c>
      <c r="AK14" s="386"/>
    </row>
    <row r="15" spans="1:37">
      <c r="A15" s="173"/>
      <c r="B15" s="182"/>
      <c r="C15" s="182"/>
      <c r="D15" s="182"/>
      <c r="E15" s="182"/>
      <c r="F15" s="182"/>
      <c r="G15" s="182"/>
      <c r="H15" s="183"/>
      <c r="I15" s="180"/>
      <c r="J15" s="173"/>
      <c r="K15" s="182"/>
      <c r="L15" s="182"/>
      <c r="M15" s="182"/>
      <c r="N15" s="182"/>
      <c r="O15" s="182"/>
      <c r="P15" s="182"/>
      <c r="Q15" s="183"/>
      <c r="S15" s="173"/>
      <c r="T15" s="182"/>
      <c r="U15" s="182"/>
      <c r="V15" s="182"/>
      <c r="W15" s="182"/>
      <c r="X15" s="182"/>
      <c r="Y15" s="182"/>
      <c r="Z15" s="183"/>
      <c r="AB15" s="173"/>
      <c r="AC15" s="182"/>
      <c r="AD15" s="182"/>
      <c r="AE15" s="182"/>
      <c r="AF15" s="182"/>
      <c r="AG15" s="182"/>
      <c r="AH15" s="182"/>
      <c r="AI15" s="183"/>
    </row>
    <row r="16" spans="1:37">
      <c r="A16" s="173" t="s">
        <v>336</v>
      </c>
      <c r="B16" s="182">
        <f>'Truck Depr - w Salvage '!L72</f>
        <v>140224.07999999999</v>
      </c>
      <c r="C16" s="182">
        <f>B16-D16</f>
        <v>0</v>
      </c>
      <c r="D16" s="182">
        <f>'Truck Depr - w Salvage '!M72</f>
        <v>140224.07999999999</v>
      </c>
      <c r="E16" s="182">
        <f>'Truck Depr - w Salvage '!P72</f>
        <v>0</v>
      </c>
      <c r="F16" s="182">
        <f>'Truck Depr - w Salvage '!R72</f>
        <v>140224.07999999999</v>
      </c>
      <c r="G16" s="182">
        <f>'Truck Depr - w Salvage '!S72</f>
        <v>140224.07999999999</v>
      </c>
      <c r="H16" s="183">
        <f>'Truck Depr - w Salvage '!T72</f>
        <v>0</v>
      </c>
      <c r="I16" s="180"/>
      <c r="J16" s="173" t="s">
        <v>336</v>
      </c>
      <c r="K16" s="182">
        <f>IFERROR(VLOOKUP($J16,'FAR Dep Summary'!$A$19:$F$29,2,FALSE),0)</f>
        <v>0</v>
      </c>
      <c r="L16" s="182">
        <f>K16-M16</f>
        <v>0</v>
      </c>
      <c r="M16" s="182">
        <f>K16</f>
        <v>0</v>
      </c>
      <c r="N16" s="182">
        <f>IFERROR(VLOOKUP($J16,'FAR Dep Summary'!$A$19:$F$29,3,FALSE),0)</f>
        <v>0</v>
      </c>
      <c r="O16" s="182">
        <f>IFERROR(VLOOKUP($J16,'FAR Dep Summary'!$A$19:$F$29,4,FALSE),0)</f>
        <v>0</v>
      </c>
      <c r="P16" s="182">
        <f>IFERROR(VLOOKUP($J16,'FAR Dep Summary'!$A$19:$F$29,5,FALSE),0)</f>
        <v>0</v>
      </c>
      <c r="Q16" s="183">
        <f>IFERROR(VLOOKUP($J16,'FAR Dep Summary'!$A$19:$F$29,6,FALSE),0)</f>
        <v>0</v>
      </c>
      <c r="S16" s="173" t="s">
        <v>336</v>
      </c>
      <c r="T16" s="182">
        <f>+IFERROR(VLOOKUP($S16,'2023 Bud Capital'!$Q$57:$Y$64,3,FALSE),0)</f>
        <v>0</v>
      </c>
      <c r="U16" s="182">
        <f>+IFERROR(VLOOKUP($S16,'2023 Bud Capital'!$Q$57:$Y$64,4,FALSE),0)</f>
        <v>0</v>
      </c>
      <c r="V16" s="182">
        <f>+T16-U16</f>
        <v>0</v>
      </c>
      <c r="W16" s="182">
        <f>+IFERROR(VLOOKUP($S16,'2023 Bud Capital'!$Q$57:$Y$64,6,FALSE),0)</f>
        <v>0</v>
      </c>
      <c r="X16" s="182">
        <f>+IFERROR(VLOOKUP($S16,'2023 Bud Capital'!$Q$57:$Y$64,7,FALSE),0)</f>
        <v>0</v>
      </c>
      <c r="Y16" s="182">
        <f>+IFERROR(VLOOKUP($S16,'2023 Bud Capital'!$Q$57:$Y$64,8,FALSE),0)</f>
        <v>0</v>
      </c>
      <c r="Z16" s="183">
        <f>+IFERROR(VLOOKUP($S16,'2023 Bud Capital'!$Q$57:$Y$64,9,FALSE),0)</f>
        <v>0</v>
      </c>
      <c r="AB16" s="173" t="s">
        <v>336</v>
      </c>
      <c r="AC16" s="182">
        <f>B16+K16+T16</f>
        <v>140224.07999999999</v>
      </c>
      <c r="AD16" s="182">
        <f t="shared" ref="AD16" si="13">C16+L16+U16</f>
        <v>0</v>
      </c>
      <c r="AE16" s="182">
        <f t="shared" ref="AE16" si="14">D16+M16+V16</f>
        <v>140224.07999999999</v>
      </c>
      <c r="AF16" s="182">
        <f t="shared" ref="AF16" si="15">E16+N16+W16</f>
        <v>0</v>
      </c>
      <c r="AG16" s="182">
        <f t="shared" ref="AG16" si="16">F16+O16+X16</f>
        <v>140224.07999999999</v>
      </c>
      <c r="AH16" s="182">
        <f t="shared" ref="AH16" si="17">G16+P16+Y16</f>
        <v>140224.07999999999</v>
      </c>
      <c r="AI16" s="183">
        <f t="shared" ref="AI16" si="18">H16+Q16+Z16</f>
        <v>0</v>
      </c>
      <c r="AK16" s="386"/>
    </row>
    <row r="17" spans="1:37">
      <c r="A17" s="173"/>
      <c r="B17" s="182"/>
      <c r="C17" s="182"/>
      <c r="D17" s="182"/>
      <c r="E17" s="182"/>
      <c r="F17" s="182"/>
      <c r="G17" s="182"/>
      <c r="H17" s="183"/>
      <c r="I17" s="180"/>
      <c r="J17" s="173"/>
      <c r="K17" s="182"/>
      <c r="L17" s="182"/>
      <c r="M17" s="182"/>
      <c r="N17" s="182"/>
      <c r="O17" s="182"/>
      <c r="P17" s="182"/>
      <c r="Q17" s="183"/>
      <c r="S17" s="173"/>
      <c r="T17" s="182"/>
      <c r="U17" s="182"/>
      <c r="V17" s="182"/>
      <c r="W17" s="182"/>
      <c r="X17" s="182"/>
      <c r="Y17" s="182"/>
      <c r="Z17" s="183"/>
      <c r="AB17" s="173"/>
      <c r="AC17" s="182"/>
      <c r="AD17" s="182"/>
      <c r="AE17" s="182"/>
      <c r="AF17" s="182"/>
      <c r="AG17" s="182"/>
      <c r="AH17" s="182"/>
      <c r="AI17" s="183"/>
    </row>
    <row r="18" spans="1:37">
      <c r="A18" s="173" t="s">
        <v>15</v>
      </c>
      <c r="B18" s="182">
        <f>+'Truck Depr - w Salvage '!L78</f>
        <v>42000</v>
      </c>
      <c r="C18" s="182">
        <f>B18-D18</f>
        <v>0</v>
      </c>
      <c r="D18" s="182">
        <f>+'Truck Depr - w Salvage '!M78</f>
        <v>42000</v>
      </c>
      <c r="E18" s="182">
        <f>+'Truck Depr - w Salvage '!P78</f>
        <v>4.1937094358462303</v>
      </c>
      <c r="F18" s="182">
        <f>+'Truck Depr - w Salvage '!R78</f>
        <v>33620.968547179233</v>
      </c>
      <c r="G18" s="182">
        <f>+'Truck Depr - w Salvage '!S78</f>
        <v>33625.162256615076</v>
      </c>
      <c r="H18" s="183">
        <f>+'Truck Depr - w Salvage '!T78</f>
        <v>8374.8377433849237</v>
      </c>
      <c r="I18" s="180"/>
      <c r="J18" s="173" t="s">
        <v>15</v>
      </c>
      <c r="K18" s="182">
        <f>IFERROR(VLOOKUP($J18,'FAR Dep Summary'!$A$19:$F$29,2,FALSE),0)</f>
        <v>0</v>
      </c>
      <c r="L18" s="182">
        <f>K18-M18</f>
        <v>0</v>
      </c>
      <c r="M18" s="182">
        <f>K18</f>
        <v>0</v>
      </c>
      <c r="N18" s="182">
        <f>IFERROR(VLOOKUP($J18,'FAR Dep Summary'!$A$19:$F$29,3,FALSE),0)</f>
        <v>0</v>
      </c>
      <c r="O18" s="182">
        <f>IFERROR(VLOOKUP($J18,'FAR Dep Summary'!$A$19:$F$29,4,FALSE),0)</f>
        <v>0</v>
      </c>
      <c r="P18" s="182">
        <f>IFERROR(VLOOKUP($J18,'FAR Dep Summary'!$A$19:$F$29,5,FALSE),0)</f>
        <v>0</v>
      </c>
      <c r="Q18" s="183">
        <f>IFERROR(VLOOKUP($J18,'FAR Dep Summary'!$A$19:$F$29,6,FALSE),0)</f>
        <v>0</v>
      </c>
      <c r="S18" s="173" t="s">
        <v>15</v>
      </c>
      <c r="T18" s="182">
        <f>+IFERROR(VLOOKUP($S18,'2023 Bud Capital'!$Q$57:$Y$64,3,FALSE),0)</f>
        <v>0</v>
      </c>
      <c r="U18" s="182">
        <f>+IFERROR(VLOOKUP($S18,'2023 Bud Capital'!$Q$57:$Y$64,4,FALSE),0)</f>
        <v>0</v>
      </c>
      <c r="V18" s="182">
        <f>+T18-U18</f>
        <v>0</v>
      </c>
      <c r="W18" s="182">
        <f>+IFERROR(VLOOKUP($S18,'2023 Bud Capital'!$Q$57:$Y$64,6,FALSE),0)</f>
        <v>0</v>
      </c>
      <c r="X18" s="182">
        <f>+IFERROR(VLOOKUP($S18,'2023 Bud Capital'!$Q$57:$Y$64,7,FALSE),0)</f>
        <v>0</v>
      </c>
      <c r="Y18" s="182">
        <f>+IFERROR(VLOOKUP($S18,'2023 Bud Capital'!$Q$57:$Y$64,8,FALSE),0)</f>
        <v>0</v>
      </c>
      <c r="Z18" s="183">
        <f>+IFERROR(VLOOKUP($S18,'2023 Bud Capital'!$Q$57:$Y$64,9,FALSE),0)</f>
        <v>0</v>
      </c>
      <c r="AB18" s="173" t="s">
        <v>15</v>
      </c>
      <c r="AC18" s="182">
        <f>B18+K18+T18</f>
        <v>42000</v>
      </c>
      <c r="AD18" s="182">
        <f t="shared" ref="AD18" si="19">C18+L18+U18</f>
        <v>0</v>
      </c>
      <c r="AE18" s="182">
        <f t="shared" ref="AE18" si="20">D18+M18+V18</f>
        <v>42000</v>
      </c>
      <c r="AF18" s="182">
        <f t="shared" ref="AF18" si="21">E18+N18+W18</f>
        <v>4.1937094358462303</v>
      </c>
      <c r="AG18" s="182">
        <f t="shared" ref="AG18" si="22">F18+O18+X18</f>
        <v>33620.968547179233</v>
      </c>
      <c r="AH18" s="182">
        <f t="shared" ref="AH18" si="23">G18+P18+Y18</f>
        <v>33625.162256615076</v>
      </c>
      <c r="AI18" s="183">
        <f t="shared" ref="AI18" si="24">H18+Q18+Z18</f>
        <v>8374.8377433849237</v>
      </c>
      <c r="AK18" s="386"/>
    </row>
    <row r="19" spans="1:37">
      <c r="A19" s="173"/>
      <c r="B19" s="182"/>
      <c r="C19" s="182"/>
      <c r="D19" s="182"/>
      <c r="E19" s="182"/>
      <c r="F19" s="182"/>
      <c r="G19" s="182"/>
      <c r="H19" s="183"/>
      <c r="I19" s="180"/>
      <c r="J19" s="173"/>
      <c r="K19" s="182"/>
      <c r="L19" s="182"/>
      <c r="M19" s="182"/>
      <c r="N19" s="182"/>
      <c r="O19" s="182"/>
      <c r="P19" s="182"/>
      <c r="Q19" s="183"/>
      <c r="S19" s="173"/>
      <c r="T19" s="182"/>
      <c r="U19" s="182"/>
      <c r="V19" s="182"/>
      <c r="W19" s="182"/>
      <c r="X19" s="182"/>
      <c r="Y19" s="182"/>
      <c r="Z19" s="183"/>
      <c r="AB19" s="173"/>
      <c r="AC19" s="182"/>
      <c r="AD19" s="182"/>
      <c r="AE19" s="182"/>
      <c r="AF19" s="182"/>
      <c r="AG19" s="182"/>
      <c r="AH19" s="182"/>
      <c r="AI19" s="183"/>
    </row>
    <row r="20" spans="1:37">
      <c r="A20" s="173" t="s">
        <v>1161</v>
      </c>
      <c r="B20" s="182">
        <f>+'Truck Depr - w Salvage '!L83</f>
        <v>4493.8999999999996</v>
      </c>
      <c r="C20" s="182">
        <f>B20-D20</f>
        <v>0</v>
      </c>
      <c r="D20" s="182">
        <f>+'Truck Depr - w Salvage '!M83</f>
        <v>4493.8999999999996</v>
      </c>
      <c r="E20" s="182">
        <f>+'Truck Depr - w Salvage '!P83</f>
        <v>641.98571428571427</v>
      </c>
      <c r="F20" s="182">
        <f>+'Truck Depr - w Salvage '!R83</f>
        <v>267.49404761895039</v>
      </c>
      <c r="G20" s="182">
        <f>+'Truck Depr - w Salvage '!S83</f>
        <v>909.47976190466466</v>
      </c>
      <c r="H20" s="183">
        <f>+'Truck Depr - w Salvage '!T83</f>
        <v>3584.4202380953348</v>
      </c>
      <c r="I20" s="180"/>
      <c r="J20" s="173" t="s">
        <v>1161</v>
      </c>
      <c r="K20" s="182">
        <f>IFERROR(VLOOKUP($J20,'FAR Dep Summary'!$A$19:$F$29,2,FALSE),0)</f>
        <v>44204.959999999999</v>
      </c>
      <c r="L20" s="182">
        <f>K20-M20</f>
        <v>0</v>
      </c>
      <c r="M20" s="182">
        <f>K20</f>
        <v>44204.959999999999</v>
      </c>
      <c r="N20" s="182">
        <f>IFERROR(VLOOKUP($J20,'FAR Dep Summary'!$A$19:$F$29,3,FALSE),0)</f>
        <v>4477.2950000000001</v>
      </c>
      <c r="O20" s="182">
        <f>IFERROR(VLOOKUP($J20,'FAR Dep Summary'!$A$19:$F$29,4,FALSE),0)</f>
        <v>0</v>
      </c>
      <c r="P20" s="182">
        <f>IFERROR(VLOOKUP($J20,'FAR Dep Summary'!$A$19:$F$29,5,FALSE),0)</f>
        <v>4477.2950000000001</v>
      </c>
      <c r="Q20" s="183">
        <f>IFERROR(VLOOKUP($J20,'FAR Dep Summary'!$A$19:$F$29,6,FALSE),0)</f>
        <v>39727.665000000001</v>
      </c>
      <c r="S20" s="173" t="s">
        <v>1161</v>
      </c>
      <c r="T20" s="182">
        <f>+IFERROR(VLOOKUP($S20,'2023 Bud Capital'!$Q$57:$Y$64,3,FALSE),0)</f>
        <v>0</v>
      </c>
      <c r="U20" s="182">
        <f>+IFERROR(VLOOKUP($S20,'2023 Bud Capital'!$Q$57:$Y$64,4,FALSE),0)</f>
        <v>0</v>
      </c>
      <c r="V20" s="182">
        <f>+T20-U20</f>
        <v>0</v>
      </c>
      <c r="W20" s="182">
        <f>+IFERROR(VLOOKUP($S20,'2023 Bud Capital'!$Q$57:$Y$64,6,FALSE),0)</f>
        <v>0</v>
      </c>
      <c r="X20" s="182">
        <f>+IFERROR(VLOOKUP($S20,'2023 Bud Capital'!$Q$57:$Y$64,7,FALSE),0)</f>
        <v>0</v>
      </c>
      <c r="Y20" s="182">
        <f>+IFERROR(VLOOKUP($S20,'2023 Bud Capital'!$Q$57:$Y$64,8,FALSE),0)</f>
        <v>0</v>
      </c>
      <c r="Z20" s="183">
        <f>+IFERROR(VLOOKUP($S20,'2023 Bud Capital'!$Q$57:$Y$64,9,FALSE),0)</f>
        <v>0</v>
      </c>
      <c r="AB20" s="173" t="s">
        <v>1161</v>
      </c>
      <c r="AC20" s="182">
        <f>B20+K20+T20</f>
        <v>48698.86</v>
      </c>
      <c r="AD20" s="182">
        <f t="shared" ref="AD20" si="25">C20+L20+U20</f>
        <v>0</v>
      </c>
      <c r="AE20" s="182">
        <f t="shared" ref="AE20" si="26">D20+M20+V20</f>
        <v>48698.86</v>
      </c>
      <c r="AF20" s="182">
        <f t="shared" ref="AF20" si="27">E20+N20+W20</f>
        <v>5119.2807142857146</v>
      </c>
      <c r="AG20" s="182">
        <f t="shared" ref="AG20" si="28">F20+O20+X20</f>
        <v>267.49404761895039</v>
      </c>
      <c r="AH20" s="182">
        <f t="shared" ref="AH20" si="29">G20+P20+Y20</f>
        <v>5386.774761904665</v>
      </c>
      <c r="AI20" s="183">
        <f t="shared" ref="AI20" si="30">H20+Q20+Z20</f>
        <v>43312.085238095337</v>
      </c>
      <c r="AK20" s="386"/>
    </row>
    <row r="21" spans="1:37">
      <c r="A21" s="173"/>
      <c r="B21" s="182"/>
      <c r="C21" s="182"/>
      <c r="D21" s="182"/>
      <c r="E21" s="182"/>
      <c r="F21" s="182"/>
      <c r="G21" s="182"/>
      <c r="H21" s="183"/>
      <c r="I21" s="180"/>
      <c r="J21" s="173"/>
      <c r="K21" s="182"/>
      <c r="L21" s="182"/>
      <c r="M21" s="182"/>
      <c r="N21" s="182"/>
      <c r="O21" s="182"/>
      <c r="P21" s="182"/>
      <c r="Q21" s="183"/>
      <c r="S21" s="173"/>
      <c r="T21" s="182"/>
      <c r="U21" s="182"/>
      <c r="V21" s="182"/>
      <c r="W21" s="182"/>
      <c r="X21" s="182"/>
      <c r="Y21" s="182"/>
      <c r="Z21" s="183"/>
      <c r="AB21" s="173"/>
      <c r="AC21" s="182"/>
      <c r="AD21" s="182"/>
      <c r="AE21" s="182"/>
      <c r="AF21" s="182"/>
      <c r="AG21" s="182"/>
      <c r="AH21" s="182"/>
      <c r="AI21" s="183"/>
    </row>
    <row r="22" spans="1:37">
      <c r="A22" s="184" t="s">
        <v>16</v>
      </c>
      <c r="B22" s="185">
        <f>SUM(B10:B21)</f>
        <v>2848405.69</v>
      </c>
      <c r="C22" s="185">
        <f t="shared" ref="C22:H22" si="31">SUM(C10:C21)</f>
        <v>0</v>
      </c>
      <c r="D22" s="185">
        <f t="shared" si="31"/>
        <v>2848405.69</v>
      </c>
      <c r="E22" s="185">
        <f t="shared" si="31"/>
        <v>210390.46405957619</v>
      </c>
      <c r="F22" s="185">
        <f t="shared" si="31"/>
        <v>1549915.2823073785</v>
      </c>
      <c r="G22" s="185">
        <f t="shared" si="31"/>
        <v>1760305.7463669546</v>
      </c>
      <c r="H22" s="186">
        <f t="shared" si="31"/>
        <v>1088099.9436330451</v>
      </c>
      <c r="I22" s="180"/>
      <c r="J22" s="184" t="s">
        <v>16</v>
      </c>
      <c r="K22" s="185">
        <f>SUM(K10:K21)</f>
        <v>404907.59</v>
      </c>
      <c r="L22" s="185">
        <f t="shared" ref="L22:Q22" si="32">SUM(L10:L21)</f>
        <v>0</v>
      </c>
      <c r="M22" s="185">
        <f t="shared" si="32"/>
        <v>404907.59</v>
      </c>
      <c r="N22" s="185">
        <f t="shared" si="32"/>
        <v>47969.948666666671</v>
      </c>
      <c r="O22" s="185">
        <f t="shared" si="32"/>
        <v>0</v>
      </c>
      <c r="P22" s="185">
        <f t="shared" si="32"/>
        <v>47969.948666666671</v>
      </c>
      <c r="Q22" s="186">
        <f t="shared" si="32"/>
        <v>356937.64133333327</v>
      </c>
      <c r="S22" s="184" t="s">
        <v>16</v>
      </c>
      <c r="T22" s="185">
        <f>SUM(T10:T21)</f>
        <v>0</v>
      </c>
      <c r="U22" s="185">
        <f t="shared" ref="U22:Z22" si="33">SUM(U10:U21)</f>
        <v>0</v>
      </c>
      <c r="V22" s="185">
        <f t="shared" si="33"/>
        <v>0</v>
      </c>
      <c r="W22" s="185">
        <f t="shared" si="33"/>
        <v>0</v>
      </c>
      <c r="X22" s="185">
        <f t="shared" si="33"/>
        <v>0</v>
      </c>
      <c r="Y22" s="185">
        <f t="shared" si="33"/>
        <v>0</v>
      </c>
      <c r="Z22" s="186">
        <f t="shared" si="33"/>
        <v>0</v>
      </c>
      <c r="AB22" s="184" t="s">
        <v>16</v>
      </c>
      <c r="AC22" s="185">
        <f>SUM(AC10:AC21)</f>
        <v>3253313.2800000003</v>
      </c>
      <c r="AD22" s="185">
        <f t="shared" ref="AD22:AI22" si="34">SUM(AD10:AD21)</f>
        <v>0</v>
      </c>
      <c r="AE22" s="185">
        <f t="shared" si="34"/>
        <v>3253313.2800000003</v>
      </c>
      <c r="AF22" s="185">
        <f t="shared" si="34"/>
        <v>258360.41272624285</v>
      </c>
      <c r="AG22" s="185">
        <f t="shared" si="34"/>
        <v>1549915.2823073785</v>
      </c>
      <c r="AH22" s="185">
        <f t="shared" si="34"/>
        <v>1808275.6950336215</v>
      </c>
      <c r="AI22" s="186">
        <f t="shared" si="34"/>
        <v>1445037.5849663783</v>
      </c>
    </row>
    <row r="23" spans="1:37">
      <c r="A23" s="173"/>
      <c r="B23" s="182" t="s">
        <v>17</v>
      </c>
      <c r="C23" s="182"/>
      <c r="D23" s="182"/>
      <c r="E23" s="182"/>
      <c r="F23" s="182"/>
      <c r="G23" s="182"/>
      <c r="H23" s="183"/>
      <c r="I23" s="399" t="s">
        <v>420</v>
      </c>
      <c r="J23" s="173"/>
      <c r="K23" s="182" t="s">
        <v>17</v>
      </c>
      <c r="L23" s="182"/>
      <c r="M23" s="182"/>
      <c r="N23" s="182"/>
      <c r="O23" s="182"/>
      <c r="P23" s="182"/>
      <c r="Q23" s="183"/>
      <c r="R23" s="399" t="s">
        <v>420</v>
      </c>
      <c r="S23" s="173"/>
      <c r="T23" s="182" t="s">
        <v>17</v>
      </c>
      <c r="U23" s="182"/>
      <c r="V23" s="182"/>
      <c r="W23" s="182"/>
      <c r="X23" s="182"/>
      <c r="Y23" s="182"/>
      <c r="Z23" s="183"/>
      <c r="AA23" s="399" t="s">
        <v>422</v>
      </c>
      <c r="AB23" s="173"/>
      <c r="AC23" s="182" t="s">
        <v>17</v>
      </c>
      <c r="AD23" s="182"/>
      <c r="AE23" s="182"/>
      <c r="AF23" s="182"/>
      <c r="AG23" s="182"/>
      <c r="AH23" s="182"/>
      <c r="AI23" s="183"/>
    </row>
    <row r="24" spans="1:37">
      <c r="A24" s="179" t="s">
        <v>18</v>
      </c>
      <c r="B24" s="182"/>
      <c r="C24" s="182"/>
      <c r="D24" s="182"/>
      <c r="E24" s="182"/>
      <c r="F24" s="182"/>
      <c r="G24" s="182"/>
      <c r="H24" s="183"/>
      <c r="I24" s="400"/>
      <c r="J24" s="179" t="s">
        <v>18</v>
      </c>
      <c r="K24" s="182"/>
      <c r="L24" s="182"/>
      <c r="M24" s="182"/>
      <c r="N24" s="182"/>
      <c r="O24" s="182"/>
      <c r="P24" s="182"/>
      <c r="Q24" s="183"/>
      <c r="R24" s="400"/>
      <c r="S24" s="179" t="s">
        <v>18</v>
      </c>
      <c r="T24" s="182"/>
      <c r="U24" s="182"/>
      <c r="V24" s="182"/>
      <c r="W24" s="182"/>
      <c r="X24" s="182"/>
      <c r="Y24" s="182"/>
      <c r="Z24" s="183"/>
      <c r="AA24" s="400"/>
      <c r="AB24" s="179" t="s">
        <v>18</v>
      </c>
      <c r="AC24" s="182"/>
      <c r="AD24" s="182"/>
      <c r="AE24" s="182"/>
      <c r="AF24" s="182"/>
      <c r="AG24" s="182"/>
      <c r="AH24" s="182"/>
      <c r="AI24" s="183"/>
    </row>
    <row r="25" spans="1:37">
      <c r="A25" s="173" t="s">
        <v>94</v>
      </c>
      <c r="B25" s="182">
        <f>+'Depr - Cont, Shop, Serv, Office'!L183</f>
        <v>522817.85499999992</v>
      </c>
      <c r="C25" s="182"/>
      <c r="D25" s="182">
        <f>+'Depr - Cont, Shop, Serv, Office'!M183</f>
        <v>522817.85499999992</v>
      </c>
      <c r="E25" s="182">
        <f>+'Depr - Cont, Shop, Serv, Office'!P183</f>
        <v>17600.669291666727</v>
      </c>
      <c r="F25" s="182">
        <f>+'Depr - Cont, Shop, Serv, Office'!R183</f>
        <v>390255.28798611014</v>
      </c>
      <c r="G25" s="182">
        <f>+'Depr - Cont, Shop, Serv, Office'!S183</f>
        <v>407855.95727777679</v>
      </c>
      <c r="H25" s="183">
        <f>+'Depr - Cont, Shop, Serv, Office'!T183</f>
        <v>114961.89772222335</v>
      </c>
      <c r="I25" s="180"/>
      <c r="J25" s="173" t="s">
        <v>94</v>
      </c>
      <c r="K25" s="182">
        <f>IFERROR(VLOOKUP($J25,'FAR Dep Summary'!$A$19:$F$29,2,FALSE),0)</f>
        <v>79178.52</v>
      </c>
      <c r="L25" s="182">
        <f>K25-M25</f>
        <v>0</v>
      </c>
      <c r="M25" s="182">
        <f>K25</f>
        <v>79178.52</v>
      </c>
      <c r="N25" s="182">
        <f>IFERROR(VLOOKUP($J25,'FAR Dep Summary'!$A$19:$F$29,3,FALSE),0)</f>
        <v>6598.21</v>
      </c>
      <c r="O25" s="182">
        <f>IFERROR(VLOOKUP($J25,'FAR Dep Summary'!$A$19:$F$29,4,FALSE),0)</f>
        <v>505.55201388865771</v>
      </c>
      <c r="P25" s="182">
        <f>IFERROR(VLOOKUP($J25,'FAR Dep Summary'!$A$19:$F$29,5,FALSE),0)</f>
        <v>7103.7620138886577</v>
      </c>
      <c r="Q25" s="183">
        <f>IFERROR(VLOOKUP($J25,'FAR Dep Summary'!$A$19:$F$29,6,FALSE),0)</f>
        <v>72074.757986111334</v>
      </c>
      <c r="S25" s="173" t="s">
        <v>94</v>
      </c>
      <c r="T25" s="182">
        <f>+IFERROR(VLOOKUP($S25,'2023 Bud Capital'!$Q$57:$Y$64,3,FALSE),0)</f>
        <v>118000</v>
      </c>
      <c r="U25" s="182">
        <f>+IFERROR(VLOOKUP($S25,'2023 Bud Capital'!$Q$57:$Y$64,4,FALSE),0)</f>
        <v>0</v>
      </c>
      <c r="V25" s="182">
        <f>+T25-U25</f>
        <v>118000</v>
      </c>
      <c r="W25" s="182">
        <f>+IFERROR(VLOOKUP($S25,'2023 Bud Capital'!$Q$57:$Y$64,6,FALSE),0)</f>
        <v>16857.142857142859</v>
      </c>
      <c r="X25" s="182">
        <f>+IFERROR(VLOOKUP($S25,'2023 Bud Capital'!$Q$57:$Y$64,7,FALSE),0)</f>
        <v>0</v>
      </c>
      <c r="Y25" s="182">
        <f>+IFERROR(VLOOKUP($S25,'2023 Bud Capital'!$Q$57:$Y$64,8,FALSE),0)</f>
        <v>16857.142857142859</v>
      </c>
      <c r="Z25" s="183">
        <f>+IFERROR(VLOOKUP($S25,'2023 Bud Capital'!$Q$57:$Y$64,9,FALSE),0)</f>
        <v>101142.85714285714</v>
      </c>
      <c r="AB25" s="173" t="s">
        <v>94</v>
      </c>
      <c r="AC25" s="182">
        <f>B25+K25+T25</f>
        <v>719996.37499999988</v>
      </c>
      <c r="AD25" s="182">
        <f t="shared" ref="AD25" si="35">C25+L25+U25</f>
        <v>0</v>
      </c>
      <c r="AE25" s="182">
        <f t="shared" ref="AE25" si="36">D25+M25+V25</f>
        <v>719996.37499999988</v>
      </c>
      <c r="AF25" s="182">
        <f t="shared" ref="AF25" si="37">E25+N25+W25</f>
        <v>41056.022148809585</v>
      </c>
      <c r="AG25" s="182">
        <f t="shared" ref="AG25" si="38">F25+O25+X25</f>
        <v>390760.8399999988</v>
      </c>
      <c r="AH25" s="182">
        <f t="shared" ref="AH25" si="39">G25+P25+Y25</f>
        <v>431816.86214880832</v>
      </c>
      <c r="AI25" s="183">
        <f t="shared" ref="AI25" si="40">H25+Q25+Z25</f>
        <v>288179.51285119186</v>
      </c>
      <c r="AK25" s="386"/>
    </row>
    <row r="26" spans="1:37">
      <c r="A26" s="173"/>
      <c r="B26" s="182"/>
      <c r="C26" s="182"/>
      <c r="D26" s="182"/>
      <c r="E26" s="182"/>
      <c r="F26" s="182"/>
      <c r="G26" s="182"/>
      <c r="H26" s="183"/>
      <c r="I26" s="180"/>
      <c r="J26" s="173"/>
      <c r="K26" s="182"/>
      <c r="L26" s="182"/>
      <c r="M26" s="182"/>
      <c r="N26" s="182"/>
      <c r="O26" s="182"/>
      <c r="P26" s="182"/>
      <c r="Q26" s="183"/>
      <c r="S26" s="173"/>
      <c r="T26" s="182"/>
      <c r="U26" s="182"/>
      <c r="V26" s="182"/>
      <c r="W26" s="182"/>
      <c r="X26" s="182"/>
      <c r="Y26" s="182"/>
      <c r="Z26" s="183"/>
      <c r="AB26" s="173"/>
      <c r="AC26" s="182"/>
      <c r="AD26" s="182"/>
      <c r="AE26" s="182"/>
      <c r="AF26" s="182"/>
      <c r="AG26" s="182"/>
      <c r="AH26" s="182"/>
      <c r="AI26" s="183"/>
    </row>
    <row r="27" spans="1:37">
      <c r="A27" s="173" t="s">
        <v>19</v>
      </c>
      <c r="B27" s="182">
        <f>+'Depr - Cont, Shop, Serv, Office'!L218</f>
        <v>260357.14999999997</v>
      </c>
      <c r="C27" s="182"/>
      <c r="D27" s="182">
        <f>+'Depr - Cont, Shop, Serv, Office'!M218</f>
        <v>260357.14999999997</v>
      </c>
      <c r="E27" s="182">
        <f>+'Depr - Cont, Shop, Serv, Office'!P218</f>
        <v>21653.87142857143</v>
      </c>
      <c r="F27" s="182">
        <f>+'Depr - Cont, Shop, Serv, Office'!R218</f>
        <v>173902.54473809453</v>
      </c>
      <c r="G27" s="182">
        <f>+'Depr - Cont, Shop, Serv, Office'!S218</f>
        <v>195556.41616666593</v>
      </c>
      <c r="H27" s="183">
        <f>+'Depr - Cont, Shop, Serv, Office'!T218</f>
        <v>64800.733833334074</v>
      </c>
      <c r="I27" s="182"/>
      <c r="J27" s="173" t="s">
        <v>19</v>
      </c>
      <c r="K27" s="182">
        <f>IFERROR(VLOOKUP($J27,'FAR Dep Summary'!$A$19:$F$29,2,FALSE),0)</f>
        <v>27681.93</v>
      </c>
      <c r="L27" s="182">
        <f>K27-M27</f>
        <v>0</v>
      </c>
      <c r="M27" s="182">
        <f>K27</f>
        <v>27681.93</v>
      </c>
      <c r="N27" s="182">
        <f>IFERROR(VLOOKUP($J27,'FAR Dep Summary'!$A$19:$F$29,3,FALSE),0)</f>
        <v>3954.5614285714282</v>
      </c>
      <c r="O27" s="182">
        <f>IFERROR(VLOOKUP($J27,'FAR Dep Summary'!$A$19:$F$29,4,FALSE),0)</f>
        <v>0</v>
      </c>
      <c r="P27" s="182">
        <f>IFERROR(VLOOKUP($J27,'FAR Dep Summary'!$A$19:$F$29,5,FALSE),0)</f>
        <v>3954.5614285714282</v>
      </c>
      <c r="Q27" s="183">
        <f>IFERROR(VLOOKUP($J27,'FAR Dep Summary'!$A$19:$F$29,6,FALSE),0)</f>
        <v>23727.368571428575</v>
      </c>
      <c r="S27" s="173" t="s">
        <v>19</v>
      </c>
      <c r="T27" s="182">
        <f>+IFERROR(VLOOKUP($S27,'2023 Bud Capital'!$Q$57:$Y$64,3,FALSE),0)</f>
        <v>0</v>
      </c>
      <c r="U27" s="182">
        <f>+IFERROR(VLOOKUP($S27,'2023 Bud Capital'!$Q$57:$Y$64,4,FALSE),0)</f>
        <v>0</v>
      </c>
      <c r="V27" s="182">
        <f>+T27-U27</f>
        <v>0</v>
      </c>
      <c r="W27" s="182">
        <f>+IFERROR(VLOOKUP($S27,'2023 Bud Capital'!$Q$57:$Y$64,6,FALSE),0)</f>
        <v>0</v>
      </c>
      <c r="X27" s="182">
        <f>+IFERROR(VLOOKUP($S27,'2023 Bud Capital'!$Q$57:$Y$64,7,FALSE),0)</f>
        <v>0</v>
      </c>
      <c r="Y27" s="182">
        <f>+IFERROR(VLOOKUP($S27,'2023 Bud Capital'!$Q$57:$Y$64,8,FALSE),0)</f>
        <v>0</v>
      </c>
      <c r="Z27" s="183">
        <f>+IFERROR(VLOOKUP($S27,'2023 Bud Capital'!$Q$57:$Y$64,9,FALSE),0)</f>
        <v>0</v>
      </c>
      <c r="AB27" s="173" t="s">
        <v>19</v>
      </c>
      <c r="AC27" s="182">
        <f>B27+K27+T27</f>
        <v>288039.07999999996</v>
      </c>
      <c r="AD27" s="182">
        <f t="shared" ref="AD27" si="41">C27+L27+U27</f>
        <v>0</v>
      </c>
      <c r="AE27" s="182">
        <f t="shared" ref="AE27" si="42">D27+M27+V27</f>
        <v>288039.07999999996</v>
      </c>
      <c r="AF27" s="182">
        <f t="shared" ref="AF27" si="43">E27+N27+W27</f>
        <v>25608.43285714286</v>
      </c>
      <c r="AG27" s="182">
        <f t="shared" ref="AG27" si="44">F27+O27+X27</f>
        <v>173902.54473809453</v>
      </c>
      <c r="AH27" s="182">
        <f t="shared" ref="AH27" si="45">G27+P27+Y27</f>
        <v>199510.97759523737</v>
      </c>
      <c r="AI27" s="183">
        <f t="shared" ref="AI27" si="46">H27+Q27+Z27</f>
        <v>88528.102404762642</v>
      </c>
      <c r="AK27" s="386"/>
    </row>
    <row r="28" spans="1:37">
      <c r="A28" s="173"/>
      <c r="B28" s="182"/>
      <c r="C28" s="182"/>
      <c r="D28" s="182"/>
      <c r="E28" s="182"/>
      <c r="F28" s="182"/>
      <c r="G28" s="182"/>
      <c r="H28" s="183"/>
      <c r="I28" s="180"/>
      <c r="J28" s="173"/>
      <c r="K28" s="182"/>
      <c r="L28" s="182"/>
      <c r="M28" s="182"/>
      <c r="N28" s="182"/>
      <c r="O28" s="182"/>
      <c r="P28" s="182"/>
      <c r="Q28" s="183"/>
      <c r="S28" s="173"/>
      <c r="T28" s="182"/>
      <c r="U28" s="182"/>
      <c r="V28" s="182"/>
      <c r="W28" s="182"/>
      <c r="X28" s="182"/>
      <c r="Y28" s="182"/>
      <c r="Z28" s="183"/>
      <c r="AB28" s="173"/>
      <c r="AC28" s="182"/>
      <c r="AD28" s="182"/>
      <c r="AE28" s="182"/>
      <c r="AF28" s="182"/>
      <c r="AG28" s="182"/>
      <c r="AH28" s="182"/>
      <c r="AI28" s="183"/>
    </row>
    <row r="29" spans="1:37">
      <c r="A29" s="173" t="s">
        <v>20</v>
      </c>
      <c r="B29" s="182">
        <f>+'Depr - Cont, Shop, Serv, Office'!L232</f>
        <v>77524.63</v>
      </c>
      <c r="C29" s="182"/>
      <c r="D29" s="182">
        <f>+'Depr - Cont, Shop, Serv, Office'!M232</f>
        <v>77524.63</v>
      </c>
      <c r="E29" s="182">
        <f>+'Depr - Cont, Shop, Serv, Office'!P232</f>
        <v>3187.5430000000001</v>
      </c>
      <c r="F29" s="182">
        <f>+'Depr - Cont, Shop, Serv, Office'!R232</f>
        <v>69381.465285714206</v>
      </c>
      <c r="G29" s="182">
        <f>+'Depr - Cont, Shop, Serv, Office'!S232</f>
        <v>72569.008285714197</v>
      </c>
      <c r="H29" s="183">
        <f>+'Depr - Cont, Shop, Serv, Office'!T232</f>
        <v>4955.6217142857968</v>
      </c>
      <c r="I29" s="180"/>
      <c r="J29" s="173" t="s">
        <v>20</v>
      </c>
      <c r="K29" s="182">
        <f>IFERROR(VLOOKUP($J29,'FAR Dep Summary'!$A$19:$F$29,2,FALSE),0)</f>
        <v>0</v>
      </c>
      <c r="L29" s="182">
        <f>K29-M29</f>
        <v>0</v>
      </c>
      <c r="M29" s="182">
        <f>K29</f>
        <v>0</v>
      </c>
      <c r="N29" s="182">
        <f>IFERROR(VLOOKUP($J29,'FAR Dep Summary'!$A$19:$F$29,3,FALSE),0)</f>
        <v>0</v>
      </c>
      <c r="O29" s="182">
        <f>IFERROR(VLOOKUP($J29,'FAR Dep Summary'!$A$19:$F$29,4,FALSE),0)</f>
        <v>0</v>
      </c>
      <c r="P29" s="182">
        <f>IFERROR(VLOOKUP($J29,'FAR Dep Summary'!$A$19:$F$29,5,FALSE),0)</f>
        <v>0</v>
      </c>
      <c r="Q29" s="183">
        <f>IFERROR(VLOOKUP($J29,'FAR Dep Summary'!$A$19:$F$29,6,FALSE),0)</f>
        <v>0</v>
      </c>
      <c r="S29" s="173" t="s">
        <v>20</v>
      </c>
      <c r="T29" s="182">
        <f>+IFERROR(VLOOKUP($S29,'2023 Bud Capital'!$Q$57:$Y$64,3,FALSE),0)</f>
        <v>0</v>
      </c>
      <c r="U29" s="182">
        <f>+IFERROR(VLOOKUP($S29,'2023 Bud Capital'!$Q$57:$Y$64,4,FALSE),0)</f>
        <v>0</v>
      </c>
      <c r="V29" s="182">
        <f>+T29-U29</f>
        <v>0</v>
      </c>
      <c r="W29" s="182">
        <f>+IFERROR(VLOOKUP($S29,'2023 Bud Capital'!$Q$57:$Y$64,6,FALSE),0)</f>
        <v>0</v>
      </c>
      <c r="X29" s="182">
        <f>+IFERROR(VLOOKUP($S29,'2023 Bud Capital'!$Q$57:$Y$64,7,FALSE),0)</f>
        <v>0</v>
      </c>
      <c r="Y29" s="182">
        <f>+IFERROR(VLOOKUP($S29,'2023 Bud Capital'!$Q$57:$Y$64,8,FALSE),0)</f>
        <v>0</v>
      </c>
      <c r="Z29" s="183">
        <f>+IFERROR(VLOOKUP($S29,'2023 Bud Capital'!$Q$57:$Y$64,9,FALSE),0)</f>
        <v>0</v>
      </c>
      <c r="AB29" s="173" t="s">
        <v>20</v>
      </c>
      <c r="AC29" s="182">
        <f>B29+K29+T29</f>
        <v>77524.63</v>
      </c>
      <c r="AD29" s="182">
        <f t="shared" ref="AD29" si="47">C29+L29+U29</f>
        <v>0</v>
      </c>
      <c r="AE29" s="182">
        <f t="shared" ref="AE29" si="48">D29+M29+V29</f>
        <v>77524.63</v>
      </c>
      <c r="AF29" s="182">
        <f t="shared" ref="AF29" si="49">E29+N29+W29</f>
        <v>3187.5430000000001</v>
      </c>
      <c r="AG29" s="182">
        <f t="shared" ref="AG29" si="50">F29+O29+X29</f>
        <v>69381.465285714206</v>
      </c>
      <c r="AH29" s="182">
        <f t="shared" ref="AH29" si="51">G29+P29+Y29</f>
        <v>72569.008285714197</v>
      </c>
      <c r="AI29" s="183">
        <f t="shared" ref="AI29" si="52">H29+Q29+Z29</f>
        <v>4955.6217142857968</v>
      </c>
      <c r="AK29" s="386"/>
    </row>
    <row r="30" spans="1:37">
      <c r="A30" s="173"/>
      <c r="H30" s="181"/>
      <c r="I30" s="180"/>
      <c r="J30" s="173"/>
      <c r="K30" s="182"/>
      <c r="Q30" s="181"/>
      <c r="S30" s="173"/>
      <c r="Z30" s="181"/>
      <c r="AB30" s="173"/>
      <c r="AI30" s="181"/>
    </row>
    <row r="31" spans="1:37">
      <c r="A31" s="173" t="s">
        <v>21</v>
      </c>
      <c r="B31" s="182">
        <f>+'Depr - Cont, Shop, Serv, Office'!L259</f>
        <v>250708.83999999997</v>
      </c>
      <c r="C31" s="182">
        <f>B31-D31</f>
        <v>0</v>
      </c>
      <c r="D31" s="182">
        <f>+'Depr - Cont, Shop, Serv, Office'!M259</f>
        <v>250708.83999999997</v>
      </c>
      <c r="E31" s="182">
        <f>+'Depr - Cont, Shop, Serv, Office'!P259</f>
        <v>13910.753666666666</v>
      </c>
      <c r="F31" s="182">
        <f>+'Depr - Cont, Shop, Serv, Office'!R259</f>
        <v>135554.07194444374</v>
      </c>
      <c r="G31" s="182">
        <f>+'Depr - Cont, Shop, Serv, Office'!S259</f>
        <v>149464.8256111104</v>
      </c>
      <c r="H31" s="183">
        <f>+'Depr - Cont, Shop, Serv, Office'!T259</f>
        <v>101244.01438888958</v>
      </c>
      <c r="I31" s="180"/>
      <c r="J31" s="173" t="s">
        <v>21</v>
      </c>
      <c r="K31" s="182">
        <f>IFERROR(VLOOKUP($J31,'FAR Dep Summary'!$A$19:$F$29,2,FALSE),0)</f>
        <v>65926.040000000008</v>
      </c>
      <c r="L31" s="182">
        <f>K31-M31</f>
        <v>0</v>
      </c>
      <c r="M31" s="182">
        <f>K31</f>
        <v>65926.040000000008</v>
      </c>
      <c r="N31" s="182">
        <f>IFERROR(VLOOKUP($J31,'FAR Dep Summary'!$A$19:$F$29,3,FALSE),0)</f>
        <v>5493.8366666666661</v>
      </c>
      <c r="O31" s="182">
        <f>IFERROR(VLOOKUP($J31,'FAR Dep Summary'!$A$19:$F$29,4,FALSE),0)</f>
        <v>896.05555555535102</v>
      </c>
      <c r="P31" s="182">
        <f>IFERROR(VLOOKUP($J31,'FAR Dep Summary'!$A$19:$F$29,5,FALSE),0)</f>
        <v>6389.8922222220172</v>
      </c>
      <c r="Q31" s="183">
        <f>IFERROR(VLOOKUP($J31,'FAR Dep Summary'!$A$19:$F$29,6,FALSE),0)</f>
        <v>59536.14777777798</v>
      </c>
      <c r="S31" s="173" t="s">
        <v>21</v>
      </c>
      <c r="T31" s="182">
        <f>+IFERROR(VLOOKUP($S31,'2023 Bud Capital'!$Q$57:$Y$64,3,FALSE),0)</f>
        <v>0</v>
      </c>
      <c r="U31" s="182">
        <f>+IFERROR(VLOOKUP($S31,'2023 Bud Capital'!$Q$57:$Y$64,4,FALSE),0)</f>
        <v>0</v>
      </c>
      <c r="V31" s="182">
        <f>+T31-U31</f>
        <v>0</v>
      </c>
      <c r="W31" s="182">
        <f>+IFERROR(VLOOKUP($S31,'2023 Bud Capital'!$Q$57:$Y$64,6,FALSE),0)</f>
        <v>0</v>
      </c>
      <c r="X31" s="182">
        <f>+IFERROR(VLOOKUP($S31,'2023 Bud Capital'!$Q$57:$Y$64,7,FALSE),0)</f>
        <v>0</v>
      </c>
      <c r="Y31" s="182">
        <f>+IFERROR(VLOOKUP($S31,'2023 Bud Capital'!$Q$57:$Y$64,8,FALSE),0)</f>
        <v>0</v>
      </c>
      <c r="Z31" s="183">
        <f>+IFERROR(VLOOKUP($S31,'2023 Bud Capital'!$Q$57:$Y$64,9,FALSE),0)</f>
        <v>0</v>
      </c>
      <c r="AB31" s="173" t="s">
        <v>21</v>
      </c>
      <c r="AC31" s="182">
        <f>B31+K31+T31</f>
        <v>316634.88</v>
      </c>
      <c r="AD31" s="182">
        <f t="shared" ref="AD31" si="53">C31+L31+U31</f>
        <v>0</v>
      </c>
      <c r="AE31" s="182">
        <f t="shared" ref="AE31" si="54">D31+M31+V31</f>
        <v>316634.88</v>
      </c>
      <c r="AF31" s="182">
        <f t="shared" ref="AF31" si="55">E31+N31+W31</f>
        <v>19404.590333333334</v>
      </c>
      <c r="AG31" s="182">
        <f t="shared" ref="AG31" si="56">F31+O31+X31</f>
        <v>136450.1274999991</v>
      </c>
      <c r="AH31" s="182">
        <f t="shared" ref="AH31" si="57">G31+P31+Y31</f>
        <v>155854.71783333243</v>
      </c>
      <c r="AI31" s="183">
        <f>H31+Q31+Z31</f>
        <v>160780.16216666758</v>
      </c>
      <c r="AK31" s="386"/>
    </row>
    <row r="32" spans="1:37">
      <c r="A32" s="173"/>
      <c r="B32" s="182"/>
      <c r="C32" s="182"/>
      <c r="D32" s="182"/>
      <c r="E32" s="182"/>
      <c r="F32" s="182"/>
      <c r="G32" s="182"/>
      <c r="H32" s="183"/>
      <c r="I32" s="180"/>
      <c r="J32" s="173"/>
      <c r="K32" s="182"/>
      <c r="L32" s="182"/>
      <c r="M32" s="182"/>
      <c r="N32" s="182"/>
      <c r="O32" s="182"/>
      <c r="P32" s="182"/>
      <c r="Q32" s="183"/>
      <c r="S32" s="173"/>
      <c r="T32" s="182"/>
      <c r="U32" s="182"/>
      <c r="V32" s="182"/>
      <c r="W32" s="182"/>
      <c r="X32" s="182"/>
      <c r="Y32" s="182"/>
      <c r="Z32" s="183"/>
      <c r="AB32" s="173"/>
      <c r="AC32" s="182"/>
      <c r="AD32" s="182"/>
      <c r="AE32" s="182"/>
      <c r="AF32" s="182"/>
      <c r="AG32" s="182"/>
      <c r="AH32" s="182"/>
      <c r="AI32" s="183"/>
    </row>
    <row r="33" spans="1:37">
      <c r="A33" s="184" t="s">
        <v>22</v>
      </c>
      <c r="B33" s="185">
        <f>SUM(B25:B32)</f>
        <v>1111408.4749999999</v>
      </c>
      <c r="C33" s="185">
        <f t="shared" ref="C33:H33" si="58">SUM(C25:C32)</f>
        <v>0</v>
      </c>
      <c r="D33" s="185">
        <f t="shared" si="58"/>
        <v>1111408.4749999999</v>
      </c>
      <c r="E33" s="185">
        <f t="shared" si="58"/>
        <v>56352.837386904823</v>
      </c>
      <c r="F33" s="185">
        <f t="shared" si="58"/>
        <v>769093.36995436263</v>
      </c>
      <c r="G33" s="185">
        <f t="shared" si="58"/>
        <v>825446.20734126738</v>
      </c>
      <c r="H33" s="186">
        <f t="shared" si="58"/>
        <v>285962.26765873283</v>
      </c>
      <c r="I33" s="187"/>
      <c r="J33" s="184" t="s">
        <v>22</v>
      </c>
      <c r="K33" s="185">
        <f>SUM(K25:K32)</f>
        <v>172786.49000000002</v>
      </c>
      <c r="L33" s="185">
        <f t="shared" ref="L33:Q33" si="59">SUM(L25:L32)</f>
        <v>0</v>
      </c>
      <c r="M33" s="185">
        <f t="shared" si="59"/>
        <v>172786.49000000002</v>
      </c>
      <c r="N33" s="185">
        <f t="shared" si="59"/>
        <v>16046.608095238094</v>
      </c>
      <c r="O33" s="185">
        <f t="shared" si="59"/>
        <v>1401.6075694440087</v>
      </c>
      <c r="P33" s="185">
        <f t="shared" si="59"/>
        <v>17448.215664682102</v>
      </c>
      <c r="Q33" s="186">
        <f t="shared" si="59"/>
        <v>155338.2743353179</v>
      </c>
      <c r="S33" s="184" t="s">
        <v>22</v>
      </c>
      <c r="T33" s="185">
        <f>SUM(T25:T32)</f>
        <v>118000</v>
      </c>
      <c r="U33" s="185">
        <f t="shared" ref="U33:Z33" si="60">SUM(U25:U32)</f>
        <v>0</v>
      </c>
      <c r="V33" s="185">
        <f t="shared" si="60"/>
        <v>118000</v>
      </c>
      <c r="W33" s="185">
        <f t="shared" si="60"/>
        <v>16857.142857142859</v>
      </c>
      <c r="X33" s="185">
        <f t="shared" si="60"/>
        <v>0</v>
      </c>
      <c r="Y33" s="185">
        <f t="shared" si="60"/>
        <v>16857.142857142859</v>
      </c>
      <c r="Z33" s="186">
        <f t="shared" si="60"/>
        <v>101142.85714285714</v>
      </c>
      <c r="AB33" s="184" t="s">
        <v>22</v>
      </c>
      <c r="AC33" s="185">
        <f>SUM(AC25:AC32)</f>
        <v>1402194.9649999999</v>
      </c>
      <c r="AD33" s="185">
        <f t="shared" ref="AD33:AI33" si="61">SUM(AD25:AD32)</f>
        <v>0</v>
      </c>
      <c r="AE33" s="185">
        <f t="shared" si="61"/>
        <v>1402194.9649999999</v>
      </c>
      <c r="AF33" s="185">
        <f t="shared" si="61"/>
        <v>89256.58833928578</v>
      </c>
      <c r="AG33" s="185">
        <f t="shared" si="61"/>
        <v>770494.97752380674</v>
      </c>
      <c r="AH33" s="185">
        <f t="shared" si="61"/>
        <v>859751.5658630922</v>
      </c>
      <c r="AI33" s="186">
        <f t="shared" si="61"/>
        <v>542443.39913690789</v>
      </c>
    </row>
    <row r="34" spans="1:37">
      <c r="A34" s="173"/>
      <c r="B34" s="182"/>
      <c r="C34" s="182"/>
      <c r="D34" s="182"/>
      <c r="E34" s="182"/>
      <c r="F34" s="182"/>
      <c r="G34" s="182"/>
      <c r="H34" s="183"/>
      <c r="I34" s="180"/>
      <c r="J34" s="173"/>
      <c r="K34" s="182"/>
      <c r="L34" s="182"/>
      <c r="M34" s="182"/>
      <c r="N34" s="182"/>
      <c r="O34" s="182"/>
      <c r="P34" s="182"/>
      <c r="Q34" s="183"/>
      <c r="S34" s="173"/>
      <c r="T34" s="182"/>
      <c r="U34" s="182"/>
      <c r="V34" s="182"/>
      <c r="W34" s="182"/>
      <c r="X34" s="182"/>
      <c r="Y34" s="182"/>
      <c r="Z34" s="183"/>
      <c r="AB34" s="173"/>
      <c r="AC34" s="182"/>
      <c r="AD34" s="182"/>
      <c r="AE34" s="182"/>
      <c r="AF34" s="182"/>
      <c r="AG34" s="182"/>
      <c r="AH34" s="182"/>
      <c r="AI34" s="183"/>
    </row>
    <row r="35" spans="1:37">
      <c r="A35" s="173" t="s">
        <v>23</v>
      </c>
      <c r="B35" s="182">
        <f>+'Depr - Cont, Shop, Serv, Office'!L268</f>
        <v>107336.47</v>
      </c>
      <c r="C35" s="182">
        <f>B35-D35</f>
        <v>0</v>
      </c>
      <c r="D35" s="182">
        <f>+'Depr - Cont, Shop, Serv, Office'!M268</f>
        <v>107336.47</v>
      </c>
      <c r="E35" s="182">
        <f>+'Depr - Cont, Shop, Serv, Office'!P268</f>
        <v>14026.34266666726</v>
      </c>
      <c r="F35" s="182">
        <f>+'Depr - Cont, Shop, Serv, Office'!R268</f>
        <v>88177.218833332736</v>
      </c>
      <c r="G35" s="182">
        <f>+'Depr - Cont, Shop, Serv, Office'!S268</f>
        <v>102203.5615</v>
      </c>
      <c r="H35" s="183">
        <f>+'Depr - Cont, Shop, Serv, Office'!T268</f>
        <v>5132.9085000000014</v>
      </c>
      <c r="I35" s="180"/>
      <c r="J35" s="173" t="s">
        <v>23</v>
      </c>
      <c r="K35" s="182">
        <f>IFERROR(VLOOKUP($J35,'FAR Dep Summary'!$A$19:$F$29,2,FALSE),0)</f>
        <v>2722</v>
      </c>
      <c r="L35" s="182">
        <f>K35-M35</f>
        <v>0</v>
      </c>
      <c r="M35" s="182">
        <f>K35</f>
        <v>2722</v>
      </c>
      <c r="N35" s="182">
        <f>IFERROR(VLOOKUP($J35,'FAR Dep Summary'!$A$19:$F$29,3,FALSE),0)</f>
        <v>907.33333333333337</v>
      </c>
      <c r="O35" s="182">
        <f>IFERROR(VLOOKUP($J35,'FAR Dep Summary'!$A$19:$F$29,4,FALSE),0)</f>
        <v>0</v>
      </c>
      <c r="P35" s="182">
        <f>IFERROR(VLOOKUP($J35,'FAR Dep Summary'!$A$19:$F$29,5,FALSE),0)</f>
        <v>907.33333333333337</v>
      </c>
      <c r="Q35" s="183">
        <f>IFERROR(VLOOKUP($J35,'FAR Dep Summary'!$A$19:$F$29,6,FALSE),0)</f>
        <v>1814.6666666666665</v>
      </c>
      <c r="S35" s="173" t="s">
        <v>23</v>
      </c>
      <c r="T35" s="182">
        <f>+IFERROR(VLOOKUP($S35,'2023 Bud Capital'!$Q$57:$Y$64,3,FALSE),0)</f>
        <v>0</v>
      </c>
      <c r="U35" s="182">
        <f>+IFERROR(VLOOKUP($S35,'2023 Bud Capital'!$Q$57:$Y$64,4,FALSE),0)</f>
        <v>0</v>
      </c>
      <c r="V35" s="182">
        <f>+T35-U35</f>
        <v>0</v>
      </c>
      <c r="W35" s="182">
        <f>+IFERROR(VLOOKUP($S35,'2023 Bud Capital'!$Q$57:$Y$64,6,FALSE),0)</f>
        <v>0</v>
      </c>
      <c r="X35" s="182">
        <f>+IFERROR(VLOOKUP($S35,'2023 Bud Capital'!$Q$57:$Y$64,7,FALSE),0)</f>
        <v>0</v>
      </c>
      <c r="Y35" s="182">
        <f>+IFERROR(VLOOKUP($S35,'2023 Bud Capital'!$Q$57:$Y$64,8,FALSE),0)</f>
        <v>0</v>
      </c>
      <c r="Z35" s="183">
        <f>+IFERROR(VLOOKUP($S35,'2023 Bud Capital'!$Q$57:$Y$64,9,FALSE),0)</f>
        <v>0</v>
      </c>
      <c r="AB35" s="173" t="s">
        <v>23</v>
      </c>
      <c r="AC35" s="182">
        <f>B35+K35+T35</f>
        <v>110058.47</v>
      </c>
      <c r="AD35" s="182">
        <f t="shared" ref="AD35" si="62">C35+L35+U35</f>
        <v>0</v>
      </c>
      <c r="AE35" s="182">
        <f t="shared" ref="AE35" si="63">D35+M35+V35</f>
        <v>110058.47</v>
      </c>
      <c r="AF35" s="182">
        <f t="shared" ref="AF35" si="64">E35+N35+W35</f>
        <v>14933.676000000594</v>
      </c>
      <c r="AG35" s="182">
        <f t="shared" ref="AG35" si="65">F35+O35+X35</f>
        <v>88177.218833332736</v>
      </c>
      <c r="AH35" s="182">
        <f t="shared" ref="AH35" si="66">G35+P35+Y35</f>
        <v>103110.89483333332</v>
      </c>
      <c r="AI35" s="183">
        <f t="shared" ref="AI35" si="67">H35+Q35+Z35</f>
        <v>6947.5751666666674</v>
      </c>
      <c r="AK35" s="386"/>
    </row>
    <row r="36" spans="1:37">
      <c r="A36" s="173"/>
      <c r="B36" s="182"/>
      <c r="C36" s="182"/>
      <c r="D36" s="182"/>
      <c r="E36" s="182"/>
      <c r="F36" s="182"/>
      <c r="G36" s="182"/>
      <c r="H36" s="183"/>
      <c r="I36" s="180"/>
      <c r="J36" s="173"/>
      <c r="K36" s="182"/>
      <c r="L36" s="182"/>
      <c r="M36" s="182"/>
      <c r="N36" s="182"/>
      <c r="O36" s="182"/>
      <c r="P36" s="182"/>
      <c r="Q36" s="183"/>
      <c r="S36" s="173"/>
      <c r="T36" s="182"/>
      <c r="U36" s="182"/>
      <c r="V36" s="182"/>
      <c r="W36" s="182"/>
      <c r="X36" s="182"/>
      <c r="Y36" s="182"/>
      <c r="Z36" s="183"/>
      <c r="AB36" s="173"/>
      <c r="AC36" s="182"/>
      <c r="AD36" s="182"/>
      <c r="AE36" s="182"/>
      <c r="AF36" s="182"/>
      <c r="AG36" s="182"/>
      <c r="AH36" s="182"/>
      <c r="AI36" s="183"/>
    </row>
    <row r="37" spans="1:37">
      <c r="A37" s="173" t="s">
        <v>24</v>
      </c>
      <c r="B37" s="182">
        <f>+'Depr - Cont, Shop, Serv, Office'!L300</f>
        <v>119474.27</v>
      </c>
      <c r="C37" s="182">
        <f>B37-D37</f>
        <v>240</v>
      </c>
      <c r="D37" s="182">
        <f>+'Depr - Cont, Shop, Serv, Office'!M300</f>
        <v>119234.27</v>
      </c>
      <c r="E37" s="182">
        <f>+'Depr - Cont, Shop, Serv, Office'!P300</f>
        <v>2911.1260000001357</v>
      </c>
      <c r="F37" s="182">
        <f>+'Depr - Cont, Shop, Serv, Office'!R300</f>
        <v>109647.37849999958</v>
      </c>
      <c r="G37" s="182">
        <f>+'Depr - Cont, Shop, Serv, Office'!S300</f>
        <v>112558.50449999972</v>
      </c>
      <c r="H37" s="183">
        <f>+'Depr - Cont, Shop, Serv, Office'!T300</f>
        <v>6915.7655000002815</v>
      </c>
      <c r="I37" s="180"/>
      <c r="J37" s="173" t="s">
        <v>24</v>
      </c>
      <c r="K37" s="182">
        <f>IFERROR(VLOOKUP($J37,'FAR Dep Summary'!$A$19:$F$29,2,FALSE),0)</f>
        <v>67368.160000000003</v>
      </c>
      <c r="L37" s="182">
        <f>K37-M37</f>
        <v>0</v>
      </c>
      <c r="M37" s="182">
        <f>K37</f>
        <v>67368.160000000003</v>
      </c>
      <c r="N37" s="182">
        <f>IFERROR(VLOOKUP($J37,'FAR Dep Summary'!$A$19:$F$29,3,FALSE),0)</f>
        <v>14089.192999999999</v>
      </c>
      <c r="O37" s="182">
        <f>IFERROR(VLOOKUP($J37,'FAR Dep Summary'!$A$19:$F$29,4,FALSE),0)</f>
        <v>0</v>
      </c>
      <c r="P37" s="182">
        <f>IFERROR(VLOOKUP($J37,'FAR Dep Summary'!$A$19:$F$29,5,FALSE),0)</f>
        <v>14089.192999999999</v>
      </c>
      <c r="Q37" s="183">
        <f>IFERROR(VLOOKUP($J37,'FAR Dep Summary'!$A$19:$F$29,6,FALSE),0)</f>
        <v>53278.966999999997</v>
      </c>
      <c r="S37" s="173" t="s">
        <v>24</v>
      </c>
      <c r="T37" s="182">
        <f>+IFERROR(VLOOKUP($S37,'2023 Bud Capital'!$Q$57:$Y$64,3,FALSE),0)</f>
        <v>0</v>
      </c>
      <c r="U37" s="182">
        <f>+IFERROR(VLOOKUP($S37,'2023 Bud Capital'!$Q$57:$Y$64,4,FALSE),0)</f>
        <v>0</v>
      </c>
      <c r="V37" s="182">
        <f>+T37-U37</f>
        <v>0</v>
      </c>
      <c r="W37" s="182">
        <f>+IFERROR(VLOOKUP($S37,'2023 Bud Capital'!$Q$57:$Y$64,6,FALSE),0)</f>
        <v>0</v>
      </c>
      <c r="X37" s="182">
        <f>+IFERROR(VLOOKUP($S37,'2023 Bud Capital'!$Q$57:$Y$64,7,FALSE),0)</f>
        <v>0</v>
      </c>
      <c r="Y37" s="182">
        <f>+IFERROR(VLOOKUP($S37,'2023 Bud Capital'!$Q$57:$Y$64,8,FALSE),0)</f>
        <v>0</v>
      </c>
      <c r="Z37" s="183">
        <f>+IFERROR(VLOOKUP($S37,'2023 Bud Capital'!$Q$57:$Y$64,9,FALSE),0)</f>
        <v>0</v>
      </c>
      <c r="AB37" s="173" t="s">
        <v>24</v>
      </c>
      <c r="AC37" s="182">
        <f>B37+K37+T37</f>
        <v>186842.43</v>
      </c>
      <c r="AD37" s="182">
        <f t="shared" ref="AD37" si="68">C37+L37+U37</f>
        <v>240</v>
      </c>
      <c r="AE37" s="182">
        <f t="shared" ref="AE37" si="69">D37+M37+V37</f>
        <v>186602.43</v>
      </c>
      <c r="AF37" s="182">
        <f t="shared" ref="AF37" si="70">E37+N37+W37</f>
        <v>17000.319000000134</v>
      </c>
      <c r="AG37" s="182">
        <f t="shared" ref="AG37" si="71">F37+O37+X37</f>
        <v>109647.37849999958</v>
      </c>
      <c r="AH37" s="182">
        <f t="shared" ref="AH37" si="72">G37+P37+Y37</f>
        <v>126647.69749999972</v>
      </c>
      <c r="AI37" s="183">
        <f t="shared" ref="AI37" si="73">H37+Q37+Z37</f>
        <v>60194.732500000275</v>
      </c>
      <c r="AK37" s="386"/>
    </row>
    <row r="38" spans="1:37">
      <c r="A38" s="173"/>
      <c r="B38" s="182"/>
      <c r="C38" s="182"/>
      <c r="D38" s="182"/>
      <c r="E38" s="182"/>
      <c r="F38" s="182"/>
      <c r="G38" s="182"/>
      <c r="H38" s="183"/>
      <c r="I38" s="180"/>
      <c r="J38" s="173"/>
      <c r="K38" s="182"/>
      <c r="L38" s="182"/>
      <c r="M38" s="182"/>
      <c r="N38" s="182"/>
      <c r="O38" s="182"/>
      <c r="P38" s="182"/>
      <c r="Q38" s="183"/>
      <c r="S38" s="173"/>
      <c r="T38" s="182"/>
      <c r="U38" s="182"/>
      <c r="V38" s="182"/>
      <c r="W38" s="182"/>
      <c r="X38" s="182"/>
      <c r="Y38" s="182"/>
      <c r="Z38" s="183"/>
      <c r="AB38" s="173"/>
      <c r="AC38" s="182"/>
      <c r="AD38" s="182"/>
      <c r="AE38" s="182"/>
      <c r="AF38" s="182"/>
      <c r="AG38" s="182"/>
      <c r="AH38" s="182"/>
      <c r="AI38" s="183"/>
    </row>
    <row r="39" spans="1:37">
      <c r="A39" s="173" t="s">
        <v>25</v>
      </c>
      <c r="B39" s="182">
        <f>+'Depr - Cont, Shop, Serv, Office'!L317</f>
        <v>25004.73</v>
      </c>
      <c r="C39" s="182">
        <f>B39-D39</f>
        <v>0</v>
      </c>
      <c r="D39" s="182">
        <f>+'Depr - Cont, Shop, Serv, Office'!M317</f>
        <v>25004.73</v>
      </c>
      <c r="E39" s="182">
        <f>+'Depr - Cont, Shop, Serv, Office'!P317</f>
        <v>433.06416666669514</v>
      </c>
      <c r="F39" s="182">
        <f>+'Depr - Cont, Shop, Serv, Office'!R317</f>
        <v>24015.079166666572</v>
      </c>
      <c r="G39" s="182">
        <f>+'Depr - Cont, Shop, Serv, Office'!S317</f>
        <v>24448.143333333272</v>
      </c>
      <c r="H39" s="183">
        <f>+'Depr - Cont, Shop, Serv, Office'!T317</f>
        <v>556.58666666672991</v>
      </c>
      <c r="I39" s="180"/>
      <c r="J39" s="173" t="s">
        <v>25</v>
      </c>
      <c r="K39" s="182">
        <f>IFERROR(VLOOKUP($J39,'FAR Dep Summary'!$A$19:$F$29,2,FALSE),0)</f>
        <v>3187.33</v>
      </c>
      <c r="L39" s="182">
        <f>K39-M39</f>
        <v>0</v>
      </c>
      <c r="M39" s="182">
        <f>K39</f>
        <v>3187.33</v>
      </c>
      <c r="N39" s="182">
        <f>IFERROR(VLOOKUP($J39,'FAR Dep Summary'!$A$19:$F$29,3,FALSE),0)</f>
        <v>1062.4433333333334</v>
      </c>
      <c r="O39" s="182">
        <f>IFERROR(VLOOKUP($J39,'FAR Dep Summary'!$A$19:$F$29,4,FALSE),0)</f>
        <v>25.922222222216362</v>
      </c>
      <c r="P39" s="182">
        <f>IFERROR(VLOOKUP($J39,'FAR Dep Summary'!$A$19:$F$29,5,FALSE),0)</f>
        <v>1088.3655555555497</v>
      </c>
      <c r="Q39" s="183">
        <f>IFERROR(VLOOKUP($J39,'FAR Dep Summary'!$A$19:$F$29,6,FALSE),0)</f>
        <v>2098.9644444444502</v>
      </c>
      <c r="S39" s="173" t="s">
        <v>25</v>
      </c>
      <c r="T39" s="182">
        <f>+IFERROR(VLOOKUP($S39,'2023 Bud Capital'!$Q$57:$Y$64,3,FALSE),0)</f>
        <v>0</v>
      </c>
      <c r="U39" s="182">
        <f>+IFERROR(VLOOKUP($S39,'2023 Bud Capital'!$Q$57:$Y$64,4,FALSE),0)</f>
        <v>0</v>
      </c>
      <c r="V39" s="182">
        <f>+T39-U39</f>
        <v>0</v>
      </c>
      <c r="W39" s="182">
        <f>+IFERROR(VLOOKUP($S39,'2023 Bud Capital'!$Q$57:$Y$64,6,FALSE),0)</f>
        <v>0</v>
      </c>
      <c r="X39" s="182">
        <f>+IFERROR(VLOOKUP($S39,'2023 Bud Capital'!$Q$57:$Y$64,7,FALSE),0)</f>
        <v>0</v>
      </c>
      <c r="Y39" s="182">
        <f>+IFERROR(VLOOKUP($S39,'2023 Bud Capital'!$Q$57:$Y$64,8,FALSE),0)</f>
        <v>0</v>
      </c>
      <c r="Z39" s="183">
        <f>+IFERROR(VLOOKUP($S39,'2023 Bud Capital'!$Q$57:$Y$64,9,FALSE),0)</f>
        <v>0</v>
      </c>
      <c r="AB39" s="173" t="s">
        <v>25</v>
      </c>
      <c r="AC39" s="182">
        <f>B39+K39+T39</f>
        <v>28192.059999999998</v>
      </c>
      <c r="AD39" s="182">
        <f t="shared" ref="AD39" si="74">C39+L39+U39</f>
        <v>0</v>
      </c>
      <c r="AE39" s="182">
        <f t="shared" ref="AE39" si="75">D39+M39+V39</f>
        <v>28192.059999999998</v>
      </c>
      <c r="AF39" s="182">
        <f t="shared" ref="AF39" si="76">E39+N39+W39</f>
        <v>1495.5075000000286</v>
      </c>
      <c r="AG39" s="182">
        <f t="shared" ref="AG39" si="77">F39+O39+X39</f>
        <v>24041.001388888788</v>
      </c>
      <c r="AH39" s="182">
        <f t="shared" ref="AH39" si="78">G39+P39+Y39</f>
        <v>25536.50888888882</v>
      </c>
      <c r="AI39" s="183">
        <f t="shared" ref="AI39" si="79">H39+Q39+Z39</f>
        <v>2655.55111111118</v>
      </c>
      <c r="AK39" s="386"/>
    </row>
    <row r="40" spans="1:37">
      <c r="A40" s="173"/>
      <c r="B40" s="182"/>
      <c r="C40" s="182"/>
      <c r="D40" s="182"/>
      <c r="E40" s="182"/>
      <c r="F40" s="182"/>
      <c r="G40" s="182"/>
      <c r="H40" s="183"/>
      <c r="I40" s="180"/>
      <c r="J40" s="173"/>
      <c r="K40" s="182"/>
      <c r="L40" s="182"/>
      <c r="M40" s="182"/>
      <c r="N40" s="182"/>
      <c r="O40" s="182"/>
      <c r="P40" s="182"/>
      <c r="Q40" s="183"/>
      <c r="S40" s="173"/>
      <c r="T40" s="182"/>
      <c r="U40" s="182"/>
      <c r="V40" s="182"/>
      <c r="W40" s="182"/>
      <c r="X40" s="182"/>
      <c r="Y40" s="182"/>
      <c r="Z40" s="183"/>
      <c r="AB40" s="173"/>
      <c r="AC40" s="182"/>
      <c r="AD40" s="182"/>
      <c r="AE40" s="182"/>
      <c r="AF40" s="182"/>
      <c r="AG40" s="182"/>
      <c r="AH40" s="182"/>
      <c r="AI40" s="183"/>
    </row>
    <row r="41" spans="1:37">
      <c r="A41" s="184" t="s">
        <v>26</v>
      </c>
      <c r="B41" s="185">
        <f>SUM(B35:B40)</f>
        <v>251815.47</v>
      </c>
      <c r="C41" s="185">
        <f t="shared" ref="C41:H41" si="80">SUM(C35:C40)</f>
        <v>240</v>
      </c>
      <c r="D41" s="185">
        <f t="shared" si="80"/>
        <v>251575.47</v>
      </c>
      <c r="E41" s="185">
        <f t="shared" si="80"/>
        <v>17370.532833334091</v>
      </c>
      <c r="F41" s="185">
        <f t="shared" si="80"/>
        <v>221839.6764999989</v>
      </c>
      <c r="G41" s="185">
        <f t="shared" si="80"/>
        <v>239210.20933333298</v>
      </c>
      <c r="H41" s="186">
        <f t="shared" si="80"/>
        <v>12605.260666667013</v>
      </c>
      <c r="I41" s="187"/>
      <c r="J41" s="184" t="s">
        <v>26</v>
      </c>
      <c r="K41" s="185">
        <f>SUM(K35:K40)</f>
        <v>73277.490000000005</v>
      </c>
      <c r="L41" s="185">
        <f t="shared" ref="L41:Q41" si="81">SUM(L35:L40)</f>
        <v>0</v>
      </c>
      <c r="M41" s="185">
        <f t="shared" si="81"/>
        <v>73277.490000000005</v>
      </c>
      <c r="N41" s="185">
        <f t="shared" si="81"/>
        <v>16058.969666666666</v>
      </c>
      <c r="O41" s="185">
        <f t="shared" si="81"/>
        <v>25.922222222216362</v>
      </c>
      <c r="P41" s="185">
        <f t="shared" si="81"/>
        <v>16084.891888888884</v>
      </c>
      <c r="Q41" s="186">
        <f t="shared" si="81"/>
        <v>57192.59811111111</v>
      </c>
      <c r="S41" s="184" t="s">
        <v>26</v>
      </c>
      <c r="T41" s="185">
        <f>SUM(T35:T40)</f>
        <v>0</v>
      </c>
      <c r="U41" s="185">
        <f t="shared" ref="U41:Z41" si="82">SUM(U35:U40)</f>
        <v>0</v>
      </c>
      <c r="V41" s="185">
        <f t="shared" si="82"/>
        <v>0</v>
      </c>
      <c r="W41" s="185">
        <f t="shared" si="82"/>
        <v>0</v>
      </c>
      <c r="X41" s="185">
        <f t="shared" si="82"/>
        <v>0</v>
      </c>
      <c r="Y41" s="185">
        <f t="shared" si="82"/>
        <v>0</v>
      </c>
      <c r="Z41" s="186">
        <f t="shared" si="82"/>
        <v>0</v>
      </c>
      <c r="AB41" s="184" t="s">
        <v>26</v>
      </c>
      <c r="AC41" s="185">
        <f>SUM(AC35:AC40)</f>
        <v>325092.96000000002</v>
      </c>
      <c r="AD41" s="185">
        <f t="shared" ref="AD41:AI41" si="83">SUM(AD35:AD40)</f>
        <v>240</v>
      </c>
      <c r="AE41" s="185">
        <f t="shared" si="83"/>
        <v>324852.96000000002</v>
      </c>
      <c r="AF41" s="185">
        <f t="shared" si="83"/>
        <v>33429.502500000759</v>
      </c>
      <c r="AG41" s="185">
        <f t="shared" si="83"/>
        <v>221865.5987222211</v>
      </c>
      <c r="AH41" s="185">
        <f t="shared" si="83"/>
        <v>255295.10122222186</v>
      </c>
      <c r="AI41" s="186">
        <f t="shared" si="83"/>
        <v>69797.858777778121</v>
      </c>
    </row>
    <row r="42" spans="1:37">
      <c r="A42" s="173"/>
      <c r="B42" s="182"/>
      <c r="C42" s="182"/>
      <c r="D42" s="182"/>
      <c r="E42" s="182"/>
      <c r="F42" s="182"/>
      <c r="G42" s="182"/>
      <c r="H42" s="183"/>
      <c r="J42" s="173"/>
      <c r="K42" s="182"/>
      <c r="L42" s="182"/>
      <c r="M42" s="182"/>
      <c r="N42" s="182"/>
      <c r="O42" s="182"/>
      <c r="P42" s="182"/>
      <c r="Q42" s="183"/>
      <c r="S42" s="173"/>
      <c r="T42" s="182"/>
      <c r="U42" s="182"/>
      <c r="V42" s="182"/>
      <c r="W42" s="182"/>
      <c r="X42" s="182"/>
      <c r="Y42" s="182"/>
      <c r="Z42" s="183"/>
      <c r="AB42" s="173"/>
      <c r="AC42" s="182"/>
      <c r="AD42" s="182"/>
      <c r="AE42" s="182"/>
      <c r="AF42" s="182"/>
      <c r="AG42" s="182"/>
      <c r="AH42" s="182"/>
      <c r="AI42" s="183"/>
    </row>
    <row r="43" spans="1:37">
      <c r="A43" s="173" t="s">
        <v>27</v>
      </c>
      <c r="B43" s="182">
        <f>+'Depr - Cont, Shop, Serv, Office'!L333</f>
        <v>266028.78000000003</v>
      </c>
      <c r="C43" s="182"/>
      <c r="D43" s="182">
        <f>+'Depr - Cont, Shop, Serv, Office'!M333</f>
        <v>266028.78000000003</v>
      </c>
      <c r="E43" s="182">
        <f>+'Depr - Cont, Shop, Serv, Office'!P333</f>
        <v>11155.046466666667</v>
      </c>
      <c r="F43" s="182">
        <f>+'Depr - Cont, Shop, Serv, Office'!R333</f>
        <v>211718.4090555546</v>
      </c>
      <c r="G43" s="182">
        <f>+'Depr - Cont, Shop, Serv, Office'!S333</f>
        <v>222873.45552222125</v>
      </c>
      <c r="H43" s="183">
        <f>+'Depr - Cont, Shop, Serv, Office'!T333</f>
        <v>43155.324477778711</v>
      </c>
      <c r="I43" s="180"/>
      <c r="J43" s="173" t="s">
        <v>27</v>
      </c>
      <c r="K43" s="182">
        <f>IFERROR(VLOOKUP($J43,'FAR Dep Summary'!$A$19:$F$29,2,FALSE),0)</f>
        <v>0</v>
      </c>
      <c r="L43" s="182">
        <f>K43-M43</f>
        <v>0</v>
      </c>
      <c r="M43" s="182">
        <f>K43</f>
        <v>0</v>
      </c>
      <c r="N43" s="182">
        <f>IFERROR(VLOOKUP($J43,'FAR Dep Summary'!$A$19:$F$29,3,FALSE),0)</f>
        <v>0</v>
      </c>
      <c r="O43" s="182">
        <f>IFERROR(VLOOKUP($J43,'FAR Dep Summary'!$A$19:$F$29,4,FALSE),0)</f>
        <v>0</v>
      </c>
      <c r="P43" s="182">
        <f>IFERROR(VLOOKUP($J43,'FAR Dep Summary'!$A$19:$F$29,5,FALSE),0)</f>
        <v>0</v>
      </c>
      <c r="Q43" s="183">
        <f>IFERROR(VLOOKUP($J43,'FAR Dep Summary'!$A$19:$F$29,6,FALSE),0)</f>
        <v>0</v>
      </c>
      <c r="S43" s="173" t="s">
        <v>27</v>
      </c>
      <c r="T43" s="182">
        <f>+IFERROR(VLOOKUP($S43,'2023 Bud Capital'!$Q$57:$Y$64,3,FALSE),0)</f>
        <v>0</v>
      </c>
      <c r="U43" s="182">
        <f>+IFERROR(VLOOKUP($S43,'2023 Bud Capital'!$Q$57:$Y$64,4,FALSE),0)</f>
        <v>0</v>
      </c>
      <c r="V43" s="182">
        <f>+T43-U43</f>
        <v>0</v>
      </c>
      <c r="W43" s="182">
        <f>+IFERROR(VLOOKUP($S43,'2023 Bud Capital'!$Q$57:$Y$64,6,FALSE),0)</f>
        <v>0</v>
      </c>
      <c r="X43" s="182">
        <f>+IFERROR(VLOOKUP($S43,'2023 Bud Capital'!$Q$57:$Y$64,7,FALSE),0)</f>
        <v>0</v>
      </c>
      <c r="Y43" s="182">
        <f>+IFERROR(VLOOKUP($S43,'2023 Bud Capital'!$Q$57:$Y$64,8,FALSE),0)</f>
        <v>0</v>
      </c>
      <c r="Z43" s="183">
        <f>+IFERROR(VLOOKUP($S43,'2023 Bud Capital'!$Q$57:$Y$64,9,FALSE),0)</f>
        <v>0</v>
      </c>
      <c r="AB43" s="173" t="s">
        <v>27</v>
      </c>
      <c r="AC43" s="182">
        <f>B43+K43+T43</f>
        <v>266028.78000000003</v>
      </c>
      <c r="AD43" s="182">
        <f t="shared" ref="AD43" si="84">C43+L43+U43</f>
        <v>0</v>
      </c>
      <c r="AE43" s="182">
        <f t="shared" ref="AE43" si="85">D43+M43+V43</f>
        <v>266028.78000000003</v>
      </c>
      <c r="AF43" s="182">
        <f t="shared" ref="AF43" si="86">E43+N43+W43</f>
        <v>11155.046466666667</v>
      </c>
      <c r="AG43" s="182">
        <f t="shared" ref="AG43" si="87">F43+O43+X43</f>
        <v>211718.4090555546</v>
      </c>
      <c r="AH43" s="182">
        <f t="shared" ref="AH43" si="88">G43+P43+Y43</f>
        <v>222873.45552222125</v>
      </c>
      <c r="AI43" s="183">
        <f t="shared" ref="AI43" si="89">H43+Q43+Z43</f>
        <v>43155.324477778711</v>
      </c>
      <c r="AK43" s="386"/>
    </row>
    <row r="44" spans="1:37">
      <c r="A44" s="173"/>
      <c r="B44" s="182"/>
      <c r="C44" s="182"/>
      <c r="D44" s="182"/>
      <c r="E44" s="182"/>
      <c r="F44" s="182"/>
      <c r="G44" s="182"/>
      <c r="H44" s="183"/>
      <c r="I44" s="180"/>
      <c r="J44" s="173"/>
      <c r="K44" s="182"/>
      <c r="L44" s="182"/>
      <c r="M44" s="182"/>
      <c r="N44" s="182"/>
      <c r="O44" s="182"/>
      <c r="P44" s="182"/>
      <c r="Q44" s="183"/>
      <c r="S44" s="173"/>
      <c r="T44" s="182"/>
      <c r="U44" s="182"/>
      <c r="V44" s="182"/>
      <c r="W44" s="182"/>
      <c r="X44" s="182"/>
      <c r="Y44" s="182"/>
      <c r="Z44" s="183"/>
      <c r="AB44" s="173"/>
      <c r="AC44" s="182"/>
      <c r="AD44" s="182"/>
      <c r="AE44" s="182"/>
      <c r="AF44" s="182"/>
      <c r="AG44" s="182"/>
      <c r="AH44" s="182"/>
      <c r="AI44" s="183"/>
    </row>
    <row r="45" spans="1:37">
      <c r="A45" s="173" t="s">
        <v>28</v>
      </c>
      <c r="B45" s="182">
        <v>20000</v>
      </c>
      <c r="C45" s="182"/>
      <c r="D45" s="182">
        <v>20000</v>
      </c>
      <c r="E45" s="182"/>
      <c r="F45" s="182"/>
      <c r="G45" s="182"/>
      <c r="H45" s="183">
        <v>20000</v>
      </c>
      <c r="I45" s="180"/>
      <c r="J45" s="173" t="s">
        <v>28</v>
      </c>
      <c r="K45" s="182">
        <f>IFERROR(VLOOKUP($J45,'FAR Dep Summary'!$A$19:$F$29,2,FALSE),0)</f>
        <v>0</v>
      </c>
      <c r="L45" s="182">
        <f>K45-M45</f>
        <v>0</v>
      </c>
      <c r="M45" s="182">
        <f>K45</f>
        <v>0</v>
      </c>
      <c r="N45" s="182">
        <f>IFERROR(VLOOKUP($J45,'FAR Dep Summary'!$A$19:$F$29,3,FALSE),0)</f>
        <v>0</v>
      </c>
      <c r="O45" s="182">
        <f>IFERROR(VLOOKUP($J45,'FAR Dep Summary'!$A$19:$F$29,4,FALSE),0)</f>
        <v>0</v>
      </c>
      <c r="P45" s="182">
        <f>IFERROR(VLOOKUP($J45,'FAR Dep Summary'!$A$19:$F$29,5,FALSE),0)</f>
        <v>0</v>
      </c>
      <c r="Q45" s="183">
        <f>IFERROR(VLOOKUP($J45,'FAR Dep Summary'!$A$19:$F$29,6,FALSE),0)</f>
        <v>0</v>
      </c>
      <c r="S45" s="173" t="s">
        <v>28</v>
      </c>
      <c r="T45" s="182">
        <f>+IFERROR(VLOOKUP($S45,'2023 Bud Capital'!$Q$57:$Y$64,3,FALSE),0)</f>
        <v>0</v>
      </c>
      <c r="U45" s="182">
        <f>+IFERROR(VLOOKUP($S45,'2023 Bud Capital'!$Q$57:$Y$64,4,FALSE),0)</f>
        <v>0</v>
      </c>
      <c r="V45" s="182">
        <f>+T45-U45</f>
        <v>0</v>
      </c>
      <c r="W45" s="182">
        <f>+IFERROR(VLOOKUP($S45,'2023 Bud Capital'!$Q$57:$Y$64,6,FALSE),0)</f>
        <v>0</v>
      </c>
      <c r="X45" s="182">
        <f>+IFERROR(VLOOKUP($S45,'2023 Bud Capital'!$Q$57:$Y$64,7,FALSE),0)</f>
        <v>0</v>
      </c>
      <c r="Y45" s="182">
        <f>+IFERROR(VLOOKUP($S45,'2023 Bud Capital'!$Q$57:$Y$64,8,FALSE),0)</f>
        <v>0</v>
      </c>
      <c r="Z45" s="183">
        <f>+IFERROR(VLOOKUP($S45,'2023 Bud Capital'!$Q$57:$Y$64,9,FALSE),0)</f>
        <v>0</v>
      </c>
      <c r="AB45" s="173" t="s">
        <v>28</v>
      </c>
      <c r="AC45" s="182">
        <f>B45+K45+T45</f>
        <v>20000</v>
      </c>
      <c r="AD45" s="182">
        <f t="shared" ref="AD45" si="90">C45+L45+U45</f>
        <v>0</v>
      </c>
      <c r="AE45" s="182">
        <f t="shared" ref="AE45" si="91">D45+M45+V45</f>
        <v>20000</v>
      </c>
      <c r="AF45" s="182">
        <f t="shared" ref="AF45" si="92">E45+N45+W45</f>
        <v>0</v>
      </c>
      <c r="AG45" s="182">
        <f t="shared" ref="AG45" si="93">F45+O45+X45</f>
        <v>0</v>
      </c>
      <c r="AH45" s="182">
        <f t="shared" ref="AH45" si="94">G45+P45+Y45</f>
        <v>0</v>
      </c>
      <c r="AI45" s="183">
        <f t="shared" ref="AI45" si="95">H45+Q45+Z45</f>
        <v>20000</v>
      </c>
      <c r="AK45" s="386"/>
    </row>
    <row r="46" spans="1:37">
      <c r="A46" s="173"/>
      <c r="B46" s="182"/>
      <c r="C46" s="182"/>
      <c r="D46" s="182"/>
      <c r="E46" s="182"/>
      <c r="F46" s="182"/>
      <c r="G46" s="182"/>
      <c r="H46" s="183"/>
      <c r="I46" s="180"/>
      <c r="J46" s="173"/>
      <c r="K46" s="182"/>
      <c r="L46" s="182"/>
      <c r="M46" s="182"/>
      <c r="N46" s="182"/>
      <c r="O46" s="182"/>
      <c r="P46" s="182"/>
      <c r="Q46" s="183"/>
      <c r="S46" s="173"/>
      <c r="T46" s="182"/>
      <c r="U46" s="182"/>
      <c r="V46" s="182"/>
      <c r="W46" s="182"/>
      <c r="X46" s="182"/>
      <c r="Y46" s="182"/>
      <c r="Z46" s="183"/>
      <c r="AB46" s="173"/>
      <c r="AC46" s="182"/>
      <c r="AD46" s="182"/>
      <c r="AE46" s="182"/>
      <c r="AF46" s="182"/>
      <c r="AG46" s="182"/>
      <c r="AH46" s="182"/>
      <c r="AI46" s="183"/>
    </row>
    <row r="47" spans="1:37">
      <c r="A47" s="173" t="s">
        <v>29</v>
      </c>
      <c r="B47" s="182">
        <v>5000</v>
      </c>
      <c r="C47" s="182"/>
      <c r="D47" s="182">
        <v>5000</v>
      </c>
      <c r="E47" s="182"/>
      <c r="F47" s="182"/>
      <c r="G47" s="182"/>
      <c r="H47" s="183">
        <v>5000</v>
      </c>
      <c r="I47" s="180"/>
      <c r="J47" s="173" t="s">
        <v>29</v>
      </c>
      <c r="K47" s="182">
        <f>IFERROR(VLOOKUP($J47,'FAR Dep Summary'!$A$19:$F$29,2,FALSE),0)</f>
        <v>0</v>
      </c>
      <c r="L47" s="182">
        <f>K47-M47</f>
        <v>0</v>
      </c>
      <c r="M47" s="182">
        <f>K47</f>
        <v>0</v>
      </c>
      <c r="N47" s="182">
        <f>IFERROR(VLOOKUP($J47,'FAR Dep Summary'!$A$19:$F$29,3,FALSE),0)</f>
        <v>0</v>
      </c>
      <c r="O47" s="182">
        <f>IFERROR(VLOOKUP($J47,'FAR Dep Summary'!$A$19:$F$29,4,FALSE),0)</f>
        <v>0</v>
      </c>
      <c r="P47" s="182">
        <f>IFERROR(VLOOKUP($J47,'FAR Dep Summary'!$A$19:$F$29,5,FALSE),0)</f>
        <v>0</v>
      </c>
      <c r="Q47" s="183">
        <f>IFERROR(VLOOKUP($J47,'FAR Dep Summary'!$A$19:$F$29,6,FALSE),0)</f>
        <v>0</v>
      </c>
      <c r="S47" s="173" t="s">
        <v>29</v>
      </c>
      <c r="T47" s="182">
        <f>+IFERROR(VLOOKUP($S47,'2023 Bud Capital'!$Q$57:$Y$64,3,FALSE),0)</f>
        <v>0</v>
      </c>
      <c r="U47" s="182">
        <f>+IFERROR(VLOOKUP($S47,'2023 Bud Capital'!$Q$57:$Y$64,4,FALSE),0)</f>
        <v>0</v>
      </c>
      <c r="V47" s="182">
        <f>+T47-U47</f>
        <v>0</v>
      </c>
      <c r="W47" s="182">
        <f>+IFERROR(VLOOKUP($S47,'2023 Bud Capital'!$Q$57:$Y$64,6,FALSE),0)</f>
        <v>0</v>
      </c>
      <c r="X47" s="182">
        <f>+IFERROR(VLOOKUP($S47,'2023 Bud Capital'!$Q$57:$Y$64,7,FALSE),0)</f>
        <v>0</v>
      </c>
      <c r="Y47" s="182">
        <f>+IFERROR(VLOOKUP($S47,'2023 Bud Capital'!$Q$57:$Y$64,8,FALSE),0)</f>
        <v>0</v>
      </c>
      <c r="Z47" s="183">
        <f>+IFERROR(VLOOKUP($S47,'2023 Bud Capital'!$Q$57:$Y$64,9,FALSE),0)</f>
        <v>0</v>
      </c>
      <c r="AB47" s="173" t="s">
        <v>29</v>
      </c>
      <c r="AC47" s="182">
        <f>B47+K47+T47</f>
        <v>5000</v>
      </c>
      <c r="AD47" s="182">
        <f t="shared" ref="AD47:AD48" si="96">C47+L47+U47</f>
        <v>0</v>
      </c>
      <c r="AE47" s="182">
        <f t="shared" ref="AE47:AE48" si="97">D47+M47+V47</f>
        <v>5000</v>
      </c>
      <c r="AF47" s="182">
        <f t="shared" ref="AF47:AF48" si="98">E47+N47+W47</f>
        <v>0</v>
      </c>
      <c r="AG47" s="182">
        <f t="shared" ref="AG47:AG48" si="99">F47+O47+X47</f>
        <v>0</v>
      </c>
      <c r="AH47" s="182">
        <f t="shared" ref="AH47:AH48" si="100">G47+P47+Y47</f>
        <v>0</v>
      </c>
      <c r="AI47" s="183">
        <f t="shared" ref="AI47:AI48" si="101">H47+Q47+Z47</f>
        <v>5000</v>
      </c>
      <c r="AK47" s="386"/>
    </row>
    <row r="48" spans="1:37">
      <c r="A48" s="173" t="s">
        <v>30</v>
      </c>
      <c r="B48" s="182"/>
      <c r="C48" s="182"/>
      <c r="D48" s="182"/>
      <c r="E48" s="182"/>
      <c r="F48" s="182"/>
      <c r="G48" s="182"/>
      <c r="H48" s="183"/>
      <c r="I48" s="180"/>
      <c r="J48" s="173" t="s">
        <v>30</v>
      </c>
      <c r="K48" s="182">
        <f>IFERROR(VLOOKUP($J48,'FAR Dep Summary'!$A$19:$F$29,2,FALSE),0)</f>
        <v>0</v>
      </c>
      <c r="L48" s="182">
        <f>K48-M48</f>
        <v>0</v>
      </c>
      <c r="M48" s="182">
        <f>K48</f>
        <v>0</v>
      </c>
      <c r="N48" s="182">
        <f>IFERROR(VLOOKUP($J48,'FAR Dep Summary'!$A$19:$F$29,3,FALSE),0)</f>
        <v>0</v>
      </c>
      <c r="O48" s="182">
        <f>IFERROR(VLOOKUP($J48,'FAR Dep Summary'!$A$19:$F$29,4,FALSE),0)</f>
        <v>0</v>
      </c>
      <c r="P48" s="182">
        <f>IFERROR(VLOOKUP($J48,'FAR Dep Summary'!$A$19:$F$29,5,FALSE),0)</f>
        <v>0</v>
      </c>
      <c r="Q48" s="183">
        <f>IFERROR(VLOOKUP($J48,'FAR Dep Summary'!$A$19:$F$29,6,FALSE),0)</f>
        <v>0</v>
      </c>
      <c r="S48" s="173" t="s">
        <v>30</v>
      </c>
      <c r="T48" s="182">
        <f>+IFERROR(VLOOKUP($S48,'2023 Bud Capital'!$Q$57:$Y$64,3,FALSE),0)</f>
        <v>0</v>
      </c>
      <c r="U48" s="182">
        <f>+IFERROR(VLOOKUP($S48,'2023 Bud Capital'!$Q$57:$Y$64,4,FALSE),0)</f>
        <v>0</v>
      </c>
      <c r="V48" s="182">
        <f>+T48-U48</f>
        <v>0</v>
      </c>
      <c r="W48" s="182">
        <f>+IFERROR(VLOOKUP($S48,'2023 Bud Capital'!$Q$57:$Y$64,6,FALSE),0)</f>
        <v>0</v>
      </c>
      <c r="X48" s="182">
        <f>+IFERROR(VLOOKUP($S48,'2023 Bud Capital'!$Q$57:$Y$64,7,FALSE),0)</f>
        <v>0</v>
      </c>
      <c r="Y48" s="182">
        <f>+IFERROR(VLOOKUP($S48,'2023 Bud Capital'!$Q$57:$Y$64,8,FALSE),0)</f>
        <v>0</v>
      </c>
      <c r="Z48" s="183">
        <f>+IFERROR(VLOOKUP($S48,'2023 Bud Capital'!$Q$57:$Y$64,9,FALSE),0)</f>
        <v>0</v>
      </c>
      <c r="AB48" s="173" t="s">
        <v>30</v>
      </c>
      <c r="AC48" s="182">
        <f>B48+K48+T48</f>
        <v>0</v>
      </c>
      <c r="AD48" s="182">
        <f t="shared" si="96"/>
        <v>0</v>
      </c>
      <c r="AE48" s="182">
        <f t="shared" si="97"/>
        <v>0</v>
      </c>
      <c r="AF48" s="182">
        <f t="shared" si="98"/>
        <v>0</v>
      </c>
      <c r="AG48" s="182">
        <f t="shared" si="99"/>
        <v>0</v>
      </c>
      <c r="AH48" s="182">
        <f t="shared" si="100"/>
        <v>0</v>
      </c>
      <c r="AI48" s="183">
        <f t="shared" si="101"/>
        <v>0</v>
      </c>
    </row>
    <row r="49" spans="1:35" s="171" customFormat="1">
      <c r="A49" s="184" t="s">
        <v>31</v>
      </c>
      <c r="B49" s="185">
        <f t="shared" ref="B49:H49" si="102">SUM(B43:B48)</f>
        <v>291028.78000000003</v>
      </c>
      <c r="C49" s="185">
        <f t="shared" si="102"/>
        <v>0</v>
      </c>
      <c r="D49" s="185">
        <f t="shared" si="102"/>
        <v>291028.78000000003</v>
      </c>
      <c r="E49" s="185">
        <f t="shared" si="102"/>
        <v>11155.046466666667</v>
      </c>
      <c r="F49" s="185">
        <f t="shared" si="102"/>
        <v>211718.4090555546</v>
      </c>
      <c r="G49" s="185">
        <f t="shared" si="102"/>
        <v>222873.45552222125</v>
      </c>
      <c r="H49" s="186">
        <f t="shared" si="102"/>
        <v>68155.324477778719</v>
      </c>
      <c r="I49" s="187"/>
      <c r="J49" s="184" t="s">
        <v>31</v>
      </c>
      <c r="K49" s="185">
        <f t="shared" ref="K49:Q49" si="103">SUM(K43:K48)</f>
        <v>0</v>
      </c>
      <c r="L49" s="185">
        <f t="shared" si="103"/>
        <v>0</v>
      </c>
      <c r="M49" s="185">
        <f t="shared" si="103"/>
        <v>0</v>
      </c>
      <c r="N49" s="185">
        <f t="shared" si="103"/>
        <v>0</v>
      </c>
      <c r="O49" s="185">
        <f t="shared" si="103"/>
        <v>0</v>
      </c>
      <c r="P49" s="185">
        <f t="shared" si="103"/>
        <v>0</v>
      </c>
      <c r="Q49" s="186">
        <f t="shared" si="103"/>
        <v>0</v>
      </c>
      <c r="S49" s="184" t="s">
        <v>31</v>
      </c>
      <c r="T49" s="185">
        <f t="shared" ref="T49:Z49" si="104">SUM(T43:T48)</f>
        <v>0</v>
      </c>
      <c r="U49" s="185">
        <f t="shared" si="104"/>
        <v>0</v>
      </c>
      <c r="V49" s="185">
        <f t="shared" si="104"/>
        <v>0</v>
      </c>
      <c r="W49" s="185">
        <f t="shared" si="104"/>
        <v>0</v>
      </c>
      <c r="X49" s="185">
        <f t="shared" si="104"/>
        <v>0</v>
      </c>
      <c r="Y49" s="185">
        <f t="shared" si="104"/>
        <v>0</v>
      </c>
      <c r="Z49" s="186">
        <f t="shared" si="104"/>
        <v>0</v>
      </c>
      <c r="AB49" s="184" t="s">
        <v>31</v>
      </c>
      <c r="AC49" s="185">
        <f t="shared" ref="AC49:AI49" si="105">SUM(AC43:AC48)</f>
        <v>291028.78000000003</v>
      </c>
      <c r="AD49" s="185">
        <f t="shared" si="105"/>
        <v>0</v>
      </c>
      <c r="AE49" s="185">
        <f t="shared" si="105"/>
        <v>291028.78000000003</v>
      </c>
      <c r="AF49" s="185">
        <f t="shared" si="105"/>
        <v>11155.046466666667</v>
      </c>
      <c r="AG49" s="185">
        <f t="shared" si="105"/>
        <v>211718.4090555546</v>
      </c>
      <c r="AH49" s="185">
        <f t="shared" si="105"/>
        <v>222873.45552222125</v>
      </c>
      <c r="AI49" s="186">
        <f t="shared" si="105"/>
        <v>68155.324477778719</v>
      </c>
    </row>
    <row r="50" spans="1:35">
      <c r="A50" s="173"/>
      <c r="B50" s="182"/>
      <c r="C50" s="182"/>
      <c r="D50" s="182"/>
      <c r="E50" s="182"/>
      <c r="F50" s="182"/>
      <c r="G50" s="182"/>
      <c r="H50" s="183"/>
      <c r="J50" s="173"/>
      <c r="K50" s="182"/>
      <c r="L50" s="182"/>
      <c r="M50" s="182"/>
      <c r="N50" s="182"/>
      <c r="O50" s="182"/>
      <c r="P50" s="182"/>
      <c r="Q50" s="183"/>
      <c r="S50" s="173"/>
      <c r="T50" s="182"/>
      <c r="U50" s="182"/>
      <c r="V50" s="182"/>
      <c r="W50" s="182"/>
      <c r="X50" s="182"/>
      <c r="Y50" s="182"/>
      <c r="Z50" s="183"/>
      <c r="AB50" s="173"/>
      <c r="AC50" s="182"/>
      <c r="AD50" s="182"/>
      <c r="AE50" s="182"/>
      <c r="AF50" s="182"/>
      <c r="AG50" s="182"/>
      <c r="AH50" s="182"/>
      <c r="AI50" s="183"/>
    </row>
    <row r="51" spans="1:35" s="171" customFormat="1" ht="12.75" thickBot="1">
      <c r="A51" s="188" t="s">
        <v>32</v>
      </c>
      <c r="B51" s="167">
        <f>B22+B33+B41+B49</f>
        <v>4502658.415</v>
      </c>
      <c r="C51" s="167">
        <f t="shared" ref="C51:H51" si="106">C22+C33+C41+C49</f>
        <v>240</v>
      </c>
      <c r="D51" s="167">
        <f t="shared" si="106"/>
        <v>4502418.415</v>
      </c>
      <c r="E51" s="167">
        <f t="shared" si="106"/>
        <v>295268.88074648182</v>
      </c>
      <c r="F51" s="167">
        <f t="shared" si="106"/>
        <v>2752566.7378172944</v>
      </c>
      <c r="G51" s="167">
        <f t="shared" si="106"/>
        <v>3047835.6185637764</v>
      </c>
      <c r="H51" s="168">
        <f t="shared" si="106"/>
        <v>1454822.7964362237</v>
      </c>
      <c r="I51" s="187"/>
      <c r="J51" s="188" t="s">
        <v>32</v>
      </c>
      <c r="K51" s="167">
        <f>K22+K33+K41+K49</f>
        <v>650971.57000000007</v>
      </c>
      <c r="L51" s="167">
        <f t="shared" ref="L51:Q51" si="107">L22+L33+L41+L49</f>
        <v>0</v>
      </c>
      <c r="M51" s="167">
        <f t="shared" si="107"/>
        <v>650971.57000000007</v>
      </c>
      <c r="N51" s="167">
        <f t="shared" si="107"/>
        <v>80075.526428571437</v>
      </c>
      <c r="O51" s="167">
        <f t="shared" si="107"/>
        <v>1427.529791666225</v>
      </c>
      <c r="P51" s="167">
        <f t="shared" si="107"/>
        <v>81503.05622023766</v>
      </c>
      <c r="Q51" s="168">
        <f t="shared" si="107"/>
        <v>569468.51377976232</v>
      </c>
      <c r="S51" s="188" t="s">
        <v>32</v>
      </c>
      <c r="T51" s="167">
        <f>T22+T33+T41+T49</f>
        <v>118000</v>
      </c>
      <c r="U51" s="167">
        <f t="shared" ref="U51:Z51" si="108">U22+U33+U41+U49</f>
        <v>0</v>
      </c>
      <c r="V51" s="167">
        <f t="shared" si="108"/>
        <v>118000</v>
      </c>
      <c r="W51" s="167">
        <f t="shared" si="108"/>
        <v>16857.142857142859</v>
      </c>
      <c r="X51" s="167">
        <f t="shared" si="108"/>
        <v>0</v>
      </c>
      <c r="Y51" s="167">
        <f t="shared" si="108"/>
        <v>16857.142857142859</v>
      </c>
      <c r="Z51" s="168">
        <f t="shared" si="108"/>
        <v>101142.85714285714</v>
      </c>
      <c r="AB51" s="188" t="s">
        <v>32</v>
      </c>
      <c r="AC51" s="167">
        <f>AC22+AC33+AC41+AC49</f>
        <v>5271629.9850000003</v>
      </c>
      <c r="AD51" s="167">
        <f t="shared" ref="AD51:AI51" si="109">AD22+AD33+AD41+AD49</f>
        <v>240</v>
      </c>
      <c r="AE51" s="167">
        <f t="shared" si="109"/>
        <v>5271389.9850000003</v>
      </c>
      <c r="AF51" s="167">
        <f t="shared" si="109"/>
        <v>392201.55003219604</v>
      </c>
      <c r="AG51" s="167">
        <f t="shared" si="109"/>
        <v>2753994.2676089616</v>
      </c>
      <c r="AH51" s="167">
        <f t="shared" si="109"/>
        <v>3146195.8176411563</v>
      </c>
      <c r="AI51" s="168">
        <f t="shared" si="109"/>
        <v>2125434.1673588431</v>
      </c>
    </row>
    <row r="52" spans="1:35" ht="13.5" thickTop="1" thickBot="1">
      <c r="A52" s="189"/>
      <c r="B52" s="227">
        <f>+B51-'Truck Depr - w Salvage '!L85-'Depr - Cont, Shop, Serv, Office'!L336-SUM(B45:B47)</f>
        <v>0</v>
      </c>
      <c r="C52" s="169"/>
      <c r="D52" s="227">
        <f>+D51-'Truck Depr - w Salvage '!M85-'Depr - Cont, Shop, Serv, Office'!M336-SUM(D45:D47)</f>
        <v>0</v>
      </c>
      <c r="E52" s="169">
        <f>+'Truck Depr - w Salvage '!P85+'Depr - Cont, Shop, Serv, Office'!P336-'2120 Depr Summary'!E51</f>
        <v>0</v>
      </c>
      <c r="F52" s="169"/>
      <c r="G52" s="169"/>
      <c r="H52" s="170">
        <f>+H51-'Depr - Cont, Shop, Serv, Office'!T336-'Truck Depr - w Salvage '!T85-SUM(H45:H47)</f>
        <v>0</v>
      </c>
      <c r="J52" s="226" t="s">
        <v>1148</v>
      </c>
      <c r="K52" s="169">
        <f>+'FAR Dep Summary'!B30-'2120 Depr Summary'!K51</f>
        <v>0</v>
      </c>
      <c r="L52" s="169"/>
      <c r="M52" s="169"/>
      <c r="N52" s="169">
        <f>+'FAR Dep Summary'!C30-'2120 Depr Summary'!N51</f>
        <v>0</v>
      </c>
      <c r="O52" s="169">
        <f>+'FAR Dep Summary'!D30-'2120 Depr Summary'!O51</f>
        <v>0</v>
      </c>
      <c r="P52" s="169">
        <f>+'FAR Dep Summary'!E30-'2120 Depr Summary'!P51</f>
        <v>0</v>
      </c>
      <c r="Q52" s="170">
        <f>+'FAR Dep Summary'!F30-'2120 Depr Summary'!Q51</f>
        <v>0</v>
      </c>
      <c r="S52" s="189"/>
      <c r="T52" s="169"/>
      <c r="U52" s="169"/>
      <c r="V52" s="169"/>
      <c r="W52" s="169"/>
      <c r="X52" s="169"/>
      <c r="Y52" s="169"/>
      <c r="Z52" s="170"/>
      <c r="AB52" s="226" t="s">
        <v>1148</v>
      </c>
      <c r="AC52" s="169">
        <f>AC51-SUM(B51+K51+T51)</f>
        <v>0</v>
      </c>
      <c r="AD52" s="169">
        <f t="shared" ref="AD52:AI52" si="110">AD51-SUM(C51+L51+U51)</f>
        <v>0</v>
      </c>
      <c r="AE52" s="169">
        <f t="shared" si="110"/>
        <v>0</v>
      </c>
      <c r="AF52" s="169">
        <f t="shared" si="110"/>
        <v>0</v>
      </c>
      <c r="AG52" s="169">
        <f t="shared" si="110"/>
        <v>0</v>
      </c>
      <c r="AH52" s="169">
        <f t="shared" si="110"/>
        <v>0</v>
      </c>
      <c r="AI52" s="170">
        <f t="shared" si="110"/>
        <v>0</v>
      </c>
    </row>
    <row r="53" spans="1:35">
      <c r="B53" s="180"/>
      <c r="C53" s="180"/>
      <c r="D53" s="180"/>
      <c r="E53" s="180"/>
      <c r="F53" s="180"/>
      <c r="G53" s="180"/>
      <c r="H53" s="180"/>
      <c r="J53" s="180"/>
    </row>
    <row r="54" spans="1:35">
      <c r="H54" s="180"/>
      <c r="J54" s="180"/>
    </row>
  </sheetData>
  <mergeCells count="7">
    <mergeCell ref="AB4:AI5"/>
    <mergeCell ref="A4:H5"/>
    <mergeCell ref="I23:I24"/>
    <mergeCell ref="J4:Q5"/>
    <mergeCell ref="R23:R24"/>
    <mergeCell ref="S4:Z5"/>
    <mergeCell ref="AA23:AA24"/>
  </mergeCells>
  <pageMargins left="0.25" right="0.25" top="0.75" bottom="0.75" header="0.3" footer="0.3"/>
  <pageSetup scale="83" fitToWidth="2" pageOrder="overThenDown" orientation="landscape" r:id="rId1"/>
  <headerFooter alignWithMargins="0"/>
  <colBreaks count="3" manualBreakCount="3">
    <brk id="8" max="51" man="1"/>
    <brk id="17" max="51" man="1"/>
    <brk id="26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B336-26F6-4ED6-8C69-EBAE88C94AAD}">
  <sheetPr codeName="Sheet1">
    <tabColor theme="8" tint="0.59999389629810485"/>
  </sheetPr>
  <dimension ref="A1:AW347"/>
  <sheetViews>
    <sheetView tabSelected="1" view="pageBreakPreview" topLeftCell="A5" zoomScale="60" zoomScaleNormal="100" workbookViewId="0">
      <selection activeCell="C20" sqref="C20"/>
    </sheetView>
  </sheetViews>
  <sheetFormatPr defaultRowHeight="15" outlineLevelCol="1"/>
  <cols>
    <col min="1" max="1" width="3.5703125" customWidth="1"/>
    <col min="3" max="3" width="16.85546875" bestFit="1" customWidth="1"/>
    <col min="5" max="5" width="38.42578125" customWidth="1"/>
    <col min="6" max="6" width="10" customWidth="1"/>
    <col min="7" max="7" width="12" hidden="1" customWidth="1" outlineLevel="1"/>
    <col min="8" max="8" width="13.5703125" hidden="1" customWidth="1" outlineLevel="1"/>
    <col min="9" max="9" width="10.5703125" hidden="1" customWidth="1" outlineLevel="1"/>
    <col min="10" max="10" width="9.140625" hidden="1" customWidth="1" outlineLevel="1"/>
    <col min="11" max="11" width="15.42578125" hidden="1" customWidth="1" outlineLevel="1"/>
    <col min="12" max="12" width="9.140625" hidden="1" customWidth="1" outlineLevel="1"/>
    <col min="13" max="13" width="20.28515625" hidden="1" customWidth="1" outlineLevel="1"/>
    <col min="14" max="14" width="17.5703125" bestFit="1" customWidth="1" collapsed="1"/>
    <col min="15" max="15" width="9.140625" hidden="1" customWidth="1" outlineLevel="1"/>
    <col min="16" max="16" width="19.140625" hidden="1" customWidth="1" outlineLevel="1"/>
    <col min="17" max="17" width="9.140625" hidden="1" customWidth="1" outlineLevel="1"/>
    <col min="18" max="18" width="9.140625" collapsed="1"/>
    <col min="19" max="19" width="20.28515625" customWidth="1"/>
    <col min="20" max="20" width="12.28515625" bestFit="1" customWidth="1"/>
    <col min="21" max="22" width="14.42578125" hidden="1" customWidth="1"/>
    <col min="23" max="23" width="10" style="190" hidden="1" customWidth="1"/>
    <col min="24" max="24" width="0" hidden="1" customWidth="1"/>
    <col min="25" max="25" width="13" hidden="1" customWidth="1"/>
    <col min="26" max="36" width="0" hidden="1" customWidth="1"/>
    <col min="37" max="37" width="9.42578125" bestFit="1" customWidth="1"/>
    <col min="38" max="38" width="21.5703125" bestFit="1" customWidth="1"/>
    <col min="39" max="39" width="9.28515625" bestFit="1" customWidth="1"/>
    <col min="40" max="40" width="10" bestFit="1" customWidth="1"/>
    <col min="41" max="41" width="12" customWidth="1"/>
    <col min="42" max="42" width="14.42578125" customWidth="1"/>
    <col min="43" max="43" width="11.140625" customWidth="1"/>
    <col min="44" max="44" width="13.85546875" bestFit="1" customWidth="1"/>
    <col min="45" max="45" width="16.42578125" bestFit="1" customWidth="1"/>
    <col min="46" max="46" width="14.28515625" bestFit="1" customWidth="1"/>
    <col min="47" max="47" width="14.140625" bestFit="1" customWidth="1"/>
    <col min="48" max="48" width="26.5703125" bestFit="1" customWidth="1"/>
    <col min="49" max="49" width="18.7109375" bestFit="1" customWidth="1"/>
  </cols>
  <sheetData>
    <row r="1" spans="1:49" hidden="1">
      <c r="B1" t="s">
        <v>1130</v>
      </c>
      <c r="C1" t="s">
        <v>1129</v>
      </c>
      <c r="D1" t="s">
        <v>1128</v>
      </c>
      <c r="E1" t="s">
        <v>1127</v>
      </c>
      <c r="F1" t="s">
        <v>1126</v>
      </c>
      <c r="H1" t="s">
        <v>1125</v>
      </c>
      <c r="I1" t="s">
        <v>1124</v>
      </c>
      <c r="J1" t="s">
        <v>1123</v>
      </c>
      <c r="K1" t="s">
        <v>1122</v>
      </c>
      <c r="L1" t="s">
        <v>1121</v>
      </c>
      <c r="M1" t="s">
        <v>1120</v>
      </c>
      <c r="N1" t="s">
        <v>1119</v>
      </c>
      <c r="O1" t="s">
        <v>1118</v>
      </c>
      <c r="P1" t="s">
        <v>1117</v>
      </c>
      <c r="Q1" t="s">
        <v>1116</v>
      </c>
      <c r="R1" t="s">
        <v>1115</v>
      </c>
      <c r="S1" t="s">
        <v>1114</v>
      </c>
      <c r="T1" t="s">
        <v>1113</v>
      </c>
      <c r="U1" t="s">
        <v>1112</v>
      </c>
      <c r="W1" s="190" t="s">
        <v>1111</v>
      </c>
      <c r="X1" t="s">
        <v>1110</v>
      </c>
      <c r="Y1" t="s">
        <v>1109</v>
      </c>
      <c r="Z1" t="s">
        <v>1108</v>
      </c>
      <c r="AA1" t="s">
        <v>1107</v>
      </c>
      <c r="AB1" t="s">
        <v>1106</v>
      </c>
      <c r="AC1" t="s">
        <v>1105</v>
      </c>
      <c r="AD1" t="s">
        <v>1047</v>
      </c>
      <c r="AE1" t="s">
        <v>1104</v>
      </c>
      <c r="AF1" t="s">
        <v>1103</v>
      </c>
      <c r="AG1" t="s">
        <v>1102</v>
      </c>
      <c r="AH1" t="s">
        <v>1101</v>
      </c>
      <c r="AI1" t="s">
        <v>1100</v>
      </c>
      <c r="AJ1" t="s">
        <v>1099</v>
      </c>
    </row>
    <row r="2" spans="1:49" hidden="1">
      <c r="B2" s="192"/>
      <c r="C2" s="196"/>
      <c r="D2" s="192"/>
      <c r="E2" s="191"/>
      <c r="F2" s="192"/>
      <c r="G2" s="191"/>
      <c r="H2" s="191"/>
      <c r="I2" s="191"/>
      <c r="J2" s="191"/>
      <c r="K2" s="191"/>
      <c r="L2" s="191"/>
      <c r="M2" s="191"/>
      <c r="N2" s="195"/>
      <c r="O2" s="195"/>
      <c r="P2" s="191"/>
      <c r="Q2" s="192"/>
      <c r="R2" s="192"/>
      <c r="S2" s="193"/>
      <c r="T2" s="192"/>
      <c r="U2" s="193"/>
      <c r="V2" s="193">
        <f>S2-U2</f>
        <v>0</v>
      </c>
      <c r="W2" s="194"/>
      <c r="X2" s="192"/>
      <c r="Y2" s="193"/>
      <c r="Z2" s="191"/>
      <c r="AA2" s="191"/>
      <c r="AB2" s="191"/>
      <c r="AC2" s="191"/>
      <c r="AD2" s="191"/>
      <c r="AE2" s="191"/>
      <c r="AF2" s="192"/>
      <c r="AG2" s="191"/>
      <c r="AH2" s="192"/>
      <c r="AI2" s="191"/>
      <c r="AJ2" s="191"/>
    </row>
    <row r="3" spans="1:49" hidden="1">
      <c r="B3" t="str">
        <f ca="1">_xll.ReportRange("FARReport",A14:AJ347,A1:AJ1,A2:AJ2,_xll.Param($C$9,$C$10,C12,$M$9,$M$10,$M$11,$S$9,M12,$Y$10,$Y$9,S10,S11,CELL("address",$E$6)),TRUE,FALSE)</f>
        <v>OK!: ReportRange Formula OK [jAction{}]</v>
      </c>
      <c r="L3" s="216" t="s">
        <v>1098</v>
      </c>
      <c r="M3" s="215">
        <f ca="1">MONTH(NOW())</f>
        <v>3</v>
      </c>
      <c r="S3" t="str">
        <f ca="1">_xll.ReportDrill([57]ProjDepr!D3,,_xll.PairGroup(_xll.Pair('FAR 12.2022'!C9,[57]ProjDepr!D19),_xll.Pair("C:B",[57]ProjDepr!D20),_xll.Pair("C:C",[57]ProjDepr!D21),_xll.Pair("C:V",[57]ProjDepr!D22)),"Projected Depr")</f>
        <v>OK!: ReportDrill 'Projected Depr' Formula OK [jAction{}]</v>
      </c>
      <c r="Y3" t="str">
        <f ca="1">_xll.jFreezePanes(A14,A5)</f>
        <v xml:space="preserve">&gt; jFreezePanes is ready. </v>
      </c>
      <c r="AB3" t="str">
        <f ca="1">_xll.jFocus(C9)</f>
        <v xml:space="preserve">&gt; jFocus is ready. </v>
      </c>
    </row>
    <row r="4" spans="1:49" hidden="1">
      <c r="L4" s="216" t="s">
        <v>1097</v>
      </c>
      <c r="M4" s="215">
        <f ca="1">IF(M3=12,YEAR(NOW()),YEAR(NOW()))</f>
        <v>2023</v>
      </c>
      <c r="R4" s="191"/>
      <c r="S4" s="191" t="s">
        <v>1096</v>
      </c>
      <c r="T4" s="191"/>
      <c r="U4" s="191" t="str">
        <f ca="1">_xll.ReportDrill([57]Invoice!$C$2,,_xll.PairGroup(_xll.Pair("C:P",[57]Invoice!$E$7),_xll.Pair("",[57]Invoice!$E$8,"N"),_xll.Pair("",[57]Invoice!$E$9,"n")),"Drill To All Invoices by PO#")</f>
        <v>OK!: ReportDrill 'Drill To All Invoices by PO#' Formula OK [jAction{}]</v>
      </c>
      <c r="V4" s="191"/>
      <c r="W4" s="214"/>
      <c r="X4" s="191" t="str">
        <f ca="1">_xll.ReportDrill([57]Invoice!$C$2,,_xll.PairGroup(_xll.Pair("C:P",[57]Invoice!$E$7),_xll.Pair("",[57]Invoice!$E$8,"N"),_xll.Pair("C:Z",[57]Invoice!$E$9,"n")),"Drill to Invoice by PO# and Invoice #")</f>
        <v>OK!: ReportDrill 'Drill to Invoice by PO# and Invoice #' Formula OK [jAction{}]</v>
      </c>
      <c r="AQ4">
        <f>+S14/12/10</f>
        <v>1174.1949999999999</v>
      </c>
      <c r="AR4">
        <f>+AQ4*12</f>
        <v>14090.34</v>
      </c>
    </row>
    <row r="5" spans="1:49" s="198" customFormat="1" ht="18.75">
      <c r="B5" s="213" t="s">
        <v>1095</v>
      </c>
      <c r="H5" s="212" t="s">
        <v>1094</v>
      </c>
      <c r="I5" s="211">
        <f>COUNT(C14:C347)</f>
        <v>333</v>
      </c>
      <c r="U5" s="221"/>
      <c r="V5" s="201"/>
      <c r="AK5" s="242">
        <v>1</v>
      </c>
      <c r="AL5" s="243" t="s">
        <v>1206</v>
      </c>
    </row>
    <row r="6" spans="1:49" s="198" customFormat="1">
      <c r="B6" s="211" t="s">
        <v>1093</v>
      </c>
      <c r="E6" s="198" t="s">
        <v>1211</v>
      </c>
      <c r="S6" s="217" t="s">
        <v>1132</v>
      </c>
      <c r="T6" s="220"/>
      <c r="U6" s="220"/>
      <c r="W6" s="201"/>
      <c r="AK6" s="242">
        <v>12</v>
      </c>
      <c r="AL6" s="243" t="s">
        <v>1207</v>
      </c>
    </row>
    <row r="7" spans="1:49" s="198" customFormat="1">
      <c r="H7" s="203"/>
      <c r="I7" s="203"/>
      <c r="S7" s="218" t="s">
        <v>1147</v>
      </c>
      <c r="T7" s="220"/>
      <c r="W7" s="201"/>
      <c r="AK7" s="244">
        <v>2022</v>
      </c>
      <c r="AL7" s="243" t="s">
        <v>349</v>
      </c>
    </row>
    <row r="8" spans="1:49" s="198" customFormat="1">
      <c r="B8" s="211"/>
      <c r="R8" s="203"/>
      <c r="W8" s="201"/>
      <c r="AK8" s="244">
        <v>2022</v>
      </c>
      <c r="AL8" s="243" t="s">
        <v>45</v>
      </c>
    </row>
    <row r="9" spans="1:49" s="198" customFormat="1">
      <c r="B9" s="203" t="s">
        <v>1092</v>
      </c>
      <c r="C9" s="210" t="s">
        <v>1210</v>
      </c>
      <c r="E9" s="207"/>
      <c r="F9" s="404" t="s">
        <v>1091</v>
      </c>
      <c r="G9" s="404"/>
      <c r="H9" s="404"/>
      <c r="I9" s="404"/>
      <c r="J9" s="404"/>
      <c r="L9" s="203" t="s">
        <v>1090</v>
      </c>
      <c r="M9" s="401"/>
      <c r="N9" s="401"/>
      <c r="O9" s="205" t="s">
        <v>1079</v>
      </c>
      <c r="R9" s="203" t="s">
        <v>1089</v>
      </c>
      <c r="S9" s="209"/>
      <c r="T9" s="207" t="s">
        <v>1088</v>
      </c>
      <c r="W9" s="201"/>
      <c r="X9" s="203" t="s">
        <v>1087</v>
      </c>
      <c r="Y9" s="206"/>
      <c r="AK9" s="245">
        <f>+AK8+(AK6/12)</f>
        <v>2023</v>
      </c>
      <c r="AL9" s="243" t="s">
        <v>1208</v>
      </c>
    </row>
    <row r="10" spans="1:49" s="198" customFormat="1">
      <c r="B10" s="203" t="s">
        <v>1086</v>
      </c>
      <c r="C10" s="402" t="s">
        <v>1085</v>
      </c>
      <c r="D10" s="403"/>
      <c r="E10" s="207" t="s">
        <v>1084</v>
      </c>
      <c r="F10" s="404"/>
      <c r="G10" s="404"/>
      <c r="H10" s="404"/>
      <c r="I10" s="404"/>
      <c r="J10" s="404"/>
      <c r="L10" s="203" t="s">
        <v>1083</v>
      </c>
      <c r="M10" s="401"/>
      <c r="N10" s="401"/>
      <c r="O10" s="205" t="s">
        <v>1079</v>
      </c>
      <c r="R10" s="203" t="s">
        <v>1082</v>
      </c>
      <c r="S10" s="208"/>
      <c r="T10" s="207"/>
      <c r="W10" s="201"/>
      <c r="X10" s="203" t="s">
        <v>1081</v>
      </c>
      <c r="Y10" s="206"/>
      <c r="AK10" s="246">
        <f>+AK7+(AK5/12)</f>
        <v>2022.0833333333333</v>
      </c>
      <c r="AL10" s="243" t="s">
        <v>1209</v>
      </c>
    </row>
    <row r="11" spans="1:49" s="198" customFormat="1">
      <c r="L11" s="203" t="s">
        <v>1080</v>
      </c>
      <c r="M11" s="401"/>
      <c r="N11" s="401"/>
      <c r="O11" s="205" t="s">
        <v>1079</v>
      </c>
      <c r="R11" s="203" t="s">
        <v>1078</v>
      </c>
      <c r="S11" s="204"/>
      <c r="W11" s="201"/>
    </row>
    <row r="12" spans="1:49" s="198" customFormat="1">
      <c r="B12" s="203" t="s">
        <v>1077</v>
      </c>
      <c r="C12" s="204"/>
      <c r="L12" s="203" t="s">
        <v>1076</v>
      </c>
      <c r="M12" s="202"/>
      <c r="N12" s="202"/>
      <c r="O12" s="198" t="s">
        <v>1074</v>
      </c>
      <c r="R12" s="203" t="s">
        <v>1075</v>
      </c>
      <c r="S12" s="202"/>
      <c r="T12" s="198" t="s">
        <v>1074</v>
      </c>
      <c r="W12" s="201"/>
    </row>
    <row r="13" spans="1:49" s="198" customFormat="1" ht="45.75" thickBot="1">
      <c r="A13" s="199"/>
      <c r="B13" s="199" t="s">
        <v>1073</v>
      </c>
      <c r="C13" s="199" t="s">
        <v>1072</v>
      </c>
      <c r="D13" s="199" t="s">
        <v>1071</v>
      </c>
      <c r="E13" s="199" t="s">
        <v>1070</v>
      </c>
      <c r="F13" s="199" t="s">
        <v>1069</v>
      </c>
      <c r="G13" s="199" t="s">
        <v>1131</v>
      </c>
      <c r="H13" s="199" t="s">
        <v>1068</v>
      </c>
      <c r="I13" s="199" t="s">
        <v>1067</v>
      </c>
      <c r="J13" s="199" t="s">
        <v>1066</v>
      </c>
      <c r="K13" s="199" t="s">
        <v>1065</v>
      </c>
      <c r="L13" s="199" t="s">
        <v>1064</v>
      </c>
      <c r="M13" s="199" t="s">
        <v>1063</v>
      </c>
      <c r="N13" s="199" t="s">
        <v>1062</v>
      </c>
      <c r="O13" s="199" t="s">
        <v>1061</v>
      </c>
      <c r="P13" s="199" t="s">
        <v>1060</v>
      </c>
      <c r="Q13" s="199" t="s">
        <v>1059</v>
      </c>
      <c r="R13" s="199" t="s">
        <v>1058</v>
      </c>
      <c r="S13" s="199" t="s">
        <v>6</v>
      </c>
      <c r="T13" s="199" t="s">
        <v>1057</v>
      </c>
      <c r="U13" s="199" t="s">
        <v>1056</v>
      </c>
      <c r="V13" s="199" t="s">
        <v>1055</v>
      </c>
      <c r="W13" s="200" t="s">
        <v>1054</v>
      </c>
      <c r="X13" s="199" t="s">
        <v>1053</v>
      </c>
      <c r="Y13" s="199" t="s">
        <v>1052</v>
      </c>
      <c r="Z13" s="199" t="s">
        <v>1051</v>
      </c>
      <c r="AA13" s="199" t="s">
        <v>1050</v>
      </c>
      <c r="AB13" s="199" t="s">
        <v>1049</v>
      </c>
      <c r="AC13" s="199" t="s">
        <v>1048</v>
      </c>
      <c r="AD13" s="199" t="s">
        <v>1047</v>
      </c>
      <c r="AE13" s="199" t="s">
        <v>1046</v>
      </c>
      <c r="AF13" s="199" t="s">
        <v>1045</v>
      </c>
      <c r="AG13" s="199" t="s">
        <v>1044</v>
      </c>
      <c r="AH13" s="199" t="s">
        <v>1043</v>
      </c>
      <c r="AI13" s="199" t="s">
        <v>1042</v>
      </c>
      <c r="AJ13" s="199" t="s">
        <v>1041</v>
      </c>
      <c r="AK13" s="219" t="s">
        <v>1133</v>
      </c>
      <c r="AL13" s="219" t="s">
        <v>1134</v>
      </c>
      <c r="AM13" s="219" t="s">
        <v>1135</v>
      </c>
      <c r="AN13" s="219" t="s">
        <v>1136</v>
      </c>
      <c r="AO13" s="390" t="s">
        <v>1137</v>
      </c>
      <c r="AP13" s="390" t="s">
        <v>1138</v>
      </c>
      <c r="AQ13" s="390" t="s">
        <v>1139</v>
      </c>
      <c r="AR13" s="219" t="s">
        <v>1140</v>
      </c>
      <c r="AS13" s="219" t="s">
        <v>1141</v>
      </c>
      <c r="AT13" s="219" t="s">
        <v>1142</v>
      </c>
      <c r="AU13" s="219" t="s">
        <v>1143</v>
      </c>
      <c r="AV13" s="219" t="s">
        <v>1144</v>
      </c>
      <c r="AW13" s="219" t="s">
        <v>1149</v>
      </c>
    </row>
    <row r="14" spans="1:49">
      <c r="B14" s="192">
        <v>2120</v>
      </c>
      <c r="C14" s="196">
        <v>299357</v>
      </c>
      <c r="D14" s="192">
        <v>299122</v>
      </c>
      <c r="E14" s="191" t="s">
        <v>1215</v>
      </c>
      <c r="F14" s="192"/>
      <c r="G14" s="191"/>
      <c r="H14" s="191" t="s">
        <v>1213</v>
      </c>
      <c r="I14" s="191"/>
      <c r="J14" s="191">
        <v>2023</v>
      </c>
      <c r="K14" s="191"/>
      <c r="L14" s="191"/>
      <c r="M14" s="191" t="s">
        <v>448</v>
      </c>
      <c r="N14" s="195">
        <v>44967</v>
      </c>
      <c r="O14" s="195">
        <v>44967</v>
      </c>
      <c r="P14" s="191" t="s">
        <v>1216</v>
      </c>
      <c r="Q14" s="192">
        <v>1000</v>
      </c>
      <c r="R14" s="192">
        <v>14040</v>
      </c>
      <c r="S14" s="193">
        <v>140903.4</v>
      </c>
      <c r="T14" s="192">
        <v>14046</v>
      </c>
      <c r="U14" s="193">
        <v>0</v>
      </c>
      <c r="V14" s="193">
        <f t="shared" ref="V14:V77" si="0">S14-U14</f>
        <v>140903.4</v>
      </c>
      <c r="W14" s="194">
        <v>0</v>
      </c>
      <c r="X14" s="192">
        <v>51260</v>
      </c>
      <c r="Y14" s="193">
        <v>0</v>
      </c>
      <c r="Z14" s="191" t="s">
        <v>427</v>
      </c>
      <c r="AA14" s="191"/>
      <c r="AB14" s="191"/>
      <c r="AC14" s="191"/>
      <c r="AD14" s="191" t="s">
        <v>426</v>
      </c>
      <c r="AE14" s="191" t="s">
        <v>425</v>
      </c>
      <c r="AF14" s="192" t="s">
        <v>92</v>
      </c>
      <c r="AG14" s="191"/>
      <c r="AH14" s="192" t="s">
        <v>424</v>
      </c>
      <c r="AI14" s="191">
        <v>0</v>
      </c>
      <c r="AJ14" s="191">
        <v>0</v>
      </c>
      <c r="AL14" s="389" t="s">
        <v>13</v>
      </c>
      <c r="AM14" s="247">
        <f t="shared" ref="AM14:AM43" si="1">MONTH($N14)</f>
        <v>2</v>
      </c>
      <c r="AN14" s="247">
        <f t="shared" ref="AN14:AN43" si="2">YEAR($N14)</f>
        <v>2023</v>
      </c>
      <c r="AO14" s="248">
        <f t="shared" ref="AO14:AO43" si="3">$AN14+($Q14/100)</f>
        <v>2033</v>
      </c>
      <c r="AP14" s="249">
        <f t="shared" ref="AP14:AP43" si="4">$AO14+($AM14/12)</f>
        <v>2033.1666666666667</v>
      </c>
      <c r="AQ14" s="250">
        <f t="shared" ref="AQ14:AQ43" si="5">IFERROR($S14/($Q14/100)/12,0)</f>
        <v>1174.1949999999999</v>
      </c>
      <c r="AR14" s="251">
        <f t="shared" ref="AR14:AR43" si="6">$AQ14*12</f>
        <v>14090.34</v>
      </c>
      <c r="AS14" s="253">
        <f t="shared" ref="AS14" si="7">+IF(AP14&lt;$AK$10,0,IF(AP14&gt;$AK$9,AR14,(((AP14-$AK$10)*12)*AQ14)))</f>
        <v>14090.34</v>
      </c>
      <c r="AT14" s="253">
        <f t="shared" ref="AT14" si="8">+IF(AP14&lt;=$AK$10,S14,IF((AN14+(AM14/12))&gt;=$AK$10,0,((S14-((AP14-$AK$10)*12)*AQ14))))</f>
        <v>0</v>
      </c>
      <c r="AU14" s="251">
        <f t="shared" ref="AU14:AU43" si="9">IF($AT14=0,$AS14,($AS14+$AT14))</f>
        <v>14090.34</v>
      </c>
      <c r="AV14" s="252">
        <f>$S14-$AU14</f>
        <v>126813.06</v>
      </c>
      <c r="AW14" s="241" t="s">
        <v>83</v>
      </c>
    </row>
    <row r="15" spans="1:49">
      <c r="B15" s="192">
        <v>2120</v>
      </c>
      <c r="C15" s="196">
        <v>299122</v>
      </c>
      <c r="D15" s="192" t="s">
        <v>427</v>
      </c>
      <c r="E15" s="191" t="s">
        <v>1212</v>
      </c>
      <c r="F15" s="192"/>
      <c r="G15" s="191"/>
      <c r="H15" s="191" t="s">
        <v>1213</v>
      </c>
      <c r="I15" s="191"/>
      <c r="J15" s="191">
        <v>2023</v>
      </c>
      <c r="K15" s="191"/>
      <c r="L15" s="191"/>
      <c r="M15" s="191" t="s">
        <v>492</v>
      </c>
      <c r="N15" s="195">
        <v>44967</v>
      </c>
      <c r="O15" s="195">
        <v>44967</v>
      </c>
      <c r="P15" s="191" t="s">
        <v>1214</v>
      </c>
      <c r="Q15" s="192">
        <v>1000</v>
      </c>
      <c r="R15" s="192">
        <v>14040</v>
      </c>
      <c r="S15" s="193">
        <v>187510.47</v>
      </c>
      <c r="T15" s="192">
        <v>14046</v>
      </c>
      <c r="U15" s="193">
        <v>0</v>
      </c>
      <c r="V15" s="193">
        <f t="shared" si="0"/>
        <v>187510.47</v>
      </c>
      <c r="W15" s="194">
        <v>0</v>
      </c>
      <c r="X15" s="192">
        <v>51260</v>
      </c>
      <c r="Y15" s="193">
        <v>0</v>
      </c>
      <c r="Z15" s="191" t="s">
        <v>427</v>
      </c>
      <c r="AA15" s="191"/>
      <c r="AB15" s="191"/>
      <c r="AC15" s="191"/>
      <c r="AD15" s="191" t="s">
        <v>426</v>
      </c>
      <c r="AE15" s="191" t="s">
        <v>425</v>
      </c>
      <c r="AF15" s="192" t="s">
        <v>92</v>
      </c>
      <c r="AG15" s="191"/>
      <c r="AH15" s="192" t="s">
        <v>424</v>
      </c>
      <c r="AI15" s="191">
        <v>0</v>
      </c>
      <c r="AJ15" s="191">
        <v>0</v>
      </c>
      <c r="AL15" s="389" t="s">
        <v>13</v>
      </c>
      <c r="AM15" s="247">
        <f t="shared" si="1"/>
        <v>2</v>
      </c>
      <c r="AN15" s="247">
        <f t="shared" si="2"/>
        <v>2023</v>
      </c>
      <c r="AO15" s="248">
        <f t="shared" si="3"/>
        <v>2033</v>
      </c>
      <c r="AP15" s="249">
        <f t="shared" si="4"/>
        <v>2033.1666666666667</v>
      </c>
      <c r="AQ15" s="250">
        <f t="shared" si="5"/>
        <v>1562.5872499999998</v>
      </c>
      <c r="AR15" s="251">
        <f t="shared" si="6"/>
        <v>18751.046999999999</v>
      </c>
      <c r="AS15" s="253">
        <f t="shared" ref="AS15:AS43" si="10">+IF(AP15&lt;$AK$10,0,IF(AP15&gt;$AK$9,AR15,(((AP15-$AK$10)*12)*AQ15)))</f>
        <v>18751.046999999999</v>
      </c>
      <c r="AT15" s="253">
        <f t="shared" ref="AT15:AT43" si="11">+IF(AP15&lt;=$AK$10,S15,IF((AN15+(AM15/12))&gt;=$AK$10,0,((S15-((AP15-$AK$10)*12)*AQ15))))</f>
        <v>0</v>
      </c>
      <c r="AU15" s="251">
        <f t="shared" si="9"/>
        <v>18751.046999999999</v>
      </c>
      <c r="AV15" s="252">
        <f t="shared" ref="AV15:AV43" si="12">$S15-$AU15</f>
        <v>168759.42300000001</v>
      </c>
      <c r="AW15" s="241" t="s">
        <v>83</v>
      </c>
    </row>
    <row r="16" spans="1:49">
      <c r="B16" s="192">
        <v>2120</v>
      </c>
      <c r="C16" s="196">
        <v>299410</v>
      </c>
      <c r="D16" s="192">
        <v>299122</v>
      </c>
      <c r="E16" s="191" t="s">
        <v>1217</v>
      </c>
      <c r="F16" s="192"/>
      <c r="G16" s="191"/>
      <c r="H16" s="191" t="s">
        <v>1213</v>
      </c>
      <c r="I16" s="191"/>
      <c r="J16" s="191">
        <v>0</v>
      </c>
      <c r="K16" s="191" t="s">
        <v>516</v>
      </c>
      <c r="L16" s="191"/>
      <c r="M16" s="191" t="s">
        <v>448</v>
      </c>
      <c r="N16" s="195">
        <v>44952</v>
      </c>
      <c r="O16" s="195">
        <v>44952</v>
      </c>
      <c r="P16" s="191" t="s">
        <v>1218</v>
      </c>
      <c r="Q16" s="192">
        <v>500</v>
      </c>
      <c r="R16" s="192">
        <v>14040</v>
      </c>
      <c r="S16" s="193">
        <v>837.4</v>
      </c>
      <c r="T16" s="192">
        <v>14046</v>
      </c>
      <c r="U16" s="193">
        <v>0</v>
      </c>
      <c r="V16" s="193">
        <f t="shared" si="0"/>
        <v>837.4</v>
      </c>
      <c r="W16" s="194">
        <v>0</v>
      </c>
      <c r="X16" s="192">
        <v>51260</v>
      </c>
      <c r="Y16" s="193">
        <v>0</v>
      </c>
      <c r="Z16" s="191" t="s">
        <v>427</v>
      </c>
      <c r="AA16" s="191"/>
      <c r="AB16" s="254">
        <v>44927</v>
      </c>
      <c r="AC16" s="191"/>
      <c r="AD16" s="191" t="s">
        <v>426</v>
      </c>
      <c r="AE16" s="191" t="s">
        <v>425</v>
      </c>
      <c r="AF16" s="192" t="s">
        <v>92</v>
      </c>
      <c r="AG16" s="191"/>
      <c r="AH16" s="192" t="s">
        <v>424</v>
      </c>
      <c r="AI16" s="191">
        <v>0</v>
      </c>
      <c r="AJ16" s="191">
        <v>0</v>
      </c>
      <c r="AL16" s="389" t="s">
        <v>13</v>
      </c>
      <c r="AM16" s="247">
        <f t="shared" si="1"/>
        <v>1</v>
      </c>
      <c r="AN16" s="247">
        <f t="shared" si="2"/>
        <v>2023</v>
      </c>
      <c r="AO16" s="248">
        <f t="shared" si="3"/>
        <v>2028</v>
      </c>
      <c r="AP16" s="249">
        <f t="shared" si="4"/>
        <v>2028.0833333333333</v>
      </c>
      <c r="AQ16" s="250">
        <f t="shared" si="5"/>
        <v>13.956666666666665</v>
      </c>
      <c r="AR16" s="251">
        <f t="shared" si="6"/>
        <v>167.48</v>
      </c>
      <c r="AS16" s="253">
        <f t="shared" si="10"/>
        <v>167.48</v>
      </c>
      <c r="AT16" s="253">
        <f t="shared" si="11"/>
        <v>0</v>
      </c>
      <c r="AU16" s="251">
        <f t="shared" si="9"/>
        <v>167.48</v>
      </c>
      <c r="AV16" s="252">
        <f t="shared" si="12"/>
        <v>669.92</v>
      </c>
      <c r="AW16" s="241" t="s">
        <v>83</v>
      </c>
    </row>
    <row r="17" spans="2:49">
      <c r="B17" s="192">
        <v>2120</v>
      </c>
      <c r="C17" s="196">
        <v>299508</v>
      </c>
      <c r="D17" s="192" t="s">
        <v>427</v>
      </c>
      <c r="E17" s="191" t="s">
        <v>1219</v>
      </c>
      <c r="F17" s="192">
        <v>1</v>
      </c>
      <c r="G17" s="191"/>
      <c r="H17" s="191"/>
      <c r="I17" s="191"/>
      <c r="J17" s="191">
        <v>0</v>
      </c>
      <c r="K17" s="191" t="s">
        <v>531</v>
      </c>
      <c r="L17" s="191"/>
      <c r="M17" s="191"/>
      <c r="N17" s="195">
        <v>44935</v>
      </c>
      <c r="O17" s="195">
        <v>44935</v>
      </c>
      <c r="P17" s="191" t="s">
        <v>1220</v>
      </c>
      <c r="Q17" s="192">
        <v>200</v>
      </c>
      <c r="R17" s="192">
        <v>14110</v>
      </c>
      <c r="S17" s="193">
        <v>2051.87</v>
      </c>
      <c r="T17" s="192">
        <v>14116</v>
      </c>
      <c r="U17" s="193">
        <v>0</v>
      </c>
      <c r="V17" s="193">
        <f t="shared" si="0"/>
        <v>2051.87</v>
      </c>
      <c r="W17" s="194">
        <v>0</v>
      </c>
      <c r="X17" s="192">
        <v>70260</v>
      </c>
      <c r="Y17" s="193">
        <v>0</v>
      </c>
      <c r="Z17" s="191" t="s">
        <v>427</v>
      </c>
      <c r="AA17" s="191"/>
      <c r="AB17" s="191" t="s">
        <v>1221</v>
      </c>
      <c r="AC17" s="191"/>
      <c r="AD17" s="191" t="s">
        <v>426</v>
      </c>
      <c r="AE17" s="191" t="s">
        <v>425</v>
      </c>
      <c r="AF17" s="192" t="s">
        <v>92</v>
      </c>
      <c r="AG17" s="191"/>
      <c r="AH17" s="192" t="s">
        <v>424</v>
      </c>
      <c r="AI17" s="191">
        <v>0</v>
      </c>
      <c r="AJ17" s="191">
        <v>0</v>
      </c>
      <c r="AL17" s="389" t="s">
        <v>24</v>
      </c>
      <c r="AM17" s="247">
        <f t="shared" si="1"/>
        <v>1</v>
      </c>
      <c r="AN17" s="247">
        <f t="shared" si="2"/>
        <v>2023</v>
      </c>
      <c r="AO17" s="248">
        <f t="shared" si="3"/>
        <v>2025</v>
      </c>
      <c r="AP17" s="249">
        <f t="shared" si="4"/>
        <v>2025.0833333333333</v>
      </c>
      <c r="AQ17" s="250">
        <f t="shared" si="5"/>
        <v>85.494583333333324</v>
      </c>
      <c r="AR17" s="251">
        <f t="shared" si="6"/>
        <v>1025.9349999999999</v>
      </c>
      <c r="AS17" s="253">
        <f t="shared" si="10"/>
        <v>1025.9349999999999</v>
      </c>
      <c r="AT17" s="253">
        <f t="shared" si="11"/>
        <v>0</v>
      </c>
      <c r="AU17" s="251">
        <f t="shared" si="9"/>
        <v>1025.9349999999999</v>
      </c>
      <c r="AV17" s="252">
        <f t="shared" si="12"/>
        <v>1025.9349999999999</v>
      </c>
      <c r="AW17" s="241" t="s">
        <v>83</v>
      </c>
    </row>
    <row r="18" spans="2:49">
      <c r="B18" s="192">
        <v>2120</v>
      </c>
      <c r="C18" s="196">
        <v>293823</v>
      </c>
      <c r="D18" s="192" t="s">
        <v>427</v>
      </c>
      <c r="E18" s="191" t="s">
        <v>1200</v>
      </c>
      <c r="F18" s="192">
        <v>4</v>
      </c>
      <c r="G18" s="191"/>
      <c r="H18" s="191"/>
      <c r="I18" s="191"/>
      <c r="J18" s="191">
        <v>0</v>
      </c>
      <c r="K18" s="191" t="s">
        <v>1201</v>
      </c>
      <c r="L18" s="191"/>
      <c r="M18" s="191"/>
      <c r="N18" s="195">
        <v>44893</v>
      </c>
      <c r="O18" s="195">
        <v>44893</v>
      </c>
      <c r="P18" s="191" t="s">
        <v>1202</v>
      </c>
      <c r="Q18" s="192">
        <v>500</v>
      </c>
      <c r="R18" s="192">
        <v>14070</v>
      </c>
      <c r="S18" s="193">
        <v>65316.29</v>
      </c>
      <c r="T18" s="192">
        <v>14076</v>
      </c>
      <c r="U18" s="193">
        <v>2177.2199999999998</v>
      </c>
      <c r="V18" s="193">
        <f t="shared" si="0"/>
        <v>63139.07</v>
      </c>
      <c r="W18" s="194">
        <v>1088.6099999999999</v>
      </c>
      <c r="X18" s="192">
        <v>51260</v>
      </c>
      <c r="Y18" s="193">
        <v>1088.6099999999999</v>
      </c>
      <c r="Z18" s="191" t="s">
        <v>427</v>
      </c>
      <c r="AA18" s="191"/>
      <c r="AB18" s="191">
        <v>947547</v>
      </c>
      <c r="AC18" s="191"/>
      <c r="AD18" s="191" t="s">
        <v>426</v>
      </c>
      <c r="AE18" s="191" t="s">
        <v>425</v>
      </c>
      <c r="AF18" s="192" t="s">
        <v>92</v>
      </c>
      <c r="AG18" s="191"/>
      <c r="AH18" s="192" t="s">
        <v>424</v>
      </c>
      <c r="AI18" s="191">
        <v>0</v>
      </c>
      <c r="AJ18" s="191">
        <v>0</v>
      </c>
      <c r="AL18" s="387" t="s">
        <v>24</v>
      </c>
      <c r="AM18" s="247">
        <f t="shared" si="1"/>
        <v>11</v>
      </c>
      <c r="AN18" s="247">
        <f t="shared" si="2"/>
        <v>2022</v>
      </c>
      <c r="AO18" s="248">
        <f t="shared" si="3"/>
        <v>2027</v>
      </c>
      <c r="AP18" s="249">
        <f t="shared" si="4"/>
        <v>2027.9166666666667</v>
      </c>
      <c r="AQ18" s="250">
        <f t="shared" si="5"/>
        <v>1088.6048333333333</v>
      </c>
      <c r="AR18" s="251">
        <f t="shared" si="6"/>
        <v>13063.258</v>
      </c>
      <c r="AS18" s="253">
        <f t="shared" si="10"/>
        <v>13063.258</v>
      </c>
      <c r="AT18" s="253">
        <f t="shared" si="11"/>
        <v>0</v>
      </c>
      <c r="AU18" s="251">
        <f t="shared" si="9"/>
        <v>13063.258</v>
      </c>
      <c r="AV18" s="252">
        <f t="shared" si="12"/>
        <v>52253.031999999999</v>
      </c>
      <c r="AW18" s="241" t="s">
        <v>83</v>
      </c>
    </row>
    <row r="19" spans="2:49">
      <c r="B19" s="192">
        <v>2120</v>
      </c>
      <c r="C19" s="196">
        <v>292091</v>
      </c>
      <c r="D19" s="192" t="s">
        <v>427</v>
      </c>
      <c r="E19" s="191" t="s">
        <v>1195</v>
      </c>
      <c r="F19" s="192">
        <v>1</v>
      </c>
      <c r="G19" s="191"/>
      <c r="H19" s="191"/>
      <c r="I19" s="191"/>
      <c r="J19" s="191">
        <v>0</v>
      </c>
      <c r="K19" s="191" t="s">
        <v>1190</v>
      </c>
      <c r="L19" s="191"/>
      <c r="M19" s="191"/>
      <c r="N19" s="195">
        <v>44854</v>
      </c>
      <c r="O19" s="195">
        <v>44854</v>
      </c>
      <c r="P19" s="191" t="s">
        <v>1196</v>
      </c>
      <c r="Q19" s="192">
        <v>300</v>
      </c>
      <c r="R19" s="192">
        <v>14110</v>
      </c>
      <c r="S19" s="193">
        <v>1100.71</v>
      </c>
      <c r="T19" s="192">
        <v>14116</v>
      </c>
      <c r="U19" s="193">
        <v>91.73</v>
      </c>
      <c r="V19" s="193">
        <f t="shared" si="0"/>
        <v>1008.98</v>
      </c>
      <c r="W19" s="194">
        <v>30.58</v>
      </c>
      <c r="X19" s="192">
        <v>70260</v>
      </c>
      <c r="Y19" s="193">
        <v>30.58</v>
      </c>
      <c r="Z19" s="191" t="s">
        <v>427</v>
      </c>
      <c r="AA19" s="191"/>
      <c r="AB19" s="191" t="s">
        <v>1197</v>
      </c>
      <c r="AC19" s="191"/>
      <c r="AD19" s="191" t="s">
        <v>426</v>
      </c>
      <c r="AE19" s="191" t="s">
        <v>425</v>
      </c>
      <c r="AF19" s="192" t="s">
        <v>92</v>
      </c>
      <c r="AG19" s="191"/>
      <c r="AH19" s="192" t="s">
        <v>424</v>
      </c>
      <c r="AI19" s="191">
        <v>0</v>
      </c>
      <c r="AJ19" s="191">
        <v>0</v>
      </c>
      <c r="AL19" s="387" t="s">
        <v>25</v>
      </c>
      <c r="AM19" s="247">
        <f t="shared" si="1"/>
        <v>10</v>
      </c>
      <c r="AN19" s="247">
        <f t="shared" si="2"/>
        <v>2022</v>
      </c>
      <c r="AO19" s="248">
        <f t="shared" si="3"/>
        <v>2025</v>
      </c>
      <c r="AP19" s="249">
        <f t="shared" si="4"/>
        <v>2025.8333333333333</v>
      </c>
      <c r="AQ19" s="250">
        <f t="shared" si="5"/>
        <v>30.575277777777782</v>
      </c>
      <c r="AR19" s="251">
        <f t="shared" si="6"/>
        <v>366.90333333333336</v>
      </c>
      <c r="AS19" s="253">
        <f t="shared" si="10"/>
        <v>366.90333333333336</v>
      </c>
      <c r="AT19" s="253">
        <f t="shared" si="11"/>
        <v>0</v>
      </c>
      <c r="AU19" s="251">
        <f t="shared" si="9"/>
        <v>366.90333333333336</v>
      </c>
      <c r="AV19" s="252">
        <f t="shared" si="12"/>
        <v>733.80666666666662</v>
      </c>
      <c r="AW19" s="241" t="s">
        <v>83</v>
      </c>
    </row>
    <row r="20" spans="2:49">
      <c r="B20" s="192">
        <v>2120</v>
      </c>
      <c r="C20" s="196">
        <v>292090</v>
      </c>
      <c r="D20" s="192">
        <v>292091</v>
      </c>
      <c r="E20" s="191" t="s">
        <v>1198</v>
      </c>
      <c r="F20" s="192">
        <v>1</v>
      </c>
      <c r="G20" s="191"/>
      <c r="H20" s="191"/>
      <c r="I20" s="191"/>
      <c r="J20" s="191">
        <v>0</v>
      </c>
      <c r="K20" s="191" t="s">
        <v>1199</v>
      </c>
      <c r="L20" s="191"/>
      <c r="M20" s="191"/>
      <c r="N20" s="195">
        <v>44854</v>
      </c>
      <c r="O20" s="195">
        <v>44854</v>
      </c>
      <c r="P20" s="191" t="s">
        <v>1196</v>
      </c>
      <c r="Q20" s="192">
        <v>300</v>
      </c>
      <c r="R20" s="192">
        <v>14110</v>
      </c>
      <c r="S20" s="193">
        <v>303.77999999999997</v>
      </c>
      <c r="T20" s="192">
        <v>14116</v>
      </c>
      <c r="U20" s="193">
        <v>25.32</v>
      </c>
      <c r="V20" s="193">
        <f t="shared" si="0"/>
        <v>278.45999999999998</v>
      </c>
      <c r="W20" s="194">
        <v>8.44</v>
      </c>
      <c r="X20" s="192">
        <v>70260</v>
      </c>
      <c r="Y20" s="193">
        <v>8.44</v>
      </c>
      <c r="Z20" s="191" t="s">
        <v>427</v>
      </c>
      <c r="AA20" s="191"/>
      <c r="AB20" s="191">
        <v>2017012</v>
      </c>
      <c r="AC20" s="191"/>
      <c r="AD20" s="191" t="s">
        <v>426</v>
      </c>
      <c r="AE20" s="191" t="s">
        <v>425</v>
      </c>
      <c r="AF20" s="192" t="s">
        <v>92</v>
      </c>
      <c r="AG20" s="191"/>
      <c r="AH20" s="192" t="s">
        <v>424</v>
      </c>
      <c r="AI20" s="191">
        <v>0</v>
      </c>
      <c r="AJ20" s="191">
        <v>0</v>
      </c>
      <c r="AL20" s="387" t="s">
        <v>25</v>
      </c>
      <c r="AM20" s="247">
        <f t="shared" si="1"/>
        <v>10</v>
      </c>
      <c r="AN20" s="247">
        <f t="shared" si="2"/>
        <v>2022</v>
      </c>
      <c r="AO20" s="248">
        <f t="shared" si="3"/>
        <v>2025</v>
      </c>
      <c r="AP20" s="249">
        <f t="shared" si="4"/>
        <v>2025.8333333333333</v>
      </c>
      <c r="AQ20" s="250">
        <f t="shared" si="5"/>
        <v>8.4383333333333326</v>
      </c>
      <c r="AR20" s="251">
        <f t="shared" si="6"/>
        <v>101.25999999999999</v>
      </c>
      <c r="AS20" s="253">
        <f t="shared" si="10"/>
        <v>101.25999999999999</v>
      </c>
      <c r="AT20" s="253">
        <f t="shared" si="11"/>
        <v>0</v>
      </c>
      <c r="AU20" s="251">
        <f t="shared" si="9"/>
        <v>101.25999999999999</v>
      </c>
      <c r="AV20" s="252">
        <f t="shared" si="12"/>
        <v>202.51999999999998</v>
      </c>
      <c r="AW20" s="241" t="s">
        <v>83</v>
      </c>
    </row>
    <row r="21" spans="2:49">
      <c r="B21" s="192">
        <v>2120</v>
      </c>
      <c r="C21" s="196">
        <v>294817</v>
      </c>
      <c r="D21" s="192" t="s">
        <v>427</v>
      </c>
      <c r="E21" s="191" t="s">
        <v>1203</v>
      </c>
      <c r="F21" s="192">
        <v>19</v>
      </c>
      <c r="G21" s="191"/>
      <c r="H21" s="191"/>
      <c r="I21" s="191"/>
      <c r="J21" s="191">
        <v>0</v>
      </c>
      <c r="K21" s="191" t="s">
        <v>1204</v>
      </c>
      <c r="L21" s="191"/>
      <c r="M21" s="191"/>
      <c r="N21" s="195">
        <v>44851</v>
      </c>
      <c r="O21" s="195">
        <v>44851</v>
      </c>
      <c r="P21" s="191" t="s">
        <v>1205</v>
      </c>
      <c r="Q21" s="192">
        <v>300</v>
      </c>
      <c r="R21" s="192">
        <v>14110</v>
      </c>
      <c r="S21" s="193">
        <v>2722</v>
      </c>
      <c r="T21" s="192">
        <v>14116</v>
      </c>
      <c r="U21" s="193">
        <v>226.83</v>
      </c>
      <c r="V21" s="193">
        <f t="shared" si="0"/>
        <v>2495.17</v>
      </c>
      <c r="W21" s="194">
        <v>75.61</v>
      </c>
      <c r="X21" s="192">
        <v>70260</v>
      </c>
      <c r="Y21" s="193">
        <v>75.61</v>
      </c>
      <c r="Z21" s="191" t="s">
        <v>427</v>
      </c>
      <c r="AA21" s="191"/>
      <c r="AB21" s="191">
        <v>98550</v>
      </c>
      <c r="AC21" s="191"/>
      <c r="AD21" s="191" t="s">
        <v>426</v>
      </c>
      <c r="AE21" s="191" t="s">
        <v>425</v>
      </c>
      <c r="AF21" s="192" t="s">
        <v>92</v>
      </c>
      <c r="AG21" s="191"/>
      <c r="AH21" s="192" t="s">
        <v>424</v>
      </c>
      <c r="AI21" s="191">
        <v>0</v>
      </c>
      <c r="AJ21" s="191">
        <v>0</v>
      </c>
      <c r="AL21" s="387" t="s">
        <v>23</v>
      </c>
      <c r="AM21" s="247">
        <f t="shared" si="1"/>
        <v>10</v>
      </c>
      <c r="AN21" s="247">
        <f t="shared" si="2"/>
        <v>2022</v>
      </c>
      <c r="AO21" s="248">
        <f t="shared" si="3"/>
        <v>2025</v>
      </c>
      <c r="AP21" s="249">
        <f t="shared" si="4"/>
        <v>2025.8333333333333</v>
      </c>
      <c r="AQ21" s="250">
        <f t="shared" si="5"/>
        <v>75.611111111111114</v>
      </c>
      <c r="AR21" s="251">
        <f t="shared" si="6"/>
        <v>907.33333333333337</v>
      </c>
      <c r="AS21" s="253">
        <f t="shared" si="10"/>
        <v>907.33333333333337</v>
      </c>
      <c r="AT21" s="253">
        <f t="shared" si="11"/>
        <v>0</v>
      </c>
      <c r="AU21" s="251">
        <f t="shared" si="9"/>
        <v>907.33333333333337</v>
      </c>
      <c r="AV21" s="252">
        <f t="shared" si="12"/>
        <v>1814.6666666666665</v>
      </c>
      <c r="AW21" s="241" t="s">
        <v>83</v>
      </c>
    </row>
    <row r="22" spans="2:49">
      <c r="B22" s="192">
        <v>2120</v>
      </c>
      <c r="C22" s="196">
        <v>288322</v>
      </c>
      <c r="D22" s="192" t="s">
        <v>427</v>
      </c>
      <c r="E22" s="191" t="s">
        <v>1184</v>
      </c>
      <c r="F22" s="192">
        <v>3</v>
      </c>
      <c r="G22" s="191"/>
      <c r="H22" s="191"/>
      <c r="I22" s="191"/>
      <c r="J22" s="191">
        <v>0</v>
      </c>
      <c r="K22" s="191" t="s">
        <v>484</v>
      </c>
      <c r="L22" s="191"/>
      <c r="M22" s="191" t="s">
        <v>538</v>
      </c>
      <c r="N22" s="195">
        <v>44813</v>
      </c>
      <c r="O22" s="195">
        <v>44813</v>
      </c>
      <c r="P22" s="191" t="s">
        <v>1185</v>
      </c>
      <c r="Q22" s="192">
        <v>1200</v>
      </c>
      <c r="R22" s="192">
        <v>14050</v>
      </c>
      <c r="S22" s="193">
        <v>33668.04</v>
      </c>
      <c r="T22" s="192">
        <v>14056</v>
      </c>
      <c r="U22" s="193">
        <v>1169.03</v>
      </c>
      <c r="V22" s="193">
        <f t="shared" si="0"/>
        <v>32499.010000000002</v>
      </c>
      <c r="W22" s="194">
        <v>233.81</v>
      </c>
      <c r="X22" s="192">
        <v>54260</v>
      </c>
      <c r="Y22" s="193">
        <v>233.81</v>
      </c>
      <c r="Z22" s="191" t="s">
        <v>427</v>
      </c>
      <c r="AA22" s="191"/>
      <c r="AB22" s="191" t="s">
        <v>1186</v>
      </c>
      <c r="AC22" s="191"/>
      <c r="AD22" s="191" t="s">
        <v>426</v>
      </c>
      <c r="AE22" s="191" t="s">
        <v>425</v>
      </c>
      <c r="AF22" s="192" t="s">
        <v>92</v>
      </c>
      <c r="AG22" s="191"/>
      <c r="AH22" s="192" t="s">
        <v>424</v>
      </c>
      <c r="AI22" s="191">
        <v>0</v>
      </c>
      <c r="AJ22" s="191">
        <v>0</v>
      </c>
      <c r="AL22" s="387" t="s">
        <v>21</v>
      </c>
      <c r="AM22" s="247">
        <f t="shared" si="1"/>
        <v>9</v>
      </c>
      <c r="AN22" s="247">
        <f t="shared" si="2"/>
        <v>2022</v>
      </c>
      <c r="AO22" s="248">
        <f t="shared" si="3"/>
        <v>2034</v>
      </c>
      <c r="AP22" s="249">
        <f t="shared" si="4"/>
        <v>2034.75</v>
      </c>
      <c r="AQ22" s="250">
        <f t="shared" si="5"/>
        <v>233.80583333333334</v>
      </c>
      <c r="AR22" s="251">
        <f t="shared" si="6"/>
        <v>2805.67</v>
      </c>
      <c r="AS22" s="253">
        <f t="shared" si="10"/>
        <v>2805.67</v>
      </c>
      <c r="AT22" s="253">
        <f t="shared" si="11"/>
        <v>0</v>
      </c>
      <c r="AU22" s="251">
        <f t="shared" si="9"/>
        <v>2805.67</v>
      </c>
      <c r="AV22" s="252">
        <f t="shared" si="12"/>
        <v>30862.370000000003</v>
      </c>
      <c r="AW22" s="241" t="s">
        <v>83</v>
      </c>
    </row>
    <row r="23" spans="2:49">
      <c r="B23" s="192">
        <v>2120</v>
      </c>
      <c r="C23" s="196">
        <v>289656</v>
      </c>
      <c r="D23" s="192" t="s">
        <v>427</v>
      </c>
      <c r="E23" s="191" t="s">
        <v>1189</v>
      </c>
      <c r="F23" s="192">
        <v>1</v>
      </c>
      <c r="G23" s="191"/>
      <c r="H23" s="191"/>
      <c r="I23" s="191"/>
      <c r="J23" s="191">
        <v>0</v>
      </c>
      <c r="K23" s="191" t="s">
        <v>1190</v>
      </c>
      <c r="L23" s="191"/>
      <c r="M23" s="191"/>
      <c r="N23" s="195">
        <v>44806</v>
      </c>
      <c r="O23" s="195">
        <v>44806</v>
      </c>
      <c r="P23" s="191" t="s">
        <v>1191</v>
      </c>
      <c r="Q23" s="192">
        <v>300</v>
      </c>
      <c r="R23" s="192">
        <v>14110</v>
      </c>
      <c r="S23" s="193">
        <v>1245.76</v>
      </c>
      <c r="T23" s="192">
        <v>14116</v>
      </c>
      <c r="U23" s="193">
        <v>173.01</v>
      </c>
      <c r="V23" s="193">
        <f t="shared" si="0"/>
        <v>1072.75</v>
      </c>
      <c r="W23" s="194">
        <v>34.6</v>
      </c>
      <c r="X23" s="192">
        <v>70260</v>
      </c>
      <c r="Y23" s="193">
        <v>34.6</v>
      </c>
      <c r="Z23" s="191" t="s">
        <v>427</v>
      </c>
      <c r="AA23" s="191"/>
      <c r="AB23" s="191" t="s">
        <v>1192</v>
      </c>
      <c r="AC23" s="191"/>
      <c r="AD23" s="191" t="s">
        <v>426</v>
      </c>
      <c r="AE23" s="191" t="s">
        <v>425</v>
      </c>
      <c r="AF23" s="192" t="s">
        <v>92</v>
      </c>
      <c r="AG23" s="191"/>
      <c r="AH23" s="192" t="s">
        <v>424</v>
      </c>
      <c r="AI23" s="191">
        <v>0</v>
      </c>
      <c r="AJ23" s="191">
        <v>0</v>
      </c>
      <c r="AL23" s="387" t="s">
        <v>25</v>
      </c>
      <c r="AM23" s="247">
        <f t="shared" si="1"/>
        <v>9</v>
      </c>
      <c r="AN23" s="247">
        <f t="shared" si="2"/>
        <v>2022</v>
      </c>
      <c r="AO23" s="248">
        <f t="shared" si="3"/>
        <v>2025</v>
      </c>
      <c r="AP23" s="249">
        <f t="shared" si="4"/>
        <v>2025.75</v>
      </c>
      <c r="AQ23" s="250">
        <f t="shared" si="5"/>
        <v>34.604444444444447</v>
      </c>
      <c r="AR23" s="251">
        <f t="shared" si="6"/>
        <v>415.25333333333333</v>
      </c>
      <c r="AS23" s="253">
        <f t="shared" si="10"/>
        <v>415.25333333333333</v>
      </c>
      <c r="AT23" s="253">
        <f t="shared" si="11"/>
        <v>0</v>
      </c>
      <c r="AU23" s="251">
        <f t="shared" si="9"/>
        <v>415.25333333333333</v>
      </c>
      <c r="AV23" s="252">
        <f t="shared" si="12"/>
        <v>830.50666666666666</v>
      </c>
      <c r="AW23" s="241" t="s">
        <v>83</v>
      </c>
    </row>
    <row r="24" spans="2:49">
      <c r="B24" s="192">
        <v>2120</v>
      </c>
      <c r="C24" s="196">
        <v>289542</v>
      </c>
      <c r="D24" s="192">
        <v>289656</v>
      </c>
      <c r="E24" s="191" t="s">
        <v>1193</v>
      </c>
      <c r="F24" s="192">
        <v>1</v>
      </c>
      <c r="G24" s="191"/>
      <c r="H24" s="191"/>
      <c r="I24" s="191"/>
      <c r="J24" s="191">
        <v>0</v>
      </c>
      <c r="K24" s="191" t="s">
        <v>1194</v>
      </c>
      <c r="L24" s="191"/>
      <c r="M24" s="191"/>
      <c r="N24" s="195">
        <v>44806</v>
      </c>
      <c r="O24" s="195">
        <v>44806</v>
      </c>
      <c r="P24" s="191" t="s">
        <v>1191</v>
      </c>
      <c r="Q24" s="192">
        <v>300</v>
      </c>
      <c r="R24" s="192">
        <v>14110</v>
      </c>
      <c r="S24" s="193">
        <v>303.77999999999997</v>
      </c>
      <c r="T24" s="192">
        <v>14116</v>
      </c>
      <c r="U24" s="193">
        <v>42.19</v>
      </c>
      <c r="V24" s="193">
        <f t="shared" si="0"/>
        <v>261.58999999999997</v>
      </c>
      <c r="W24" s="194">
        <v>8.44</v>
      </c>
      <c r="X24" s="192">
        <v>70260</v>
      </c>
      <c r="Y24" s="193">
        <v>8.44</v>
      </c>
      <c r="Z24" s="191" t="s">
        <v>427</v>
      </c>
      <c r="AA24" s="191"/>
      <c r="AB24" s="191">
        <v>322623</v>
      </c>
      <c r="AC24" s="191"/>
      <c r="AD24" s="191" t="s">
        <v>426</v>
      </c>
      <c r="AE24" s="191" t="s">
        <v>425</v>
      </c>
      <c r="AF24" s="192" t="s">
        <v>92</v>
      </c>
      <c r="AG24" s="191"/>
      <c r="AH24" s="192" t="s">
        <v>424</v>
      </c>
      <c r="AI24" s="191">
        <v>0</v>
      </c>
      <c r="AJ24" s="191">
        <v>0</v>
      </c>
      <c r="AL24" s="387" t="s">
        <v>25</v>
      </c>
      <c r="AM24" s="247">
        <f t="shared" si="1"/>
        <v>9</v>
      </c>
      <c r="AN24" s="247">
        <f t="shared" si="2"/>
        <v>2022</v>
      </c>
      <c r="AO24" s="248">
        <f t="shared" si="3"/>
        <v>2025</v>
      </c>
      <c r="AP24" s="249">
        <f t="shared" si="4"/>
        <v>2025.75</v>
      </c>
      <c r="AQ24" s="250">
        <f t="shared" si="5"/>
        <v>8.4383333333333326</v>
      </c>
      <c r="AR24" s="251">
        <f t="shared" si="6"/>
        <v>101.25999999999999</v>
      </c>
      <c r="AS24" s="253">
        <f t="shared" si="10"/>
        <v>101.25999999999999</v>
      </c>
      <c r="AT24" s="253">
        <f t="shared" si="11"/>
        <v>0</v>
      </c>
      <c r="AU24" s="251">
        <f t="shared" si="9"/>
        <v>101.25999999999999</v>
      </c>
      <c r="AV24" s="252">
        <f t="shared" si="12"/>
        <v>202.51999999999998</v>
      </c>
      <c r="AW24" s="241" t="s">
        <v>83</v>
      </c>
    </row>
    <row r="25" spans="2:49">
      <c r="B25" s="192">
        <v>2120</v>
      </c>
      <c r="C25" s="196">
        <v>285911</v>
      </c>
      <c r="D25" s="192" t="s">
        <v>427</v>
      </c>
      <c r="E25" s="191" t="s">
        <v>1181</v>
      </c>
      <c r="F25" s="192">
        <v>110</v>
      </c>
      <c r="G25" s="191"/>
      <c r="H25" s="191"/>
      <c r="I25" s="191"/>
      <c r="J25" s="191">
        <v>0</v>
      </c>
      <c r="K25" s="191" t="s">
        <v>484</v>
      </c>
      <c r="L25" s="191"/>
      <c r="M25" s="191" t="s">
        <v>457</v>
      </c>
      <c r="N25" s="195">
        <v>44773</v>
      </c>
      <c r="O25" s="195">
        <v>44773</v>
      </c>
      <c r="P25" s="191" t="s">
        <v>1182</v>
      </c>
      <c r="Q25" s="192">
        <v>700</v>
      </c>
      <c r="R25" s="192">
        <v>14050</v>
      </c>
      <c r="S25" s="193">
        <v>8870.73</v>
      </c>
      <c r="T25" s="192">
        <v>14056</v>
      </c>
      <c r="U25" s="193">
        <v>633.62</v>
      </c>
      <c r="V25" s="193">
        <f t="shared" si="0"/>
        <v>8237.1099999999988</v>
      </c>
      <c r="W25" s="194">
        <v>105.6</v>
      </c>
      <c r="X25" s="192">
        <v>54260</v>
      </c>
      <c r="Y25" s="193">
        <v>105.6</v>
      </c>
      <c r="Z25" s="191" t="s">
        <v>427</v>
      </c>
      <c r="AA25" s="191"/>
      <c r="AB25" s="191" t="s">
        <v>1183</v>
      </c>
      <c r="AC25" s="191"/>
      <c r="AD25" s="191" t="s">
        <v>426</v>
      </c>
      <c r="AE25" s="191" t="s">
        <v>425</v>
      </c>
      <c r="AF25" s="192" t="s">
        <v>92</v>
      </c>
      <c r="AG25" s="191"/>
      <c r="AH25" s="192" t="s">
        <v>424</v>
      </c>
      <c r="AI25" s="191">
        <v>0</v>
      </c>
      <c r="AJ25" s="191">
        <v>0</v>
      </c>
      <c r="AL25" s="387" t="s">
        <v>19</v>
      </c>
      <c r="AM25" s="247">
        <f t="shared" si="1"/>
        <v>7</v>
      </c>
      <c r="AN25" s="247">
        <f t="shared" si="2"/>
        <v>2022</v>
      </c>
      <c r="AO25" s="248">
        <f t="shared" si="3"/>
        <v>2029</v>
      </c>
      <c r="AP25" s="249">
        <f t="shared" si="4"/>
        <v>2029.5833333333333</v>
      </c>
      <c r="AQ25" s="250">
        <f t="shared" si="5"/>
        <v>105.60392857142857</v>
      </c>
      <c r="AR25" s="251">
        <f t="shared" si="6"/>
        <v>1267.2471428571428</v>
      </c>
      <c r="AS25" s="253">
        <f t="shared" si="10"/>
        <v>1267.2471428571428</v>
      </c>
      <c r="AT25" s="253">
        <f t="shared" si="11"/>
        <v>0</v>
      </c>
      <c r="AU25" s="251">
        <f t="shared" si="9"/>
        <v>1267.2471428571428</v>
      </c>
      <c r="AV25" s="252">
        <f t="shared" si="12"/>
        <v>7603.482857142857</v>
      </c>
      <c r="AW25" s="241" t="s">
        <v>83</v>
      </c>
    </row>
    <row r="26" spans="2:49">
      <c r="B26" s="192">
        <v>2120</v>
      </c>
      <c r="C26" s="196">
        <v>286041</v>
      </c>
      <c r="D26" s="192">
        <v>86342</v>
      </c>
      <c r="E26" s="191" t="s">
        <v>1167</v>
      </c>
      <c r="F26" s="192"/>
      <c r="G26" s="191"/>
      <c r="H26" s="191"/>
      <c r="I26" s="191"/>
      <c r="J26" s="191">
        <v>0</v>
      </c>
      <c r="K26" s="191" t="s">
        <v>1164</v>
      </c>
      <c r="L26" s="191"/>
      <c r="M26" s="191" t="s">
        <v>448</v>
      </c>
      <c r="N26" s="195">
        <v>44769</v>
      </c>
      <c r="O26" s="195">
        <v>44769</v>
      </c>
      <c r="P26" s="191" t="s">
        <v>1165</v>
      </c>
      <c r="Q26" s="192">
        <v>300</v>
      </c>
      <c r="R26" s="192">
        <v>14040</v>
      </c>
      <c r="S26" s="193">
        <v>5636.4</v>
      </c>
      <c r="T26" s="192">
        <v>14046</v>
      </c>
      <c r="U26" s="193">
        <v>939.4</v>
      </c>
      <c r="V26" s="193">
        <f t="shared" si="0"/>
        <v>4697</v>
      </c>
      <c r="W26" s="194">
        <v>156.57</v>
      </c>
      <c r="X26" s="192">
        <v>51260</v>
      </c>
      <c r="Y26" s="193">
        <v>156.57</v>
      </c>
      <c r="Z26" s="191" t="s">
        <v>427</v>
      </c>
      <c r="AA26" s="191"/>
      <c r="AB26" s="191" t="s">
        <v>1168</v>
      </c>
      <c r="AC26" s="191"/>
      <c r="AD26" s="191" t="s">
        <v>426</v>
      </c>
      <c r="AE26" s="191" t="s">
        <v>425</v>
      </c>
      <c r="AF26" s="192" t="s">
        <v>92</v>
      </c>
      <c r="AG26" s="191"/>
      <c r="AH26" s="192" t="s">
        <v>424</v>
      </c>
      <c r="AI26" s="191">
        <v>0</v>
      </c>
      <c r="AJ26" s="191">
        <v>0</v>
      </c>
      <c r="AL26" s="387" t="s">
        <v>313</v>
      </c>
      <c r="AM26" s="247">
        <f t="shared" si="1"/>
        <v>7</v>
      </c>
      <c r="AN26" s="247">
        <f t="shared" si="2"/>
        <v>2022</v>
      </c>
      <c r="AO26" s="248">
        <f t="shared" si="3"/>
        <v>2025</v>
      </c>
      <c r="AP26" s="249">
        <f t="shared" si="4"/>
        <v>2025.5833333333333</v>
      </c>
      <c r="AQ26" s="250">
        <f t="shared" si="5"/>
        <v>156.56666666666666</v>
      </c>
      <c r="AR26" s="251">
        <f t="shared" si="6"/>
        <v>1878.8</v>
      </c>
      <c r="AS26" s="253">
        <f t="shared" si="10"/>
        <v>1878.8</v>
      </c>
      <c r="AT26" s="253">
        <f t="shared" si="11"/>
        <v>0</v>
      </c>
      <c r="AU26" s="251">
        <f t="shared" si="9"/>
        <v>1878.8</v>
      </c>
      <c r="AV26" s="252">
        <f t="shared" si="12"/>
        <v>3757.5999999999995</v>
      </c>
      <c r="AW26" s="241" t="s">
        <v>83</v>
      </c>
    </row>
    <row r="27" spans="2:49">
      <c r="B27" s="192">
        <v>2120</v>
      </c>
      <c r="C27" s="196">
        <v>285457</v>
      </c>
      <c r="D27" s="192">
        <v>283287</v>
      </c>
      <c r="E27" s="191" t="s">
        <v>1180</v>
      </c>
      <c r="F27" s="192"/>
      <c r="G27" s="191"/>
      <c r="H27" s="191"/>
      <c r="I27" s="191"/>
      <c r="J27" s="191">
        <v>0</v>
      </c>
      <c r="K27" s="191" t="s">
        <v>503</v>
      </c>
      <c r="L27" s="191"/>
      <c r="M27" s="191" t="s">
        <v>448</v>
      </c>
      <c r="N27" s="195">
        <v>44767</v>
      </c>
      <c r="O27" s="195">
        <v>44767</v>
      </c>
      <c r="P27" s="191" t="s">
        <v>1178</v>
      </c>
      <c r="Q27" s="192">
        <v>500</v>
      </c>
      <c r="R27" s="192">
        <v>14040</v>
      </c>
      <c r="S27" s="193">
        <v>354.46</v>
      </c>
      <c r="T27" s="192">
        <v>14046</v>
      </c>
      <c r="U27" s="193">
        <v>35.450000000000003</v>
      </c>
      <c r="V27" s="193">
        <f t="shared" si="0"/>
        <v>319.01</v>
      </c>
      <c r="W27" s="194">
        <v>5.91</v>
      </c>
      <c r="X27" s="192">
        <v>51260</v>
      </c>
      <c r="Y27" s="193">
        <v>5.91</v>
      </c>
      <c r="Z27" s="191" t="s">
        <v>427</v>
      </c>
      <c r="AA27" s="191"/>
      <c r="AB27" s="191">
        <v>5513678</v>
      </c>
      <c r="AC27" s="191"/>
      <c r="AD27" s="191" t="s">
        <v>426</v>
      </c>
      <c r="AE27" s="191" t="s">
        <v>425</v>
      </c>
      <c r="AF27" s="192" t="s">
        <v>92</v>
      </c>
      <c r="AG27" s="191"/>
      <c r="AH27" s="192" t="s">
        <v>424</v>
      </c>
      <c r="AI27" s="191">
        <v>0</v>
      </c>
      <c r="AJ27" s="191">
        <v>0</v>
      </c>
      <c r="AL27" s="387" t="s">
        <v>1161</v>
      </c>
      <c r="AM27" s="247">
        <f t="shared" si="1"/>
        <v>7</v>
      </c>
      <c r="AN27" s="247">
        <f t="shared" si="2"/>
        <v>2022</v>
      </c>
      <c r="AO27" s="248">
        <f t="shared" si="3"/>
        <v>2027</v>
      </c>
      <c r="AP27" s="249">
        <f t="shared" si="4"/>
        <v>2027.5833333333333</v>
      </c>
      <c r="AQ27" s="250">
        <f t="shared" si="5"/>
        <v>5.9076666666666666</v>
      </c>
      <c r="AR27" s="251">
        <f t="shared" si="6"/>
        <v>70.891999999999996</v>
      </c>
      <c r="AS27" s="253">
        <f t="shared" si="10"/>
        <v>70.891999999999996</v>
      </c>
      <c r="AT27" s="253">
        <f t="shared" si="11"/>
        <v>0</v>
      </c>
      <c r="AU27" s="251">
        <f t="shared" si="9"/>
        <v>70.891999999999996</v>
      </c>
      <c r="AV27" s="252">
        <f t="shared" si="12"/>
        <v>283.56799999999998</v>
      </c>
      <c r="AW27" s="241" t="s">
        <v>83</v>
      </c>
    </row>
    <row r="28" spans="2:49">
      <c r="B28" s="192">
        <v>2120</v>
      </c>
      <c r="C28" s="196">
        <v>284778</v>
      </c>
      <c r="D28" s="192">
        <v>86342</v>
      </c>
      <c r="E28" s="191" t="s">
        <v>1163</v>
      </c>
      <c r="F28" s="192"/>
      <c r="G28" s="191"/>
      <c r="H28" s="191"/>
      <c r="I28" s="191"/>
      <c r="J28" s="191">
        <v>0</v>
      </c>
      <c r="K28" s="191" t="s">
        <v>1164</v>
      </c>
      <c r="L28" s="191"/>
      <c r="M28" s="191" t="s">
        <v>448</v>
      </c>
      <c r="N28" s="195">
        <v>44756</v>
      </c>
      <c r="O28" s="195">
        <v>44756</v>
      </c>
      <c r="P28" s="191" t="s">
        <v>1165</v>
      </c>
      <c r="Q28" s="192">
        <v>300</v>
      </c>
      <c r="R28" s="192">
        <v>14040</v>
      </c>
      <c r="S28" s="193">
        <v>25814.959999999999</v>
      </c>
      <c r="T28" s="192">
        <v>14046</v>
      </c>
      <c r="U28" s="193">
        <v>5019.57</v>
      </c>
      <c r="V28" s="193">
        <f t="shared" si="0"/>
        <v>20795.39</v>
      </c>
      <c r="W28" s="194">
        <v>717.08</v>
      </c>
      <c r="X28" s="192">
        <v>51260</v>
      </c>
      <c r="Y28" s="193">
        <v>717.08</v>
      </c>
      <c r="Z28" s="191" t="s">
        <v>427</v>
      </c>
      <c r="AA28" s="191"/>
      <c r="AB28" s="191" t="s">
        <v>1166</v>
      </c>
      <c r="AC28" s="191"/>
      <c r="AD28" s="191" t="s">
        <v>426</v>
      </c>
      <c r="AE28" s="191" t="s">
        <v>425</v>
      </c>
      <c r="AF28" s="192" t="s">
        <v>92</v>
      </c>
      <c r="AG28" s="191"/>
      <c r="AH28" s="192" t="s">
        <v>424</v>
      </c>
      <c r="AI28" s="191">
        <v>0</v>
      </c>
      <c r="AJ28" s="191">
        <v>0</v>
      </c>
      <c r="AL28" s="387" t="s">
        <v>313</v>
      </c>
      <c r="AM28" s="247">
        <f t="shared" si="1"/>
        <v>7</v>
      </c>
      <c r="AN28" s="247">
        <f t="shared" si="2"/>
        <v>2022</v>
      </c>
      <c r="AO28" s="248">
        <f t="shared" si="3"/>
        <v>2025</v>
      </c>
      <c r="AP28" s="249">
        <f t="shared" si="4"/>
        <v>2025.5833333333333</v>
      </c>
      <c r="AQ28" s="250">
        <f t="shared" si="5"/>
        <v>717.08222222222219</v>
      </c>
      <c r="AR28" s="251">
        <f t="shared" si="6"/>
        <v>8604.9866666666658</v>
      </c>
      <c r="AS28" s="253">
        <f t="shared" si="10"/>
        <v>8604.9866666666658</v>
      </c>
      <c r="AT28" s="253">
        <f t="shared" si="11"/>
        <v>0</v>
      </c>
      <c r="AU28" s="251">
        <f t="shared" si="9"/>
        <v>8604.9866666666658</v>
      </c>
      <c r="AV28" s="252">
        <f t="shared" si="12"/>
        <v>17209.973333333335</v>
      </c>
      <c r="AW28" s="241" t="s">
        <v>83</v>
      </c>
    </row>
    <row r="29" spans="2:49">
      <c r="B29" s="192">
        <v>2120</v>
      </c>
      <c r="C29" s="196">
        <v>283287</v>
      </c>
      <c r="D29" s="192" t="s">
        <v>427</v>
      </c>
      <c r="E29" s="191" t="s">
        <v>1176</v>
      </c>
      <c r="F29" s="192"/>
      <c r="G29" s="191"/>
      <c r="H29" s="191" t="s">
        <v>1177</v>
      </c>
      <c r="I29" s="191"/>
      <c r="J29" s="191">
        <v>2022</v>
      </c>
      <c r="K29" s="191"/>
      <c r="L29" s="191"/>
      <c r="M29" s="191" t="s">
        <v>815</v>
      </c>
      <c r="N29" s="195">
        <v>44742</v>
      </c>
      <c r="O29" s="195">
        <v>44742</v>
      </c>
      <c r="P29" s="191" t="s">
        <v>1178</v>
      </c>
      <c r="Q29" s="192">
        <v>1000</v>
      </c>
      <c r="R29" s="192">
        <v>14040</v>
      </c>
      <c r="S29" s="193">
        <v>43636.97</v>
      </c>
      <c r="T29" s="192">
        <v>14046</v>
      </c>
      <c r="U29" s="193">
        <v>2545.4899999999998</v>
      </c>
      <c r="V29" s="193">
        <f t="shared" si="0"/>
        <v>41091.480000000003</v>
      </c>
      <c r="W29" s="194">
        <v>363.64</v>
      </c>
      <c r="X29" s="192">
        <v>51260</v>
      </c>
      <c r="Y29" s="193">
        <v>363.64</v>
      </c>
      <c r="Z29" s="191" t="s">
        <v>427</v>
      </c>
      <c r="AA29" s="191"/>
      <c r="AB29" s="191"/>
      <c r="AC29" s="191"/>
      <c r="AD29" s="191" t="s">
        <v>426</v>
      </c>
      <c r="AE29" s="191" t="s">
        <v>425</v>
      </c>
      <c r="AF29" s="192" t="s">
        <v>92</v>
      </c>
      <c r="AG29" s="191"/>
      <c r="AH29" s="192" t="s">
        <v>424</v>
      </c>
      <c r="AI29" s="191">
        <v>0</v>
      </c>
      <c r="AJ29" s="191">
        <v>0</v>
      </c>
      <c r="AL29" s="387" t="s">
        <v>1161</v>
      </c>
      <c r="AM29" s="247">
        <f t="shared" si="1"/>
        <v>6</v>
      </c>
      <c r="AN29" s="247">
        <f t="shared" si="2"/>
        <v>2022</v>
      </c>
      <c r="AO29" s="248">
        <f t="shared" si="3"/>
        <v>2032</v>
      </c>
      <c r="AP29" s="249">
        <f t="shared" si="4"/>
        <v>2032.5</v>
      </c>
      <c r="AQ29" s="250">
        <f t="shared" si="5"/>
        <v>363.64141666666666</v>
      </c>
      <c r="AR29" s="251">
        <f t="shared" si="6"/>
        <v>4363.6970000000001</v>
      </c>
      <c r="AS29" s="253">
        <f t="shared" si="10"/>
        <v>4363.6970000000001</v>
      </c>
      <c r="AT29" s="253">
        <f t="shared" si="11"/>
        <v>0</v>
      </c>
      <c r="AU29" s="251">
        <f t="shared" si="9"/>
        <v>4363.6970000000001</v>
      </c>
      <c r="AV29" s="252">
        <f t="shared" si="12"/>
        <v>39273.273000000001</v>
      </c>
      <c r="AW29" s="241" t="s">
        <v>83</v>
      </c>
    </row>
    <row r="30" spans="2:49">
      <c r="B30" s="192">
        <v>2120</v>
      </c>
      <c r="C30" s="196">
        <v>282801</v>
      </c>
      <c r="D30" s="192" t="s">
        <v>427</v>
      </c>
      <c r="E30" s="191" t="s">
        <v>1175</v>
      </c>
      <c r="F30" s="192">
        <v>2</v>
      </c>
      <c r="G30" s="191"/>
      <c r="H30" s="191"/>
      <c r="I30" s="191"/>
      <c r="J30" s="191">
        <v>0</v>
      </c>
      <c r="K30" s="191" t="s">
        <v>484</v>
      </c>
      <c r="L30" s="191"/>
      <c r="M30" s="191" t="s">
        <v>429</v>
      </c>
      <c r="N30" s="195">
        <v>44728</v>
      </c>
      <c r="O30" s="195">
        <v>44728</v>
      </c>
      <c r="P30" s="191" t="s">
        <v>1171</v>
      </c>
      <c r="Q30" s="192">
        <v>1200</v>
      </c>
      <c r="R30" s="192">
        <v>14050</v>
      </c>
      <c r="S30" s="193">
        <v>5113.5</v>
      </c>
      <c r="T30" s="192">
        <v>14056</v>
      </c>
      <c r="U30" s="193">
        <v>248.57</v>
      </c>
      <c r="V30" s="193">
        <f t="shared" si="0"/>
        <v>4864.93</v>
      </c>
      <c r="W30" s="194">
        <v>35.51</v>
      </c>
      <c r="X30" s="192">
        <v>54260</v>
      </c>
      <c r="Y30" s="193">
        <v>35.51</v>
      </c>
      <c r="Z30" s="191" t="s">
        <v>427</v>
      </c>
      <c r="AA30" s="191"/>
      <c r="AB30" s="191" t="s">
        <v>1172</v>
      </c>
      <c r="AC30" s="191"/>
      <c r="AD30" s="191" t="s">
        <v>426</v>
      </c>
      <c r="AE30" s="191" t="s">
        <v>425</v>
      </c>
      <c r="AF30" s="192" t="s">
        <v>92</v>
      </c>
      <c r="AG30" s="191"/>
      <c r="AH30" s="192" t="s">
        <v>424</v>
      </c>
      <c r="AI30" s="191">
        <v>0</v>
      </c>
      <c r="AJ30" s="191">
        <v>0</v>
      </c>
      <c r="AL30" s="387" t="s">
        <v>94</v>
      </c>
      <c r="AM30" s="247">
        <f t="shared" si="1"/>
        <v>6</v>
      </c>
      <c r="AN30" s="247">
        <f t="shared" si="2"/>
        <v>2022</v>
      </c>
      <c r="AO30" s="248">
        <f t="shared" si="3"/>
        <v>2034</v>
      </c>
      <c r="AP30" s="249">
        <f t="shared" si="4"/>
        <v>2034.5</v>
      </c>
      <c r="AQ30" s="250">
        <f t="shared" si="5"/>
        <v>35.510416666666664</v>
      </c>
      <c r="AR30" s="251">
        <f t="shared" si="6"/>
        <v>426.125</v>
      </c>
      <c r="AS30" s="253">
        <f t="shared" si="10"/>
        <v>426.125</v>
      </c>
      <c r="AT30" s="253">
        <f t="shared" si="11"/>
        <v>0</v>
      </c>
      <c r="AU30" s="251">
        <f t="shared" si="9"/>
        <v>426.125</v>
      </c>
      <c r="AV30" s="252">
        <f t="shared" si="12"/>
        <v>4687.375</v>
      </c>
      <c r="AW30" s="241" t="s">
        <v>83</v>
      </c>
    </row>
    <row r="31" spans="2:49">
      <c r="B31" s="192">
        <v>2120</v>
      </c>
      <c r="C31" s="196">
        <v>282800</v>
      </c>
      <c r="D31" s="192" t="s">
        <v>427</v>
      </c>
      <c r="E31" s="191" t="s">
        <v>1174</v>
      </c>
      <c r="F31" s="192">
        <v>8</v>
      </c>
      <c r="G31" s="191"/>
      <c r="H31" s="191"/>
      <c r="I31" s="191"/>
      <c r="J31" s="191">
        <v>0</v>
      </c>
      <c r="K31" s="191" t="s">
        <v>484</v>
      </c>
      <c r="L31" s="191"/>
      <c r="M31" s="191" t="s">
        <v>413</v>
      </c>
      <c r="N31" s="195">
        <v>44728</v>
      </c>
      <c r="O31" s="195">
        <v>44728</v>
      </c>
      <c r="P31" s="191" t="s">
        <v>1171</v>
      </c>
      <c r="Q31" s="192">
        <v>1200</v>
      </c>
      <c r="R31" s="192">
        <v>14050</v>
      </c>
      <c r="S31" s="193">
        <v>14966.03</v>
      </c>
      <c r="T31" s="192">
        <v>14056</v>
      </c>
      <c r="U31" s="193">
        <v>727.52</v>
      </c>
      <c r="V31" s="193">
        <f t="shared" si="0"/>
        <v>14238.51</v>
      </c>
      <c r="W31" s="194">
        <v>103.93</v>
      </c>
      <c r="X31" s="192">
        <v>54260</v>
      </c>
      <c r="Y31" s="193">
        <v>103.93</v>
      </c>
      <c r="Z31" s="191" t="s">
        <v>427</v>
      </c>
      <c r="AA31" s="191"/>
      <c r="AB31" s="191" t="s">
        <v>1172</v>
      </c>
      <c r="AC31" s="191"/>
      <c r="AD31" s="191" t="s">
        <v>426</v>
      </c>
      <c r="AE31" s="191" t="s">
        <v>425</v>
      </c>
      <c r="AF31" s="192" t="s">
        <v>92</v>
      </c>
      <c r="AG31" s="191"/>
      <c r="AH31" s="192" t="s">
        <v>424</v>
      </c>
      <c r="AI31" s="191">
        <v>0</v>
      </c>
      <c r="AJ31" s="191">
        <v>0</v>
      </c>
      <c r="AL31" s="387" t="s">
        <v>94</v>
      </c>
      <c r="AM31" s="247">
        <f t="shared" si="1"/>
        <v>6</v>
      </c>
      <c r="AN31" s="247">
        <f t="shared" si="2"/>
        <v>2022</v>
      </c>
      <c r="AO31" s="248">
        <f t="shared" si="3"/>
        <v>2034</v>
      </c>
      <c r="AP31" s="249">
        <f t="shared" si="4"/>
        <v>2034.5</v>
      </c>
      <c r="AQ31" s="250">
        <f t="shared" si="5"/>
        <v>103.9307638888889</v>
      </c>
      <c r="AR31" s="251">
        <f t="shared" si="6"/>
        <v>1247.1691666666668</v>
      </c>
      <c r="AS31" s="253">
        <f t="shared" si="10"/>
        <v>1247.1691666666668</v>
      </c>
      <c r="AT31" s="253">
        <f t="shared" si="11"/>
        <v>0</v>
      </c>
      <c r="AU31" s="251">
        <f t="shared" si="9"/>
        <v>1247.1691666666668</v>
      </c>
      <c r="AV31" s="252">
        <f t="shared" si="12"/>
        <v>13718.860833333334</v>
      </c>
      <c r="AW31" s="241" t="s">
        <v>83</v>
      </c>
    </row>
    <row r="32" spans="2:49">
      <c r="B32" s="192">
        <v>2120</v>
      </c>
      <c r="C32" s="196">
        <v>282799</v>
      </c>
      <c r="D32" s="192" t="s">
        <v>427</v>
      </c>
      <c r="E32" s="191" t="s">
        <v>1173</v>
      </c>
      <c r="F32" s="192">
        <v>4</v>
      </c>
      <c r="G32" s="191"/>
      <c r="H32" s="191"/>
      <c r="I32" s="191"/>
      <c r="J32" s="191">
        <v>0</v>
      </c>
      <c r="K32" s="191" t="s">
        <v>484</v>
      </c>
      <c r="L32" s="191"/>
      <c r="M32" s="191" t="s">
        <v>414</v>
      </c>
      <c r="N32" s="195">
        <v>44728</v>
      </c>
      <c r="O32" s="195">
        <v>44728</v>
      </c>
      <c r="P32" s="191" t="s">
        <v>1171</v>
      </c>
      <c r="Q32" s="192">
        <v>1200</v>
      </c>
      <c r="R32" s="192">
        <v>14050</v>
      </c>
      <c r="S32" s="193">
        <v>5935.02</v>
      </c>
      <c r="T32" s="192">
        <v>14056</v>
      </c>
      <c r="U32" s="193">
        <v>288.51</v>
      </c>
      <c r="V32" s="193">
        <f t="shared" si="0"/>
        <v>5646.51</v>
      </c>
      <c r="W32" s="194">
        <v>41.22</v>
      </c>
      <c r="X32" s="192">
        <v>54260</v>
      </c>
      <c r="Y32" s="193">
        <v>41.22</v>
      </c>
      <c r="Z32" s="191" t="s">
        <v>427</v>
      </c>
      <c r="AA32" s="191"/>
      <c r="AB32" s="191" t="s">
        <v>1172</v>
      </c>
      <c r="AC32" s="191"/>
      <c r="AD32" s="191" t="s">
        <v>426</v>
      </c>
      <c r="AE32" s="191" t="s">
        <v>425</v>
      </c>
      <c r="AF32" s="192" t="s">
        <v>92</v>
      </c>
      <c r="AG32" s="191"/>
      <c r="AH32" s="192" t="s">
        <v>424</v>
      </c>
      <c r="AI32" s="191">
        <v>0</v>
      </c>
      <c r="AJ32" s="191">
        <v>0</v>
      </c>
      <c r="AL32" s="387" t="s">
        <v>94</v>
      </c>
      <c r="AM32" s="247">
        <f t="shared" si="1"/>
        <v>6</v>
      </c>
      <c r="AN32" s="247">
        <f t="shared" si="2"/>
        <v>2022</v>
      </c>
      <c r="AO32" s="248">
        <f t="shared" si="3"/>
        <v>2034</v>
      </c>
      <c r="AP32" s="249">
        <f t="shared" si="4"/>
        <v>2034.5</v>
      </c>
      <c r="AQ32" s="250">
        <f t="shared" si="5"/>
        <v>41.21541666666667</v>
      </c>
      <c r="AR32" s="251">
        <f t="shared" si="6"/>
        <v>494.58500000000004</v>
      </c>
      <c r="AS32" s="253">
        <f t="shared" si="10"/>
        <v>494.58500000000004</v>
      </c>
      <c r="AT32" s="253">
        <f t="shared" si="11"/>
        <v>0</v>
      </c>
      <c r="AU32" s="251">
        <f t="shared" si="9"/>
        <v>494.58500000000004</v>
      </c>
      <c r="AV32" s="252">
        <f t="shared" si="12"/>
        <v>5440.4350000000004</v>
      </c>
      <c r="AW32" s="241" t="s">
        <v>83</v>
      </c>
    </row>
    <row r="33" spans="2:49">
      <c r="B33" s="192">
        <v>2120</v>
      </c>
      <c r="C33" s="196">
        <v>282798</v>
      </c>
      <c r="D33" s="192" t="s">
        <v>427</v>
      </c>
      <c r="E33" s="191" t="s">
        <v>1170</v>
      </c>
      <c r="F33" s="192">
        <v>4</v>
      </c>
      <c r="G33" s="191"/>
      <c r="H33" s="191"/>
      <c r="I33" s="191"/>
      <c r="J33" s="191">
        <v>0</v>
      </c>
      <c r="K33" s="191" t="s">
        <v>484</v>
      </c>
      <c r="L33" s="191"/>
      <c r="M33" s="191" t="s">
        <v>433</v>
      </c>
      <c r="N33" s="195">
        <v>44728</v>
      </c>
      <c r="O33" s="195">
        <v>44728</v>
      </c>
      <c r="P33" s="191" t="s">
        <v>1171</v>
      </c>
      <c r="Q33" s="192">
        <v>1200</v>
      </c>
      <c r="R33" s="192">
        <v>14050</v>
      </c>
      <c r="S33" s="193">
        <v>4779.0200000000004</v>
      </c>
      <c r="T33" s="192">
        <v>14056</v>
      </c>
      <c r="U33" s="193">
        <v>232.32</v>
      </c>
      <c r="V33" s="193">
        <f t="shared" si="0"/>
        <v>4546.7000000000007</v>
      </c>
      <c r="W33" s="194">
        <v>33.19</v>
      </c>
      <c r="X33" s="192">
        <v>54260</v>
      </c>
      <c r="Y33" s="193">
        <v>33.19</v>
      </c>
      <c r="Z33" s="191" t="s">
        <v>427</v>
      </c>
      <c r="AA33" s="191"/>
      <c r="AB33" s="191" t="s">
        <v>1172</v>
      </c>
      <c r="AC33" s="191"/>
      <c r="AD33" s="191" t="s">
        <v>426</v>
      </c>
      <c r="AE33" s="191" t="s">
        <v>425</v>
      </c>
      <c r="AF33" s="192" t="s">
        <v>92</v>
      </c>
      <c r="AG33" s="191"/>
      <c r="AH33" s="192" t="s">
        <v>424</v>
      </c>
      <c r="AI33" s="191">
        <v>0</v>
      </c>
      <c r="AJ33" s="191">
        <v>0</v>
      </c>
      <c r="AL33" s="387" t="s">
        <v>94</v>
      </c>
      <c r="AM33" s="247">
        <f t="shared" si="1"/>
        <v>6</v>
      </c>
      <c r="AN33" s="247">
        <f t="shared" si="2"/>
        <v>2022</v>
      </c>
      <c r="AO33" s="248">
        <f t="shared" si="3"/>
        <v>2034</v>
      </c>
      <c r="AP33" s="249">
        <f t="shared" si="4"/>
        <v>2034.5</v>
      </c>
      <c r="AQ33" s="250">
        <f t="shared" si="5"/>
        <v>33.187638888888891</v>
      </c>
      <c r="AR33" s="251">
        <f t="shared" si="6"/>
        <v>398.25166666666667</v>
      </c>
      <c r="AS33" s="253">
        <f t="shared" si="10"/>
        <v>398.25166666666667</v>
      </c>
      <c r="AT33" s="253">
        <f t="shared" si="11"/>
        <v>0</v>
      </c>
      <c r="AU33" s="251">
        <f t="shared" si="9"/>
        <v>398.25166666666667</v>
      </c>
      <c r="AV33" s="252">
        <f t="shared" si="12"/>
        <v>4380.7683333333334</v>
      </c>
      <c r="AW33" s="241" t="s">
        <v>83</v>
      </c>
    </row>
    <row r="34" spans="2:49">
      <c r="B34" s="192">
        <v>2120</v>
      </c>
      <c r="C34" s="196">
        <v>289361</v>
      </c>
      <c r="D34" s="192" t="s">
        <v>427</v>
      </c>
      <c r="E34" s="191" t="s">
        <v>1187</v>
      </c>
      <c r="F34" s="192">
        <v>224</v>
      </c>
      <c r="G34" s="191"/>
      <c r="H34" s="191"/>
      <c r="I34" s="191"/>
      <c r="J34" s="191">
        <v>0</v>
      </c>
      <c r="K34" s="191" t="s">
        <v>458</v>
      </c>
      <c r="L34" s="191"/>
      <c r="M34" s="191" t="s">
        <v>457</v>
      </c>
      <c r="N34" s="195">
        <v>44673</v>
      </c>
      <c r="O34" s="195">
        <v>44673</v>
      </c>
      <c r="P34" s="191" t="s">
        <v>1188</v>
      </c>
      <c r="Q34" s="192">
        <v>700</v>
      </c>
      <c r="R34" s="192">
        <v>14050</v>
      </c>
      <c r="S34" s="193">
        <v>18811.2</v>
      </c>
      <c r="T34" s="192">
        <v>14056</v>
      </c>
      <c r="U34" s="193">
        <v>2015.48</v>
      </c>
      <c r="V34" s="193">
        <f t="shared" si="0"/>
        <v>16795.72</v>
      </c>
      <c r="W34" s="194">
        <v>223.94</v>
      </c>
      <c r="X34" s="192">
        <v>54260</v>
      </c>
      <c r="Y34" s="193">
        <v>223.94</v>
      </c>
      <c r="Z34" s="191" t="s">
        <v>427</v>
      </c>
      <c r="AA34" s="191"/>
      <c r="AB34" s="191">
        <v>50236999</v>
      </c>
      <c r="AC34" s="191"/>
      <c r="AD34" s="191" t="s">
        <v>426</v>
      </c>
      <c r="AE34" s="191" t="s">
        <v>425</v>
      </c>
      <c r="AF34" s="192" t="s">
        <v>92</v>
      </c>
      <c r="AG34" s="191"/>
      <c r="AH34" s="192" t="s">
        <v>424</v>
      </c>
      <c r="AI34" s="191">
        <v>0</v>
      </c>
      <c r="AJ34" s="191">
        <v>0</v>
      </c>
      <c r="AL34" s="387" t="s">
        <v>19</v>
      </c>
      <c r="AM34" s="247">
        <f t="shared" si="1"/>
        <v>4</v>
      </c>
      <c r="AN34" s="247">
        <f t="shared" si="2"/>
        <v>2022</v>
      </c>
      <c r="AO34" s="248">
        <f t="shared" si="3"/>
        <v>2029</v>
      </c>
      <c r="AP34" s="249">
        <f t="shared" si="4"/>
        <v>2029.3333333333333</v>
      </c>
      <c r="AQ34" s="250">
        <f t="shared" si="5"/>
        <v>223.94285714285715</v>
      </c>
      <c r="AR34" s="251">
        <f t="shared" si="6"/>
        <v>2687.3142857142857</v>
      </c>
      <c r="AS34" s="253">
        <f t="shared" si="10"/>
        <v>2687.3142857142857</v>
      </c>
      <c r="AT34" s="253">
        <f t="shared" si="11"/>
        <v>0</v>
      </c>
      <c r="AU34" s="251">
        <f t="shared" si="9"/>
        <v>2687.3142857142857</v>
      </c>
      <c r="AV34" s="252">
        <f t="shared" si="12"/>
        <v>16123.885714285716</v>
      </c>
      <c r="AW34" s="241" t="s">
        <v>83</v>
      </c>
    </row>
    <row r="35" spans="2:49">
      <c r="B35" s="192">
        <v>2120</v>
      </c>
      <c r="C35" s="196">
        <v>276841</v>
      </c>
      <c r="D35" s="192">
        <v>283287</v>
      </c>
      <c r="E35" s="191" t="s">
        <v>1179</v>
      </c>
      <c r="F35" s="192"/>
      <c r="G35" s="191"/>
      <c r="H35" s="191"/>
      <c r="I35" s="191"/>
      <c r="J35" s="191">
        <v>0</v>
      </c>
      <c r="K35" s="191" t="s">
        <v>516</v>
      </c>
      <c r="L35" s="191"/>
      <c r="M35" s="191" t="s">
        <v>448</v>
      </c>
      <c r="N35" s="195">
        <v>44666</v>
      </c>
      <c r="O35" s="195">
        <v>44666</v>
      </c>
      <c r="P35" s="191" t="s">
        <v>1178</v>
      </c>
      <c r="Q35" s="192">
        <v>500</v>
      </c>
      <c r="R35" s="192">
        <v>14040</v>
      </c>
      <c r="S35" s="193">
        <v>213.53</v>
      </c>
      <c r="T35" s="192">
        <v>14046</v>
      </c>
      <c r="U35" s="193">
        <v>35.590000000000003</v>
      </c>
      <c r="V35" s="193">
        <f t="shared" si="0"/>
        <v>177.94</v>
      </c>
      <c r="W35" s="194">
        <v>3.56</v>
      </c>
      <c r="X35" s="192">
        <v>51260</v>
      </c>
      <c r="Y35" s="193">
        <v>3.56</v>
      </c>
      <c r="Z35" s="191" t="s">
        <v>427</v>
      </c>
      <c r="AA35" s="191"/>
      <c r="AB35" s="191">
        <v>47509</v>
      </c>
      <c r="AC35" s="191"/>
      <c r="AD35" s="191" t="s">
        <v>426</v>
      </c>
      <c r="AE35" s="191" t="s">
        <v>425</v>
      </c>
      <c r="AF35" s="192" t="s">
        <v>92</v>
      </c>
      <c r="AG35" s="191"/>
      <c r="AH35" s="192" t="s">
        <v>424</v>
      </c>
      <c r="AI35" s="191">
        <v>0</v>
      </c>
      <c r="AJ35" s="191">
        <v>0</v>
      </c>
      <c r="AL35" s="387" t="s">
        <v>1161</v>
      </c>
      <c r="AM35" s="247">
        <f t="shared" si="1"/>
        <v>4</v>
      </c>
      <c r="AN35" s="247">
        <f t="shared" si="2"/>
        <v>2022</v>
      </c>
      <c r="AO35" s="248">
        <f t="shared" si="3"/>
        <v>2027</v>
      </c>
      <c r="AP35" s="249">
        <f t="shared" si="4"/>
        <v>2027.3333333333333</v>
      </c>
      <c r="AQ35" s="250">
        <f t="shared" si="5"/>
        <v>3.5588333333333337</v>
      </c>
      <c r="AR35" s="251">
        <f t="shared" si="6"/>
        <v>42.706000000000003</v>
      </c>
      <c r="AS35" s="253">
        <f t="shared" si="10"/>
        <v>42.706000000000003</v>
      </c>
      <c r="AT35" s="253">
        <f t="shared" si="11"/>
        <v>0</v>
      </c>
      <c r="AU35" s="251">
        <f t="shared" si="9"/>
        <v>42.706000000000003</v>
      </c>
      <c r="AV35" s="252">
        <f t="shared" si="12"/>
        <v>170.82400000000001</v>
      </c>
      <c r="AW35" s="241" t="s">
        <v>83</v>
      </c>
    </row>
    <row r="36" spans="2:49">
      <c r="B36" s="192">
        <v>2120</v>
      </c>
      <c r="C36" s="196">
        <v>270180</v>
      </c>
      <c r="D36" s="192" t="s">
        <v>427</v>
      </c>
      <c r="E36" s="191" t="s">
        <v>431</v>
      </c>
      <c r="F36" s="192">
        <v>2</v>
      </c>
      <c r="G36" s="191"/>
      <c r="H36" s="191"/>
      <c r="I36" s="191"/>
      <c r="J36" s="191">
        <v>0</v>
      </c>
      <c r="K36" s="191" t="s">
        <v>430</v>
      </c>
      <c r="L36" s="191"/>
      <c r="M36" s="191" t="s">
        <v>429</v>
      </c>
      <c r="N36" s="195">
        <v>44551</v>
      </c>
      <c r="O36" s="195">
        <v>44551</v>
      </c>
      <c r="P36" s="191" t="s">
        <v>428</v>
      </c>
      <c r="Q36" s="192">
        <v>1200</v>
      </c>
      <c r="R36" s="192">
        <v>14050</v>
      </c>
      <c r="S36" s="193">
        <v>4697.53</v>
      </c>
      <c r="T36" s="192">
        <v>14056</v>
      </c>
      <c r="U36" s="193">
        <v>424.06</v>
      </c>
      <c r="V36" s="193">
        <f t="shared" si="0"/>
        <v>4273.4699999999993</v>
      </c>
      <c r="W36" s="194">
        <v>32.619999999999997</v>
      </c>
      <c r="X36" s="192">
        <v>54260</v>
      </c>
      <c r="Y36" s="193">
        <v>32.619999999999997</v>
      </c>
      <c r="Z36" s="191" t="s">
        <v>427</v>
      </c>
      <c r="AA36" s="191"/>
      <c r="AB36" s="191">
        <v>9611</v>
      </c>
      <c r="AC36" s="191"/>
      <c r="AD36" s="191" t="s">
        <v>426</v>
      </c>
      <c r="AE36" s="191" t="s">
        <v>425</v>
      </c>
      <c r="AF36" s="192" t="s">
        <v>92</v>
      </c>
      <c r="AG36" s="191"/>
      <c r="AH36" s="192" t="s">
        <v>424</v>
      </c>
      <c r="AI36" s="191">
        <v>0</v>
      </c>
      <c r="AJ36" s="191">
        <v>0</v>
      </c>
      <c r="AL36" s="387" t="s">
        <v>94</v>
      </c>
      <c r="AM36" s="247">
        <f t="shared" si="1"/>
        <v>12</v>
      </c>
      <c r="AN36" s="247">
        <f t="shared" si="2"/>
        <v>2021</v>
      </c>
      <c r="AO36" s="248">
        <f t="shared" si="3"/>
        <v>2033</v>
      </c>
      <c r="AP36" s="249">
        <f t="shared" si="4"/>
        <v>2034</v>
      </c>
      <c r="AQ36" s="250">
        <f t="shared" si="5"/>
        <v>32.621736111111112</v>
      </c>
      <c r="AR36" s="251">
        <f t="shared" si="6"/>
        <v>391.46083333333331</v>
      </c>
      <c r="AS36" s="253">
        <f t="shared" si="10"/>
        <v>391.46083333333331</v>
      </c>
      <c r="AT36" s="253">
        <f t="shared" si="11"/>
        <v>32.621736111081191</v>
      </c>
      <c r="AU36" s="251">
        <f t="shared" si="9"/>
        <v>424.0825694444145</v>
      </c>
      <c r="AV36" s="252">
        <f t="shared" si="12"/>
        <v>4273.447430555585</v>
      </c>
      <c r="AW36" s="241" t="s">
        <v>83</v>
      </c>
    </row>
    <row r="37" spans="2:49">
      <c r="B37" s="192">
        <v>2120</v>
      </c>
      <c r="C37" s="196">
        <v>270147</v>
      </c>
      <c r="D37" s="192" t="s">
        <v>427</v>
      </c>
      <c r="E37" s="191" t="s">
        <v>432</v>
      </c>
      <c r="F37" s="192">
        <v>6</v>
      </c>
      <c r="G37" s="191"/>
      <c r="H37" s="191"/>
      <c r="I37" s="191"/>
      <c r="J37" s="191">
        <v>0</v>
      </c>
      <c r="K37" s="191" t="s">
        <v>430</v>
      </c>
      <c r="L37" s="191"/>
      <c r="M37" s="191" t="s">
        <v>414</v>
      </c>
      <c r="N37" s="195">
        <v>44551</v>
      </c>
      <c r="O37" s="195">
        <v>44551</v>
      </c>
      <c r="P37" s="191" t="s">
        <v>428</v>
      </c>
      <c r="Q37" s="192">
        <v>1200</v>
      </c>
      <c r="R37" s="192">
        <v>14050</v>
      </c>
      <c r="S37" s="193">
        <v>9251.5300000000007</v>
      </c>
      <c r="T37" s="192">
        <v>14056</v>
      </c>
      <c r="U37" s="193">
        <v>835.21</v>
      </c>
      <c r="V37" s="193">
        <f t="shared" si="0"/>
        <v>8416.32</v>
      </c>
      <c r="W37" s="194">
        <v>64.25</v>
      </c>
      <c r="X37" s="192">
        <v>54260</v>
      </c>
      <c r="Y37" s="193">
        <v>64.25</v>
      </c>
      <c r="Z37" s="191" t="s">
        <v>427</v>
      </c>
      <c r="AA37" s="191"/>
      <c r="AB37" s="191">
        <v>9611</v>
      </c>
      <c r="AC37" s="191"/>
      <c r="AD37" s="191" t="s">
        <v>426</v>
      </c>
      <c r="AE37" s="191" t="s">
        <v>425</v>
      </c>
      <c r="AF37" s="192" t="s">
        <v>92</v>
      </c>
      <c r="AG37" s="191"/>
      <c r="AH37" s="192" t="s">
        <v>424</v>
      </c>
      <c r="AI37" s="191">
        <v>0</v>
      </c>
      <c r="AJ37" s="191">
        <v>0</v>
      </c>
      <c r="AL37" s="387" t="s">
        <v>94</v>
      </c>
      <c r="AM37" s="247">
        <f t="shared" si="1"/>
        <v>12</v>
      </c>
      <c r="AN37" s="247">
        <f t="shared" si="2"/>
        <v>2021</v>
      </c>
      <c r="AO37" s="248">
        <f t="shared" si="3"/>
        <v>2033</v>
      </c>
      <c r="AP37" s="249">
        <f t="shared" si="4"/>
        <v>2034</v>
      </c>
      <c r="AQ37" s="250">
        <f t="shared" si="5"/>
        <v>64.246736111111119</v>
      </c>
      <c r="AR37" s="251">
        <f t="shared" si="6"/>
        <v>770.96083333333343</v>
      </c>
      <c r="AS37" s="253">
        <f t="shared" si="10"/>
        <v>770.96083333333343</v>
      </c>
      <c r="AT37" s="253">
        <f t="shared" si="11"/>
        <v>64.246736111052087</v>
      </c>
      <c r="AU37" s="251">
        <f t="shared" si="9"/>
        <v>835.20756944438551</v>
      </c>
      <c r="AV37" s="252">
        <f t="shared" si="12"/>
        <v>8416.3224305556159</v>
      </c>
      <c r="AW37" s="241" t="s">
        <v>83</v>
      </c>
    </row>
    <row r="38" spans="2:49">
      <c r="B38" s="192">
        <v>2120</v>
      </c>
      <c r="C38" s="196">
        <v>270132</v>
      </c>
      <c r="D38" s="192" t="s">
        <v>427</v>
      </c>
      <c r="E38" s="191" t="s">
        <v>434</v>
      </c>
      <c r="F38" s="192">
        <v>6</v>
      </c>
      <c r="G38" s="191"/>
      <c r="H38" s="191"/>
      <c r="I38" s="191"/>
      <c r="J38" s="191">
        <v>0</v>
      </c>
      <c r="K38" s="191" t="s">
        <v>430</v>
      </c>
      <c r="L38" s="191"/>
      <c r="M38" s="191" t="s">
        <v>433</v>
      </c>
      <c r="N38" s="195">
        <v>44551</v>
      </c>
      <c r="O38" s="195">
        <v>44551</v>
      </c>
      <c r="P38" s="191" t="s">
        <v>428</v>
      </c>
      <c r="Q38" s="192">
        <v>1200</v>
      </c>
      <c r="R38" s="192">
        <v>14050</v>
      </c>
      <c r="S38" s="193">
        <v>5921.53</v>
      </c>
      <c r="T38" s="192">
        <v>14056</v>
      </c>
      <c r="U38" s="193">
        <v>534.58000000000004</v>
      </c>
      <c r="V38" s="193">
        <f t="shared" si="0"/>
        <v>5386.95</v>
      </c>
      <c r="W38" s="194">
        <v>41.12</v>
      </c>
      <c r="X38" s="192">
        <v>54260</v>
      </c>
      <c r="Y38" s="193">
        <v>41.12</v>
      </c>
      <c r="Z38" s="191" t="s">
        <v>427</v>
      </c>
      <c r="AA38" s="191"/>
      <c r="AB38" s="191">
        <v>9611</v>
      </c>
      <c r="AC38" s="191"/>
      <c r="AD38" s="191" t="s">
        <v>426</v>
      </c>
      <c r="AE38" s="191" t="s">
        <v>425</v>
      </c>
      <c r="AF38" s="192" t="s">
        <v>92</v>
      </c>
      <c r="AG38" s="191"/>
      <c r="AH38" s="192" t="s">
        <v>424</v>
      </c>
      <c r="AI38" s="191">
        <v>0</v>
      </c>
      <c r="AJ38" s="191">
        <v>0</v>
      </c>
      <c r="AL38" s="388" t="s">
        <v>94</v>
      </c>
      <c r="AM38" s="247">
        <f t="shared" si="1"/>
        <v>12</v>
      </c>
      <c r="AN38" s="247">
        <f t="shared" si="2"/>
        <v>2021</v>
      </c>
      <c r="AO38" s="248">
        <f t="shared" si="3"/>
        <v>2033</v>
      </c>
      <c r="AP38" s="249">
        <f t="shared" si="4"/>
        <v>2034</v>
      </c>
      <c r="AQ38" s="250">
        <f t="shared" si="5"/>
        <v>41.121736111111112</v>
      </c>
      <c r="AR38" s="251">
        <f t="shared" si="6"/>
        <v>493.46083333333331</v>
      </c>
      <c r="AS38" s="253">
        <f t="shared" si="10"/>
        <v>493.46083333333331</v>
      </c>
      <c r="AT38" s="253">
        <f t="shared" si="11"/>
        <v>41.121736111073005</v>
      </c>
      <c r="AU38" s="251">
        <f t="shared" si="9"/>
        <v>534.58256944440632</v>
      </c>
      <c r="AV38" s="252">
        <f t="shared" si="12"/>
        <v>5386.9474305555932</v>
      </c>
      <c r="AW38" s="241" t="s">
        <v>83</v>
      </c>
    </row>
    <row r="39" spans="2:49">
      <c r="B39" s="192">
        <v>2120</v>
      </c>
      <c r="C39" s="196">
        <v>270121</v>
      </c>
      <c r="D39" s="192" t="s">
        <v>427</v>
      </c>
      <c r="E39" s="191" t="s">
        <v>436</v>
      </c>
      <c r="F39" s="192">
        <v>12</v>
      </c>
      <c r="G39" s="191"/>
      <c r="H39" s="191"/>
      <c r="I39" s="191"/>
      <c r="J39" s="191">
        <v>0</v>
      </c>
      <c r="K39" s="191" t="s">
        <v>430</v>
      </c>
      <c r="L39" s="191"/>
      <c r="M39" s="191" t="s">
        <v>435</v>
      </c>
      <c r="N39" s="195">
        <v>44551</v>
      </c>
      <c r="O39" s="195">
        <v>44551</v>
      </c>
      <c r="P39" s="191" t="s">
        <v>428</v>
      </c>
      <c r="Q39" s="192">
        <v>1200</v>
      </c>
      <c r="R39" s="192">
        <v>14050</v>
      </c>
      <c r="S39" s="193">
        <v>10511.56</v>
      </c>
      <c r="T39" s="192">
        <v>14056</v>
      </c>
      <c r="U39" s="193">
        <v>948.96</v>
      </c>
      <c r="V39" s="193">
        <f t="shared" si="0"/>
        <v>9562.5999999999985</v>
      </c>
      <c r="W39" s="194">
        <v>73</v>
      </c>
      <c r="X39" s="192">
        <v>54260</v>
      </c>
      <c r="Y39" s="193">
        <v>73</v>
      </c>
      <c r="Z39" s="191" t="s">
        <v>427</v>
      </c>
      <c r="AA39" s="191"/>
      <c r="AB39" s="191">
        <v>9611</v>
      </c>
      <c r="AC39" s="191"/>
      <c r="AD39" s="191" t="s">
        <v>426</v>
      </c>
      <c r="AE39" s="191" t="s">
        <v>425</v>
      </c>
      <c r="AF39" s="192" t="s">
        <v>92</v>
      </c>
      <c r="AG39" s="191"/>
      <c r="AH39" s="192" t="s">
        <v>424</v>
      </c>
      <c r="AI39" s="191">
        <v>0</v>
      </c>
      <c r="AJ39" s="191">
        <v>0</v>
      </c>
      <c r="AL39" s="388" t="s">
        <v>94</v>
      </c>
      <c r="AM39" s="247">
        <f t="shared" si="1"/>
        <v>12</v>
      </c>
      <c r="AN39" s="247">
        <f t="shared" si="2"/>
        <v>2021</v>
      </c>
      <c r="AO39" s="248">
        <f t="shared" si="3"/>
        <v>2033</v>
      </c>
      <c r="AP39" s="249">
        <f t="shared" si="4"/>
        <v>2034</v>
      </c>
      <c r="AQ39" s="250">
        <f t="shared" si="5"/>
        <v>72.996944444444438</v>
      </c>
      <c r="AR39" s="251">
        <f t="shared" si="6"/>
        <v>875.96333333333325</v>
      </c>
      <c r="AS39" s="253">
        <f t="shared" si="10"/>
        <v>875.96333333333325</v>
      </c>
      <c r="AT39" s="253">
        <f t="shared" si="11"/>
        <v>72.996944444377732</v>
      </c>
      <c r="AU39" s="251">
        <f t="shared" si="9"/>
        <v>948.96027777771098</v>
      </c>
      <c r="AV39" s="252">
        <f t="shared" si="12"/>
        <v>9562.5997222222886</v>
      </c>
      <c r="AW39" s="241" t="s">
        <v>83</v>
      </c>
    </row>
    <row r="40" spans="2:49">
      <c r="B40" s="192">
        <v>2120</v>
      </c>
      <c r="C40" s="196">
        <v>270116</v>
      </c>
      <c r="D40" s="192" t="s">
        <v>427</v>
      </c>
      <c r="E40" s="191" t="s">
        <v>438</v>
      </c>
      <c r="F40" s="192">
        <v>6</v>
      </c>
      <c r="G40" s="191"/>
      <c r="H40" s="191"/>
      <c r="I40" s="191"/>
      <c r="J40" s="191">
        <v>0</v>
      </c>
      <c r="K40" s="191" t="s">
        <v>430</v>
      </c>
      <c r="L40" s="191"/>
      <c r="M40" s="191" t="s">
        <v>437</v>
      </c>
      <c r="N40" s="195">
        <v>44551</v>
      </c>
      <c r="O40" s="195">
        <v>44551</v>
      </c>
      <c r="P40" s="191" t="s">
        <v>428</v>
      </c>
      <c r="Q40" s="192">
        <v>1200</v>
      </c>
      <c r="R40" s="192">
        <v>14050</v>
      </c>
      <c r="S40" s="193">
        <v>5795.53</v>
      </c>
      <c r="T40" s="192">
        <v>14056</v>
      </c>
      <c r="U40" s="193">
        <v>523.21</v>
      </c>
      <c r="V40" s="193">
        <f t="shared" si="0"/>
        <v>5272.32</v>
      </c>
      <c r="W40" s="194">
        <v>40.25</v>
      </c>
      <c r="X40" s="192">
        <v>54260</v>
      </c>
      <c r="Y40" s="193">
        <v>40.25</v>
      </c>
      <c r="Z40" s="191" t="s">
        <v>427</v>
      </c>
      <c r="AA40" s="191"/>
      <c r="AB40" s="191">
        <v>9611</v>
      </c>
      <c r="AC40" s="191"/>
      <c r="AD40" s="191" t="s">
        <v>426</v>
      </c>
      <c r="AE40" s="191" t="s">
        <v>425</v>
      </c>
      <c r="AF40" s="192" t="s">
        <v>92</v>
      </c>
      <c r="AG40" s="191"/>
      <c r="AH40" s="192" t="s">
        <v>424</v>
      </c>
      <c r="AI40" s="191">
        <v>0</v>
      </c>
      <c r="AJ40" s="191">
        <v>0</v>
      </c>
      <c r="AL40" s="388" t="s">
        <v>94</v>
      </c>
      <c r="AM40" s="247">
        <f t="shared" si="1"/>
        <v>12</v>
      </c>
      <c r="AN40" s="247">
        <f t="shared" si="2"/>
        <v>2021</v>
      </c>
      <c r="AO40" s="248">
        <f t="shared" si="3"/>
        <v>2033</v>
      </c>
      <c r="AP40" s="249">
        <f t="shared" si="4"/>
        <v>2034</v>
      </c>
      <c r="AQ40" s="250">
        <f t="shared" si="5"/>
        <v>40.246736111111112</v>
      </c>
      <c r="AR40" s="251">
        <f t="shared" si="6"/>
        <v>482.96083333333331</v>
      </c>
      <c r="AS40" s="253">
        <f t="shared" si="10"/>
        <v>482.96083333333331</v>
      </c>
      <c r="AT40" s="253">
        <f t="shared" si="11"/>
        <v>40.246736111073915</v>
      </c>
      <c r="AU40" s="251">
        <f t="shared" si="9"/>
        <v>523.20756944440723</v>
      </c>
      <c r="AV40" s="252">
        <f t="shared" si="12"/>
        <v>5272.3224305555923</v>
      </c>
      <c r="AW40" s="241" t="s">
        <v>83</v>
      </c>
    </row>
    <row r="41" spans="2:49">
      <c r="B41" s="192">
        <v>2120</v>
      </c>
      <c r="C41" s="196">
        <v>263514</v>
      </c>
      <c r="D41" s="192" t="s">
        <v>427</v>
      </c>
      <c r="E41" s="191" t="s">
        <v>440</v>
      </c>
      <c r="F41" s="192">
        <v>8</v>
      </c>
      <c r="G41" s="191"/>
      <c r="H41" s="191" t="s">
        <v>413</v>
      </c>
      <c r="I41" s="191"/>
      <c r="J41" s="191">
        <v>0</v>
      </c>
      <c r="K41" s="191" t="s">
        <v>430</v>
      </c>
      <c r="L41" s="191"/>
      <c r="M41" s="191" t="s">
        <v>413</v>
      </c>
      <c r="N41" s="195">
        <v>44488</v>
      </c>
      <c r="O41" s="195">
        <v>44488</v>
      </c>
      <c r="P41" s="191" t="s">
        <v>439</v>
      </c>
      <c r="Q41" s="192">
        <v>1200</v>
      </c>
      <c r="R41" s="192">
        <v>14050</v>
      </c>
      <c r="S41" s="193">
        <v>12207.27</v>
      </c>
      <c r="T41" s="192">
        <v>14056</v>
      </c>
      <c r="U41" s="193">
        <v>1271.5899999999999</v>
      </c>
      <c r="V41" s="193">
        <f t="shared" si="0"/>
        <v>10935.68</v>
      </c>
      <c r="W41" s="194">
        <v>84.77</v>
      </c>
      <c r="X41" s="192">
        <v>54260</v>
      </c>
      <c r="Y41" s="193">
        <v>84.77</v>
      </c>
      <c r="Z41" s="191" t="s">
        <v>427</v>
      </c>
      <c r="AA41" s="191"/>
      <c r="AB41" s="191">
        <v>9546</v>
      </c>
      <c r="AC41" s="191"/>
      <c r="AD41" s="191" t="s">
        <v>426</v>
      </c>
      <c r="AE41" s="191" t="s">
        <v>425</v>
      </c>
      <c r="AF41" s="192" t="s">
        <v>92</v>
      </c>
      <c r="AG41" s="191"/>
      <c r="AH41" s="192" t="s">
        <v>424</v>
      </c>
      <c r="AI41" s="191">
        <v>0</v>
      </c>
      <c r="AJ41" s="191">
        <v>0</v>
      </c>
      <c r="AL41" s="388" t="s">
        <v>94</v>
      </c>
      <c r="AM41" s="247">
        <f t="shared" si="1"/>
        <v>10</v>
      </c>
      <c r="AN41" s="247">
        <f t="shared" si="2"/>
        <v>2021</v>
      </c>
      <c r="AO41" s="248">
        <f t="shared" si="3"/>
        <v>2033</v>
      </c>
      <c r="AP41" s="249">
        <f t="shared" si="4"/>
        <v>2033.8333333333333</v>
      </c>
      <c r="AQ41" s="250">
        <f t="shared" si="5"/>
        <v>84.772708333333341</v>
      </c>
      <c r="AR41" s="251">
        <f t="shared" si="6"/>
        <v>1017.2725</v>
      </c>
      <c r="AS41" s="253">
        <f t="shared" si="10"/>
        <v>1017.2725</v>
      </c>
      <c r="AT41" s="253">
        <f t="shared" si="11"/>
        <v>254.31812499999978</v>
      </c>
      <c r="AU41" s="251">
        <f t="shared" si="9"/>
        <v>1271.5906249999998</v>
      </c>
      <c r="AV41" s="252">
        <f t="shared" si="12"/>
        <v>10935.679375</v>
      </c>
      <c r="AW41" s="241" t="s">
        <v>83</v>
      </c>
    </row>
    <row r="42" spans="2:49">
      <c r="B42" s="192">
        <v>2120</v>
      </c>
      <c r="C42" s="196">
        <v>263829</v>
      </c>
      <c r="D42" s="192">
        <v>253139</v>
      </c>
      <c r="E42" s="191" t="s">
        <v>476</v>
      </c>
      <c r="F42" s="192">
        <v>1</v>
      </c>
      <c r="G42" s="191"/>
      <c r="H42" s="191"/>
      <c r="I42" s="191"/>
      <c r="J42" s="191">
        <v>0</v>
      </c>
      <c r="K42" s="191" t="s">
        <v>475</v>
      </c>
      <c r="L42" s="191"/>
      <c r="M42" s="191"/>
      <c r="N42" s="195">
        <v>44467</v>
      </c>
      <c r="O42" s="195">
        <v>44467</v>
      </c>
      <c r="P42" s="191" t="s">
        <v>474</v>
      </c>
      <c r="Q42" s="192">
        <v>300</v>
      </c>
      <c r="R42" s="192">
        <v>14110</v>
      </c>
      <c r="S42" s="193">
        <v>233.3</v>
      </c>
      <c r="T42" s="192">
        <v>14116</v>
      </c>
      <c r="U42" s="193">
        <v>103.69</v>
      </c>
      <c r="V42" s="193">
        <f t="shared" si="0"/>
        <v>129.61000000000001</v>
      </c>
      <c r="W42" s="194">
        <v>6.48</v>
      </c>
      <c r="X42" s="192">
        <v>70260</v>
      </c>
      <c r="Y42" s="193">
        <v>6.48</v>
      </c>
      <c r="Z42" s="191" t="s">
        <v>427</v>
      </c>
      <c r="AA42" s="191"/>
      <c r="AB42" s="191" t="s">
        <v>473</v>
      </c>
      <c r="AC42" s="191"/>
      <c r="AD42" s="191" t="s">
        <v>426</v>
      </c>
      <c r="AE42" s="191" t="s">
        <v>425</v>
      </c>
      <c r="AF42" s="192" t="s">
        <v>92</v>
      </c>
      <c r="AG42" s="191"/>
      <c r="AH42" s="192" t="s">
        <v>424</v>
      </c>
      <c r="AI42" s="191">
        <v>0</v>
      </c>
      <c r="AJ42" s="191">
        <v>0</v>
      </c>
      <c r="AL42" s="387" t="s">
        <v>25</v>
      </c>
      <c r="AM42" s="247">
        <f t="shared" si="1"/>
        <v>9</v>
      </c>
      <c r="AN42" s="247">
        <f t="shared" si="2"/>
        <v>2021</v>
      </c>
      <c r="AO42" s="248">
        <f t="shared" si="3"/>
        <v>2024</v>
      </c>
      <c r="AP42" s="249">
        <f t="shared" si="4"/>
        <v>2024.75</v>
      </c>
      <c r="AQ42" s="250">
        <f t="shared" si="5"/>
        <v>6.4805555555555552</v>
      </c>
      <c r="AR42" s="251">
        <f t="shared" si="6"/>
        <v>77.766666666666666</v>
      </c>
      <c r="AS42" s="253">
        <f t="shared" si="10"/>
        <v>77.766666666666666</v>
      </c>
      <c r="AT42" s="253">
        <f t="shared" si="11"/>
        <v>25.922222222216362</v>
      </c>
      <c r="AU42" s="251">
        <f t="shared" si="9"/>
        <v>103.68888888888303</v>
      </c>
      <c r="AV42" s="252">
        <f t="shared" si="12"/>
        <v>129.611111111117</v>
      </c>
      <c r="AW42" s="241" t="s">
        <v>83</v>
      </c>
    </row>
    <row r="43" spans="2:49">
      <c r="B43" s="192">
        <v>2120</v>
      </c>
      <c r="C43" s="196">
        <v>260891</v>
      </c>
      <c r="D43" s="192" t="s">
        <v>427</v>
      </c>
      <c r="E43" s="191" t="s">
        <v>445</v>
      </c>
      <c r="F43" s="192">
        <v>3</v>
      </c>
      <c r="G43" s="191"/>
      <c r="H43" s="191"/>
      <c r="I43" s="191"/>
      <c r="J43" s="191">
        <v>0</v>
      </c>
      <c r="K43" s="191" t="s">
        <v>444</v>
      </c>
      <c r="L43" s="191"/>
      <c r="M43" s="191" t="s">
        <v>443</v>
      </c>
      <c r="N43" s="195">
        <v>44461</v>
      </c>
      <c r="O43" s="195">
        <v>44461</v>
      </c>
      <c r="P43" s="191" t="s">
        <v>442</v>
      </c>
      <c r="Q43" s="192">
        <v>1200</v>
      </c>
      <c r="R43" s="192">
        <v>14050</v>
      </c>
      <c r="S43" s="193">
        <v>32258</v>
      </c>
      <c r="T43" s="192">
        <v>14056</v>
      </c>
      <c r="U43" s="193">
        <v>3584.22</v>
      </c>
      <c r="V43" s="193">
        <f t="shared" si="0"/>
        <v>28673.78</v>
      </c>
      <c r="W43" s="194">
        <v>224.01</v>
      </c>
      <c r="X43" s="192">
        <v>54260</v>
      </c>
      <c r="Y43" s="193">
        <v>224.01</v>
      </c>
      <c r="Z43" s="191" t="s">
        <v>427</v>
      </c>
      <c r="AA43" s="191"/>
      <c r="AB43" s="191" t="s">
        <v>441</v>
      </c>
      <c r="AC43" s="191"/>
      <c r="AD43" s="191" t="s">
        <v>426</v>
      </c>
      <c r="AE43" s="191" t="s">
        <v>425</v>
      </c>
      <c r="AF43" s="192" t="s">
        <v>92</v>
      </c>
      <c r="AG43" s="191"/>
      <c r="AH43" s="192" t="s">
        <v>424</v>
      </c>
      <c r="AI43" s="191">
        <v>0</v>
      </c>
      <c r="AJ43" s="191">
        <v>0</v>
      </c>
      <c r="AL43" s="387" t="s">
        <v>21</v>
      </c>
      <c r="AM43" s="247">
        <f t="shared" si="1"/>
        <v>9</v>
      </c>
      <c r="AN43" s="247">
        <f t="shared" si="2"/>
        <v>2021</v>
      </c>
      <c r="AO43" s="248">
        <f t="shared" si="3"/>
        <v>2033</v>
      </c>
      <c r="AP43" s="249">
        <f t="shared" si="4"/>
        <v>2033.75</v>
      </c>
      <c r="AQ43" s="250">
        <f t="shared" si="5"/>
        <v>224.01388888888889</v>
      </c>
      <c r="AR43" s="251">
        <f t="shared" si="6"/>
        <v>2688.1666666666665</v>
      </c>
      <c r="AS43" s="253">
        <f t="shared" si="10"/>
        <v>2688.1666666666665</v>
      </c>
      <c r="AT43" s="253">
        <f t="shared" si="11"/>
        <v>896.05555555535102</v>
      </c>
      <c r="AU43" s="251">
        <f t="shared" si="9"/>
        <v>3584.2222222220175</v>
      </c>
      <c r="AV43" s="252">
        <f t="shared" si="12"/>
        <v>28673.777777777981</v>
      </c>
      <c r="AW43" s="241" t="s">
        <v>83</v>
      </c>
    </row>
    <row r="44" spans="2:49">
      <c r="B44" s="192">
        <v>2120</v>
      </c>
      <c r="C44" s="196">
        <v>260956</v>
      </c>
      <c r="D44" s="192">
        <v>256980</v>
      </c>
      <c r="E44" s="191" t="s">
        <v>450</v>
      </c>
      <c r="F44" s="192"/>
      <c r="G44" s="191"/>
      <c r="H44" s="191"/>
      <c r="I44" s="191"/>
      <c r="J44" s="191">
        <v>0</v>
      </c>
      <c r="K44" s="191" t="s">
        <v>449</v>
      </c>
      <c r="L44" s="191"/>
      <c r="M44" s="191" t="s">
        <v>448</v>
      </c>
      <c r="N44" s="195">
        <v>44426</v>
      </c>
      <c r="O44" s="195">
        <v>44426</v>
      </c>
      <c r="P44" s="191" t="s">
        <v>447</v>
      </c>
      <c r="Q44" s="192">
        <v>700</v>
      </c>
      <c r="R44" s="192">
        <v>14040</v>
      </c>
      <c r="S44" s="193">
        <v>413.1</v>
      </c>
      <c r="T44" s="192">
        <v>14046</v>
      </c>
      <c r="U44" s="193">
        <v>83.61</v>
      </c>
      <c r="V44" s="193">
        <f t="shared" si="0"/>
        <v>329.49</v>
      </c>
      <c r="W44" s="194">
        <v>4.92</v>
      </c>
      <c r="X44" s="192">
        <v>51260</v>
      </c>
      <c r="Y44" s="193">
        <v>4.92</v>
      </c>
      <c r="Z44" s="191" t="s">
        <v>427</v>
      </c>
      <c r="AA44" s="191"/>
      <c r="AB44" s="191" t="s">
        <v>446</v>
      </c>
      <c r="AC44" s="191"/>
      <c r="AD44" s="191" t="s">
        <v>426</v>
      </c>
      <c r="AE44" s="191" t="s">
        <v>425</v>
      </c>
      <c r="AF44" s="192" t="s">
        <v>92</v>
      </c>
      <c r="AG44" s="191"/>
      <c r="AH44" s="192" t="s">
        <v>424</v>
      </c>
      <c r="AI44" s="191">
        <v>0</v>
      </c>
      <c r="AJ44" s="191">
        <v>0</v>
      </c>
      <c r="AM44" s="256"/>
      <c r="AN44" s="256"/>
      <c r="AO44" s="257"/>
      <c r="AP44" s="258"/>
      <c r="AQ44" s="259"/>
      <c r="AR44" s="260"/>
      <c r="AS44" s="261"/>
      <c r="AT44" s="391"/>
      <c r="AU44" s="260"/>
      <c r="AV44" s="262"/>
    </row>
    <row r="45" spans="2:49">
      <c r="B45" s="192">
        <v>2120</v>
      </c>
      <c r="C45" s="196">
        <v>259342</v>
      </c>
      <c r="D45" s="192">
        <v>256980</v>
      </c>
      <c r="E45" s="191" t="s">
        <v>453</v>
      </c>
      <c r="F45" s="192"/>
      <c r="G45" s="191"/>
      <c r="H45" s="191" t="s">
        <v>452</v>
      </c>
      <c r="I45" s="191"/>
      <c r="J45" s="191">
        <v>0</v>
      </c>
      <c r="K45" s="191" t="s">
        <v>451</v>
      </c>
      <c r="L45" s="191"/>
      <c r="M45" s="191" t="s">
        <v>448</v>
      </c>
      <c r="N45" s="195">
        <v>44426</v>
      </c>
      <c r="O45" s="195">
        <v>44426</v>
      </c>
      <c r="P45" s="191" t="s">
        <v>447</v>
      </c>
      <c r="Q45" s="192">
        <v>700</v>
      </c>
      <c r="R45" s="192">
        <v>14040</v>
      </c>
      <c r="S45" s="193">
        <v>483.9</v>
      </c>
      <c r="T45" s="192">
        <v>14046</v>
      </c>
      <c r="U45" s="193">
        <v>97.93</v>
      </c>
      <c r="V45" s="193">
        <f t="shared" si="0"/>
        <v>385.96999999999997</v>
      </c>
      <c r="W45" s="194">
        <v>5.76</v>
      </c>
      <c r="X45" s="192">
        <v>51260</v>
      </c>
      <c r="Y45" s="193">
        <v>5.76</v>
      </c>
      <c r="Z45" s="191" t="s">
        <v>427</v>
      </c>
      <c r="AA45" s="191"/>
      <c r="AB45" s="191">
        <v>96415</v>
      </c>
      <c r="AC45" s="191"/>
      <c r="AD45" s="191" t="s">
        <v>426</v>
      </c>
      <c r="AE45" s="191" t="s">
        <v>425</v>
      </c>
      <c r="AF45" s="192" t="s">
        <v>92</v>
      </c>
      <c r="AG45" s="191"/>
      <c r="AH45" s="192" t="s">
        <v>424</v>
      </c>
      <c r="AI45" s="191">
        <v>0</v>
      </c>
      <c r="AJ45" s="191">
        <v>0</v>
      </c>
      <c r="AM45" s="256"/>
      <c r="AN45" s="256"/>
      <c r="AO45" s="257"/>
      <c r="AP45" s="258"/>
      <c r="AQ45" s="259"/>
      <c r="AR45" s="260"/>
      <c r="AS45" s="261"/>
      <c r="AT45" s="261"/>
      <c r="AU45" s="260"/>
      <c r="AV45" s="262"/>
    </row>
    <row r="46" spans="2:49">
      <c r="B46" s="192">
        <v>2120</v>
      </c>
      <c r="C46" s="196">
        <v>256055</v>
      </c>
      <c r="D46" s="192" t="s">
        <v>427</v>
      </c>
      <c r="E46" s="191" t="s">
        <v>415</v>
      </c>
      <c r="F46" s="192">
        <v>112</v>
      </c>
      <c r="G46" s="191"/>
      <c r="H46" s="191"/>
      <c r="I46" s="191"/>
      <c r="J46" s="191">
        <v>0</v>
      </c>
      <c r="K46" s="191" t="s">
        <v>458</v>
      </c>
      <c r="L46" s="191"/>
      <c r="M46" s="191" t="s">
        <v>457</v>
      </c>
      <c r="N46" s="195">
        <v>44398</v>
      </c>
      <c r="O46" s="195">
        <v>44398</v>
      </c>
      <c r="P46" s="191" t="s">
        <v>456</v>
      </c>
      <c r="Q46" s="192">
        <v>700</v>
      </c>
      <c r="R46" s="192">
        <v>14050</v>
      </c>
      <c r="S46" s="193">
        <v>6621.16</v>
      </c>
      <c r="T46" s="192">
        <v>14056</v>
      </c>
      <c r="U46" s="193">
        <v>1418.82</v>
      </c>
      <c r="V46" s="193">
        <f t="shared" si="0"/>
        <v>5202.34</v>
      </c>
      <c r="W46" s="194">
        <v>78.819999999999993</v>
      </c>
      <c r="X46" s="192">
        <v>54260</v>
      </c>
      <c r="Y46" s="193">
        <v>78.819999999999993</v>
      </c>
      <c r="Z46" s="191" t="s">
        <v>427</v>
      </c>
      <c r="AA46" s="191"/>
      <c r="AB46" s="191">
        <v>50182328</v>
      </c>
      <c r="AC46" s="191"/>
      <c r="AD46" s="191" t="s">
        <v>426</v>
      </c>
      <c r="AE46" s="191" t="s">
        <v>425</v>
      </c>
      <c r="AF46" s="192" t="s">
        <v>92</v>
      </c>
      <c r="AG46" s="191"/>
      <c r="AH46" s="192" t="s">
        <v>424</v>
      </c>
      <c r="AI46" s="191">
        <v>0</v>
      </c>
      <c r="AJ46" s="191">
        <v>0</v>
      </c>
      <c r="AM46" s="256"/>
      <c r="AN46" s="256"/>
      <c r="AO46" s="257"/>
      <c r="AP46" s="258"/>
      <c r="AQ46" s="259"/>
      <c r="AR46" s="260"/>
      <c r="AS46" s="261"/>
      <c r="AT46" s="261"/>
      <c r="AU46" s="260"/>
      <c r="AV46" s="262"/>
    </row>
    <row r="47" spans="2:49">
      <c r="B47" s="192">
        <v>2120</v>
      </c>
      <c r="C47" s="196">
        <v>256037</v>
      </c>
      <c r="D47" s="192" t="s">
        <v>427</v>
      </c>
      <c r="E47" s="191" t="s">
        <v>373</v>
      </c>
      <c r="F47" s="192">
        <v>112</v>
      </c>
      <c r="G47" s="191"/>
      <c r="H47" s="191"/>
      <c r="I47" s="191"/>
      <c r="J47" s="191">
        <v>0</v>
      </c>
      <c r="K47" s="191" t="s">
        <v>458</v>
      </c>
      <c r="L47" s="191"/>
      <c r="M47" s="191" t="s">
        <v>457</v>
      </c>
      <c r="N47" s="195">
        <v>44398</v>
      </c>
      <c r="O47" s="195">
        <v>44398</v>
      </c>
      <c r="P47" s="191" t="s">
        <v>456</v>
      </c>
      <c r="Q47" s="192">
        <v>700</v>
      </c>
      <c r="R47" s="192">
        <v>14050</v>
      </c>
      <c r="S47" s="193">
        <v>5936.59</v>
      </c>
      <c r="T47" s="192">
        <v>14056</v>
      </c>
      <c r="U47" s="193">
        <v>1272.1300000000001</v>
      </c>
      <c r="V47" s="193">
        <f t="shared" si="0"/>
        <v>4664.46</v>
      </c>
      <c r="W47" s="194">
        <v>70.67</v>
      </c>
      <c r="X47" s="192">
        <v>54260</v>
      </c>
      <c r="Y47" s="193">
        <v>70.67</v>
      </c>
      <c r="Z47" s="191" t="s">
        <v>427</v>
      </c>
      <c r="AA47" s="191"/>
      <c r="AB47" s="191">
        <v>50182328</v>
      </c>
      <c r="AC47" s="191"/>
      <c r="AD47" s="191" t="s">
        <v>426</v>
      </c>
      <c r="AE47" s="191" t="s">
        <v>425</v>
      </c>
      <c r="AF47" s="192" t="s">
        <v>92</v>
      </c>
      <c r="AG47" s="191"/>
      <c r="AH47" s="192" t="s">
        <v>424</v>
      </c>
      <c r="AI47" s="191">
        <v>0</v>
      </c>
      <c r="AJ47" s="191">
        <v>0</v>
      </c>
      <c r="AM47" s="256"/>
      <c r="AN47" s="256"/>
      <c r="AO47" s="257"/>
      <c r="AP47" s="258"/>
      <c r="AQ47" s="259"/>
      <c r="AR47" s="260"/>
      <c r="AS47" s="261"/>
      <c r="AT47" s="261"/>
      <c r="AU47" s="260"/>
      <c r="AV47" s="262"/>
    </row>
    <row r="48" spans="2:49">
      <c r="B48" s="192">
        <v>2120</v>
      </c>
      <c r="C48" s="196">
        <v>256980</v>
      </c>
      <c r="D48" s="192" t="s">
        <v>427</v>
      </c>
      <c r="E48" s="191" t="s">
        <v>418</v>
      </c>
      <c r="F48" s="192"/>
      <c r="G48" s="191"/>
      <c r="H48" s="191" t="s">
        <v>452</v>
      </c>
      <c r="I48" s="191" t="s">
        <v>455</v>
      </c>
      <c r="J48" s="191">
        <v>2022</v>
      </c>
      <c r="K48" s="191" t="s">
        <v>454</v>
      </c>
      <c r="L48" s="191"/>
      <c r="M48" s="191" t="s">
        <v>93</v>
      </c>
      <c r="N48" s="195">
        <v>44391</v>
      </c>
      <c r="O48" s="195">
        <v>44391</v>
      </c>
      <c r="P48" s="191" t="s">
        <v>447</v>
      </c>
      <c r="Q48" s="192">
        <v>700</v>
      </c>
      <c r="R48" s="192">
        <v>14040</v>
      </c>
      <c r="S48" s="193">
        <v>4010</v>
      </c>
      <c r="T48" s="192">
        <v>14046</v>
      </c>
      <c r="U48" s="193">
        <v>907.03</v>
      </c>
      <c r="V48" s="193">
        <f t="shared" si="0"/>
        <v>3102.9700000000003</v>
      </c>
      <c r="W48" s="194">
        <v>47.74</v>
      </c>
      <c r="X48" s="192">
        <v>51260</v>
      </c>
      <c r="Y48" s="193">
        <v>47.74</v>
      </c>
      <c r="Z48" s="191" t="s">
        <v>427</v>
      </c>
      <c r="AA48" s="191"/>
      <c r="AB48" s="191">
        <v>656915</v>
      </c>
      <c r="AC48" s="191"/>
      <c r="AD48" s="191" t="s">
        <v>426</v>
      </c>
      <c r="AE48" s="191" t="s">
        <v>425</v>
      </c>
      <c r="AF48" s="192" t="s">
        <v>92</v>
      </c>
      <c r="AG48" s="191"/>
      <c r="AH48" s="192" t="s">
        <v>424</v>
      </c>
      <c r="AI48" s="191">
        <v>0</v>
      </c>
      <c r="AJ48" s="191">
        <v>0</v>
      </c>
      <c r="AM48" s="256"/>
      <c r="AN48" s="256"/>
      <c r="AO48" s="257"/>
      <c r="AP48" s="258"/>
      <c r="AQ48" s="259"/>
      <c r="AR48" s="260"/>
      <c r="AS48" s="261"/>
      <c r="AT48" s="261"/>
      <c r="AU48" s="260"/>
      <c r="AV48" s="262"/>
    </row>
    <row r="49" spans="2:48">
      <c r="B49" s="192">
        <v>2120</v>
      </c>
      <c r="C49" s="196">
        <v>253139</v>
      </c>
      <c r="D49" s="192" t="s">
        <v>427</v>
      </c>
      <c r="E49" s="191" t="s">
        <v>416</v>
      </c>
      <c r="F49" s="192"/>
      <c r="G49" s="191"/>
      <c r="H49" s="191"/>
      <c r="I49" s="191"/>
      <c r="J49" s="191">
        <v>0</v>
      </c>
      <c r="K49" s="191"/>
      <c r="L49" s="191"/>
      <c r="M49" s="191"/>
      <c r="N49" s="195">
        <v>44347</v>
      </c>
      <c r="O49" s="195">
        <v>44347</v>
      </c>
      <c r="P49" s="191" t="s">
        <v>477</v>
      </c>
      <c r="Q49" s="192">
        <v>300</v>
      </c>
      <c r="R49" s="192">
        <v>14110</v>
      </c>
      <c r="S49" s="193">
        <v>1252.32</v>
      </c>
      <c r="T49" s="192">
        <v>14116</v>
      </c>
      <c r="U49" s="193">
        <v>695.74</v>
      </c>
      <c r="V49" s="193">
        <f t="shared" si="0"/>
        <v>556.57999999999993</v>
      </c>
      <c r="W49" s="194">
        <v>34.79</v>
      </c>
      <c r="X49" s="192">
        <v>70260</v>
      </c>
      <c r="Y49" s="193">
        <v>34.79</v>
      </c>
      <c r="Z49" s="191" t="s">
        <v>427</v>
      </c>
      <c r="AA49" s="191"/>
      <c r="AB49" s="191"/>
      <c r="AC49" s="191"/>
      <c r="AD49" s="191" t="s">
        <v>426</v>
      </c>
      <c r="AE49" s="191" t="s">
        <v>425</v>
      </c>
      <c r="AF49" s="192" t="s">
        <v>92</v>
      </c>
      <c r="AG49" s="191"/>
      <c r="AH49" s="192" t="s">
        <v>424</v>
      </c>
      <c r="AI49" s="191">
        <v>0</v>
      </c>
      <c r="AJ49" s="191">
        <v>0</v>
      </c>
      <c r="AM49" s="256"/>
      <c r="AN49" s="256"/>
      <c r="AO49" s="257"/>
      <c r="AP49" s="258"/>
      <c r="AQ49" s="259"/>
      <c r="AR49" s="260"/>
      <c r="AS49" s="261"/>
      <c r="AT49" s="261"/>
      <c r="AU49" s="260"/>
      <c r="AV49" s="262"/>
    </row>
    <row r="50" spans="2:48">
      <c r="B50" s="192">
        <v>2120</v>
      </c>
      <c r="C50" s="196">
        <v>251867</v>
      </c>
      <c r="D50" s="192" t="s">
        <v>427</v>
      </c>
      <c r="E50" s="191" t="s">
        <v>410</v>
      </c>
      <c r="F50" s="192">
        <v>3</v>
      </c>
      <c r="G50" s="191"/>
      <c r="H50" s="191"/>
      <c r="I50" s="191"/>
      <c r="J50" s="191">
        <v>0</v>
      </c>
      <c r="K50" s="191" t="s">
        <v>484</v>
      </c>
      <c r="L50" s="191"/>
      <c r="M50" s="191" t="s">
        <v>414</v>
      </c>
      <c r="N50" s="195">
        <v>44321</v>
      </c>
      <c r="O50" s="195">
        <v>44321</v>
      </c>
      <c r="P50" s="191" t="s">
        <v>483</v>
      </c>
      <c r="Q50" s="192">
        <v>1200</v>
      </c>
      <c r="R50" s="192">
        <v>14050</v>
      </c>
      <c r="S50" s="193">
        <v>3211.37</v>
      </c>
      <c r="T50" s="192">
        <v>14056</v>
      </c>
      <c r="U50" s="193">
        <v>468.32</v>
      </c>
      <c r="V50" s="193">
        <f t="shared" si="0"/>
        <v>2743.0499999999997</v>
      </c>
      <c r="W50" s="194">
        <v>22.3</v>
      </c>
      <c r="X50" s="192">
        <v>54260</v>
      </c>
      <c r="Y50" s="193">
        <v>22.3</v>
      </c>
      <c r="Z50" s="191" t="s">
        <v>427</v>
      </c>
      <c r="AA50" s="191"/>
      <c r="AB50" s="191" t="s">
        <v>482</v>
      </c>
      <c r="AC50" s="191"/>
      <c r="AD50" s="191" t="s">
        <v>426</v>
      </c>
      <c r="AE50" s="191" t="s">
        <v>425</v>
      </c>
      <c r="AF50" s="192" t="s">
        <v>92</v>
      </c>
      <c r="AG50" s="191"/>
      <c r="AH50" s="192" t="s">
        <v>424</v>
      </c>
      <c r="AI50" s="191">
        <v>0</v>
      </c>
      <c r="AJ50" s="191">
        <v>0</v>
      </c>
      <c r="AM50" s="256"/>
      <c r="AN50" s="256"/>
      <c r="AO50" s="257"/>
      <c r="AP50" s="258"/>
      <c r="AQ50" s="259"/>
      <c r="AR50" s="260"/>
      <c r="AS50" s="261"/>
      <c r="AT50" s="261"/>
      <c r="AU50" s="260"/>
      <c r="AV50" s="262"/>
    </row>
    <row r="51" spans="2:48">
      <c r="B51" s="192">
        <v>2120</v>
      </c>
      <c r="C51" s="196">
        <v>251866</v>
      </c>
      <c r="D51" s="192" t="s">
        <v>427</v>
      </c>
      <c r="E51" s="191" t="s">
        <v>411</v>
      </c>
      <c r="F51" s="192">
        <v>12</v>
      </c>
      <c r="G51" s="191"/>
      <c r="H51" s="191"/>
      <c r="I51" s="191"/>
      <c r="J51" s="191">
        <v>0</v>
      </c>
      <c r="K51" s="191" t="s">
        <v>484</v>
      </c>
      <c r="L51" s="191"/>
      <c r="M51" s="191" t="s">
        <v>437</v>
      </c>
      <c r="N51" s="195">
        <v>44321</v>
      </c>
      <c r="O51" s="195">
        <v>44321</v>
      </c>
      <c r="P51" s="191" t="s">
        <v>483</v>
      </c>
      <c r="Q51" s="192">
        <v>1200</v>
      </c>
      <c r="R51" s="192">
        <v>14050</v>
      </c>
      <c r="S51" s="193">
        <v>8132.43</v>
      </c>
      <c r="T51" s="192">
        <v>14056</v>
      </c>
      <c r="U51" s="193">
        <v>1185.98</v>
      </c>
      <c r="V51" s="193">
        <f t="shared" si="0"/>
        <v>6946.4500000000007</v>
      </c>
      <c r="W51" s="194">
        <v>56.48</v>
      </c>
      <c r="X51" s="192">
        <v>54260</v>
      </c>
      <c r="Y51" s="193">
        <v>56.48</v>
      </c>
      <c r="Z51" s="191" t="s">
        <v>427</v>
      </c>
      <c r="AA51" s="191"/>
      <c r="AB51" s="191" t="s">
        <v>482</v>
      </c>
      <c r="AC51" s="191"/>
      <c r="AD51" s="191" t="s">
        <v>426</v>
      </c>
      <c r="AE51" s="191" t="s">
        <v>425</v>
      </c>
      <c r="AF51" s="192" t="s">
        <v>92</v>
      </c>
      <c r="AG51" s="191"/>
      <c r="AH51" s="192" t="s">
        <v>424</v>
      </c>
      <c r="AI51" s="191">
        <v>0</v>
      </c>
      <c r="AJ51" s="191">
        <v>0</v>
      </c>
      <c r="AM51" s="256"/>
      <c r="AN51" s="256"/>
      <c r="AO51" s="257"/>
      <c r="AP51" s="258"/>
      <c r="AQ51" s="259"/>
      <c r="AR51" s="260"/>
      <c r="AS51" s="261"/>
      <c r="AT51" s="261"/>
      <c r="AU51" s="260"/>
      <c r="AV51" s="262"/>
    </row>
    <row r="52" spans="2:48">
      <c r="B52" s="192">
        <v>2120</v>
      </c>
      <c r="C52" s="196">
        <v>251865</v>
      </c>
      <c r="D52" s="192" t="s">
        <v>427</v>
      </c>
      <c r="E52" s="191" t="s">
        <v>412</v>
      </c>
      <c r="F52" s="192">
        <v>12</v>
      </c>
      <c r="G52" s="191"/>
      <c r="H52" s="191"/>
      <c r="I52" s="191"/>
      <c r="J52" s="191">
        <v>0</v>
      </c>
      <c r="K52" s="191" t="s">
        <v>484</v>
      </c>
      <c r="L52" s="191"/>
      <c r="M52" s="191" t="s">
        <v>435</v>
      </c>
      <c r="N52" s="195">
        <v>44321</v>
      </c>
      <c r="O52" s="195">
        <v>44321</v>
      </c>
      <c r="P52" s="191" t="s">
        <v>483</v>
      </c>
      <c r="Q52" s="192">
        <v>1200</v>
      </c>
      <c r="R52" s="192">
        <v>14050</v>
      </c>
      <c r="S52" s="193">
        <v>7744.35</v>
      </c>
      <c r="T52" s="192">
        <v>14056</v>
      </c>
      <c r="U52" s="193">
        <v>1129.3800000000001</v>
      </c>
      <c r="V52" s="193">
        <f t="shared" si="0"/>
        <v>6614.97</v>
      </c>
      <c r="W52" s="194">
        <v>53.78</v>
      </c>
      <c r="X52" s="192">
        <v>54260</v>
      </c>
      <c r="Y52" s="193">
        <v>53.78</v>
      </c>
      <c r="Z52" s="191" t="s">
        <v>427</v>
      </c>
      <c r="AA52" s="191"/>
      <c r="AB52" s="191" t="s">
        <v>482</v>
      </c>
      <c r="AC52" s="191"/>
      <c r="AD52" s="191" t="s">
        <v>426</v>
      </c>
      <c r="AE52" s="191" t="s">
        <v>425</v>
      </c>
      <c r="AF52" s="192" t="s">
        <v>92</v>
      </c>
      <c r="AG52" s="191"/>
      <c r="AH52" s="192" t="s">
        <v>424</v>
      </c>
      <c r="AI52" s="191">
        <v>0</v>
      </c>
      <c r="AJ52" s="191">
        <v>0</v>
      </c>
      <c r="AM52" s="256"/>
      <c r="AN52" s="256"/>
      <c r="AO52" s="257"/>
      <c r="AP52" s="258"/>
      <c r="AQ52" s="259"/>
      <c r="AR52" s="260"/>
      <c r="AS52" s="261"/>
      <c r="AT52" s="261"/>
      <c r="AU52" s="260"/>
      <c r="AV52" s="262"/>
    </row>
    <row r="53" spans="2:48">
      <c r="B53" s="192">
        <v>2120</v>
      </c>
      <c r="C53" s="196">
        <v>251864</v>
      </c>
      <c r="D53" s="192" t="s">
        <v>427</v>
      </c>
      <c r="E53" s="191" t="s">
        <v>413</v>
      </c>
      <c r="F53" s="192">
        <v>7</v>
      </c>
      <c r="G53" s="191"/>
      <c r="H53" s="191"/>
      <c r="I53" s="191"/>
      <c r="J53" s="191">
        <v>0</v>
      </c>
      <c r="K53" s="191" t="s">
        <v>484</v>
      </c>
      <c r="L53" s="191"/>
      <c r="M53" s="191" t="s">
        <v>413</v>
      </c>
      <c r="N53" s="195">
        <v>44321</v>
      </c>
      <c r="O53" s="195">
        <v>44321</v>
      </c>
      <c r="P53" s="191" t="s">
        <v>483</v>
      </c>
      <c r="Q53" s="192">
        <v>1200</v>
      </c>
      <c r="R53" s="192">
        <v>14050</v>
      </c>
      <c r="S53" s="193">
        <v>10968.66</v>
      </c>
      <c r="T53" s="192">
        <v>14056</v>
      </c>
      <c r="U53" s="193">
        <v>1599.6</v>
      </c>
      <c r="V53" s="193">
        <f t="shared" si="0"/>
        <v>9369.06</v>
      </c>
      <c r="W53" s="194">
        <v>76.17</v>
      </c>
      <c r="X53" s="192">
        <v>54260</v>
      </c>
      <c r="Y53" s="193">
        <v>76.17</v>
      </c>
      <c r="Z53" s="191" t="s">
        <v>427</v>
      </c>
      <c r="AA53" s="191"/>
      <c r="AB53" s="191" t="s">
        <v>485</v>
      </c>
      <c r="AC53" s="191"/>
      <c r="AD53" s="191" t="s">
        <v>426</v>
      </c>
      <c r="AE53" s="191" t="s">
        <v>425</v>
      </c>
      <c r="AF53" s="192" t="s">
        <v>92</v>
      </c>
      <c r="AG53" s="191"/>
      <c r="AH53" s="192" t="s">
        <v>424</v>
      </c>
      <c r="AI53" s="191">
        <v>0</v>
      </c>
      <c r="AJ53" s="191">
        <v>0</v>
      </c>
      <c r="AM53" s="256"/>
      <c r="AN53" s="256"/>
      <c r="AO53" s="257"/>
      <c r="AP53" s="258"/>
      <c r="AQ53" s="259"/>
      <c r="AR53" s="260"/>
      <c r="AS53" s="261"/>
      <c r="AT53" s="261"/>
      <c r="AU53" s="260"/>
      <c r="AV53" s="262"/>
    </row>
    <row r="54" spans="2:48">
      <c r="B54" s="192">
        <v>2120</v>
      </c>
      <c r="C54" s="196">
        <v>251863</v>
      </c>
      <c r="D54" s="192" t="s">
        <v>427</v>
      </c>
      <c r="E54" s="191" t="s">
        <v>414</v>
      </c>
      <c r="F54" s="192">
        <v>4</v>
      </c>
      <c r="G54" s="191"/>
      <c r="H54" s="191"/>
      <c r="I54" s="191"/>
      <c r="J54" s="191">
        <v>0</v>
      </c>
      <c r="K54" s="191" t="s">
        <v>484</v>
      </c>
      <c r="L54" s="191"/>
      <c r="M54" s="191" t="s">
        <v>414</v>
      </c>
      <c r="N54" s="195">
        <v>44321</v>
      </c>
      <c r="O54" s="195">
        <v>44321</v>
      </c>
      <c r="P54" s="191" t="s">
        <v>483</v>
      </c>
      <c r="Q54" s="192">
        <v>1200</v>
      </c>
      <c r="R54" s="192">
        <v>14050</v>
      </c>
      <c r="S54" s="193">
        <v>4497.42</v>
      </c>
      <c r="T54" s="192">
        <v>14056</v>
      </c>
      <c r="U54" s="193">
        <v>655.88</v>
      </c>
      <c r="V54" s="193">
        <f t="shared" si="0"/>
        <v>3841.54</v>
      </c>
      <c r="W54" s="194">
        <v>31.23</v>
      </c>
      <c r="X54" s="192">
        <v>54260</v>
      </c>
      <c r="Y54" s="193">
        <v>31.23</v>
      </c>
      <c r="Z54" s="191" t="s">
        <v>427</v>
      </c>
      <c r="AA54" s="191"/>
      <c r="AB54" s="191" t="s">
        <v>485</v>
      </c>
      <c r="AC54" s="191"/>
      <c r="AD54" s="191" t="s">
        <v>426</v>
      </c>
      <c r="AE54" s="191" t="s">
        <v>425</v>
      </c>
      <c r="AF54" s="192" t="s">
        <v>92</v>
      </c>
      <c r="AG54" s="191"/>
      <c r="AH54" s="192" t="s">
        <v>424</v>
      </c>
      <c r="AI54" s="191">
        <v>0</v>
      </c>
      <c r="AJ54" s="191">
        <v>0</v>
      </c>
      <c r="AM54" s="256"/>
      <c r="AN54" s="256"/>
      <c r="AO54" s="257"/>
      <c r="AP54" s="258"/>
      <c r="AQ54" s="259"/>
      <c r="AR54" s="260"/>
      <c r="AS54" s="261"/>
      <c r="AT54" s="261"/>
      <c r="AU54" s="260"/>
      <c r="AV54" s="262"/>
    </row>
    <row r="55" spans="2:48">
      <c r="B55" s="192">
        <v>2120</v>
      </c>
      <c r="C55" s="196">
        <v>250034</v>
      </c>
      <c r="D55" s="192" t="s">
        <v>427</v>
      </c>
      <c r="E55" s="191" t="s">
        <v>417</v>
      </c>
      <c r="F55" s="192">
        <v>3</v>
      </c>
      <c r="G55" s="191"/>
      <c r="H55" s="191"/>
      <c r="I55" s="191"/>
      <c r="J55" s="191">
        <v>0</v>
      </c>
      <c r="K55" s="191" t="s">
        <v>444</v>
      </c>
      <c r="L55" s="191"/>
      <c r="M55" s="191" t="s">
        <v>443</v>
      </c>
      <c r="N55" s="195">
        <v>44293</v>
      </c>
      <c r="O55" s="195">
        <v>44293</v>
      </c>
      <c r="P55" s="191" t="s">
        <v>488</v>
      </c>
      <c r="Q55" s="192">
        <v>1200</v>
      </c>
      <c r="R55" s="192">
        <v>14050</v>
      </c>
      <c r="S55" s="193">
        <v>31493.77</v>
      </c>
      <c r="T55" s="192">
        <v>14056</v>
      </c>
      <c r="U55" s="193">
        <v>4811.55</v>
      </c>
      <c r="V55" s="193">
        <f t="shared" si="0"/>
        <v>26682.22</v>
      </c>
      <c r="W55" s="194">
        <v>218.71</v>
      </c>
      <c r="X55" s="192">
        <v>54260</v>
      </c>
      <c r="Y55" s="193">
        <v>218.71</v>
      </c>
      <c r="Z55" s="191" t="s">
        <v>427</v>
      </c>
      <c r="AA55" s="191"/>
      <c r="AB55" s="191" t="s">
        <v>487</v>
      </c>
      <c r="AC55" s="191"/>
      <c r="AD55" s="191" t="s">
        <v>426</v>
      </c>
      <c r="AE55" s="191" t="s">
        <v>425</v>
      </c>
      <c r="AF55" s="192" t="s">
        <v>92</v>
      </c>
      <c r="AG55" s="191"/>
      <c r="AH55" s="192" t="s">
        <v>424</v>
      </c>
      <c r="AI55" s="191">
        <v>0</v>
      </c>
      <c r="AJ55" s="191">
        <v>0</v>
      </c>
      <c r="AM55" s="256"/>
      <c r="AN55" s="256"/>
      <c r="AO55" s="257"/>
      <c r="AP55" s="258"/>
      <c r="AQ55" s="259"/>
      <c r="AR55" s="260"/>
      <c r="AS55" s="261"/>
      <c r="AT55" s="261"/>
      <c r="AU55" s="260"/>
      <c r="AV55" s="262"/>
    </row>
    <row r="56" spans="2:48">
      <c r="B56" s="192">
        <v>2120</v>
      </c>
      <c r="C56" s="196">
        <v>250268</v>
      </c>
      <c r="D56" s="192" t="s">
        <v>427</v>
      </c>
      <c r="E56" s="191" t="s">
        <v>363</v>
      </c>
      <c r="F56" s="192">
        <v>112</v>
      </c>
      <c r="G56" s="191"/>
      <c r="H56" s="191"/>
      <c r="I56" s="191"/>
      <c r="J56" s="191">
        <v>0</v>
      </c>
      <c r="K56" s="191" t="s">
        <v>458</v>
      </c>
      <c r="L56" s="191"/>
      <c r="M56" s="191" t="s">
        <v>457</v>
      </c>
      <c r="N56" s="195">
        <v>44292</v>
      </c>
      <c r="O56" s="195">
        <v>44292</v>
      </c>
      <c r="P56" s="191" t="s">
        <v>486</v>
      </c>
      <c r="Q56" s="192">
        <v>700</v>
      </c>
      <c r="R56" s="192">
        <v>14050</v>
      </c>
      <c r="S56" s="193">
        <v>5229.07</v>
      </c>
      <c r="T56" s="192">
        <v>14056</v>
      </c>
      <c r="U56" s="193">
        <v>1369.52</v>
      </c>
      <c r="V56" s="193">
        <f t="shared" si="0"/>
        <v>3859.5499999999997</v>
      </c>
      <c r="W56" s="194">
        <v>62.25</v>
      </c>
      <c r="X56" s="192">
        <v>54260</v>
      </c>
      <c r="Y56" s="193">
        <v>62.25</v>
      </c>
      <c r="Z56" s="191" t="s">
        <v>427</v>
      </c>
      <c r="AA56" s="191"/>
      <c r="AB56" s="191">
        <v>50161095</v>
      </c>
      <c r="AC56" s="191"/>
      <c r="AD56" s="191" t="s">
        <v>426</v>
      </c>
      <c r="AE56" s="191" t="s">
        <v>425</v>
      </c>
      <c r="AF56" s="192" t="s">
        <v>92</v>
      </c>
      <c r="AG56" s="191"/>
      <c r="AH56" s="192" t="s">
        <v>424</v>
      </c>
      <c r="AI56" s="191">
        <v>0</v>
      </c>
      <c r="AJ56" s="191">
        <v>0</v>
      </c>
      <c r="AM56" s="256"/>
      <c r="AN56" s="256"/>
      <c r="AO56" s="257"/>
      <c r="AP56" s="258"/>
      <c r="AQ56" s="259"/>
      <c r="AR56" s="260"/>
      <c r="AS56" s="261"/>
      <c r="AT56" s="261"/>
      <c r="AU56" s="260"/>
      <c r="AV56" s="262"/>
    </row>
    <row r="57" spans="2:48">
      <c r="B57" s="192">
        <v>2120</v>
      </c>
      <c r="C57" s="196">
        <v>250267</v>
      </c>
      <c r="D57" s="192" t="s">
        <v>427</v>
      </c>
      <c r="E57" s="191" t="s">
        <v>285</v>
      </c>
      <c r="F57" s="192">
        <v>112</v>
      </c>
      <c r="G57" s="191"/>
      <c r="H57" s="191"/>
      <c r="I57" s="191"/>
      <c r="J57" s="191">
        <v>0</v>
      </c>
      <c r="K57" s="191" t="s">
        <v>458</v>
      </c>
      <c r="L57" s="191"/>
      <c r="M57" s="191" t="s">
        <v>457</v>
      </c>
      <c r="N57" s="195">
        <v>44292</v>
      </c>
      <c r="O57" s="195">
        <v>44292</v>
      </c>
      <c r="P57" s="191" t="s">
        <v>486</v>
      </c>
      <c r="Q57" s="192">
        <v>700</v>
      </c>
      <c r="R57" s="192">
        <v>14050</v>
      </c>
      <c r="S57" s="193">
        <v>5804.99</v>
      </c>
      <c r="T57" s="192">
        <v>14056</v>
      </c>
      <c r="U57" s="193">
        <v>1520.36</v>
      </c>
      <c r="V57" s="193">
        <f t="shared" si="0"/>
        <v>4284.63</v>
      </c>
      <c r="W57" s="194">
        <v>69.11</v>
      </c>
      <c r="X57" s="192">
        <v>54260</v>
      </c>
      <c r="Y57" s="193">
        <v>69.11</v>
      </c>
      <c r="Z57" s="191" t="s">
        <v>427</v>
      </c>
      <c r="AA57" s="191"/>
      <c r="AB57" s="191">
        <v>50161095</v>
      </c>
      <c r="AC57" s="191"/>
      <c r="AD57" s="191" t="s">
        <v>426</v>
      </c>
      <c r="AE57" s="191" t="s">
        <v>425</v>
      </c>
      <c r="AF57" s="192" t="s">
        <v>92</v>
      </c>
      <c r="AG57" s="191"/>
      <c r="AH57" s="192" t="s">
        <v>424</v>
      </c>
      <c r="AI57" s="191">
        <v>0</v>
      </c>
      <c r="AJ57" s="191">
        <v>0</v>
      </c>
      <c r="AM57" s="256"/>
      <c r="AN57" s="256"/>
      <c r="AO57" s="257"/>
      <c r="AP57" s="258"/>
      <c r="AQ57" s="259"/>
      <c r="AR57" s="260"/>
      <c r="AS57" s="261"/>
      <c r="AT57" s="261"/>
      <c r="AU57" s="260"/>
      <c r="AV57" s="262"/>
    </row>
    <row r="58" spans="2:48">
      <c r="B58" s="192">
        <v>2120</v>
      </c>
      <c r="C58" s="196">
        <v>251930</v>
      </c>
      <c r="D58" s="192">
        <v>251929</v>
      </c>
      <c r="E58" s="191" t="s">
        <v>404</v>
      </c>
      <c r="F58" s="192"/>
      <c r="G58" s="191"/>
      <c r="H58" s="191" t="s">
        <v>479</v>
      </c>
      <c r="I58" s="191"/>
      <c r="J58" s="191">
        <v>2021</v>
      </c>
      <c r="K58" s="191"/>
      <c r="L58" s="191"/>
      <c r="M58" s="191" t="s">
        <v>448</v>
      </c>
      <c r="N58" s="195">
        <v>44281</v>
      </c>
      <c r="O58" s="195">
        <v>44281</v>
      </c>
      <c r="P58" s="191" t="s">
        <v>478</v>
      </c>
      <c r="Q58" s="192">
        <v>1000</v>
      </c>
      <c r="R58" s="192">
        <v>14040</v>
      </c>
      <c r="S58" s="193">
        <v>92967.29</v>
      </c>
      <c r="T58" s="192">
        <v>14046</v>
      </c>
      <c r="U58" s="193">
        <v>17044.009999999998</v>
      </c>
      <c r="V58" s="193">
        <f t="shared" si="0"/>
        <v>75923.28</v>
      </c>
      <c r="W58" s="194">
        <v>774.73</v>
      </c>
      <c r="X58" s="192">
        <v>51260</v>
      </c>
      <c r="Y58" s="193">
        <v>774.73</v>
      </c>
      <c r="Z58" s="191" t="s">
        <v>427</v>
      </c>
      <c r="AA58" s="191"/>
      <c r="AB58" s="191"/>
      <c r="AC58" s="191"/>
      <c r="AD58" s="191" t="s">
        <v>426</v>
      </c>
      <c r="AE58" s="191" t="s">
        <v>425</v>
      </c>
      <c r="AF58" s="192" t="s">
        <v>92</v>
      </c>
      <c r="AG58" s="191"/>
      <c r="AH58" s="192" t="s">
        <v>424</v>
      </c>
      <c r="AI58" s="191">
        <v>0</v>
      </c>
      <c r="AJ58" s="191">
        <v>0</v>
      </c>
      <c r="AM58" s="256"/>
      <c r="AN58" s="256"/>
      <c r="AO58" s="257"/>
      <c r="AP58" s="258"/>
      <c r="AQ58" s="259"/>
      <c r="AR58" s="260"/>
      <c r="AS58" s="261"/>
      <c r="AT58" s="261"/>
      <c r="AU58" s="260"/>
      <c r="AV58" s="262"/>
    </row>
    <row r="59" spans="2:48">
      <c r="B59" s="192">
        <v>2120</v>
      </c>
      <c r="C59" s="196">
        <v>251929</v>
      </c>
      <c r="D59" s="192" t="s">
        <v>427</v>
      </c>
      <c r="E59" s="191" t="s">
        <v>402</v>
      </c>
      <c r="F59" s="192"/>
      <c r="G59" s="191"/>
      <c r="H59" s="191" t="s">
        <v>479</v>
      </c>
      <c r="I59" s="191"/>
      <c r="J59" s="191">
        <v>2021</v>
      </c>
      <c r="K59" s="191"/>
      <c r="L59" s="191"/>
      <c r="M59" s="191" t="s">
        <v>481</v>
      </c>
      <c r="N59" s="195">
        <v>44281</v>
      </c>
      <c r="O59" s="195">
        <v>44281</v>
      </c>
      <c r="P59" s="191" t="s">
        <v>480</v>
      </c>
      <c r="Q59" s="192">
        <v>1000</v>
      </c>
      <c r="R59" s="192">
        <v>14040</v>
      </c>
      <c r="S59" s="193">
        <v>100360</v>
      </c>
      <c r="T59" s="192">
        <v>14046</v>
      </c>
      <c r="U59" s="193">
        <v>18399.330000000002</v>
      </c>
      <c r="V59" s="193">
        <f t="shared" si="0"/>
        <v>81960.67</v>
      </c>
      <c r="W59" s="194">
        <v>836.33</v>
      </c>
      <c r="X59" s="192">
        <v>51260</v>
      </c>
      <c r="Y59" s="193">
        <v>836.33</v>
      </c>
      <c r="Z59" s="191" t="s">
        <v>427</v>
      </c>
      <c r="AA59" s="191"/>
      <c r="AB59" s="191"/>
      <c r="AC59" s="191"/>
      <c r="AD59" s="191" t="s">
        <v>426</v>
      </c>
      <c r="AE59" s="191" t="s">
        <v>425</v>
      </c>
      <c r="AF59" s="192" t="s">
        <v>92</v>
      </c>
      <c r="AG59" s="191"/>
      <c r="AH59" s="192" t="s">
        <v>424</v>
      </c>
      <c r="AI59" s="191">
        <v>0</v>
      </c>
      <c r="AJ59" s="191">
        <v>0</v>
      </c>
      <c r="AM59" s="256"/>
      <c r="AN59" s="256"/>
      <c r="AO59" s="257"/>
      <c r="AP59" s="258"/>
      <c r="AQ59" s="259"/>
      <c r="AR59" s="260"/>
      <c r="AS59" s="261"/>
      <c r="AT59" s="261"/>
      <c r="AU59" s="260"/>
      <c r="AV59" s="262"/>
    </row>
    <row r="60" spans="2:48">
      <c r="B60" s="192">
        <v>2120</v>
      </c>
      <c r="C60" s="196">
        <v>246248</v>
      </c>
      <c r="D60" s="192">
        <v>243663</v>
      </c>
      <c r="E60" s="191" t="s">
        <v>401</v>
      </c>
      <c r="F60" s="192"/>
      <c r="G60" s="191"/>
      <c r="H60" s="191"/>
      <c r="I60" s="191"/>
      <c r="J60" s="191">
        <v>0</v>
      </c>
      <c r="K60" s="191"/>
      <c r="L60" s="191"/>
      <c r="M60" s="191" t="s">
        <v>448</v>
      </c>
      <c r="N60" s="195">
        <v>44197</v>
      </c>
      <c r="O60" s="195">
        <v>44197</v>
      </c>
      <c r="P60" s="191" t="s">
        <v>491</v>
      </c>
      <c r="Q60" s="192">
        <v>1000</v>
      </c>
      <c r="R60" s="192">
        <v>14040</v>
      </c>
      <c r="S60" s="193">
        <v>17719.27</v>
      </c>
      <c r="T60" s="192">
        <v>14046</v>
      </c>
      <c r="U60" s="193">
        <v>3691.52</v>
      </c>
      <c r="V60" s="193">
        <f t="shared" si="0"/>
        <v>14027.75</v>
      </c>
      <c r="W60" s="194">
        <v>147.66</v>
      </c>
      <c r="X60" s="192">
        <v>51260</v>
      </c>
      <c r="Y60" s="193">
        <v>147.66</v>
      </c>
      <c r="Z60" s="191" t="s">
        <v>427</v>
      </c>
      <c r="AA60" s="191"/>
      <c r="AB60" s="191"/>
      <c r="AC60" s="191"/>
      <c r="AD60" s="191" t="s">
        <v>426</v>
      </c>
      <c r="AE60" s="191" t="s">
        <v>425</v>
      </c>
      <c r="AF60" s="192" t="s">
        <v>92</v>
      </c>
      <c r="AG60" s="191"/>
      <c r="AH60" s="192" t="s">
        <v>424</v>
      </c>
      <c r="AI60" s="191">
        <v>0</v>
      </c>
      <c r="AJ60" s="191">
        <v>0</v>
      </c>
      <c r="AM60" s="256"/>
      <c r="AN60" s="256"/>
      <c r="AO60" s="257"/>
      <c r="AP60" s="258"/>
      <c r="AQ60" s="259"/>
      <c r="AR60" s="260"/>
      <c r="AS60" s="261"/>
      <c r="AT60" s="261"/>
      <c r="AU60" s="260"/>
      <c r="AV60" s="262"/>
    </row>
    <row r="61" spans="2:48">
      <c r="B61" s="192">
        <v>2120</v>
      </c>
      <c r="C61" s="196">
        <v>243663</v>
      </c>
      <c r="D61" s="192" t="s">
        <v>427</v>
      </c>
      <c r="E61" s="191" t="s">
        <v>497</v>
      </c>
      <c r="F61" s="192"/>
      <c r="G61" s="191"/>
      <c r="H61" s="191" t="s">
        <v>496</v>
      </c>
      <c r="I61" s="191" t="s">
        <v>495</v>
      </c>
      <c r="J61" s="191">
        <v>2020</v>
      </c>
      <c r="K61" s="191" t="s">
        <v>494</v>
      </c>
      <c r="L61" s="191" t="s">
        <v>493</v>
      </c>
      <c r="M61" s="191" t="s">
        <v>492</v>
      </c>
      <c r="N61" s="195">
        <v>44193</v>
      </c>
      <c r="O61" s="195">
        <v>44193</v>
      </c>
      <c r="P61" s="191" t="s">
        <v>491</v>
      </c>
      <c r="Q61" s="192">
        <v>1000</v>
      </c>
      <c r="R61" s="192">
        <v>14040</v>
      </c>
      <c r="S61" s="193">
        <v>230644.94</v>
      </c>
      <c r="T61" s="192">
        <v>14046</v>
      </c>
      <c r="U61" s="193">
        <v>48051.02</v>
      </c>
      <c r="V61" s="193">
        <f t="shared" si="0"/>
        <v>182593.92000000001</v>
      </c>
      <c r="W61" s="194">
        <v>1922.04</v>
      </c>
      <c r="X61" s="192">
        <v>51260</v>
      </c>
      <c r="Y61" s="193">
        <v>1922.04</v>
      </c>
      <c r="Z61" s="191" t="s">
        <v>427</v>
      </c>
      <c r="AA61" s="191"/>
      <c r="AB61" s="191"/>
      <c r="AC61" s="191">
        <v>21</v>
      </c>
      <c r="AD61" s="191" t="s">
        <v>426</v>
      </c>
      <c r="AE61" s="191" t="s">
        <v>425</v>
      </c>
      <c r="AF61" s="192" t="s">
        <v>92</v>
      </c>
      <c r="AG61" s="191"/>
      <c r="AH61" s="192" t="s">
        <v>424</v>
      </c>
      <c r="AI61" s="191">
        <v>0</v>
      </c>
      <c r="AJ61" s="191">
        <v>0</v>
      </c>
      <c r="AM61" s="256"/>
      <c r="AN61" s="256"/>
      <c r="AO61" s="257"/>
      <c r="AP61" s="258"/>
      <c r="AQ61" s="259"/>
      <c r="AR61" s="260"/>
      <c r="AS61" s="261"/>
      <c r="AT61" s="261"/>
      <c r="AU61" s="260"/>
      <c r="AV61" s="262"/>
    </row>
    <row r="62" spans="2:48">
      <c r="B62" s="192">
        <v>2120</v>
      </c>
      <c r="C62" s="196">
        <v>242994</v>
      </c>
      <c r="D62" s="192" t="s">
        <v>427</v>
      </c>
      <c r="E62" s="191" t="s">
        <v>397</v>
      </c>
      <c r="F62" s="192">
        <v>112</v>
      </c>
      <c r="G62" s="191"/>
      <c r="H62" s="191"/>
      <c r="I62" s="191"/>
      <c r="J62" s="191">
        <v>0</v>
      </c>
      <c r="K62" s="191" t="s">
        <v>458</v>
      </c>
      <c r="L62" s="191"/>
      <c r="M62" s="191" t="s">
        <v>457</v>
      </c>
      <c r="N62" s="195">
        <v>44175</v>
      </c>
      <c r="O62" s="195">
        <v>44175</v>
      </c>
      <c r="P62" s="191" t="s">
        <v>498</v>
      </c>
      <c r="Q62" s="192">
        <v>700</v>
      </c>
      <c r="R62" s="192">
        <v>14050</v>
      </c>
      <c r="S62" s="193">
        <v>4411.6899999999996</v>
      </c>
      <c r="T62" s="192">
        <v>14056</v>
      </c>
      <c r="U62" s="193">
        <v>1365.52</v>
      </c>
      <c r="V62" s="193">
        <f t="shared" si="0"/>
        <v>3046.1699999999996</v>
      </c>
      <c r="W62" s="194">
        <v>52.52</v>
      </c>
      <c r="X62" s="192">
        <v>54260</v>
      </c>
      <c r="Y62" s="193">
        <v>52.52</v>
      </c>
      <c r="Z62" s="191" t="s">
        <v>427</v>
      </c>
      <c r="AA62" s="191"/>
      <c r="AB62" s="191">
        <v>50139339</v>
      </c>
      <c r="AC62" s="191"/>
      <c r="AD62" s="191" t="s">
        <v>426</v>
      </c>
      <c r="AE62" s="191" t="s">
        <v>425</v>
      </c>
      <c r="AF62" s="192" t="s">
        <v>92</v>
      </c>
      <c r="AG62" s="191"/>
      <c r="AH62" s="192" t="s">
        <v>424</v>
      </c>
      <c r="AI62" s="191">
        <v>0</v>
      </c>
      <c r="AJ62" s="191">
        <v>0</v>
      </c>
      <c r="AM62" s="256"/>
      <c r="AN62" s="256"/>
      <c r="AO62" s="257"/>
      <c r="AP62" s="258"/>
      <c r="AQ62" s="259"/>
      <c r="AR62" s="260"/>
      <c r="AS62" s="261"/>
      <c r="AT62" s="261"/>
      <c r="AU62" s="260"/>
      <c r="AV62" s="262"/>
    </row>
    <row r="63" spans="2:48">
      <c r="B63" s="192">
        <v>2120</v>
      </c>
      <c r="C63" s="196">
        <v>242993</v>
      </c>
      <c r="D63" s="192" t="s">
        <v>427</v>
      </c>
      <c r="E63" s="191" t="s">
        <v>396</v>
      </c>
      <c r="F63" s="192">
        <v>112</v>
      </c>
      <c r="G63" s="191"/>
      <c r="H63" s="191"/>
      <c r="I63" s="191"/>
      <c r="J63" s="191">
        <v>0</v>
      </c>
      <c r="K63" s="191" t="s">
        <v>458</v>
      </c>
      <c r="L63" s="191"/>
      <c r="M63" s="191" t="s">
        <v>457</v>
      </c>
      <c r="N63" s="195">
        <v>44175</v>
      </c>
      <c r="O63" s="195">
        <v>44175</v>
      </c>
      <c r="P63" s="191" t="s">
        <v>498</v>
      </c>
      <c r="Q63" s="192">
        <v>700</v>
      </c>
      <c r="R63" s="192">
        <v>14050</v>
      </c>
      <c r="S63" s="193">
        <v>5015.38</v>
      </c>
      <c r="T63" s="192">
        <v>14056</v>
      </c>
      <c r="U63" s="193">
        <v>1552.38</v>
      </c>
      <c r="V63" s="193">
        <f t="shared" si="0"/>
        <v>3463</v>
      </c>
      <c r="W63" s="194">
        <v>59.71</v>
      </c>
      <c r="X63" s="192">
        <v>54260</v>
      </c>
      <c r="Y63" s="193">
        <v>59.71</v>
      </c>
      <c r="Z63" s="191" t="s">
        <v>427</v>
      </c>
      <c r="AA63" s="191"/>
      <c r="AB63" s="191">
        <v>50139339</v>
      </c>
      <c r="AC63" s="191"/>
      <c r="AD63" s="191" t="s">
        <v>426</v>
      </c>
      <c r="AE63" s="191" t="s">
        <v>425</v>
      </c>
      <c r="AF63" s="192" t="s">
        <v>92</v>
      </c>
      <c r="AG63" s="191"/>
      <c r="AH63" s="192" t="s">
        <v>424</v>
      </c>
      <c r="AI63" s="191">
        <v>0</v>
      </c>
      <c r="AJ63" s="191">
        <v>0</v>
      </c>
      <c r="AM63" s="256"/>
      <c r="AN63" s="256"/>
      <c r="AO63" s="257"/>
      <c r="AP63" s="258"/>
      <c r="AQ63" s="259"/>
      <c r="AR63" s="260"/>
      <c r="AS63" s="261"/>
      <c r="AT63" s="261"/>
      <c r="AU63" s="260"/>
      <c r="AV63" s="262"/>
    </row>
    <row r="64" spans="2:48">
      <c r="B64" s="192">
        <v>2120</v>
      </c>
      <c r="C64" s="196">
        <v>241475</v>
      </c>
      <c r="D64" s="192" t="s">
        <v>427</v>
      </c>
      <c r="E64" s="191" t="s">
        <v>501</v>
      </c>
      <c r="F64" s="192">
        <v>2</v>
      </c>
      <c r="G64" s="191"/>
      <c r="H64" s="191"/>
      <c r="I64" s="191"/>
      <c r="J64" s="191">
        <v>0</v>
      </c>
      <c r="K64" s="191" t="s">
        <v>444</v>
      </c>
      <c r="L64" s="191"/>
      <c r="M64" s="191" t="s">
        <v>443</v>
      </c>
      <c r="N64" s="195">
        <v>44139</v>
      </c>
      <c r="O64" s="195">
        <v>44139</v>
      </c>
      <c r="P64" s="191" t="s">
        <v>500</v>
      </c>
      <c r="Q64" s="192">
        <v>1200</v>
      </c>
      <c r="R64" s="192">
        <v>14050</v>
      </c>
      <c r="S64" s="193">
        <v>16538.68</v>
      </c>
      <c r="T64" s="192">
        <v>14056</v>
      </c>
      <c r="U64" s="193">
        <v>3100.99</v>
      </c>
      <c r="V64" s="193">
        <f t="shared" si="0"/>
        <v>13437.69</v>
      </c>
      <c r="W64" s="194">
        <v>114.85</v>
      </c>
      <c r="X64" s="192">
        <v>54260</v>
      </c>
      <c r="Y64" s="193">
        <v>114.85</v>
      </c>
      <c r="Z64" s="191" t="s">
        <v>427</v>
      </c>
      <c r="AA64" s="191"/>
      <c r="AB64" s="191" t="s">
        <v>499</v>
      </c>
      <c r="AC64" s="191"/>
      <c r="AD64" s="191" t="s">
        <v>426</v>
      </c>
      <c r="AE64" s="191" t="s">
        <v>425</v>
      </c>
      <c r="AF64" s="192" t="s">
        <v>92</v>
      </c>
      <c r="AG64" s="191"/>
      <c r="AH64" s="192" t="s">
        <v>424</v>
      </c>
      <c r="AI64" s="191">
        <v>0</v>
      </c>
      <c r="AJ64" s="191">
        <v>0</v>
      </c>
      <c r="AM64" s="256"/>
      <c r="AN64" s="256"/>
      <c r="AO64" s="257"/>
      <c r="AP64" s="258"/>
      <c r="AQ64" s="259"/>
      <c r="AR64" s="260"/>
      <c r="AS64" s="261"/>
      <c r="AT64" s="261"/>
      <c r="AU64" s="260"/>
      <c r="AV64" s="262"/>
    </row>
    <row r="65" spans="2:48">
      <c r="B65" s="192">
        <v>2120</v>
      </c>
      <c r="C65" s="196">
        <v>240608</v>
      </c>
      <c r="D65" s="192" t="s">
        <v>427</v>
      </c>
      <c r="E65" s="191" t="s">
        <v>504</v>
      </c>
      <c r="F65" s="192">
        <v>4</v>
      </c>
      <c r="G65" s="191"/>
      <c r="H65" s="191"/>
      <c r="I65" s="191"/>
      <c r="J65" s="191">
        <v>0</v>
      </c>
      <c r="K65" s="191" t="s">
        <v>503</v>
      </c>
      <c r="L65" s="191"/>
      <c r="M65" s="191"/>
      <c r="N65" s="195">
        <v>44111</v>
      </c>
      <c r="O65" s="195">
        <v>44111</v>
      </c>
      <c r="P65" s="191" t="s">
        <v>502</v>
      </c>
      <c r="Q65" s="192">
        <v>500</v>
      </c>
      <c r="R65" s="192">
        <v>14070</v>
      </c>
      <c r="S65" s="193">
        <v>3833.92</v>
      </c>
      <c r="T65" s="192">
        <v>14076</v>
      </c>
      <c r="U65" s="193">
        <v>1789.16</v>
      </c>
      <c r="V65" s="193">
        <f t="shared" si="0"/>
        <v>2044.76</v>
      </c>
      <c r="W65" s="194">
        <v>63.9</v>
      </c>
      <c r="X65" s="192">
        <v>51260</v>
      </c>
      <c r="Y65" s="193">
        <v>63.9</v>
      </c>
      <c r="Z65" s="191" t="s">
        <v>427</v>
      </c>
      <c r="AA65" s="191"/>
      <c r="AB65" s="191">
        <v>5313123</v>
      </c>
      <c r="AC65" s="191"/>
      <c r="AD65" s="191" t="s">
        <v>426</v>
      </c>
      <c r="AE65" s="191" t="s">
        <v>425</v>
      </c>
      <c r="AF65" s="192" t="s">
        <v>92</v>
      </c>
      <c r="AG65" s="191"/>
      <c r="AH65" s="192" t="s">
        <v>424</v>
      </c>
      <c r="AI65" s="191">
        <v>0</v>
      </c>
      <c r="AJ65" s="191">
        <v>0</v>
      </c>
      <c r="AM65" s="256"/>
      <c r="AN65" s="256"/>
      <c r="AO65" s="257"/>
      <c r="AP65" s="258"/>
      <c r="AQ65" s="259"/>
      <c r="AR65" s="260"/>
      <c r="AS65" s="261"/>
      <c r="AT65" s="261"/>
      <c r="AU65" s="260"/>
      <c r="AV65" s="262"/>
    </row>
    <row r="66" spans="2:48">
      <c r="B66" s="192">
        <v>2120</v>
      </c>
      <c r="C66" s="196">
        <v>237469</v>
      </c>
      <c r="D66" s="192" t="s">
        <v>427</v>
      </c>
      <c r="E66" s="191" t="s">
        <v>285</v>
      </c>
      <c r="F66" s="192">
        <v>112</v>
      </c>
      <c r="G66" s="191"/>
      <c r="H66" s="191"/>
      <c r="I66" s="191"/>
      <c r="J66" s="191">
        <v>0</v>
      </c>
      <c r="K66" s="191" t="s">
        <v>458</v>
      </c>
      <c r="L66" s="191"/>
      <c r="M66" s="191" t="s">
        <v>457</v>
      </c>
      <c r="N66" s="195">
        <v>44082</v>
      </c>
      <c r="O66" s="195">
        <v>44082</v>
      </c>
      <c r="P66" s="191" t="s">
        <v>505</v>
      </c>
      <c r="Q66" s="192">
        <v>700</v>
      </c>
      <c r="R66" s="192">
        <v>14050</v>
      </c>
      <c r="S66" s="193">
        <v>4725.6099999999997</v>
      </c>
      <c r="T66" s="192">
        <v>14056</v>
      </c>
      <c r="U66" s="193">
        <v>1631.47</v>
      </c>
      <c r="V66" s="193">
        <f t="shared" si="0"/>
        <v>3094.1399999999994</v>
      </c>
      <c r="W66" s="194">
        <v>56.26</v>
      </c>
      <c r="X66" s="192">
        <v>54260</v>
      </c>
      <c r="Y66" s="193">
        <v>56.26</v>
      </c>
      <c r="Z66" s="191" t="s">
        <v>427</v>
      </c>
      <c r="AA66" s="191"/>
      <c r="AB66" s="191">
        <v>50120089</v>
      </c>
      <c r="AC66" s="191"/>
      <c r="AD66" s="191" t="s">
        <v>426</v>
      </c>
      <c r="AE66" s="191" t="s">
        <v>425</v>
      </c>
      <c r="AF66" s="192" t="s">
        <v>92</v>
      </c>
      <c r="AG66" s="191"/>
      <c r="AH66" s="192" t="s">
        <v>424</v>
      </c>
      <c r="AI66" s="191">
        <v>0</v>
      </c>
      <c r="AJ66" s="191">
        <v>0</v>
      </c>
      <c r="AM66" s="256"/>
      <c r="AN66" s="256"/>
      <c r="AO66" s="257"/>
      <c r="AP66" s="258"/>
      <c r="AQ66" s="259"/>
      <c r="AR66" s="260"/>
      <c r="AS66" s="261"/>
      <c r="AT66" s="261"/>
      <c r="AU66" s="260"/>
      <c r="AV66" s="262"/>
    </row>
    <row r="67" spans="2:48">
      <c r="B67" s="192">
        <v>2120</v>
      </c>
      <c r="C67" s="196">
        <v>248101</v>
      </c>
      <c r="D67" s="192" t="s">
        <v>427</v>
      </c>
      <c r="E67" s="191" t="s">
        <v>240</v>
      </c>
      <c r="F67" s="192"/>
      <c r="G67" s="191"/>
      <c r="H67" s="191"/>
      <c r="I67" s="191"/>
      <c r="J67" s="191">
        <v>0</v>
      </c>
      <c r="K67" s="191" t="s">
        <v>490</v>
      </c>
      <c r="L67" s="191"/>
      <c r="M67" s="191"/>
      <c r="N67" s="195">
        <v>44055</v>
      </c>
      <c r="O67" s="195"/>
      <c r="P67" s="191" t="s">
        <v>489</v>
      </c>
      <c r="Q67" s="192">
        <v>500</v>
      </c>
      <c r="R67" s="192">
        <v>14070</v>
      </c>
      <c r="S67" s="193">
        <v>5810.03</v>
      </c>
      <c r="T67" s="192">
        <v>14076</v>
      </c>
      <c r="U67" s="193">
        <v>2905.02</v>
      </c>
      <c r="V67" s="193">
        <f t="shared" si="0"/>
        <v>2905.0099999999998</v>
      </c>
      <c r="W67" s="194">
        <v>96.83</v>
      </c>
      <c r="X67" s="192">
        <v>51260</v>
      </c>
      <c r="Y67" s="193">
        <v>96.83</v>
      </c>
      <c r="Z67" s="191" t="s">
        <v>427</v>
      </c>
      <c r="AA67" s="191"/>
      <c r="AB67" s="191">
        <v>1052883</v>
      </c>
      <c r="AC67" s="191"/>
      <c r="AD67" s="191" t="s">
        <v>426</v>
      </c>
      <c r="AE67" s="191" t="s">
        <v>425</v>
      </c>
      <c r="AF67" s="192" t="s">
        <v>92</v>
      </c>
      <c r="AG67" s="197">
        <v>44255</v>
      </c>
      <c r="AH67" s="192" t="s">
        <v>424</v>
      </c>
      <c r="AI67" s="191">
        <v>0</v>
      </c>
      <c r="AJ67" s="191">
        <v>677.84</v>
      </c>
      <c r="AM67" s="256"/>
      <c r="AN67" s="256"/>
      <c r="AO67" s="257"/>
      <c r="AP67" s="258"/>
      <c r="AQ67" s="259"/>
      <c r="AR67" s="260"/>
      <c r="AS67" s="261"/>
      <c r="AT67" s="261"/>
      <c r="AU67" s="260"/>
      <c r="AV67" s="262"/>
    </row>
    <row r="68" spans="2:48">
      <c r="B68" s="192">
        <v>2120</v>
      </c>
      <c r="C68" s="196">
        <v>236068</v>
      </c>
      <c r="D68" s="192" t="s">
        <v>427</v>
      </c>
      <c r="E68" s="191" t="s">
        <v>508</v>
      </c>
      <c r="F68" s="192">
        <v>7</v>
      </c>
      <c r="G68" s="191"/>
      <c r="H68" s="191"/>
      <c r="I68" s="191"/>
      <c r="J68" s="191">
        <v>0</v>
      </c>
      <c r="K68" s="191" t="s">
        <v>430</v>
      </c>
      <c r="L68" s="191"/>
      <c r="M68" s="191" t="s">
        <v>507</v>
      </c>
      <c r="N68" s="195">
        <v>44041</v>
      </c>
      <c r="O68" s="195">
        <v>44041</v>
      </c>
      <c r="P68" s="191" t="s">
        <v>506</v>
      </c>
      <c r="Q68" s="192">
        <v>1200</v>
      </c>
      <c r="R68" s="192">
        <v>14050</v>
      </c>
      <c r="S68" s="193">
        <v>6040.61</v>
      </c>
      <c r="T68" s="192">
        <v>14056</v>
      </c>
      <c r="U68" s="193">
        <v>1258.47</v>
      </c>
      <c r="V68" s="193">
        <f t="shared" si="0"/>
        <v>4782.1399999999994</v>
      </c>
      <c r="W68" s="194">
        <v>41.95</v>
      </c>
      <c r="X68" s="192">
        <v>54260</v>
      </c>
      <c r="Y68" s="193">
        <v>41.95</v>
      </c>
      <c r="Z68" s="191" t="s">
        <v>427</v>
      </c>
      <c r="AA68" s="191"/>
      <c r="AB68" s="191">
        <v>8980</v>
      </c>
      <c r="AC68" s="191"/>
      <c r="AD68" s="191" t="s">
        <v>426</v>
      </c>
      <c r="AE68" s="191" t="s">
        <v>425</v>
      </c>
      <c r="AF68" s="192" t="s">
        <v>92</v>
      </c>
      <c r="AG68" s="191"/>
      <c r="AH68" s="192" t="s">
        <v>424</v>
      </c>
      <c r="AI68" s="191">
        <v>0</v>
      </c>
      <c r="AJ68" s="191">
        <v>0</v>
      </c>
      <c r="AM68" s="256"/>
      <c r="AN68" s="256"/>
      <c r="AO68" s="257"/>
      <c r="AP68" s="258"/>
      <c r="AQ68" s="259"/>
      <c r="AR68" s="260"/>
      <c r="AS68" s="261"/>
      <c r="AT68" s="261"/>
      <c r="AU68" s="260"/>
      <c r="AV68" s="262"/>
    </row>
    <row r="69" spans="2:48">
      <c r="B69" s="192">
        <v>2120</v>
      </c>
      <c r="C69" s="196">
        <v>236067</v>
      </c>
      <c r="D69" s="192" t="s">
        <v>427</v>
      </c>
      <c r="E69" s="191" t="s">
        <v>509</v>
      </c>
      <c r="F69" s="192">
        <v>7</v>
      </c>
      <c r="G69" s="191"/>
      <c r="H69" s="191"/>
      <c r="I69" s="191"/>
      <c r="J69" s="191">
        <v>0</v>
      </c>
      <c r="K69" s="191" t="s">
        <v>430</v>
      </c>
      <c r="L69" s="191"/>
      <c r="M69" s="191" t="s">
        <v>469</v>
      </c>
      <c r="N69" s="195">
        <v>44041</v>
      </c>
      <c r="O69" s="195">
        <v>44041</v>
      </c>
      <c r="P69" s="191" t="s">
        <v>506</v>
      </c>
      <c r="Q69" s="192">
        <v>1200</v>
      </c>
      <c r="R69" s="192">
        <v>14050</v>
      </c>
      <c r="S69" s="193">
        <v>4241.6000000000004</v>
      </c>
      <c r="T69" s="192">
        <v>14056</v>
      </c>
      <c r="U69" s="193">
        <v>883.68</v>
      </c>
      <c r="V69" s="193">
        <f t="shared" si="0"/>
        <v>3357.9200000000005</v>
      </c>
      <c r="W69" s="194">
        <v>29.46</v>
      </c>
      <c r="X69" s="192">
        <v>54260</v>
      </c>
      <c r="Y69" s="193">
        <v>29.46</v>
      </c>
      <c r="Z69" s="191" t="s">
        <v>427</v>
      </c>
      <c r="AA69" s="191"/>
      <c r="AB69" s="191">
        <v>8980</v>
      </c>
      <c r="AC69" s="191"/>
      <c r="AD69" s="191" t="s">
        <v>426</v>
      </c>
      <c r="AE69" s="191" t="s">
        <v>425</v>
      </c>
      <c r="AF69" s="192" t="s">
        <v>92</v>
      </c>
      <c r="AG69" s="191"/>
      <c r="AH69" s="192" t="s">
        <v>424</v>
      </c>
      <c r="AI69" s="191">
        <v>0</v>
      </c>
      <c r="AJ69" s="191">
        <v>0</v>
      </c>
      <c r="AM69" s="256"/>
      <c r="AN69" s="256"/>
      <c r="AO69" s="257"/>
      <c r="AP69" s="258"/>
      <c r="AQ69" s="259"/>
      <c r="AR69" s="260"/>
      <c r="AS69" s="261"/>
      <c r="AT69" s="261"/>
      <c r="AU69" s="260"/>
      <c r="AV69" s="262"/>
    </row>
    <row r="70" spans="2:48">
      <c r="B70" s="192">
        <v>2120</v>
      </c>
      <c r="C70" s="196">
        <v>236066</v>
      </c>
      <c r="D70" s="192" t="s">
        <v>427</v>
      </c>
      <c r="E70" s="191" t="s">
        <v>510</v>
      </c>
      <c r="F70" s="192">
        <v>7</v>
      </c>
      <c r="G70" s="191"/>
      <c r="H70" s="191"/>
      <c r="I70" s="191"/>
      <c r="J70" s="191">
        <v>0</v>
      </c>
      <c r="K70" s="191" t="s">
        <v>430</v>
      </c>
      <c r="L70" s="191"/>
      <c r="M70" s="191" t="s">
        <v>464</v>
      </c>
      <c r="N70" s="195">
        <v>44041</v>
      </c>
      <c r="O70" s="195">
        <v>44041</v>
      </c>
      <c r="P70" s="191" t="s">
        <v>506</v>
      </c>
      <c r="Q70" s="192">
        <v>1200</v>
      </c>
      <c r="R70" s="192">
        <v>14050</v>
      </c>
      <c r="S70" s="193">
        <v>4157.6000000000004</v>
      </c>
      <c r="T70" s="192">
        <v>14056</v>
      </c>
      <c r="U70" s="193">
        <v>866.17</v>
      </c>
      <c r="V70" s="193">
        <f t="shared" si="0"/>
        <v>3291.4300000000003</v>
      </c>
      <c r="W70" s="194">
        <v>28.87</v>
      </c>
      <c r="X70" s="192">
        <v>54260</v>
      </c>
      <c r="Y70" s="193">
        <v>28.87</v>
      </c>
      <c r="Z70" s="191" t="s">
        <v>427</v>
      </c>
      <c r="AA70" s="191"/>
      <c r="AB70" s="191">
        <v>8980</v>
      </c>
      <c r="AC70" s="191"/>
      <c r="AD70" s="191" t="s">
        <v>426</v>
      </c>
      <c r="AE70" s="191" t="s">
        <v>425</v>
      </c>
      <c r="AF70" s="192" t="s">
        <v>92</v>
      </c>
      <c r="AG70" s="191"/>
      <c r="AH70" s="192" t="s">
        <v>424</v>
      </c>
      <c r="AI70" s="191">
        <v>0</v>
      </c>
      <c r="AJ70" s="191">
        <v>0</v>
      </c>
      <c r="AM70" s="256"/>
      <c r="AN70" s="256"/>
      <c r="AO70" s="257"/>
      <c r="AP70" s="258"/>
      <c r="AQ70" s="259"/>
      <c r="AR70" s="260"/>
      <c r="AS70" s="261"/>
      <c r="AT70" s="261"/>
      <c r="AU70" s="260"/>
      <c r="AV70" s="262"/>
    </row>
    <row r="71" spans="2:48">
      <c r="B71" s="192">
        <v>2120</v>
      </c>
      <c r="C71" s="196">
        <v>233984</v>
      </c>
      <c r="D71" s="192" t="s">
        <v>427</v>
      </c>
      <c r="E71" s="191" t="s">
        <v>363</v>
      </c>
      <c r="F71" s="192">
        <v>112</v>
      </c>
      <c r="G71" s="191"/>
      <c r="H71" s="191"/>
      <c r="I71" s="191"/>
      <c r="J71" s="191">
        <v>0</v>
      </c>
      <c r="K71" s="191" t="s">
        <v>458</v>
      </c>
      <c r="L71" s="191"/>
      <c r="M71" s="191" t="s">
        <v>457</v>
      </c>
      <c r="N71" s="195">
        <v>43999</v>
      </c>
      <c r="O71" s="195">
        <v>43999</v>
      </c>
      <c r="P71" s="191" t="s">
        <v>514</v>
      </c>
      <c r="Q71" s="192">
        <v>700</v>
      </c>
      <c r="R71" s="192">
        <v>14050</v>
      </c>
      <c r="S71" s="193">
        <v>4195.58</v>
      </c>
      <c r="T71" s="192">
        <v>14056</v>
      </c>
      <c r="U71" s="193">
        <v>1548.38</v>
      </c>
      <c r="V71" s="193">
        <f t="shared" si="0"/>
        <v>2647.2</v>
      </c>
      <c r="W71" s="194">
        <v>49.95</v>
      </c>
      <c r="X71" s="192">
        <v>54260</v>
      </c>
      <c r="Y71" s="193">
        <v>49.95</v>
      </c>
      <c r="Z71" s="191" t="s">
        <v>427</v>
      </c>
      <c r="AA71" s="191"/>
      <c r="AB71" s="191">
        <v>50104331</v>
      </c>
      <c r="AC71" s="191"/>
      <c r="AD71" s="191" t="s">
        <v>426</v>
      </c>
      <c r="AE71" s="191" t="s">
        <v>425</v>
      </c>
      <c r="AF71" s="192" t="s">
        <v>92</v>
      </c>
      <c r="AG71" s="191"/>
      <c r="AH71" s="192" t="s">
        <v>424</v>
      </c>
      <c r="AI71" s="191">
        <v>0</v>
      </c>
      <c r="AJ71" s="191">
        <v>0</v>
      </c>
      <c r="AM71" s="256"/>
      <c r="AN71" s="256"/>
      <c r="AO71" s="257"/>
      <c r="AP71" s="258"/>
      <c r="AQ71" s="259"/>
      <c r="AR71" s="260"/>
      <c r="AS71" s="261"/>
      <c r="AT71" s="261"/>
      <c r="AU71" s="260"/>
      <c r="AV71" s="262"/>
    </row>
    <row r="72" spans="2:48">
      <c r="B72" s="192">
        <v>2120</v>
      </c>
      <c r="C72" s="196">
        <v>233144</v>
      </c>
      <c r="D72" s="192">
        <v>230179</v>
      </c>
      <c r="E72" s="191" t="s">
        <v>519</v>
      </c>
      <c r="F72" s="192"/>
      <c r="G72" s="191"/>
      <c r="H72" s="191"/>
      <c r="I72" s="191"/>
      <c r="J72" s="191">
        <v>0</v>
      </c>
      <c r="K72" s="191" t="s">
        <v>518</v>
      </c>
      <c r="L72" s="191"/>
      <c r="M72" s="191" t="s">
        <v>448</v>
      </c>
      <c r="N72" s="195">
        <v>43957</v>
      </c>
      <c r="O72" s="195">
        <v>43957</v>
      </c>
      <c r="P72" s="191" t="s">
        <v>515</v>
      </c>
      <c r="Q72" s="192">
        <v>1000</v>
      </c>
      <c r="R72" s="192">
        <v>14040</v>
      </c>
      <c r="S72" s="193">
        <v>575.42999999999995</v>
      </c>
      <c r="T72" s="192">
        <v>14046</v>
      </c>
      <c r="U72" s="193">
        <v>158.24</v>
      </c>
      <c r="V72" s="193">
        <f t="shared" si="0"/>
        <v>417.18999999999994</v>
      </c>
      <c r="W72" s="194">
        <v>4.8</v>
      </c>
      <c r="X72" s="192">
        <v>51260</v>
      </c>
      <c r="Y72" s="193">
        <v>4.8</v>
      </c>
      <c r="Z72" s="191" t="s">
        <v>427</v>
      </c>
      <c r="AA72" s="191"/>
      <c r="AB72" s="191">
        <v>86301</v>
      </c>
      <c r="AC72" s="191"/>
      <c r="AD72" s="191" t="s">
        <v>426</v>
      </c>
      <c r="AE72" s="191" t="s">
        <v>425</v>
      </c>
      <c r="AF72" s="192" t="s">
        <v>92</v>
      </c>
      <c r="AG72" s="191"/>
      <c r="AH72" s="192" t="s">
        <v>424</v>
      </c>
      <c r="AI72" s="191">
        <v>0</v>
      </c>
      <c r="AJ72" s="191">
        <v>0</v>
      </c>
      <c r="AM72" s="256"/>
      <c r="AN72" s="256"/>
      <c r="AO72" s="257"/>
      <c r="AP72" s="258"/>
      <c r="AQ72" s="259"/>
      <c r="AR72" s="260"/>
      <c r="AS72" s="261"/>
      <c r="AT72" s="261"/>
      <c r="AU72" s="260"/>
      <c r="AV72" s="262"/>
    </row>
    <row r="73" spans="2:48">
      <c r="B73" s="192">
        <v>2120</v>
      </c>
      <c r="C73" s="196">
        <v>232182</v>
      </c>
      <c r="D73" s="192">
        <v>230179</v>
      </c>
      <c r="E73" s="191" t="s">
        <v>521</v>
      </c>
      <c r="F73" s="192"/>
      <c r="G73" s="191"/>
      <c r="H73" s="191"/>
      <c r="I73" s="191"/>
      <c r="J73" s="191">
        <v>0</v>
      </c>
      <c r="K73" s="191" t="s">
        <v>520</v>
      </c>
      <c r="L73" s="191"/>
      <c r="M73" s="191" t="s">
        <v>448</v>
      </c>
      <c r="N73" s="195">
        <v>43924</v>
      </c>
      <c r="O73" s="195">
        <v>43924</v>
      </c>
      <c r="P73" s="191" t="s">
        <v>515</v>
      </c>
      <c r="Q73" s="192">
        <v>1000</v>
      </c>
      <c r="R73" s="192">
        <v>14040</v>
      </c>
      <c r="S73" s="193">
        <v>800.42</v>
      </c>
      <c r="T73" s="192">
        <v>14046</v>
      </c>
      <c r="U73" s="193">
        <v>226.78</v>
      </c>
      <c r="V73" s="193">
        <f t="shared" si="0"/>
        <v>573.64</v>
      </c>
      <c r="W73" s="194">
        <v>6.67</v>
      </c>
      <c r="X73" s="192">
        <v>51260</v>
      </c>
      <c r="Y73" s="193">
        <v>6.67</v>
      </c>
      <c r="Z73" s="191" t="s">
        <v>427</v>
      </c>
      <c r="AA73" s="191"/>
      <c r="AB73" s="191">
        <v>28910</v>
      </c>
      <c r="AC73" s="191"/>
      <c r="AD73" s="191" t="s">
        <v>426</v>
      </c>
      <c r="AE73" s="191" t="s">
        <v>425</v>
      </c>
      <c r="AF73" s="192" t="s">
        <v>92</v>
      </c>
      <c r="AG73" s="191"/>
      <c r="AH73" s="192" t="s">
        <v>424</v>
      </c>
      <c r="AI73" s="191">
        <v>0</v>
      </c>
      <c r="AJ73" s="191">
        <v>0</v>
      </c>
      <c r="AM73" s="256"/>
      <c r="AN73" s="256"/>
      <c r="AO73" s="257"/>
      <c r="AP73" s="258"/>
      <c r="AQ73" s="259"/>
      <c r="AR73" s="260"/>
      <c r="AS73" s="261"/>
      <c r="AT73" s="261"/>
      <c r="AU73" s="260"/>
      <c r="AV73" s="262"/>
    </row>
    <row r="74" spans="2:48">
      <c r="B74" s="192">
        <v>2120</v>
      </c>
      <c r="C74" s="196">
        <v>233652</v>
      </c>
      <c r="D74" s="192">
        <v>230179</v>
      </c>
      <c r="E74" s="191" t="s">
        <v>517</v>
      </c>
      <c r="F74" s="192"/>
      <c r="G74" s="191"/>
      <c r="H74" s="191"/>
      <c r="I74" s="191"/>
      <c r="J74" s="191">
        <v>0</v>
      </c>
      <c r="K74" s="191" t="s">
        <v>516</v>
      </c>
      <c r="L74" s="191"/>
      <c r="M74" s="191" t="s">
        <v>448</v>
      </c>
      <c r="N74" s="195">
        <v>43913</v>
      </c>
      <c r="O74" s="195">
        <v>43913</v>
      </c>
      <c r="P74" s="191" t="s">
        <v>515</v>
      </c>
      <c r="Q74" s="192">
        <v>500</v>
      </c>
      <c r="R74" s="192">
        <v>14040</v>
      </c>
      <c r="S74" s="193">
        <v>789.1</v>
      </c>
      <c r="T74" s="192">
        <v>14046</v>
      </c>
      <c r="U74" s="193">
        <v>447.16</v>
      </c>
      <c r="V74" s="193">
        <f t="shared" si="0"/>
        <v>341.94</v>
      </c>
      <c r="W74" s="194">
        <v>13.15</v>
      </c>
      <c r="X74" s="192">
        <v>51260</v>
      </c>
      <c r="Y74" s="193">
        <v>13.15</v>
      </c>
      <c r="Z74" s="191" t="s">
        <v>427</v>
      </c>
      <c r="AA74" s="191"/>
      <c r="AB74" s="191">
        <v>45178</v>
      </c>
      <c r="AC74" s="191"/>
      <c r="AD74" s="191" t="s">
        <v>426</v>
      </c>
      <c r="AE74" s="191" t="s">
        <v>425</v>
      </c>
      <c r="AF74" s="192" t="s">
        <v>92</v>
      </c>
      <c r="AG74" s="191"/>
      <c r="AH74" s="192" t="s">
        <v>424</v>
      </c>
      <c r="AI74" s="191">
        <v>0</v>
      </c>
      <c r="AJ74" s="191">
        <v>0</v>
      </c>
      <c r="AM74" s="256"/>
      <c r="AN74" s="256"/>
      <c r="AO74" s="257"/>
      <c r="AP74" s="258"/>
      <c r="AQ74" s="259"/>
      <c r="AR74" s="260"/>
      <c r="AS74" s="261"/>
      <c r="AT74" s="261"/>
      <c r="AU74" s="260"/>
      <c r="AV74" s="262"/>
    </row>
    <row r="75" spans="2:48">
      <c r="B75" s="192">
        <v>2120</v>
      </c>
      <c r="C75" s="196">
        <v>230179</v>
      </c>
      <c r="D75" s="192" t="s">
        <v>427</v>
      </c>
      <c r="E75" s="191" t="s">
        <v>497</v>
      </c>
      <c r="F75" s="192"/>
      <c r="G75" s="191"/>
      <c r="H75" s="191" t="s">
        <v>525</v>
      </c>
      <c r="I75" s="191" t="s">
        <v>524</v>
      </c>
      <c r="J75" s="191">
        <v>2020</v>
      </c>
      <c r="K75" s="191" t="s">
        <v>494</v>
      </c>
      <c r="L75" s="191" t="s">
        <v>493</v>
      </c>
      <c r="M75" s="191" t="s">
        <v>492</v>
      </c>
      <c r="N75" s="195">
        <v>43913</v>
      </c>
      <c r="O75" s="195">
        <v>43913</v>
      </c>
      <c r="P75" s="191" t="s">
        <v>523</v>
      </c>
      <c r="Q75" s="192">
        <v>1000</v>
      </c>
      <c r="R75" s="192">
        <v>14040</v>
      </c>
      <c r="S75" s="193">
        <v>251005.24</v>
      </c>
      <c r="T75" s="192">
        <v>14046</v>
      </c>
      <c r="U75" s="193">
        <v>71118.14</v>
      </c>
      <c r="V75" s="193">
        <f t="shared" si="0"/>
        <v>179887.09999999998</v>
      </c>
      <c r="W75" s="194">
        <v>2091.71</v>
      </c>
      <c r="X75" s="192">
        <v>51260</v>
      </c>
      <c r="Y75" s="193">
        <v>2091.71</v>
      </c>
      <c r="Z75" s="191" t="s">
        <v>427</v>
      </c>
      <c r="AA75" s="191"/>
      <c r="AB75" s="191"/>
      <c r="AC75" s="191">
        <v>20</v>
      </c>
      <c r="AD75" s="191" t="s">
        <v>426</v>
      </c>
      <c r="AE75" s="191" t="s">
        <v>425</v>
      </c>
      <c r="AF75" s="192" t="s">
        <v>92</v>
      </c>
      <c r="AG75" s="191"/>
      <c r="AH75" s="192" t="s">
        <v>424</v>
      </c>
      <c r="AI75" s="191">
        <v>0</v>
      </c>
      <c r="AJ75" s="191">
        <v>0</v>
      </c>
      <c r="AM75" s="256"/>
      <c r="AN75" s="256"/>
      <c r="AO75" s="257"/>
      <c r="AP75" s="258"/>
      <c r="AQ75" s="259"/>
      <c r="AR75" s="260"/>
      <c r="AS75" s="261"/>
      <c r="AT75" s="261"/>
      <c r="AU75" s="260"/>
      <c r="AV75" s="262"/>
    </row>
    <row r="76" spans="2:48">
      <c r="B76" s="192">
        <v>2120</v>
      </c>
      <c r="C76" s="196">
        <v>232181</v>
      </c>
      <c r="D76" s="192">
        <v>230179</v>
      </c>
      <c r="E76" s="191" t="s">
        <v>522</v>
      </c>
      <c r="F76" s="192"/>
      <c r="G76" s="191"/>
      <c r="H76" s="191"/>
      <c r="I76" s="191"/>
      <c r="J76" s="191">
        <v>0</v>
      </c>
      <c r="K76" s="191" t="s">
        <v>503</v>
      </c>
      <c r="L76" s="191"/>
      <c r="M76" s="191" t="s">
        <v>448</v>
      </c>
      <c r="N76" s="195">
        <v>43907</v>
      </c>
      <c r="O76" s="195">
        <v>43907</v>
      </c>
      <c r="P76" s="191" t="s">
        <v>515</v>
      </c>
      <c r="Q76" s="192">
        <v>500</v>
      </c>
      <c r="R76" s="192">
        <v>14040</v>
      </c>
      <c r="S76" s="193">
        <v>515.29999999999995</v>
      </c>
      <c r="T76" s="192">
        <v>14046</v>
      </c>
      <c r="U76" s="193">
        <v>292.01</v>
      </c>
      <c r="V76" s="193">
        <f t="shared" si="0"/>
        <v>223.28999999999996</v>
      </c>
      <c r="W76" s="194">
        <v>8.59</v>
      </c>
      <c r="X76" s="192">
        <v>51260</v>
      </c>
      <c r="Y76" s="193">
        <v>8.59</v>
      </c>
      <c r="Z76" s="191" t="s">
        <v>427</v>
      </c>
      <c r="AA76" s="191"/>
      <c r="AB76" s="191">
        <v>5263521</v>
      </c>
      <c r="AC76" s="191"/>
      <c r="AD76" s="191" t="s">
        <v>426</v>
      </c>
      <c r="AE76" s="191" t="s">
        <v>425</v>
      </c>
      <c r="AF76" s="192" t="s">
        <v>92</v>
      </c>
      <c r="AG76" s="191"/>
      <c r="AH76" s="192" t="s">
        <v>424</v>
      </c>
      <c r="AI76" s="191">
        <v>0</v>
      </c>
      <c r="AJ76" s="191">
        <v>0</v>
      </c>
      <c r="AM76" s="256"/>
      <c r="AN76" s="256"/>
      <c r="AO76" s="257"/>
      <c r="AP76" s="258"/>
      <c r="AQ76" s="259"/>
      <c r="AR76" s="260"/>
      <c r="AS76" s="261"/>
      <c r="AT76" s="261"/>
      <c r="AU76" s="260"/>
      <c r="AV76" s="262"/>
    </row>
    <row r="77" spans="2:48">
      <c r="B77" s="192">
        <v>2120</v>
      </c>
      <c r="C77" s="196">
        <v>225470</v>
      </c>
      <c r="D77" s="192" t="s">
        <v>427</v>
      </c>
      <c r="E77" s="191" t="s">
        <v>373</v>
      </c>
      <c r="F77" s="192"/>
      <c r="G77" s="191"/>
      <c r="H77" s="191"/>
      <c r="I77" s="191"/>
      <c r="J77" s="191">
        <v>0</v>
      </c>
      <c r="K77" s="191"/>
      <c r="L77" s="191"/>
      <c r="M77" s="191" t="s">
        <v>457</v>
      </c>
      <c r="N77" s="195">
        <v>43825</v>
      </c>
      <c r="O77" s="195">
        <v>43825</v>
      </c>
      <c r="P77" s="191" t="s">
        <v>529</v>
      </c>
      <c r="Q77" s="192">
        <v>700</v>
      </c>
      <c r="R77" s="192">
        <v>14050</v>
      </c>
      <c r="S77" s="193">
        <v>3209.85</v>
      </c>
      <c r="T77" s="192">
        <v>14056</v>
      </c>
      <c r="U77" s="193">
        <v>1413.86</v>
      </c>
      <c r="V77" s="193">
        <f t="shared" si="0"/>
        <v>1795.99</v>
      </c>
      <c r="W77" s="194">
        <v>38.21</v>
      </c>
      <c r="X77" s="192">
        <v>54260</v>
      </c>
      <c r="Y77" s="193">
        <v>38.21</v>
      </c>
      <c r="Z77" s="191" t="s">
        <v>427</v>
      </c>
      <c r="AA77" s="191"/>
      <c r="AB77" s="191"/>
      <c r="AC77" s="191"/>
      <c r="AD77" s="191" t="s">
        <v>426</v>
      </c>
      <c r="AE77" s="191" t="s">
        <v>425</v>
      </c>
      <c r="AF77" s="192" t="s">
        <v>92</v>
      </c>
      <c r="AG77" s="191"/>
      <c r="AH77" s="192" t="s">
        <v>424</v>
      </c>
      <c r="AI77" s="191">
        <v>0</v>
      </c>
      <c r="AJ77" s="191">
        <v>0</v>
      </c>
      <c r="AM77" s="256"/>
      <c r="AN77" s="256"/>
      <c r="AO77" s="257"/>
      <c r="AP77" s="258"/>
      <c r="AQ77" s="259"/>
      <c r="AR77" s="260"/>
      <c r="AS77" s="261"/>
      <c r="AT77" s="261"/>
      <c r="AU77" s="260"/>
      <c r="AV77" s="262"/>
    </row>
    <row r="78" spans="2:48">
      <c r="B78" s="192">
        <v>2120</v>
      </c>
      <c r="C78" s="196">
        <v>225976</v>
      </c>
      <c r="D78" s="192" t="s">
        <v>427</v>
      </c>
      <c r="E78" s="191" t="s">
        <v>528</v>
      </c>
      <c r="F78" s="192"/>
      <c r="G78" s="191"/>
      <c r="H78" s="191"/>
      <c r="I78" s="191"/>
      <c r="J78" s="191">
        <v>0</v>
      </c>
      <c r="K78" s="191" t="s">
        <v>527</v>
      </c>
      <c r="L78" s="191"/>
      <c r="M78" s="191"/>
      <c r="N78" s="195">
        <v>43819</v>
      </c>
      <c r="O78" s="195">
        <v>43819</v>
      </c>
      <c r="P78" s="191" t="s">
        <v>526</v>
      </c>
      <c r="Q78" s="192">
        <v>300</v>
      </c>
      <c r="R78" s="192">
        <v>14110</v>
      </c>
      <c r="S78" s="193">
        <v>1299</v>
      </c>
      <c r="T78" s="192">
        <v>14116</v>
      </c>
      <c r="U78" s="193">
        <v>1299</v>
      </c>
      <c r="V78" s="193">
        <f t="shared" ref="V78:V141" si="13">S78-U78</f>
        <v>0</v>
      </c>
      <c r="W78" s="194">
        <v>0</v>
      </c>
      <c r="X78" s="192">
        <v>70260</v>
      </c>
      <c r="Y78" s="193">
        <v>0</v>
      </c>
      <c r="Z78" s="191" t="s">
        <v>427</v>
      </c>
      <c r="AA78" s="191"/>
      <c r="AB78" s="191">
        <v>3017697308</v>
      </c>
      <c r="AC78" s="191"/>
      <c r="AD78" s="191" t="s">
        <v>426</v>
      </c>
      <c r="AE78" s="191" t="s">
        <v>425</v>
      </c>
      <c r="AF78" s="192" t="s">
        <v>92</v>
      </c>
      <c r="AG78" s="191"/>
      <c r="AH78" s="192" t="s">
        <v>424</v>
      </c>
      <c r="AI78" s="191">
        <v>0</v>
      </c>
      <c r="AJ78" s="191">
        <v>0</v>
      </c>
      <c r="AM78" s="256"/>
      <c r="AN78" s="256"/>
      <c r="AO78" s="257"/>
      <c r="AP78" s="258"/>
      <c r="AQ78" s="259"/>
      <c r="AR78" s="260"/>
      <c r="AS78" s="261"/>
      <c r="AT78" s="261"/>
      <c r="AU78" s="260"/>
      <c r="AV78" s="262"/>
    </row>
    <row r="79" spans="2:48">
      <c r="B79" s="192">
        <v>2120</v>
      </c>
      <c r="C79" s="196">
        <v>224135</v>
      </c>
      <c r="D79" s="192" t="s">
        <v>427</v>
      </c>
      <c r="E79" s="191" t="s">
        <v>387</v>
      </c>
      <c r="F79" s="192"/>
      <c r="G79" s="191"/>
      <c r="H79" s="191"/>
      <c r="I79" s="191"/>
      <c r="J79" s="191">
        <v>0</v>
      </c>
      <c r="K79" s="191" t="s">
        <v>535</v>
      </c>
      <c r="L79" s="191"/>
      <c r="M79" s="191"/>
      <c r="N79" s="195">
        <v>43799</v>
      </c>
      <c r="O79" s="195">
        <v>43799</v>
      </c>
      <c r="P79" s="191" t="s">
        <v>534</v>
      </c>
      <c r="Q79" s="192">
        <v>200</v>
      </c>
      <c r="R79" s="192">
        <v>14110</v>
      </c>
      <c r="S79" s="193">
        <v>1556.1</v>
      </c>
      <c r="T79" s="192">
        <v>14116</v>
      </c>
      <c r="U79" s="193">
        <v>1556.1</v>
      </c>
      <c r="V79" s="193">
        <f t="shared" si="13"/>
        <v>0</v>
      </c>
      <c r="W79" s="194">
        <v>0</v>
      </c>
      <c r="X79" s="192">
        <v>70260</v>
      </c>
      <c r="Y79" s="193">
        <v>0</v>
      </c>
      <c r="Z79" s="191" t="s">
        <v>427</v>
      </c>
      <c r="AA79" s="191"/>
      <c r="AB79" s="191" t="s">
        <v>533</v>
      </c>
      <c r="AC79" s="191"/>
      <c r="AD79" s="191" t="s">
        <v>426</v>
      </c>
      <c r="AE79" s="191" t="s">
        <v>425</v>
      </c>
      <c r="AF79" s="192" t="s">
        <v>92</v>
      </c>
      <c r="AG79" s="191"/>
      <c r="AH79" s="192" t="s">
        <v>424</v>
      </c>
      <c r="AI79" s="191">
        <v>0</v>
      </c>
      <c r="AJ79" s="191">
        <v>0</v>
      </c>
      <c r="AM79" s="256"/>
      <c r="AN79" s="256"/>
      <c r="AO79" s="257"/>
      <c r="AP79" s="258"/>
      <c r="AQ79" s="259"/>
      <c r="AR79" s="260"/>
      <c r="AS79" s="261"/>
      <c r="AT79" s="261"/>
      <c r="AU79" s="260"/>
      <c r="AV79" s="262"/>
    </row>
    <row r="80" spans="2:48">
      <c r="B80" s="192">
        <v>2120</v>
      </c>
      <c r="C80" s="196">
        <v>225915</v>
      </c>
      <c r="D80" s="192">
        <v>224135</v>
      </c>
      <c r="E80" s="191" t="s">
        <v>532</v>
      </c>
      <c r="F80" s="192"/>
      <c r="G80" s="191"/>
      <c r="H80" s="191"/>
      <c r="I80" s="191"/>
      <c r="J80" s="191">
        <v>0</v>
      </c>
      <c r="K80" s="191" t="s">
        <v>531</v>
      </c>
      <c r="L80" s="191"/>
      <c r="M80" s="191"/>
      <c r="N80" s="195">
        <v>43795</v>
      </c>
      <c r="O80" s="195">
        <v>43795</v>
      </c>
      <c r="P80" s="191" t="s">
        <v>526</v>
      </c>
      <c r="Q80" s="192">
        <v>300</v>
      </c>
      <c r="R80" s="192">
        <v>14110</v>
      </c>
      <c r="S80" s="193">
        <v>2050.11</v>
      </c>
      <c r="T80" s="192">
        <v>14116</v>
      </c>
      <c r="U80" s="193">
        <v>2050.11</v>
      </c>
      <c r="V80" s="193">
        <f t="shared" si="13"/>
        <v>0</v>
      </c>
      <c r="W80" s="194">
        <v>0</v>
      </c>
      <c r="X80" s="192">
        <v>70260</v>
      </c>
      <c r="Y80" s="193">
        <v>0</v>
      </c>
      <c r="Z80" s="191" t="s">
        <v>427</v>
      </c>
      <c r="AA80" s="191"/>
      <c r="AB80" s="191" t="s">
        <v>530</v>
      </c>
      <c r="AC80" s="191"/>
      <c r="AD80" s="191" t="s">
        <v>426</v>
      </c>
      <c r="AE80" s="191" t="s">
        <v>425</v>
      </c>
      <c r="AF80" s="192" t="s">
        <v>92</v>
      </c>
      <c r="AG80" s="191"/>
      <c r="AH80" s="192" t="s">
        <v>424</v>
      </c>
      <c r="AI80" s="191">
        <v>0</v>
      </c>
      <c r="AJ80" s="191">
        <v>0</v>
      </c>
      <c r="AM80" s="256"/>
      <c r="AN80" s="256"/>
      <c r="AO80" s="257"/>
      <c r="AP80" s="258"/>
      <c r="AQ80" s="259"/>
      <c r="AR80" s="260"/>
      <c r="AS80" s="261"/>
      <c r="AT80" s="261"/>
      <c r="AU80" s="260"/>
      <c r="AV80" s="262"/>
    </row>
    <row r="81" spans="2:48">
      <c r="B81" s="192">
        <v>2120</v>
      </c>
      <c r="C81" s="196">
        <v>224061</v>
      </c>
      <c r="D81" s="192" t="s">
        <v>427</v>
      </c>
      <c r="E81" s="191" t="s">
        <v>415</v>
      </c>
      <c r="F81" s="192">
        <v>250</v>
      </c>
      <c r="G81" s="191"/>
      <c r="H81" s="191"/>
      <c r="I81" s="191"/>
      <c r="J81" s="191">
        <v>0</v>
      </c>
      <c r="K81" s="191" t="s">
        <v>458</v>
      </c>
      <c r="L81" s="191"/>
      <c r="M81" s="191" t="s">
        <v>457</v>
      </c>
      <c r="N81" s="195">
        <v>43781</v>
      </c>
      <c r="O81" s="195">
        <v>43781</v>
      </c>
      <c r="P81" s="191" t="s">
        <v>536</v>
      </c>
      <c r="Q81" s="192">
        <v>700</v>
      </c>
      <c r="R81" s="192">
        <v>14050</v>
      </c>
      <c r="S81" s="193">
        <v>11502.26</v>
      </c>
      <c r="T81" s="192">
        <v>14056</v>
      </c>
      <c r="U81" s="193">
        <v>5340.33</v>
      </c>
      <c r="V81" s="193">
        <f t="shared" si="13"/>
        <v>6161.93</v>
      </c>
      <c r="W81" s="194">
        <v>136.93</v>
      </c>
      <c r="X81" s="192">
        <v>54260</v>
      </c>
      <c r="Y81" s="193">
        <v>136.93</v>
      </c>
      <c r="Z81" s="191" t="s">
        <v>427</v>
      </c>
      <c r="AA81" s="191"/>
      <c r="AB81" s="191">
        <v>50060114</v>
      </c>
      <c r="AC81" s="191"/>
      <c r="AD81" s="191" t="s">
        <v>426</v>
      </c>
      <c r="AE81" s="191" t="s">
        <v>425</v>
      </c>
      <c r="AF81" s="192" t="s">
        <v>92</v>
      </c>
      <c r="AG81" s="191"/>
      <c r="AH81" s="192" t="s">
        <v>424</v>
      </c>
      <c r="AI81" s="191">
        <v>0</v>
      </c>
      <c r="AJ81" s="191">
        <v>0</v>
      </c>
      <c r="AM81" s="256"/>
      <c r="AN81" s="256"/>
      <c r="AO81" s="257"/>
      <c r="AP81" s="258"/>
      <c r="AQ81" s="259"/>
      <c r="AR81" s="260"/>
      <c r="AS81" s="261"/>
      <c r="AT81" s="261"/>
      <c r="AU81" s="260"/>
      <c r="AV81" s="262"/>
    </row>
    <row r="82" spans="2:48">
      <c r="B82" s="192">
        <v>2120</v>
      </c>
      <c r="C82" s="196">
        <v>221694</v>
      </c>
      <c r="D82" s="192" t="s">
        <v>427</v>
      </c>
      <c r="E82" s="191" t="s">
        <v>541</v>
      </c>
      <c r="F82" s="192">
        <v>1</v>
      </c>
      <c r="G82" s="191"/>
      <c r="H82" s="191"/>
      <c r="I82" s="191"/>
      <c r="J82" s="191">
        <v>0</v>
      </c>
      <c r="K82" s="191" t="s">
        <v>430</v>
      </c>
      <c r="L82" s="191"/>
      <c r="M82" s="191" t="s">
        <v>540</v>
      </c>
      <c r="N82" s="195">
        <v>43748</v>
      </c>
      <c r="O82" s="195">
        <v>43748</v>
      </c>
      <c r="P82" s="191" t="s">
        <v>539</v>
      </c>
      <c r="Q82" s="192">
        <v>1200</v>
      </c>
      <c r="R82" s="192">
        <v>14050</v>
      </c>
      <c r="S82" s="193">
        <v>1871.41</v>
      </c>
      <c r="T82" s="192">
        <v>14056</v>
      </c>
      <c r="U82" s="193">
        <v>519.84</v>
      </c>
      <c r="V82" s="193">
        <f t="shared" si="13"/>
        <v>1351.5700000000002</v>
      </c>
      <c r="W82" s="194">
        <v>13</v>
      </c>
      <c r="X82" s="192">
        <v>54260</v>
      </c>
      <c r="Y82" s="193">
        <v>13</v>
      </c>
      <c r="Z82" s="191" t="s">
        <v>427</v>
      </c>
      <c r="AA82" s="191"/>
      <c r="AB82" s="191">
        <v>8610</v>
      </c>
      <c r="AC82" s="191"/>
      <c r="AD82" s="191" t="s">
        <v>426</v>
      </c>
      <c r="AE82" s="191" t="s">
        <v>425</v>
      </c>
      <c r="AF82" s="192" t="s">
        <v>92</v>
      </c>
      <c r="AG82" s="191"/>
      <c r="AH82" s="192" t="s">
        <v>424</v>
      </c>
      <c r="AI82" s="191">
        <v>0</v>
      </c>
      <c r="AJ82" s="191">
        <v>0</v>
      </c>
      <c r="AM82" s="256"/>
      <c r="AN82" s="256"/>
      <c r="AO82" s="257"/>
      <c r="AP82" s="258"/>
      <c r="AQ82" s="259"/>
      <c r="AR82" s="260"/>
      <c r="AS82" s="261"/>
      <c r="AT82" s="261"/>
      <c r="AU82" s="260"/>
      <c r="AV82" s="262"/>
    </row>
    <row r="83" spans="2:48">
      <c r="B83" s="192">
        <v>2120</v>
      </c>
      <c r="C83" s="196">
        <v>222024</v>
      </c>
      <c r="D83" s="192" t="s">
        <v>427</v>
      </c>
      <c r="E83" s="191" t="s">
        <v>417</v>
      </c>
      <c r="F83" s="192">
        <v>2</v>
      </c>
      <c r="G83" s="191"/>
      <c r="H83" s="191"/>
      <c r="I83" s="191"/>
      <c r="J83" s="191">
        <v>0</v>
      </c>
      <c r="K83" s="191" t="s">
        <v>484</v>
      </c>
      <c r="L83" s="191"/>
      <c r="M83" s="191" t="s">
        <v>443</v>
      </c>
      <c r="N83" s="195">
        <v>43741</v>
      </c>
      <c r="O83" s="195">
        <v>43741</v>
      </c>
      <c r="P83" s="191" t="s">
        <v>537</v>
      </c>
      <c r="Q83" s="192">
        <v>1200</v>
      </c>
      <c r="R83" s="192">
        <v>14050</v>
      </c>
      <c r="S83" s="193">
        <v>16511.240000000002</v>
      </c>
      <c r="T83" s="192">
        <v>14056</v>
      </c>
      <c r="U83" s="193">
        <v>4586.47</v>
      </c>
      <c r="V83" s="193">
        <f t="shared" si="13"/>
        <v>11924.77</v>
      </c>
      <c r="W83" s="194">
        <v>114.66</v>
      </c>
      <c r="X83" s="192">
        <v>54260</v>
      </c>
      <c r="Y83" s="193">
        <v>114.66</v>
      </c>
      <c r="Z83" s="191" t="s">
        <v>427</v>
      </c>
      <c r="AA83" s="191"/>
      <c r="AB83" s="191">
        <v>37219974</v>
      </c>
      <c r="AC83" s="191"/>
      <c r="AD83" s="191" t="s">
        <v>426</v>
      </c>
      <c r="AE83" s="191" t="s">
        <v>425</v>
      </c>
      <c r="AF83" s="192" t="s">
        <v>92</v>
      </c>
      <c r="AG83" s="191"/>
      <c r="AH83" s="192" t="s">
        <v>424</v>
      </c>
      <c r="AI83" s="191">
        <v>0</v>
      </c>
      <c r="AJ83" s="191">
        <v>0</v>
      </c>
      <c r="AM83" s="256"/>
      <c r="AN83" s="256"/>
      <c r="AO83" s="257"/>
      <c r="AP83" s="258"/>
      <c r="AQ83" s="259"/>
      <c r="AR83" s="260"/>
      <c r="AS83" s="261"/>
      <c r="AT83" s="261"/>
      <c r="AU83" s="260"/>
      <c r="AV83" s="262"/>
    </row>
    <row r="84" spans="2:48">
      <c r="B84" s="192">
        <v>2120</v>
      </c>
      <c r="C84" s="196">
        <v>222838</v>
      </c>
      <c r="D84" s="192" t="s">
        <v>427</v>
      </c>
      <c r="E84" s="191" t="s">
        <v>538</v>
      </c>
      <c r="F84" s="192">
        <v>1</v>
      </c>
      <c r="G84" s="191"/>
      <c r="H84" s="191"/>
      <c r="I84" s="191"/>
      <c r="J84" s="191">
        <v>0</v>
      </c>
      <c r="K84" s="191" t="s">
        <v>484</v>
      </c>
      <c r="L84" s="191"/>
      <c r="M84" s="191" t="s">
        <v>538</v>
      </c>
      <c r="N84" s="195">
        <v>43733</v>
      </c>
      <c r="O84" s="195">
        <v>43733</v>
      </c>
      <c r="P84" s="191" t="s">
        <v>537</v>
      </c>
      <c r="Q84" s="192">
        <v>1200</v>
      </c>
      <c r="R84" s="192">
        <v>14050</v>
      </c>
      <c r="S84" s="193">
        <v>8458</v>
      </c>
      <c r="T84" s="192">
        <v>14056</v>
      </c>
      <c r="U84" s="193">
        <v>2349.44</v>
      </c>
      <c r="V84" s="193">
        <f t="shared" si="13"/>
        <v>6108.5599999999995</v>
      </c>
      <c r="W84" s="194">
        <v>58.74</v>
      </c>
      <c r="X84" s="192">
        <v>54260</v>
      </c>
      <c r="Y84" s="193">
        <v>58.74</v>
      </c>
      <c r="Z84" s="191" t="s">
        <v>427</v>
      </c>
      <c r="AA84" s="191"/>
      <c r="AB84" s="191">
        <v>37219934</v>
      </c>
      <c r="AC84" s="191"/>
      <c r="AD84" s="191" t="s">
        <v>426</v>
      </c>
      <c r="AE84" s="191" t="s">
        <v>425</v>
      </c>
      <c r="AF84" s="192" t="s">
        <v>92</v>
      </c>
      <c r="AG84" s="191"/>
      <c r="AH84" s="192" t="s">
        <v>424</v>
      </c>
      <c r="AI84" s="191">
        <v>0</v>
      </c>
      <c r="AJ84" s="191">
        <v>0</v>
      </c>
      <c r="AM84" s="256"/>
      <c r="AN84" s="256"/>
      <c r="AO84" s="257"/>
      <c r="AP84" s="258"/>
      <c r="AQ84" s="259"/>
      <c r="AR84" s="260"/>
      <c r="AS84" s="261"/>
      <c r="AT84" s="261"/>
      <c r="AU84" s="260"/>
      <c r="AV84" s="262"/>
    </row>
    <row r="85" spans="2:48">
      <c r="B85" s="192">
        <v>2120</v>
      </c>
      <c r="C85" s="196">
        <v>219598</v>
      </c>
      <c r="D85" s="192" t="s">
        <v>427</v>
      </c>
      <c r="E85" s="191" t="s">
        <v>542</v>
      </c>
      <c r="F85" s="192">
        <v>10</v>
      </c>
      <c r="G85" s="191"/>
      <c r="H85" s="191"/>
      <c r="I85" s="191"/>
      <c r="J85" s="191">
        <v>0</v>
      </c>
      <c r="K85" s="191" t="s">
        <v>430</v>
      </c>
      <c r="L85" s="191"/>
      <c r="M85" s="191" t="s">
        <v>507</v>
      </c>
      <c r="N85" s="195">
        <v>43720</v>
      </c>
      <c r="O85" s="195">
        <v>43720</v>
      </c>
      <c r="P85" s="191" t="s">
        <v>539</v>
      </c>
      <c r="Q85" s="192">
        <v>1200</v>
      </c>
      <c r="R85" s="192">
        <v>14050</v>
      </c>
      <c r="S85" s="193">
        <v>9238.4599999999991</v>
      </c>
      <c r="T85" s="192">
        <v>14056</v>
      </c>
      <c r="U85" s="193">
        <v>2630.39</v>
      </c>
      <c r="V85" s="193">
        <f t="shared" si="13"/>
        <v>6608.07</v>
      </c>
      <c r="W85" s="194">
        <v>64.16</v>
      </c>
      <c r="X85" s="192">
        <v>54260</v>
      </c>
      <c r="Y85" s="193">
        <v>64.16</v>
      </c>
      <c r="Z85" s="191" t="s">
        <v>427</v>
      </c>
      <c r="AA85" s="191"/>
      <c r="AB85" s="191">
        <v>8565</v>
      </c>
      <c r="AC85" s="191"/>
      <c r="AD85" s="191" t="s">
        <v>426</v>
      </c>
      <c r="AE85" s="191" t="s">
        <v>425</v>
      </c>
      <c r="AF85" s="192" t="s">
        <v>92</v>
      </c>
      <c r="AG85" s="191"/>
      <c r="AH85" s="192" t="s">
        <v>424</v>
      </c>
      <c r="AI85" s="191">
        <v>0</v>
      </c>
      <c r="AJ85" s="191">
        <v>0</v>
      </c>
      <c r="AM85" s="256"/>
      <c r="AN85" s="256"/>
      <c r="AO85" s="257"/>
      <c r="AP85" s="258"/>
      <c r="AQ85" s="259"/>
      <c r="AR85" s="260"/>
      <c r="AS85" s="261"/>
      <c r="AT85" s="261"/>
      <c r="AU85" s="260"/>
      <c r="AV85" s="262"/>
    </row>
    <row r="86" spans="2:48">
      <c r="B86" s="192">
        <v>2120</v>
      </c>
      <c r="C86" s="196">
        <v>219597</v>
      </c>
      <c r="D86" s="192" t="s">
        <v>427</v>
      </c>
      <c r="E86" s="191" t="s">
        <v>544</v>
      </c>
      <c r="F86" s="192">
        <v>5</v>
      </c>
      <c r="G86" s="191"/>
      <c r="H86" s="191"/>
      <c r="I86" s="191"/>
      <c r="J86" s="191">
        <v>0</v>
      </c>
      <c r="K86" s="191" t="s">
        <v>430</v>
      </c>
      <c r="L86" s="191"/>
      <c r="M86" s="191" t="s">
        <v>543</v>
      </c>
      <c r="N86" s="195">
        <v>43720</v>
      </c>
      <c r="O86" s="195">
        <v>43720</v>
      </c>
      <c r="P86" s="191" t="s">
        <v>539</v>
      </c>
      <c r="Q86" s="192">
        <v>1200</v>
      </c>
      <c r="R86" s="192">
        <v>14050</v>
      </c>
      <c r="S86" s="193">
        <v>4209.59</v>
      </c>
      <c r="T86" s="192">
        <v>14056</v>
      </c>
      <c r="U86" s="193">
        <v>1198.56</v>
      </c>
      <c r="V86" s="193">
        <f t="shared" si="13"/>
        <v>3011.03</v>
      </c>
      <c r="W86" s="194">
        <v>29.23</v>
      </c>
      <c r="X86" s="192">
        <v>54260</v>
      </c>
      <c r="Y86" s="193">
        <v>29.23</v>
      </c>
      <c r="Z86" s="191" t="s">
        <v>427</v>
      </c>
      <c r="AA86" s="191"/>
      <c r="AB86" s="191">
        <v>8565</v>
      </c>
      <c r="AC86" s="191"/>
      <c r="AD86" s="191" t="s">
        <v>426</v>
      </c>
      <c r="AE86" s="191" t="s">
        <v>425</v>
      </c>
      <c r="AF86" s="192" t="s">
        <v>92</v>
      </c>
      <c r="AG86" s="191"/>
      <c r="AH86" s="192" t="s">
        <v>424</v>
      </c>
      <c r="AI86" s="191">
        <v>0</v>
      </c>
      <c r="AJ86" s="191">
        <v>0</v>
      </c>
      <c r="AM86" s="256"/>
      <c r="AN86" s="256"/>
      <c r="AO86" s="257"/>
      <c r="AP86" s="258"/>
      <c r="AQ86" s="259"/>
      <c r="AR86" s="260"/>
      <c r="AS86" s="261"/>
      <c r="AT86" s="261"/>
      <c r="AU86" s="260"/>
      <c r="AV86" s="262"/>
    </row>
    <row r="87" spans="2:48">
      <c r="B87" s="192">
        <v>2120</v>
      </c>
      <c r="C87" s="196">
        <v>219596</v>
      </c>
      <c r="D87" s="192" t="s">
        <v>427</v>
      </c>
      <c r="E87" s="191" t="s">
        <v>545</v>
      </c>
      <c r="F87" s="192">
        <v>5</v>
      </c>
      <c r="G87" s="191"/>
      <c r="H87" s="191"/>
      <c r="I87" s="191"/>
      <c r="J87" s="191">
        <v>0</v>
      </c>
      <c r="K87" s="191" t="s">
        <v>430</v>
      </c>
      <c r="L87" s="191"/>
      <c r="M87" s="191" t="s">
        <v>464</v>
      </c>
      <c r="N87" s="195">
        <v>43720</v>
      </c>
      <c r="O87" s="195">
        <v>43720</v>
      </c>
      <c r="P87" s="191" t="s">
        <v>539</v>
      </c>
      <c r="Q87" s="192">
        <v>1200</v>
      </c>
      <c r="R87" s="192">
        <v>14050</v>
      </c>
      <c r="S87" s="193">
        <v>3013.01</v>
      </c>
      <c r="T87" s="192">
        <v>14056</v>
      </c>
      <c r="U87" s="193">
        <v>857.89</v>
      </c>
      <c r="V87" s="193">
        <f t="shared" si="13"/>
        <v>2155.1200000000003</v>
      </c>
      <c r="W87" s="194">
        <v>20.92</v>
      </c>
      <c r="X87" s="192">
        <v>54260</v>
      </c>
      <c r="Y87" s="193">
        <v>20.92</v>
      </c>
      <c r="Z87" s="191" t="s">
        <v>427</v>
      </c>
      <c r="AA87" s="191"/>
      <c r="AB87" s="191">
        <v>8565</v>
      </c>
      <c r="AC87" s="191"/>
      <c r="AD87" s="191" t="s">
        <v>426</v>
      </c>
      <c r="AE87" s="191" t="s">
        <v>425</v>
      </c>
      <c r="AF87" s="192" t="s">
        <v>92</v>
      </c>
      <c r="AG87" s="191"/>
      <c r="AH87" s="192" t="s">
        <v>424</v>
      </c>
      <c r="AI87" s="191">
        <v>0</v>
      </c>
      <c r="AJ87" s="191">
        <v>0</v>
      </c>
      <c r="AM87" s="256"/>
      <c r="AN87" s="256"/>
      <c r="AO87" s="257"/>
      <c r="AP87" s="258"/>
      <c r="AQ87" s="259"/>
      <c r="AR87" s="260"/>
      <c r="AS87" s="261"/>
      <c r="AT87" s="261"/>
      <c r="AU87" s="260"/>
      <c r="AV87" s="262"/>
    </row>
    <row r="88" spans="2:48">
      <c r="B88" s="192">
        <v>2120</v>
      </c>
      <c r="C88" s="196">
        <v>219595</v>
      </c>
      <c r="D88" s="192" t="s">
        <v>427</v>
      </c>
      <c r="E88" s="191" t="s">
        <v>546</v>
      </c>
      <c r="F88" s="192">
        <v>10</v>
      </c>
      <c r="G88" s="191"/>
      <c r="H88" s="191"/>
      <c r="I88" s="191"/>
      <c r="J88" s="191">
        <v>0</v>
      </c>
      <c r="K88" s="191" t="s">
        <v>430</v>
      </c>
      <c r="L88" s="191"/>
      <c r="M88" s="191" t="s">
        <v>461</v>
      </c>
      <c r="N88" s="195">
        <v>43720</v>
      </c>
      <c r="O88" s="195">
        <v>43720</v>
      </c>
      <c r="P88" s="191" t="s">
        <v>539</v>
      </c>
      <c r="Q88" s="192">
        <v>1200</v>
      </c>
      <c r="R88" s="192">
        <v>14050</v>
      </c>
      <c r="S88" s="193">
        <v>5627.16</v>
      </c>
      <c r="T88" s="192">
        <v>14056</v>
      </c>
      <c r="U88" s="193">
        <v>1602.18</v>
      </c>
      <c r="V88" s="193">
        <f t="shared" si="13"/>
        <v>4024.9799999999996</v>
      </c>
      <c r="W88" s="194">
        <v>39.08</v>
      </c>
      <c r="X88" s="192">
        <v>54260</v>
      </c>
      <c r="Y88" s="193">
        <v>39.08</v>
      </c>
      <c r="Z88" s="191" t="s">
        <v>427</v>
      </c>
      <c r="AA88" s="191"/>
      <c r="AB88" s="191">
        <v>8565</v>
      </c>
      <c r="AC88" s="191"/>
      <c r="AD88" s="191" t="s">
        <v>426</v>
      </c>
      <c r="AE88" s="191" t="s">
        <v>425</v>
      </c>
      <c r="AF88" s="192" t="s">
        <v>92</v>
      </c>
      <c r="AG88" s="191"/>
      <c r="AH88" s="192" t="s">
        <v>424</v>
      </c>
      <c r="AI88" s="191">
        <v>0</v>
      </c>
      <c r="AJ88" s="191">
        <v>0</v>
      </c>
      <c r="AM88" s="256"/>
      <c r="AN88" s="256"/>
      <c r="AO88" s="257"/>
      <c r="AP88" s="258"/>
      <c r="AQ88" s="259"/>
      <c r="AR88" s="260"/>
      <c r="AS88" s="261"/>
      <c r="AT88" s="261"/>
      <c r="AU88" s="260"/>
      <c r="AV88" s="262"/>
    </row>
    <row r="89" spans="2:48">
      <c r="B89" s="192">
        <v>2120</v>
      </c>
      <c r="C89" s="196">
        <v>213181</v>
      </c>
      <c r="D89" s="192" t="s">
        <v>427</v>
      </c>
      <c r="E89" s="191" t="s">
        <v>369</v>
      </c>
      <c r="F89" s="192">
        <v>312</v>
      </c>
      <c r="G89" s="191"/>
      <c r="H89" s="191"/>
      <c r="I89" s="191"/>
      <c r="J89" s="191">
        <v>0</v>
      </c>
      <c r="K89" s="191" t="s">
        <v>458</v>
      </c>
      <c r="L89" s="191"/>
      <c r="M89" s="191"/>
      <c r="N89" s="195">
        <v>43582</v>
      </c>
      <c r="O89" s="195">
        <v>43582</v>
      </c>
      <c r="P89" s="191" t="s">
        <v>556</v>
      </c>
      <c r="Q89" s="192">
        <v>700</v>
      </c>
      <c r="R89" s="192">
        <v>14050</v>
      </c>
      <c r="S89" s="193">
        <v>14985</v>
      </c>
      <c r="T89" s="192">
        <v>14056</v>
      </c>
      <c r="U89" s="193">
        <v>8027.69</v>
      </c>
      <c r="V89" s="193">
        <f t="shared" si="13"/>
        <v>6957.31</v>
      </c>
      <c r="W89" s="194">
        <v>178.39</v>
      </c>
      <c r="X89" s="192">
        <v>54260</v>
      </c>
      <c r="Y89" s="193">
        <v>178.39</v>
      </c>
      <c r="Z89" s="191" t="s">
        <v>427</v>
      </c>
      <c r="AA89" s="191"/>
      <c r="AB89" s="191">
        <v>50022665</v>
      </c>
      <c r="AC89" s="191"/>
      <c r="AD89" s="191" t="s">
        <v>426</v>
      </c>
      <c r="AE89" s="191" t="s">
        <v>425</v>
      </c>
      <c r="AF89" s="192" t="s">
        <v>92</v>
      </c>
      <c r="AG89" s="191"/>
      <c r="AH89" s="192" t="s">
        <v>424</v>
      </c>
      <c r="AI89" s="191">
        <v>0</v>
      </c>
      <c r="AJ89" s="191">
        <v>0</v>
      </c>
    </row>
    <row r="90" spans="2:48">
      <c r="B90" s="192">
        <v>2120</v>
      </c>
      <c r="C90" s="196">
        <v>214540</v>
      </c>
      <c r="D90" s="192" t="s">
        <v>427</v>
      </c>
      <c r="E90" s="191" t="s">
        <v>370</v>
      </c>
      <c r="F90" s="192"/>
      <c r="G90" s="191"/>
      <c r="H90" s="191"/>
      <c r="I90" s="191"/>
      <c r="J90" s="191">
        <v>0</v>
      </c>
      <c r="K90" s="191" t="s">
        <v>555</v>
      </c>
      <c r="L90" s="191"/>
      <c r="M90" s="191"/>
      <c r="N90" s="195">
        <v>43565</v>
      </c>
      <c r="O90" s="195">
        <v>43565</v>
      </c>
      <c r="P90" s="191" t="s">
        <v>554</v>
      </c>
      <c r="Q90" s="192">
        <v>300</v>
      </c>
      <c r="R90" s="192">
        <v>14110</v>
      </c>
      <c r="S90" s="193">
        <v>337.42</v>
      </c>
      <c r="T90" s="192">
        <v>14116</v>
      </c>
      <c r="U90" s="193">
        <v>337.42</v>
      </c>
      <c r="V90" s="193">
        <f t="shared" si="13"/>
        <v>0</v>
      </c>
      <c r="W90" s="194">
        <v>0</v>
      </c>
      <c r="X90" s="192">
        <v>70260</v>
      </c>
      <c r="Y90" s="193">
        <v>0</v>
      </c>
      <c r="Z90" s="191" t="s">
        <v>427</v>
      </c>
      <c r="AA90" s="191"/>
      <c r="AB90" s="191" t="s">
        <v>553</v>
      </c>
      <c r="AC90" s="191"/>
      <c r="AD90" s="191" t="s">
        <v>426</v>
      </c>
      <c r="AE90" s="191" t="s">
        <v>425</v>
      </c>
      <c r="AF90" s="192" t="s">
        <v>92</v>
      </c>
      <c r="AG90" s="191"/>
      <c r="AH90" s="192" t="s">
        <v>424</v>
      </c>
      <c r="AI90" s="191">
        <v>0</v>
      </c>
      <c r="AJ90" s="191">
        <v>0</v>
      </c>
    </row>
    <row r="91" spans="2:48">
      <c r="B91" s="192">
        <v>2120</v>
      </c>
      <c r="C91" s="196">
        <v>212759</v>
      </c>
      <c r="D91" s="192" t="s">
        <v>427</v>
      </c>
      <c r="E91" s="191" t="s">
        <v>371</v>
      </c>
      <c r="F91" s="192"/>
      <c r="G91" s="191"/>
      <c r="H91" s="191"/>
      <c r="I91" s="191" t="s">
        <v>455</v>
      </c>
      <c r="J91" s="191">
        <v>0</v>
      </c>
      <c r="K91" s="191" t="s">
        <v>531</v>
      </c>
      <c r="L91" s="191"/>
      <c r="M91" s="191"/>
      <c r="N91" s="195">
        <v>43565</v>
      </c>
      <c r="O91" s="195">
        <v>43565</v>
      </c>
      <c r="P91" s="191" t="s">
        <v>554</v>
      </c>
      <c r="Q91" s="192">
        <v>300</v>
      </c>
      <c r="R91" s="192">
        <v>14110</v>
      </c>
      <c r="S91" s="193">
        <v>643.32000000000005</v>
      </c>
      <c r="T91" s="192">
        <v>14116</v>
      </c>
      <c r="U91" s="193">
        <v>643.32000000000005</v>
      </c>
      <c r="V91" s="193">
        <f t="shared" si="13"/>
        <v>0</v>
      </c>
      <c r="W91" s="194">
        <v>0</v>
      </c>
      <c r="X91" s="192">
        <v>70260</v>
      </c>
      <c r="Y91" s="193">
        <v>0</v>
      </c>
      <c r="Z91" s="191" t="s">
        <v>427</v>
      </c>
      <c r="AA91" s="191"/>
      <c r="AB91" s="191">
        <v>195581</v>
      </c>
      <c r="AC91" s="191"/>
      <c r="AD91" s="191" t="s">
        <v>426</v>
      </c>
      <c r="AE91" s="191" t="s">
        <v>425</v>
      </c>
      <c r="AF91" s="192" t="s">
        <v>92</v>
      </c>
      <c r="AG91" s="191"/>
      <c r="AH91" s="192" t="s">
        <v>424</v>
      </c>
      <c r="AI91" s="191">
        <v>0</v>
      </c>
      <c r="AJ91" s="191">
        <v>0</v>
      </c>
    </row>
    <row r="92" spans="2:48">
      <c r="B92" s="192">
        <v>2120</v>
      </c>
      <c r="C92" s="196">
        <v>208022</v>
      </c>
      <c r="D92" s="192">
        <v>207231</v>
      </c>
      <c r="E92" s="191" t="s">
        <v>559</v>
      </c>
      <c r="F92" s="192"/>
      <c r="G92" s="191"/>
      <c r="H92" s="191"/>
      <c r="I92" s="191"/>
      <c r="J92" s="191">
        <v>0</v>
      </c>
      <c r="K92" s="191" t="s">
        <v>558</v>
      </c>
      <c r="L92" s="191"/>
      <c r="M92" s="191" t="s">
        <v>448</v>
      </c>
      <c r="N92" s="195">
        <v>43465</v>
      </c>
      <c r="O92" s="195">
        <v>43465</v>
      </c>
      <c r="P92" s="191" t="s">
        <v>557</v>
      </c>
      <c r="Q92" s="192">
        <v>1000</v>
      </c>
      <c r="R92" s="192">
        <v>14040</v>
      </c>
      <c r="S92" s="193">
        <v>2187.5</v>
      </c>
      <c r="T92" s="192">
        <v>14046</v>
      </c>
      <c r="U92" s="193">
        <v>893.23</v>
      </c>
      <c r="V92" s="193">
        <f t="shared" si="13"/>
        <v>1294.27</v>
      </c>
      <c r="W92" s="194">
        <v>18.23</v>
      </c>
      <c r="X92" s="192">
        <v>51260</v>
      </c>
      <c r="Y92" s="193">
        <v>18.23</v>
      </c>
      <c r="Z92" s="191" t="s">
        <v>427</v>
      </c>
      <c r="AA92" s="191"/>
      <c r="AB92" s="191">
        <v>85471977</v>
      </c>
      <c r="AC92" s="191"/>
      <c r="AD92" s="191" t="s">
        <v>426</v>
      </c>
      <c r="AE92" s="191" t="s">
        <v>425</v>
      </c>
      <c r="AF92" s="192" t="s">
        <v>92</v>
      </c>
      <c r="AG92" s="191"/>
      <c r="AH92" s="192" t="s">
        <v>424</v>
      </c>
      <c r="AI92" s="191">
        <v>0</v>
      </c>
      <c r="AJ92" s="191">
        <v>0</v>
      </c>
    </row>
    <row r="93" spans="2:48">
      <c r="B93" s="192">
        <v>2120</v>
      </c>
      <c r="C93" s="196">
        <v>208021</v>
      </c>
      <c r="D93" s="192">
        <v>207231</v>
      </c>
      <c r="E93" s="191" t="s">
        <v>560</v>
      </c>
      <c r="F93" s="192"/>
      <c r="G93" s="191"/>
      <c r="H93" s="191"/>
      <c r="I93" s="191"/>
      <c r="J93" s="191">
        <v>0</v>
      </c>
      <c r="K93" s="191" t="s">
        <v>558</v>
      </c>
      <c r="L93" s="191"/>
      <c r="M93" s="191" t="s">
        <v>448</v>
      </c>
      <c r="N93" s="195">
        <v>43465</v>
      </c>
      <c r="O93" s="195">
        <v>43465</v>
      </c>
      <c r="P93" s="191" t="s">
        <v>557</v>
      </c>
      <c r="Q93" s="192">
        <v>1000</v>
      </c>
      <c r="R93" s="192">
        <v>14040</v>
      </c>
      <c r="S93" s="193">
        <v>190.4</v>
      </c>
      <c r="T93" s="192">
        <v>14046</v>
      </c>
      <c r="U93" s="193">
        <v>77.75</v>
      </c>
      <c r="V93" s="193">
        <f t="shared" si="13"/>
        <v>112.65</v>
      </c>
      <c r="W93" s="194">
        <v>1.59</v>
      </c>
      <c r="X93" s="192">
        <v>51260</v>
      </c>
      <c r="Y93" s="193">
        <v>1.59</v>
      </c>
      <c r="Z93" s="191" t="s">
        <v>427</v>
      </c>
      <c r="AA93" s="191"/>
      <c r="AB93" s="191">
        <v>27451</v>
      </c>
      <c r="AC93" s="191"/>
      <c r="AD93" s="191" t="s">
        <v>426</v>
      </c>
      <c r="AE93" s="191" t="s">
        <v>425</v>
      </c>
      <c r="AF93" s="192" t="s">
        <v>92</v>
      </c>
      <c r="AG93" s="191"/>
      <c r="AH93" s="192" t="s">
        <v>424</v>
      </c>
      <c r="AI93" s="191">
        <v>0</v>
      </c>
      <c r="AJ93" s="191">
        <v>0</v>
      </c>
    </row>
    <row r="94" spans="2:48">
      <c r="B94" s="192">
        <v>2120</v>
      </c>
      <c r="C94" s="196">
        <v>207231</v>
      </c>
      <c r="D94" s="192" t="s">
        <v>427</v>
      </c>
      <c r="E94" s="191" t="s">
        <v>568</v>
      </c>
      <c r="F94" s="192"/>
      <c r="G94" s="191"/>
      <c r="H94" s="191" t="s">
        <v>567</v>
      </c>
      <c r="I94" s="191" t="s">
        <v>566</v>
      </c>
      <c r="J94" s="191">
        <v>2019</v>
      </c>
      <c r="K94" s="191" t="s">
        <v>494</v>
      </c>
      <c r="L94" s="191" t="s">
        <v>565</v>
      </c>
      <c r="M94" s="191" t="s">
        <v>564</v>
      </c>
      <c r="N94" s="195">
        <v>43465</v>
      </c>
      <c r="O94" s="195">
        <v>43465</v>
      </c>
      <c r="P94" s="191" t="s">
        <v>557</v>
      </c>
      <c r="Q94" s="192">
        <v>1000</v>
      </c>
      <c r="R94" s="192">
        <v>14040</v>
      </c>
      <c r="S94" s="193">
        <v>235440.3</v>
      </c>
      <c r="T94" s="192">
        <v>14046</v>
      </c>
      <c r="U94" s="193">
        <v>96138.12</v>
      </c>
      <c r="V94" s="193">
        <f t="shared" si="13"/>
        <v>139302.18</v>
      </c>
      <c r="W94" s="194">
        <v>1962</v>
      </c>
      <c r="X94" s="192">
        <v>51260</v>
      </c>
      <c r="Y94" s="193">
        <v>1962</v>
      </c>
      <c r="Z94" s="191" t="s">
        <v>427</v>
      </c>
      <c r="AA94" s="191"/>
      <c r="AB94" s="191">
        <v>238420</v>
      </c>
      <c r="AC94" s="191">
        <v>33</v>
      </c>
      <c r="AD94" s="191" t="s">
        <v>426</v>
      </c>
      <c r="AE94" s="191" t="s">
        <v>425</v>
      </c>
      <c r="AF94" s="192" t="s">
        <v>92</v>
      </c>
      <c r="AG94" s="191"/>
      <c r="AH94" s="192" t="s">
        <v>424</v>
      </c>
      <c r="AI94" s="191">
        <v>0</v>
      </c>
      <c r="AJ94" s="191">
        <v>0</v>
      </c>
    </row>
    <row r="95" spans="2:48">
      <c r="B95" s="192">
        <v>2120</v>
      </c>
      <c r="C95" s="196">
        <v>207436</v>
      </c>
      <c r="D95" s="192">
        <v>207231</v>
      </c>
      <c r="E95" s="191" t="s">
        <v>562</v>
      </c>
      <c r="F95" s="192"/>
      <c r="G95" s="191"/>
      <c r="H95" s="191"/>
      <c r="I95" s="191"/>
      <c r="J95" s="191">
        <v>2018</v>
      </c>
      <c r="K95" s="191" t="s">
        <v>558</v>
      </c>
      <c r="L95" s="191" t="s">
        <v>558</v>
      </c>
      <c r="M95" s="191" t="s">
        <v>448</v>
      </c>
      <c r="N95" s="195">
        <v>43440</v>
      </c>
      <c r="O95" s="195">
        <v>43440</v>
      </c>
      <c r="P95" s="191" t="s">
        <v>557</v>
      </c>
      <c r="Q95" s="192">
        <v>500</v>
      </c>
      <c r="R95" s="192">
        <v>14040</v>
      </c>
      <c r="S95" s="193">
        <v>1611.62</v>
      </c>
      <c r="T95" s="192">
        <v>14046</v>
      </c>
      <c r="U95" s="193">
        <v>1343</v>
      </c>
      <c r="V95" s="193">
        <f t="shared" si="13"/>
        <v>268.61999999999989</v>
      </c>
      <c r="W95" s="194">
        <v>26.86</v>
      </c>
      <c r="X95" s="192">
        <v>51260</v>
      </c>
      <c r="Y95" s="193">
        <v>26.86</v>
      </c>
      <c r="Z95" s="191" t="s">
        <v>427</v>
      </c>
      <c r="AA95" s="191"/>
      <c r="AB95" s="191" t="s">
        <v>561</v>
      </c>
      <c r="AC95" s="191"/>
      <c r="AD95" s="191" t="s">
        <v>426</v>
      </c>
      <c r="AE95" s="191" t="s">
        <v>425</v>
      </c>
      <c r="AF95" s="192" t="s">
        <v>92</v>
      </c>
      <c r="AG95" s="191"/>
      <c r="AH95" s="192" t="s">
        <v>424</v>
      </c>
      <c r="AI95" s="191">
        <v>0</v>
      </c>
      <c r="AJ95" s="191">
        <v>0</v>
      </c>
    </row>
    <row r="96" spans="2:48">
      <c r="B96" s="192">
        <v>2120</v>
      </c>
      <c r="C96" s="196">
        <v>206404</v>
      </c>
      <c r="D96" s="192">
        <v>207231</v>
      </c>
      <c r="E96" s="191" t="s">
        <v>563</v>
      </c>
      <c r="F96" s="192"/>
      <c r="G96" s="191"/>
      <c r="H96" s="191"/>
      <c r="I96" s="191"/>
      <c r="J96" s="191">
        <v>0</v>
      </c>
      <c r="K96" s="191" t="s">
        <v>558</v>
      </c>
      <c r="L96" s="191"/>
      <c r="M96" s="191" t="s">
        <v>448</v>
      </c>
      <c r="N96" s="195">
        <v>43432</v>
      </c>
      <c r="O96" s="195">
        <v>43432</v>
      </c>
      <c r="P96" s="191" t="s">
        <v>557</v>
      </c>
      <c r="Q96" s="192">
        <v>500</v>
      </c>
      <c r="R96" s="192">
        <v>14040</v>
      </c>
      <c r="S96" s="193">
        <v>795.56</v>
      </c>
      <c r="T96" s="192">
        <v>14046</v>
      </c>
      <c r="U96" s="193">
        <v>662.96</v>
      </c>
      <c r="V96" s="193">
        <f t="shared" si="13"/>
        <v>132.59999999999991</v>
      </c>
      <c r="W96" s="194">
        <v>13.26</v>
      </c>
      <c r="X96" s="192">
        <v>51260</v>
      </c>
      <c r="Y96" s="193">
        <v>13.26</v>
      </c>
      <c r="Z96" s="191" t="s">
        <v>427</v>
      </c>
      <c r="AA96" s="191"/>
      <c r="AB96" s="191">
        <v>42378</v>
      </c>
      <c r="AC96" s="191"/>
      <c r="AD96" s="191" t="s">
        <v>426</v>
      </c>
      <c r="AE96" s="191" t="s">
        <v>425</v>
      </c>
      <c r="AF96" s="192" t="s">
        <v>92</v>
      </c>
      <c r="AG96" s="191"/>
      <c r="AH96" s="192" t="s">
        <v>424</v>
      </c>
      <c r="AI96" s="191">
        <v>0</v>
      </c>
      <c r="AJ96" s="191">
        <v>0</v>
      </c>
    </row>
    <row r="97" spans="2:36">
      <c r="B97" s="192">
        <v>2120</v>
      </c>
      <c r="C97" s="196">
        <v>206422</v>
      </c>
      <c r="D97" s="192" t="s">
        <v>427</v>
      </c>
      <c r="E97" s="191" t="s">
        <v>571</v>
      </c>
      <c r="F97" s="192">
        <v>112</v>
      </c>
      <c r="G97" s="191"/>
      <c r="H97" s="191"/>
      <c r="I97" s="191"/>
      <c r="J97" s="191">
        <v>0</v>
      </c>
      <c r="K97" s="191" t="s">
        <v>458</v>
      </c>
      <c r="L97" s="191"/>
      <c r="M97" s="191"/>
      <c r="N97" s="195">
        <v>43419</v>
      </c>
      <c r="O97" s="195">
        <v>43419</v>
      </c>
      <c r="P97" s="191" t="s">
        <v>570</v>
      </c>
      <c r="Q97" s="192">
        <v>700</v>
      </c>
      <c r="R97" s="192">
        <v>14050</v>
      </c>
      <c r="S97" s="193">
        <v>5155.43</v>
      </c>
      <c r="T97" s="192">
        <v>14056</v>
      </c>
      <c r="U97" s="193">
        <v>3130.08</v>
      </c>
      <c r="V97" s="193">
        <f t="shared" si="13"/>
        <v>2025.3500000000004</v>
      </c>
      <c r="W97" s="194">
        <v>61.37</v>
      </c>
      <c r="X97" s="192">
        <v>54260</v>
      </c>
      <c r="Y97" s="193">
        <v>61.37</v>
      </c>
      <c r="Z97" s="191" t="s">
        <v>427</v>
      </c>
      <c r="AA97" s="191"/>
      <c r="AB97" s="191" t="s">
        <v>569</v>
      </c>
      <c r="AC97" s="191"/>
      <c r="AD97" s="191" t="s">
        <v>426</v>
      </c>
      <c r="AE97" s="191" t="s">
        <v>425</v>
      </c>
      <c r="AF97" s="192" t="s">
        <v>92</v>
      </c>
      <c r="AG97" s="191"/>
      <c r="AH97" s="192" t="s">
        <v>424</v>
      </c>
      <c r="AI97" s="191">
        <v>0</v>
      </c>
      <c r="AJ97" s="191">
        <v>0</v>
      </c>
    </row>
    <row r="98" spans="2:36">
      <c r="B98" s="192">
        <v>2120</v>
      </c>
      <c r="C98" s="196">
        <v>204848</v>
      </c>
      <c r="D98" s="192">
        <v>207231</v>
      </c>
      <c r="E98" s="191" t="s">
        <v>522</v>
      </c>
      <c r="F98" s="192"/>
      <c r="G98" s="191"/>
      <c r="H98" s="191"/>
      <c r="I98" s="191"/>
      <c r="J98" s="191">
        <v>0</v>
      </c>
      <c r="K98" s="191" t="s">
        <v>558</v>
      </c>
      <c r="L98" s="191"/>
      <c r="M98" s="191" t="s">
        <v>448</v>
      </c>
      <c r="N98" s="195">
        <v>43398</v>
      </c>
      <c r="O98" s="195">
        <v>43398</v>
      </c>
      <c r="P98" s="191" t="s">
        <v>557</v>
      </c>
      <c r="Q98" s="192">
        <v>500</v>
      </c>
      <c r="R98" s="192">
        <v>14040</v>
      </c>
      <c r="S98" s="193">
        <v>488.34</v>
      </c>
      <c r="T98" s="192">
        <v>14046</v>
      </c>
      <c r="U98" s="193">
        <v>415.1</v>
      </c>
      <c r="V98" s="193">
        <f t="shared" si="13"/>
        <v>73.239999999999952</v>
      </c>
      <c r="W98" s="194">
        <v>8.14</v>
      </c>
      <c r="X98" s="192">
        <v>51260</v>
      </c>
      <c r="Y98" s="193">
        <v>8.14</v>
      </c>
      <c r="Z98" s="191" t="s">
        <v>427</v>
      </c>
      <c r="AA98" s="191"/>
      <c r="AB98" s="191">
        <v>5157614</v>
      </c>
      <c r="AC98" s="191"/>
      <c r="AD98" s="191" t="s">
        <v>426</v>
      </c>
      <c r="AE98" s="191" t="s">
        <v>425</v>
      </c>
      <c r="AF98" s="192" t="s">
        <v>92</v>
      </c>
      <c r="AG98" s="191"/>
      <c r="AH98" s="192" t="s">
        <v>424</v>
      </c>
      <c r="AI98" s="191">
        <v>0</v>
      </c>
      <c r="AJ98" s="191">
        <v>0</v>
      </c>
    </row>
    <row r="99" spans="2:36">
      <c r="B99" s="192">
        <v>2120</v>
      </c>
      <c r="C99" s="196">
        <v>204804</v>
      </c>
      <c r="D99" s="192" t="s">
        <v>427</v>
      </c>
      <c r="E99" s="191" t="s">
        <v>365</v>
      </c>
      <c r="F99" s="192">
        <v>2</v>
      </c>
      <c r="G99" s="191"/>
      <c r="H99" s="191"/>
      <c r="I99" s="191"/>
      <c r="J99" s="191">
        <v>0</v>
      </c>
      <c r="K99" s="191" t="s">
        <v>484</v>
      </c>
      <c r="L99" s="191"/>
      <c r="M99" s="191" t="s">
        <v>443</v>
      </c>
      <c r="N99" s="195">
        <v>43379</v>
      </c>
      <c r="O99" s="195">
        <v>43379</v>
      </c>
      <c r="P99" s="191" t="s">
        <v>572</v>
      </c>
      <c r="Q99" s="192">
        <v>1200</v>
      </c>
      <c r="R99" s="192">
        <v>14050</v>
      </c>
      <c r="S99" s="193">
        <v>17196.25</v>
      </c>
      <c r="T99" s="192">
        <v>14056</v>
      </c>
      <c r="U99" s="193">
        <v>6209.76</v>
      </c>
      <c r="V99" s="193">
        <f t="shared" si="13"/>
        <v>10986.49</v>
      </c>
      <c r="W99" s="194">
        <v>119.42</v>
      </c>
      <c r="X99" s="192">
        <v>54260</v>
      </c>
      <c r="Y99" s="193">
        <v>119.42</v>
      </c>
      <c r="Z99" s="191" t="s">
        <v>427</v>
      </c>
      <c r="AA99" s="191"/>
      <c r="AB99" s="191">
        <v>37217832</v>
      </c>
      <c r="AC99" s="191"/>
      <c r="AD99" s="191" t="s">
        <v>426</v>
      </c>
      <c r="AE99" s="191" t="s">
        <v>425</v>
      </c>
      <c r="AF99" s="192" t="s">
        <v>92</v>
      </c>
      <c r="AG99" s="191"/>
      <c r="AH99" s="192" t="s">
        <v>424</v>
      </c>
      <c r="AI99" s="191">
        <v>0</v>
      </c>
      <c r="AJ99" s="191">
        <v>0</v>
      </c>
    </row>
    <row r="100" spans="2:36">
      <c r="B100" s="192">
        <v>2120</v>
      </c>
      <c r="C100" s="196">
        <v>203940</v>
      </c>
      <c r="D100" s="192" t="s">
        <v>427</v>
      </c>
      <c r="E100" s="191" t="s">
        <v>578</v>
      </c>
      <c r="F100" s="192"/>
      <c r="G100" s="191"/>
      <c r="H100" s="191" t="s">
        <v>577</v>
      </c>
      <c r="I100" s="191" t="s">
        <v>576</v>
      </c>
      <c r="J100" s="191">
        <v>2018</v>
      </c>
      <c r="K100" s="191" t="s">
        <v>575</v>
      </c>
      <c r="L100" s="191" t="s">
        <v>575</v>
      </c>
      <c r="M100" s="191" t="s">
        <v>574</v>
      </c>
      <c r="N100" s="195">
        <v>43376</v>
      </c>
      <c r="O100" s="195">
        <v>43376</v>
      </c>
      <c r="P100" s="191" t="s">
        <v>573</v>
      </c>
      <c r="Q100" s="192">
        <v>500</v>
      </c>
      <c r="R100" s="192">
        <v>14040</v>
      </c>
      <c r="S100" s="193">
        <v>34219.39</v>
      </c>
      <c r="T100" s="192">
        <v>14046</v>
      </c>
      <c r="U100" s="193">
        <v>29656.81</v>
      </c>
      <c r="V100" s="193">
        <f t="shared" si="13"/>
        <v>4562.5799999999981</v>
      </c>
      <c r="W100" s="194">
        <v>570.32000000000005</v>
      </c>
      <c r="X100" s="192">
        <v>51260</v>
      </c>
      <c r="Y100" s="193">
        <v>570.32000000000005</v>
      </c>
      <c r="Z100" s="191" t="s">
        <v>427</v>
      </c>
      <c r="AA100" s="191"/>
      <c r="AB100" s="191">
        <v>7769652940</v>
      </c>
      <c r="AC100" s="191">
        <v>9</v>
      </c>
      <c r="AD100" s="191" t="s">
        <v>426</v>
      </c>
      <c r="AE100" s="191" t="s">
        <v>425</v>
      </c>
      <c r="AF100" s="192" t="s">
        <v>92</v>
      </c>
      <c r="AG100" s="191"/>
      <c r="AH100" s="192" t="s">
        <v>424</v>
      </c>
      <c r="AI100" s="191">
        <v>0</v>
      </c>
      <c r="AJ100" s="191">
        <v>0</v>
      </c>
    </row>
    <row r="101" spans="2:36">
      <c r="B101" s="192">
        <v>2120</v>
      </c>
      <c r="C101" s="196">
        <v>203788</v>
      </c>
      <c r="D101" s="192" t="s">
        <v>427</v>
      </c>
      <c r="E101" s="191" t="s">
        <v>297</v>
      </c>
      <c r="F101" s="192">
        <v>100</v>
      </c>
      <c r="G101" s="191"/>
      <c r="H101" s="191"/>
      <c r="I101" s="191"/>
      <c r="J101" s="191">
        <v>0</v>
      </c>
      <c r="K101" s="191" t="s">
        <v>580</v>
      </c>
      <c r="L101" s="191"/>
      <c r="M101" s="191"/>
      <c r="N101" s="195">
        <v>43370</v>
      </c>
      <c r="O101" s="195">
        <v>43370</v>
      </c>
      <c r="P101" s="191" t="s">
        <v>579</v>
      </c>
      <c r="Q101" s="192">
        <v>700</v>
      </c>
      <c r="R101" s="192">
        <v>14050</v>
      </c>
      <c r="S101" s="193">
        <v>6316.47</v>
      </c>
      <c r="T101" s="192">
        <v>14056</v>
      </c>
      <c r="U101" s="193">
        <v>3910.19</v>
      </c>
      <c r="V101" s="193">
        <f t="shared" si="13"/>
        <v>2406.2800000000002</v>
      </c>
      <c r="W101" s="194">
        <v>75.2</v>
      </c>
      <c r="X101" s="192">
        <v>54260</v>
      </c>
      <c r="Y101" s="193">
        <v>75.2</v>
      </c>
      <c r="Z101" s="191" t="s">
        <v>427</v>
      </c>
      <c r="AA101" s="191"/>
      <c r="AB101" s="191">
        <v>65555726</v>
      </c>
      <c r="AC101" s="191"/>
      <c r="AD101" s="191" t="s">
        <v>426</v>
      </c>
      <c r="AE101" s="191" t="s">
        <v>425</v>
      </c>
      <c r="AF101" s="192" t="s">
        <v>92</v>
      </c>
      <c r="AG101" s="191"/>
      <c r="AH101" s="192" t="s">
        <v>424</v>
      </c>
      <c r="AI101" s="191">
        <v>0</v>
      </c>
      <c r="AJ101" s="191">
        <v>0</v>
      </c>
    </row>
    <row r="102" spans="2:36">
      <c r="B102" s="192">
        <v>2120</v>
      </c>
      <c r="C102" s="196">
        <v>203656</v>
      </c>
      <c r="D102" s="192" t="s">
        <v>427</v>
      </c>
      <c r="E102" s="191" t="s">
        <v>366</v>
      </c>
      <c r="F102" s="192"/>
      <c r="G102" s="191"/>
      <c r="H102" s="191"/>
      <c r="I102" s="191"/>
      <c r="J102" s="191">
        <v>0</v>
      </c>
      <c r="K102" s="191" t="s">
        <v>535</v>
      </c>
      <c r="L102" s="191"/>
      <c r="M102" s="191"/>
      <c r="N102" s="195">
        <v>43354</v>
      </c>
      <c r="O102" s="195">
        <v>43354</v>
      </c>
      <c r="P102" s="191" t="s">
        <v>582</v>
      </c>
      <c r="Q102" s="192">
        <v>300</v>
      </c>
      <c r="R102" s="192">
        <v>14110</v>
      </c>
      <c r="S102" s="193">
        <v>1282.99</v>
      </c>
      <c r="T102" s="192">
        <v>14116</v>
      </c>
      <c r="U102" s="193">
        <v>1282.99</v>
      </c>
      <c r="V102" s="193">
        <f t="shared" si="13"/>
        <v>0</v>
      </c>
      <c r="W102" s="194">
        <v>0</v>
      </c>
      <c r="X102" s="192">
        <v>70260</v>
      </c>
      <c r="Y102" s="193">
        <v>0</v>
      </c>
      <c r="Z102" s="191" t="s">
        <v>427</v>
      </c>
      <c r="AA102" s="191"/>
      <c r="AB102" s="191" t="s">
        <v>581</v>
      </c>
      <c r="AC102" s="191"/>
      <c r="AD102" s="191" t="s">
        <v>426</v>
      </c>
      <c r="AE102" s="191" t="s">
        <v>425</v>
      </c>
      <c r="AF102" s="192" t="s">
        <v>92</v>
      </c>
      <c r="AG102" s="191"/>
      <c r="AH102" s="192" t="s">
        <v>424</v>
      </c>
      <c r="AI102" s="191">
        <v>0</v>
      </c>
      <c r="AJ102" s="191">
        <v>0</v>
      </c>
    </row>
    <row r="103" spans="2:36">
      <c r="B103" s="192">
        <v>2120</v>
      </c>
      <c r="C103" s="196">
        <v>202950</v>
      </c>
      <c r="D103" s="192" t="s">
        <v>427</v>
      </c>
      <c r="E103" s="191" t="s">
        <v>340</v>
      </c>
      <c r="F103" s="192">
        <v>6</v>
      </c>
      <c r="G103" s="191"/>
      <c r="H103" s="191"/>
      <c r="I103" s="191"/>
      <c r="J103" s="191">
        <v>0</v>
      </c>
      <c r="K103" s="191" t="s">
        <v>430</v>
      </c>
      <c r="L103" s="191"/>
      <c r="M103" s="191" t="s">
        <v>543</v>
      </c>
      <c r="N103" s="195">
        <v>43348</v>
      </c>
      <c r="O103" s="195">
        <v>43348</v>
      </c>
      <c r="P103" s="191" t="s">
        <v>583</v>
      </c>
      <c r="Q103" s="192">
        <v>1200</v>
      </c>
      <c r="R103" s="192">
        <v>14050</v>
      </c>
      <c r="S103" s="193">
        <v>5441.74</v>
      </c>
      <c r="T103" s="192">
        <v>14056</v>
      </c>
      <c r="U103" s="193">
        <v>2002.87</v>
      </c>
      <c r="V103" s="193">
        <f t="shared" si="13"/>
        <v>3438.87</v>
      </c>
      <c r="W103" s="194">
        <v>37.79</v>
      </c>
      <c r="X103" s="192">
        <v>54260</v>
      </c>
      <c r="Y103" s="193">
        <v>37.79</v>
      </c>
      <c r="Z103" s="191" t="s">
        <v>427</v>
      </c>
      <c r="AA103" s="191"/>
      <c r="AB103" s="191">
        <v>8105</v>
      </c>
      <c r="AC103" s="191"/>
      <c r="AD103" s="191" t="s">
        <v>426</v>
      </c>
      <c r="AE103" s="191" t="s">
        <v>425</v>
      </c>
      <c r="AF103" s="192" t="s">
        <v>92</v>
      </c>
      <c r="AG103" s="191"/>
      <c r="AH103" s="192" t="s">
        <v>424</v>
      </c>
      <c r="AI103" s="191">
        <v>0</v>
      </c>
      <c r="AJ103" s="191">
        <v>0</v>
      </c>
    </row>
    <row r="104" spans="2:36">
      <c r="B104" s="192">
        <v>2120</v>
      </c>
      <c r="C104" s="196">
        <v>202949</v>
      </c>
      <c r="D104" s="192" t="s">
        <v>427</v>
      </c>
      <c r="E104" s="191" t="s">
        <v>341</v>
      </c>
      <c r="F104" s="192">
        <v>12</v>
      </c>
      <c r="G104" s="191"/>
      <c r="H104" s="191"/>
      <c r="I104" s="191"/>
      <c r="J104" s="191">
        <v>0</v>
      </c>
      <c r="K104" s="191" t="s">
        <v>430</v>
      </c>
      <c r="L104" s="191"/>
      <c r="M104" s="191" t="s">
        <v>469</v>
      </c>
      <c r="N104" s="195">
        <v>43348</v>
      </c>
      <c r="O104" s="195">
        <v>43348</v>
      </c>
      <c r="P104" s="191" t="s">
        <v>584</v>
      </c>
      <c r="Q104" s="192">
        <v>1200</v>
      </c>
      <c r="R104" s="192">
        <v>14050</v>
      </c>
      <c r="S104" s="193">
        <v>7964.26</v>
      </c>
      <c r="T104" s="192">
        <v>14056</v>
      </c>
      <c r="U104" s="193">
        <v>2931.3</v>
      </c>
      <c r="V104" s="193">
        <f t="shared" si="13"/>
        <v>5032.96</v>
      </c>
      <c r="W104" s="194">
        <v>55.31</v>
      </c>
      <c r="X104" s="192">
        <v>54260</v>
      </c>
      <c r="Y104" s="193">
        <v>55.31</v>
      </c>
      <c r="Z104" s="191" t="s">
        <v>427</v>
      </c>
      <c r="AA104" s="191"/>
      <c r="AB104" s="191">
        <v>8105</v>
      </c>
      <c r="AC104" s="191"/>
      <c r="AD104" s="191" t="s">
        <v>426</v>
      </c>
      <c r="AE104" s="191" t="s">
        <v>425</v>
      </c>
      <c r="AF104" s="192" t="s">
        <v>92</v>
      </c>
      <c r="AG104" s="191"/>
      <c r="AH104" s="192" t="s">
        <v>424</v>
      </c>
      <c r="AI104" s="191">
        <v>0</v>
      </c>
      <c r="AJ104" s="191">
        <v>0</v>
      </c>
    </row>
    <row r="105" spans="2:36">
      <c r="B105" s="192">
        <v>2120</v>
      </c>
      <c r="C105" s="196">
        <v>202948</v>
      </c>
      <c r="D105" s="192" t="s">
        <v>427</v>
      </c>
      <c r="E105" s="191" t="s">
        <v>342</v>
      </c>
      <c r="F105" s="192">
        <v>12</v>
      </c>
      <c r="G105" s="191"/>
      <c r="H105" s="191"/>
      <c r="I105" s="191"/>
      <c r="J105" s="191">
        <v>0</v>
      </c>
      <c r="K105" s="191" t="s">
        <v>430</v>
      </c>
      <c r="L105" s="191"/>
      <c r="M105" s="191" t="s">
        <v>464</v>
      </c>
      <c r="N105" s="195">
        <v>43348</v>
      </c>
      <c r="O105" s="195">
        <v>43348</v>
      </c>
      <c r="P105" s="191" t="s">
        <v>585</v>
      </c>
      <c r="Q105" s="192">
        <v>1200</v>
      </c>
      <c r="R105" s="192">
        <v>14050</v>
      </c>
      <c r="S105" s="193">
        <v>7602.06</v>
      </c>
      <c r="T105" s="192">
        <v>14056</v>
      </c>
      <c r="U105" s="193">
        <v>2798</v>
      </c>
      <c r="V105" s="193">
        <f t="shared" si="13"/>
        <v>4804.0600000000004</v>
      </c>
      <c r="W105" s="194">
        <v>52.79</v>
      </c>
      <c r="X105" s="192">
        <v>54260</v>
      </c>
      <c r="Y105" s="193">
        <v>52.79</v>
      </c>
      <c r="Z105" s="191" t="s">
        <v>427</v>
      </c>
      <c r="AA105" s="191"/>
      <c r="AB105" s="191">
        <v>8105</v>
      </c>
      <c r="AC105" s="191"/>
      <c r="AD105" s="191" t="s">
        <v>426</v>
      </c>
      <c r="AE105" s="191" t="s">
        <v>425</v>
      </c>
      <c r="AF105" s="192" t="s">
        <v>92</v>
      </c>
      <c r="AG105" s="191"/>
      <c r="AH105" s="192" t="s">
        <v>424</v>
      </c>
      <c r="AI105" s="191">
        <v>0</v>
      </c>
      <c r="AJ105" s="191">
        <v>0</v>
      </c>
    </row>
    <row r="106" spans="2:36">
      <c r="B106" s="192">
        <v>2120</v>
      </c>
      <c r="C106" s="196">
        <v>202947</v>
      </c>
      <c r="D106" s="192" t="s">
        <v>427</v>
      </c>
      <c r="E106" s="191" t="s">
        <v>284</v>
      </c>
      <c r="F106" s="192">
        <v>20</v>
      </c>
      <c r="G106" s="191"/>
      <c r="H106" s="191"/>
      <c r="I106" s="191"/>
      <c r="J106" s="191">
        <v>0</v>
      </c>
      <c r="K106" s="191" t="s">
        <v>430</v>
      </c>
      <c r="L106" s="191"/>
      <c r="M106" s="191" t="s">
        <v>461</v>
      </c>
      <c r="N106" s="195">
        <v>43348</v>
      </c>
      <c r="O106" s="195">
        <v>43348</v>
      </c>
      <c r="P106" s="191" t="s">
        <v>586</v>
      </c>
      <c r="Q106" s="192">
        <v>1200</v>
      </c>
      <c r="R106" s="192">
        <v>14050</v>
      </c>
      <c r="S106" s="193">
        <v>12220.21</v>
      </c>
      <c r="T106" s="192">
        <v>14056</v>
      </c>
      <c r="U106" s="193">
        <v>4497.71</v>
      </c>
      <c r="V106" s="193">
        <f t="shared" si="13"/>
        <v>7722.4999999999991</v>
      </c>
      <c r="W106" s="194">
        <v>84.86</v>
      </c>
      <c r="X106" s="192">
        <v>54260</v>
      </c>
      <c r="Y106" s="193">
        <v>84.86</v>
      </c>
      <c r="Z106" s="191" t="s">
        <v>427</v>
      </c>
      <c r="AA106" s="191"/>
      <c r="AB106" s="191">
        <v>8105</v>
      </c>
      <c r="AC106" s="191"/>
      <c r="AD106" s="191" t="s">
        <v>426</v>
      </c>
      <c r="AE106" s="191" t="s">
        <v>425</v>
      </c>
      <c r="AF106" s="192" t="s">
        <v>92</v>
      </c>
      <c r="AG106" s="191"/>
      <c r="AH106" s="192" t="s">
        <v>424</v>
      </c>
      <c r="AI106" s="191">
        <v>0</v>
      </c>
      <c r="AJ106" s="191">
        <v>0</v>
      </c>
    </row>
    <row r="107" spans="2:36">
      <c r="B107" s="192">
        <v>2120</v>
      </c>
      <c r="C107" s="196">
        <v>200988</v>
      </c>
      <c r="D107" s="192">
        <v>200785</v>
      </c>
      <c r="E107" s="191" t="s">
        <v>603</v>
      </c>
      <c r="F107" s="192"/>
      <c r="G107" s="191"/>
      <c r="H107" s="191"/>
      <c r="I107" s="191"/>
      <c r="J107" s="191">
        <v>2018</v>
      </c>
      <c r="K107" s="191" t="s">
        <v>558</v>
      </c>
      <c r="L107" s="191" t="s">
        <v>493</v>
      </c>
      <c r="M107" s="191" t="s">
        <v>448</v>
      </c>
      <c r="N107" s="195">
        <v>43300</v>
      </c>
      <c r="O107" s="195">
        <v>43300</v>
      </c>
      <c r="P107" s="191" t="s">
        <v>602</v>
      </c>
      <c r="Q107" s="192">
        <v>1000</v>
      </c>
      <c r="R107" s="192">
        <v>14040</v>
      </c>
      <c r="S107" s="193">
        <v>745.28</v>
      </c>
      <c r="T107" s="192">
        <v>14046</v>
      </c>
      <c r="U107" s="193">
        <v>335.38</v>
      </c>
      <c r="V107" s="193">
        <f t="shared" si="13"/>
        <v>409.9</v>
      </c>
      <c r="W107" s="194">
        <v>6.21</v>
      </c>
      <c r="X107" s="192">
        <v>51260</v>
      </c>
      <c r="Y107" s="193">
        <v>6.21</v>
      </c>
      <c r="Z107" s="191" t="s">
        <v>427</v>
      </c>
      <c r="AA107" s="191"/>
      <c r="AB107" s="191">
        <v>26976</v>
      </c>
      <c r="AC107" s="191"/>
      <c r="AD107" s="191" t="s">
        <v>426</v>
      </c>
      <c r="AE107" s="191" t="s">
        <v>425</v>
      </c>
      <c r="AF107" s="192" t="s">
        <v>92</v>
      </c>
      <c r="AG107" s="191"/>
      <c r="AH107" s="192" t="s">
        <v>424</v>
      </c>
      <c r="AI107" s="191">
        <v>0</v>
      </c>
      <c r="AJ107" s="191">
        <v>0</v>
      </c>
    </row>
    <row r="108" spans="2:36">
      <c r="B108" s="192">
        <v>2120</v>
      </c>
      <c r="C108" s="196">
        <v>200785</v>
      </c>
      <c r="D108" s="192" t="s">
        <v>427</v>
      </c>
      <c r="E108" s="191" t="s">
        <v>607</v>
      </c>
      <c r="F108" s="192"/>
      <c r="G108" s="191"/>
      <c r="H108" s="191" t="s">
        <v>606</v>
      </c>
      <c r="I108" s="191" t="s">
        <v>605</v>
      </c>
      <c r="J108" s="191">
        <v>2019</v>
      </c>
      <c r="K108" s="191" t="s">
        <v>494</v>
      </c>
      <c r="L108" s="191" t="s">
        <v>604</v>
      </c>
      <c r="M108" s="191" t="s">
        <v>492</v>
      </c>
      <c r="N108" s="195">
        <v>43297</v>
      </c>
      <c r="O108" s="195">
        <v>43297</v>
      </c>
      <c r="P108" s="191" t="s">
        <v>602</v>
      </c>
      <c r="Q108" s="192">
        <v>1000</v>
      </c>
      <c r="R108" s="192">
        <v>14040</v>
      </c>
      <c r="S108" s="193">
        <v>251171.24</v>
      </c>
      <c r="T108" s="192">
        <v>14046</v>
      </c>
      <c r="U108" s="193">
        <v>113026.99</v>
      </c>
      <c r="V108" s="193">
        <f t="shared" si="13"/>
        <v>138144.25</v>
      </c>
      <c r="W108" s="194">
        <v>2093.09</v>
      </c>
      <c r="X108" s="192">
        <v>51260</v>
      </c>
      <c r="Y108" s="193">
        <v>2093.09</v>
      </c>
      <c r="Z108" s="191" t="s">
        <v>427</v>
      </c>
      <c r="AA108" s="191"/>
      <c r="AB108" s="191"/>
      <c r="AC108" s="191">
        <v>19</v>
      </c>
      <c r="AD108" s="191" t="s">
        <v>426</v>
      </c>
      <c r="AE108" s="191" t="s">
        <v>425</v>
      </c>
      <c r="AF108" s="192" t="s">
        <v>92</v>
      </c>
      <c r="AG108" s="191"/>
      <c r="AH108" s="192" t="s">
        <v>424</v>
      </c>
      <c r="AI108" s="191">
        <v>0</v>
      </c>
      <c r="AJ108" s="191">
        <v>0</v>
      </c>
    </row>
    <row r="109" spans="2:36">
      <c r="B109" s="192">
        <v>2120</v>
      </c>
      <c r="C109" s="196">
        <v>199415</v>
      </c>
      <c r="D109" s="192">
        <v>197308</v>
      </c>
      <c r="E109" s="191" t="s">
        <v>610</v>
      </c>
      <c r="F109" s="192"/>
      <c r="G109" s="191"/>
      <c r="H109" s="191"/>
      <c r="I109" s="191"/>
      <c r="J109" s="191">
        <v>0</v>
      </c>
      <c r="K109" s="191" t="s">
        <v>609</v>
      </c>
      <c r="L109" s="191"/>
      <c r="M109" s="191" t="s">
        <v>448</v>
      </c>
      <c r="N109" s="195">
        <v>43251</v>
      </c>
      <c r="O109" s="195">
        <v>43251</v>
      </c>
      <c r="P109" s="191" t="s">
        <v>608</v>
      </c>
      <c r="Q109" s="192">
        <v>1000</v>
      </c>
      <c r="R109" s="192">
        <v>14040</v>
      </c>
      <c r="S109" s="193">
        <v>745.28</v>
      </c>
      <c r="T109" s="192">
        <v>14046</v>
      </c>
      <c r="U109" s="193">
        <v>347.81</v>
      </c>
      <c r="V109" s="193">
        <f t="shared" si="13"/>
        <v>397.46999999999997</v>
      </c>
      <c r="W109" s="194">
        <v>6.21</v>
      </c>
      <c r="X109" s="192">
        <v>51260</v>
      </c>
      <c r="Y109" s="193">
        <v>6.21</v>
      </c>
      <c r="Z109" s="191" t="s">
        <v>427</v>
      </c>
      <c r="AA109" s="191"/>
      <c r="AB109" s="191">
        <v>26822</v>
      </c>
      <c r="AC109" s="191"/>
      <c r="AD109" s="191" t="s">
        <v>426</v>
      </c>
      <c r="AE109" s="191" t="s">
        <v>425</v>
      </c>
      <c r="AF109" s="192" t="s">
        <v>92</v>
      </c>
      <c r="AG109" s="191"/>
      <c r="AH109" s="192" t="s">
        <v>424</v>
      </c>
      <c r="AI109" s="191">
        <v>0</v>
      </c>
      <c r="AJ109" s="191">
        <v>0</v>
      </c>
    </row>
    <row r="110" spans="2:36">
      <c r="B110" s="192">
        <v>2120</v>
      </c>
      <c r="C110" s="196">
        <v>199288</v>
      </c>
      <c r="D110" s="192">
        <v>197308</v>
      </c>
      <c r="E110" s="191" t="s">
        <v>612</v>
      </c>
      <c r="F110" s="192"/>
      <c r="G110" s="191"/>
      <c r="H110" s="191"/>
      <c r="I110" s="191"/>
      <c r="J110" s="191">
        <v>0</v>
      </c>
      <c r="K110" s="191" t="s">
        <v>611</v>
      </c>
      <c r="L110" s="191"/>
      <c r="M110" s="191" t="s">
        <v>448</v>
      </c>
      <c r="N110" s="195">
        <v>43251</v>
      </c>
      <c r="O110" s="195">
        <v>43251</v>
      </c>
      <c r="P110" s="191" t="s">
        <v>608</v>
      </c>
      <c r="Q110" s="192">
        <v>1000</v>
      </c>
      <c r="R110" s="192">
        <v>14040</v>
      </c>
      <c r="S110" s="193">
        <v>672.33</v>
      </c>
      <c r="T110" s="192">
        <v>14046</v>
      </c>
      <c r="U110" s="193">
        <v>313.7</v>
      </c>
      <c r="V110" s="193">
        <f t="shared" si="13"/>
        <v>358.63000000000005</v>
      </c>
      <c r="W110" s="194">
        <v>5.6</v>
      </c>
      <c r="X110" s="192">
        <v>51260</v>
      </c>
      <c r="Y110" s="193">
        <v>5.6</v>
      </c>
      <c r="Z110" s="191" t="s">
        <v>427</v>
      </c>
      <c r="AA110" s="191"/>
      <c r="AB110" s="191">
        <v>78507611</v>
      </c>
      <c r="AC110" s="191"/>
      <c r="AD110" s="191" t="s">
        <v>426</v>
      </c>
      <c r="AE110" s="191" t="s">
        <v>425</v>
      </c>
      <c r="AF110" s="192" t="s">
        <v>92</v>
      </c>
      <c r="AG110" s="191"/>
      <c r="AH110" s="192" t="s">
        <v>424</v>
      </c>
      <c r="AI110" s="191">
        <v>0</v>
      </c>
      <c r="AJ110" s="191">
        <v>0</v>
      </c>
    </row>
    <row r="111" spans="2:36">
      <c r="B111" s="192">
        <v>2120</v>
      </c>
      <c r="C111" s="196">
        <v>197582</v>
      </c>
      <c r="D111" s="192">
        <v>197308</v>
      </c>
      <c r="E111" s="191" t="s">
        <v>613</v>
      </c>
      <c r="F111" s="192"/>
      <c r="G111" s="191"/>
      <c r="H111" s="191"/>
      <c r="I111" s="191"/>
      <c r="J111" s="191">
        <v>0</v>
      </c>
      <c r="K111" s="191" t="s">
        <v>503</v>
      </c>
      <c r="L111" s="191"/>
      <c r="M111" s="191" t="s">
        <v>448</v>
      </c>
      <c r="N111" s="195">
        <v>43251</v>
      </c>
      <c r="O111" s="195">
        <v>43251</v>
      </c>
      <c r="P111" s="191" t="s">
        <v>608</v>
      </c>
      <c r="Q111" s="192">
        <v>500</v>
      </c>
      <c r="R111" s="192">
        <v>14040</v>
      </c>
      <c r="S111" s="193">
        <v>487.27</v>
      </c>
      <c r="T111" s="192">
        <v>14046</v>
      </c>
      <c r="U111" s="193">
        <v>454.63</v>
      </c>
      <c r="V111" s="193">
        <f t="shared" si="13"/>
        <v>32.639999999999986</v>
      </c>
      <c r="W111" s="194">
        <v>8.16</v>
      </c>
      <c r="X111" s="192">
        <v>51260</v>
      </c>
      <c r="Y111" s="193">
        <v>8.16</v>
      </c>
      <c r="Z111" s="191" t="s">
        <v>427</v>
      </c>
      <c r="AA111" s="191"/>
      <c r="AB111" s="191">
        <v>5129697</v>
      </c>
      <c r="AC111" s="191"/>
      <c r="AD111" s="191" t="s">
        <v>426</v>
      </c>
      <c r="AE111" s="191" t="s">
        <v>425</v>
      </c>
      <c r="AF111" s="192" t="s">
        <v>92</v>
      </c>
      <c r="AG111" s="191"/>
      <c r="AH111" s="192" t="s">
        <v>424</v>
      </c>
      <c r="AI111" s="191">
        <v>0</v>
      </c>
      <c r="AJ111" s="191">
        <v>0</v>
      </c>
    </row>
    <row r="112" spans="2:36">
      <c r="B112" s="192">
        <v>2120</v>
      </c>
      <c r="C112" s="196">
        <v>197492</v>
      </c>
      <c r="D112" s="192">
        <v>197308</v>
      </c>
      <c r="E112" s="191" t="s">
        <v>615</v>
      </c>
      <c r="F112" s="192"/>
      <c r="G112" s="191"/>
      <c r="H112" s="191"/>
      <c r="I112" s="191"/>
      <c r="J112" s="191">
        <v>0</v>
      </c>
      <c r="K112" s="191" t="s">
        <v>614</v>
      </c>
      <c r="L112" s="191"/>
      <c r="M112" s="191" t="s">
        <v>448</v>
      </c>
      <c r="N112" s="195">
        <v>43251</v>
      </c>
      <c r="O112" s="195">
        <v>43251</v>
      </c>
      <c r="P112" s="191" t="s">
        <v>608</v>
      </c>
      <c r="Q112" s="192">
        <v>500</v>
      </c>
      <c r="R112" s="192">
        <v>14040</v>
      </c>
      <c r="S112" s="193">
        <v>679.14</v>
      </c>
      <c r="T112" s="192">
        <v>14046</v>
      </c>
      <c r="U112" s="193">
        <v>633.87</v>
      </c>
      <c r="V112" s="193">
        <f t="shared" si="13"/>
        <v>45.269999999999982</v>
      </c>
      <c r="W112" s="194">
        <v>11.32</v>
      </c>
      <c r="X112" s="192">
        <v>51260</v>
      </c>
      <c r="Y112" s="193">
        <v>11.32</v>
      </c>
      <c r="Z112" s="191" t="s">
        <v>427</v>
      </c>
      <c r="AA112" s="191"/>
      <c r="AB112" s="191">
        <v>41662</v>
      </c>
      <c r="AC112" s="191"/>
      <c r="AD112" s="191" t="s">
        <v>426</v>
      </c>
      <c r="AE112" s="191" t="s">
        <v>425</v>
      </c>
      <c r="AF112" s="192" t="s">
        <v>92</v>
      </c>
      <c r="AG112" s="191"/>
      <c r="AH112" s="192" t="s">
        <v>424</v>
      </c>
      <c r="AI112" s="191">
        <v>0</v>
      </c>
      <c r="AJ112" s="191">
        <v>0</v>
      </c>
    </row>
    <row r="113" spans="2:36">
      <c r="B113" s="192">
        <v>2120</v>
      </c>
      <c r="C113" s="196">
        <v>197308</v>
      </c>
      <c r="D113" s="192" t="s">
        <v>427</v>
      </c>
      <c r="E113" s="191" t="s">
        <v>607</v>
      </c>
      <c r="F113" s="192"/>
      <c r="G113" s="191"/>
      <c r="H113" s="191" t="s">
        <v>617</v>
      </c>
      <c r="I113" s="191" t="s">
        <v>616</v>
      </c>
      <c r="J113" s="191">
        <v>2019</v>
      </c>
      <c r="K113" s="191" t="s">
        <v>494</v>
      </c>
      <c r="L113" s="191" t="s">
        <v>493</v>
      </c>
      <c r="M113" s="191" t="s">
        <v>492</v>
      </c>
      <c r="N113" s="195">
        <v>43251</v>
      </c>
      <c r="O113" s="195">
        <v>43251</v>
      </c>
      <c r="P113" s="191" t="s">
        <v>608</v>
      </c>
      <c r="Q113" s="192">
        <v>1000</v>
      </c>
      <c r="R113" s="192">
        <v>14040</v>
      </c>
      <c r="S113" s="193">
        <v>249922.9</v>
      </c>
      <c r="T113" s="192">
        <v>14046</v>
      </c>
      <c r="U113" s="193">
        <v>116630.69</v>
      </c>
      <c r="V113" s="193">
        <f t="shared" si="13"/>
        <v>133292.21</v>
      </c>
      <c r="W113" s="194">
        <v>2082.69</v>
      </c>
      <c r="X113" s="192">
        <v>51260</v>
      </c>
      <c r="Y113" s="193">
        <v>2082.69</v>
      </c>
      <c r="Z113" s="191" t="s">
        <v>427</v>
      </c>
      <c r="AA113" s="191"/>
      <c r="AB113" s="191">
        <v>3994062</v>
      </c>
      <c r="AC113" s="191">
        <v>18</v>
      </c>
      <c r="AD113" s="191" t="s">
        <v>426</v>
      </c>
      <c r="AE113" s="191" t="s">
        <v>425</v>
      </c>
      <c r="AF113" s="192" t="s">
        <v>92</v>
      </c>
      <c r="AG113" s="191"/>
      <c r="AH113" s="192" t="s">
        <v>424</v>
      </c>
      <c r="AI113" s="191">
        <v>0</v>
      </c>
      <c r="AJ113" s="191">
        <v>0</v>
      </c>
    </row>
    <row r="114" spans="2:36">
      <c r="B114" s="192">
        <v>2120</v>
      </c>
      <c r="C114" s="196">
        <v>197218</v>
      </c>
      <c r="D114" s="192">
        <v>25787</v>
      </c>
      <c r="E114" s="191" t="s">
        <v>1030</v>
      </c>
      <c r="F114" s="192"/>
      <c r="G114" s="191"/>
      <c r="H114" s="191"/>
      <c r="I114" s="191"/>
      <c r="J114" s="191">
        <v>0</v>
      </c>
      <c r="K114" s="191" t="s">
        <v>1029</v>
      </c>
      <c r="L114" s="191"/>
      <c r="M114" s="191" t="s">
        <v>448</v>
      </c>
      <c r="N114" s="195">
        <v>43218</v>
      </c>
      <c r="O114" s="195">
        <v>43218</v>
      </c>
      <c r="P114" s="191" t="s">
        <v>1028</v>
      </c>
      <c r="Q114" s="192">
        <v>300</v>
      </c>
      <c r="R114" s="192">
        <v>14040</v>
      </c>
      <c r="S114" s="193">
        <v>17036.04</v>
      </c>
      <c r="T114" s="192">
        <v>14046</v>
      </c>
      <c r="U114" s="193">
        <v>17036.04</v>
      </c>
      <c r="V114" s="193">
        <f t="shared" si="13"/>
        <v>0</v>
      </c>
      <c r="W114" s="194">
        <v>0</v>
      </c>
      <c r="X114" s="192">
        <v>51260</v>
      </c>
      <c r="Y114" s="193">
        <v>0</v>
      </c>
      <c r="Z114" s="191" t="s">
        <v>427</v>
      </c>
      <c r="AA114" s="191"/>
      <c r="AB114" s="191" t="s">
        <v>1027</v>
      </c>
      <c r="AC114" s="191"/>
      <c r="AD114" s="191" t="s">
        <v>426</v>
      </c>
      <c r="AE114" s="191" t="s">
        <v>425</v>
      </c>
      <c r="AF114" s="192" t="s">
        <v>92</v>
      </c>
      <c r="AG114" s="191"/>
      <c r="AH114" s="192" t="s">
        <v>424</v>
      </c>
      <c r="AI114" s="191">
        <v>0</v>
      </c>
      <c r="AJ114" s="191">
        <v>0</v>
      </c>
    </row>
    <row r="115" spans="2:36">
      <c r="B115" s="192">
        <v>2120</v>
      </c>
      <c r="C115" s="196">
        <v>195629</v>
      </c>
      <c r="D115" s="192" t="s">
        <v>427</v>
      </c>
      <c r="E115" s="191" t="s">
        <v>619</v>
      </c>
      <c r="F115" s="192">
        <v>150</v>
      </c>
      <c r="G115" s="191"/>
      <c r="H115" s="191"/>
      <c r="I115" s="191" t="s">
        <v>455</v>
      </c>
      <c r="J115" s="191">
        <v>0</v>
      </c>
      <c r="K115" s="191" t="s">
        <v>580</v>
      </c>
      <c r="L115" s="191"/>
      <c r="M115" s="191"/>
      <c r="N115" s="195">
        <v>43195</v>
      </c>
      <c r="O115" s="195">
        <v>43195</v>
      </c>
      <c r="P115" s="191" t="s">
        <v>618</v>
      </c>
      <c r="Q115" s="192">
        <v>700</v>
      </c>
      <c r="R115" s="192">
        <v>14050</v>
      </c>
      <c r="S115" s="193">
        <v>7990.68</v>
      </c>
      <c r="T115" s="192">
        <v>14056</v>
      </c>
      <c r="U115" s="193">
        <v>5517.4</v>
      </c>
      <c r="V115" s="193">
        <f t="shared" si="13"/>
        <v>2473.2800000000007</v>
      </c>
      <c r="W115" s="194">
        <v>95.13</v>
      </c>
      <c r="X115" s="192">
        <v>54260</v>
      </c>
      <c r="Y115" s="193">
        <v>95.13</v>
      </c>
      <c r="Z115" s="191" t="s">
        <v>427</v>
      </c>
      <c r="AA115" s="191"/>
      <c r="AB115" s="191">
        <v>65525901</v>
      </c>
      <c r="AC115" s="191"/>
      <c r="AD115" s="191" t="s">
        <v>426</v>
      </c>
      <c r="AE115" s="191" t="s">
        <v>425</v>
      </c>
      <c r="AF115" s="192" t="s">
        <v>92</v>
      </c>
      <c r="AG115" s="191"/>
      <c r="AH115" s="192" t="s">
        <v>424</v>
      </c>
      <c r="AI115" s="191">
        <v>0</v>
      </c>
      <c r="AJ115" s="191">
        <v>0</v>
      </c>
    </row>
    <row r="116" spans="2:36">
      <c r="B116" s="192">
        <v>2120</v>
      </c>
      <c r="C116" s="196">
        <v>195628</v>
      </c>
      <c r="D116" s="192" t="s">
        <v>427</v>
      </c>
      <c r="E116" s="191" t="s">
        <v>286</v>
      </c>
      <c r="F116" s="192">
        <v>25</v>
      </c>
      <c r="G116" s="191"/>
      <c r="H116" s="191"/>
      <c r="I116" s="191" t="s">
        <v>455</v>
      </c>
      <c r="J116" s="191">
        <v>0</v>
      </c>
      <c r="K116" s="191" t="s">
        <v>580</v>
      </c>
      <c r="L116" s="191"/>
      <c r="M116" s="191"/>
      <c r="N116" s="195">
        <v>43195</v>
      </c>
      <c r="O116" s="195">
        <v>43195</v>
      </c>
      <c r="P116" s="191" t="s">
        <v>618</v>
      </c>
      <c r="Q116" s="192">
        <v>700</v>
      </c>
      <c r="R116" s="192">
        <v>14050</v>
      </c>
      <c r="S116" s="193">
        <v>1224.6300000000001</v>
      </c>
      <c r="T116" s="192">
        <v>14056</v>
      </c>
      <c r="U116" s="193">
        <v>845.59</v>
      </c>
      <c r="V116" s="193">
        <f t="shared" si="13"/>
        <v>379.04000000000008</v>
      </c>
      <c r="W116" s="194">
        <v>14.58</v>
      </c>
      <c r="X116" s="192">
        <v>54260</v>
      </c>
      <c r="Y116" s="193">
        <v>14.58</v>
      </c>
      <c r="Z116" s="191" t="s">
        <v>427</v>
      </c>
      <c r="AA116" s="191"/>
      <c r="AB116" s="191">
        <v>65525901</v>
      </c>
      <c r="AC116" s="191"/>
      <c r="AD116" s="191" t="s">
        <v>426</v>
      </c>
      <c r="AE116" s="191" t="s">
        <v>425</v>
      </c>
      <c r="AF116" s="192" t="s">
        <v>92</v>
      </c>
      <c r="AG116" s="191"/>
      <c r="AH116" s="192" t="s">
        <v>424</v>
      </c>
      <c r="AI116" s="191">
        <v>0</v>
      </c>
      <c r="AJ116" s="191">
        <v>0</v>
      </c>
    </row>
    <row r="117" spans="2:36">
      <c r="B117" s="192">
        <v>2120</v>
      </c>
      <c r="C117" s="196">
        <v>195627</v>
      </c>
      <c r="D117" s="192" t="s">
        <v>427</v>
      </c>
      <c r="E117" s="191" t="s">
        <v>297</v>
      </c>
      <c r="F117" s="192">
        <v>50</v>
      </c>
      <c r="G117" s="191"/>
      <c r="H117" s="191"/>
      <c r="I117" s="191" t="s">
        <v>455</v>
      </c>
      <c r="J117" s="191">
        <v>0</v>
      </c>
      <c r="K117" s="191" t="s">
        <v>580</v>
      </c>
      <c r="L117" s="191"/>
      <c r="M117" s="191"/>
      <c r="N117" s="195">
        <v>43195</v>
      </c>
      <c r="O117" s="195">
        <v>43195</v>
      </c>
      <c r="P117" s="191" t="s">
        <v>620</v>
      </c>
      <c r="Q117" s="192">
        <v>700</v>
      </c>
      <c r="R117" s="192">
        <v>14050</v>
      </c>
      <c r="S117" s="193">
        <v>4072</v>
      </c>
      <c r="T117" s="192">
        <v>14056</v>
      </c>
      <c r="U117" s="193">
        <v>2811.65</v>
      </c>
      <c r="V117" s="193">
        <f t="shared" si="13"/>
        <v>1260.3499999999999</v>
      </c>
      <c r="W117" s="194">
        <v>48.48</v>
      </c>
      <c r="X117" s="192">
        <v>54260</v>
      </c>
      <c r="Y117" s="193">
        <v>48.48</v>
      </c>
      <c r="Z117" s="191" t="s">
        <v>427</v>
      </c>
      <c r="AA117" s="191"/>
      <c r="AB117" s="191">
        <v>65525901</v>
      </c>
      <c r="AC117" s="191"/>
      <c r="AD117" s="191" t="s">
        <v>426</v>
      </c>
      <c r="AE117" s="191" t="s">
        <v>425</v>
      </c>
      <c r="AF117" s="192" t="s">
        <v>92</v>
      </c>
      <c r="AG117" s="191"/>
      <c r="AH117" s="192" t="s">
        <v>424</v>
      </c>
      <c r="AI117" s="191">
        <v>0</v>
      </c>
      <c r="AJ117" s="191">
        <v>0</v>
      </c>
    </row>
    <row r="118" spans="2:36">
      <c r="B118" s="192">
        <v>2120</v>
      </c>
      <c r="C118" s="196">
        <v>191383</v>
      </c>
      <c r="D118" s="192" t="s">
        <v>427</v>
      </c>
      <c r="E118" s="191" t="s">
        <v>297</v>
      </c>
      <c r="F118" s="192">
        <v>50</v>
      </c>
      <c r="G118" s="191"/>
      <c r="H118" s="191"/>
      <c r="I118" s="191" t="s">
        <v>455</v>
      </c>
      <c r="J118" s="191">
        <v>0</v>
      </c>
      <c r="K118" s="191" t="s">
        <v>580</v>
      </c>
      <c r="L118" s="191"/>
      <c r="M118" s="191"/>
      <c r="N118" s="195">
        <v>43101</v>
      </c>
      <c r="O118" s="195">
        <v>43101</v>
      </c>
      <c r="P118" s="191" t="s">
        <v>621</v>
      </c>
      <c r="Q118" s="192">
        <v>610</v>
      </c>
      <c r="R118" s="192">
        <v>14050</v>
      </c>
      <c r="S118" s="193">
        <v>2873.08</v>
      </c>
      <c r="T118" s="192">
        <v>14056</v>
      </c>
      <c r="U118" s="193">
        <v>2137.29</v>
      </c>
      <c r="V118" s="193">
        <f t="shared" si="13"/>
        <v>735.79</v>
      </c>
      <c r="W118" s="194">
        <v>35.04</v>
      </c>
      <c r="X118" s="192">
        <v>54260</v>
      </c>
      <c r="Y118" s="193">
        <v>35.04</v>
      </c>
      <c r="Z118" s="191" t="s">
        <v>427</v>
      </c>
      <c r="AA118" s="191"/>
      <c r="AB118" s="191">
        <v>65502713</v>
      </c>
      <c r="AC118" s="191"/>
      <c r="AD118" s="191" t="s">
        <v>426</v>
      </c>
      <c r="AE118" s="191" t="s">
        <v>425</v>
      </c>
      <c r="AF118" s="192" t="s">
        <v>92</v>
      </c>
      <c r="AG118" s="191"/>
      <c r="AH118" s="192" t="s">
        <v>424</v>
      </c>
      <c r="AI118" s="191">
        <v>0</v>
      </c>
      <c r="AJ118" s="191">
        <v>0</v>
      </c>
    </row>
    <row r="119" spans="2:36">
      <c r="B119" s="192">
        <v>2120</v>
      </c>
      <c r="C119" s="196">
        <v>191382</v>
      </c>
      <c r="D119" s="192" t="s">
        <v>427</v>
      </c>
      <c r="E119" s="191" t="s">
        <v>296</v>
      </c>
      <c r="F119" s="192">
        <v>50</v>
      </c>
      <c r="G119" s="191"/>
      <c r="H119" s="191"/>
      <c r="I119" s="191" t="s">
        <v>455</v>
      </c>
      <c r="J119" s="191">
        <v>0</v>
      </c>
      <c r="K119" s="191" t="s">
        <v>580</v>
      </c>
      <c r="L119" s="191"/>
      <c r="M119" s="191"/>
      <c r="N119" s="195">
        <v>43101</v>
      </c>
      <c r="O119" s="195">
        <v>43101</v>
      </c>
      <c r="P119" s="191" t="s">
        <v>621</v>
      </c>
      <c r="Q119" s="192">
        <v>610</v>
      </c>
      <c r="R119" s="192">
        <v>14050</v>
      </c>
      <c r="S119" s="193">
        <v>2684.44</v>
      </c>
      <c r="T119" s="192">
        <v>14056</v>
      </c>
      <c r="U119" s="193">
        <v>1996.99</v>
      </c>
      <c r="V119" s="193">
        <f t="shared" si="13"/>
        <v>687.45</v>
      </c>
      <c r="W119" s="194">
        <v>32.74</v>
      </c>
      <c r="X119" s="192">
        <v>54260</v>
      </c>
      <c r="Y119" s="193">
        <v>32.74</v>
      </c>
      <c r="Z119" s="191" t="s">
        <v>427</v>
      </c>
      <c r="AA119" s="191"/>
      <c r="AB119" s="191">
        <v>65502713</v>
      </c>
      <c r="AC119" s="191"/>
      <c r="AD119" s="191" t="s">
        <v>426</v>
      </c>
      <c r="AE119" s="191" t="s">
        <v>425</v>
      </c>
      <c r="AF119" s="192" t="s">
        <v>92</v>
      </c>
      <c r="AG119" s="191"/>
      <c r="AH119" s="192" t="s">
        <v>424</v>
      </c>
      <c r="AI119" s="191">
        <v>0</v>
      </c>
      <c r="AJ119" s="191">
        <v>0</v>
      </c>
    </row>
    <row r="120" spans="2:36">
      <c r="B120" s="192">
        <v>2120</v>
      </c>
      <c r="C120" s="196">
        <v>189671</v>
      </c>
      <c r="D120" s="192" t="s">
        <v>427</v>
      </c>
      <c r="E120" s="191" t="s">
        <v>629</v>
      </c>
      <c r="F120" s="192"/>
      <c r="G120" s="191"/>
      <c r="H120" s="191" t="s">
        <v>628</v>
      </c>
      <c r="I120" s="191" t="s">
        <v>627</v>
      </c>
      <c r="J120" s="191">
        <v>2018</v>
      </c>
      <c r="K120" s="191" t="s">
        <v>575</v>
      </c>
      <c r="L120" s="191"/>
      <c r="M120" s="191" t="s">
        <v>574</v>
      </c>
      <c r="N120" s="195">
        <v>43077</v>
      </c>
      <c r="O120" s="195">
        <v>43077</v>
      </c>
      <c r="P120" s="191" t="s">
        <v>626</v>
      </c>
      <c r="Q120" s="192">
        <v>500</v>
      </c>
      <c r="R120" s="192">
        <v>14040</v>
      </c>
      <c r="S120" s="193">
        <v>39177.08</v>
      </c>
      <c r="T120" s="192">
        <v>14046</v>
      </c>
      <c r="U120" s="193">
        <v>39177.08</v>
      </c>
      <c r="V120" s="193">
        <f t="shared" si="13"/>
        <v>0</v>
      </c>
      <c r="W120" s="194">
        <v>0</v>
      </c>
      <c r="X120" s="192">
        <v>51260</v>
      </c>
      <c r="Y120" s="193">
        <v>0</v>
      </c>
      <c r="Z120" s="191" t="s">
        <v>427</v>
      </c>
      <c r="AA120" s="191"/>
      <c r="AB120" s="191">
        <v>7636152940</v>
      </c>
      <c r="AC120" s="191">
        <v>3</v>
      </c>
      <c r="AD120" s="191" t="s">
        <v>426</v>
      </c>
      <c r="AE120" s="191" t="s">
        <v>425</v>
      </c>
      <c r="AF120" s="192" t="s">
        <v>92</v>
      </c>
      <c r="AG120" s="191"/>
      <c r="AH120" s="192" t="s">
        <v>424</v>
      </c>
      <c r="AI120" s="191">
        <v>0</v>
      </c>
      <c r="AJ120" s="191">
        <v>0</v>
      </c>
    </row>
    <row r="121" spans="2:36">
      <c r="B121" s="192">
        <v>2120</v>
      </c>
      <c r="C121" s="196">
        <v>189676</v>
      </c>
      <c r="D121" s="192" t="s">
        <v>427</v>
      </c>
      <c r="E121" s="191" t="s">
        <v>305</v>
      </c>
      <c r="F121" s="192">
        <v>8</v>
      </c>
      <c r="G121" s="191"/>
      <c r="H121" s="191"/>
      <c r="I121" s="191" t="s">
        <v>455</v>
      </c>
      <c r="J121" s="191">
        <v>0</v>
      </c>
      <c r="K121" s="191" t="s">
        <v>484</v>
      </c>
      <c r="L121" s="191"/>
      <c r="M121" s="191" t="s">
        <v>507</v>
      </c>
      <c r="N121" s="195">
        <v>43066</v>
      </c>
      <c r="O121" s="195">
        <v>43066</v>
      </c>
      <c r="P121" s="191" t="s">
        <v>622</v>
      </c>
      <c r="Q121" s="192">
        <v>1200</v>
      </c>
      <c r="R121" s="192">
        <v>14050</v>
      </c>
      <c r="S121" s="193">
        <v>10857.62</v>
      </c>
      <c r="T121" s="192">
        <v>14056</v>
      </c>
      <c r="U121" s="193">
        <v>4674.8</v>
      </c>
      <c r="V121" s="193">
        <f t="shared" si="13"/>
        <v>6182.8200000000006</v>
      </c>
      <c r="W121" s="194">
        <v>75.400000000000006</v>
      </c>
      <c r="X121" s="192">
        <v>54260</v>
      </c>
      <c r="Y121" s="193">
        <v>75.400000000000006</v>
      </c>
      <c r="Z121" s="191" t="s">
        <v>427</v>
      </c>
      <c r="AA121" s="191"/>
      <c r="AB121" s="191">
        <v>37215591</v>
      </c>
      <c r="AC121" s="191"/>
      <c r="AD121" s="191" t="s">
        <v>426</v>
      </c>
      <c r="AE121" s="191" t="s">
        <v>425</v>
      </c>
      <c r="AF121" s="192" t="s">
        <v>92</v>
      </c>
      <c r="AG121" s="191"/>
      <c r="AH121" s="192" t="s">
        <v>424</v>
      </c>
      <c r="AI121" s="191">
        <v>0</v>
      </c>
      <c r="AJ121" s="191">
        <v>0</v>
      </c>
    </row>
    <row r="122" spans="2:36">
      <c r="B122" s="192">
        <v>2120</v>
      </c>
      <c r="C122" s="196">
        <v>189675</v>
      </c>
      <c r="D122" s="192" t="s">
        <v>427</v>
      </c>
      <c r="E122" s="191" t="s">
        <v>306</v>
      </c>
      <c r="F122" s="192">
        <v>1</v>
      </c>
      <c r="G122" s="191"/>
      <c r="H122" s="191"/>
      <c r="I122" s="191" t="s">
        <v>455</v>
      </c>
      <c r="J122" s="191">
        <v>0</v>
      </c>
      <c r="K122" s="191" t="s">
        <v>484</v>
      </c>
      <c r="L122" s="191"/>
      <c r="M122" s="191" t="s">
        <v>624</v>
      </c>
      <c r="N122" s="195">
        <v>43066</v>
      </c>
      <c r="O122" s="195">
        <v>43066</v>
      </c>
      <c r="P122" s="191" t="s">
        <v>623</v>
      </c>
      <c r="Q122" s="192">
        <v>1200</v>
      </c>
      <c r="R122" s="192">
        <v>14050</v>
      </c>
      <c r="S122" s="193">
        <v>2696.08</v>
      </c>
      <c r="T122" s="192">
        <v>14056</v>
      </c>
      <c r="U122" s="193">
        <v>1160.79</v>
      </c>
      <c r="V122" s="193">
        <f t="shared" si="13"/>
        <v>1535.29</v>
      </c>
      <c r="W122" s="194">
        <v>18.72</v>
      </c>
      <c r="X122" s="192">
        <v>54260</v>
      </c>
      <c r="Y122" s="193">
        <v>18.72</v>
      </c>
      <c r="Z122" s="191" t="s">
        <v>427</v>
      </c>
      <c r="AA122" s="191"/>
      <c r="AB122" s="191">
        <v>37215591</v>
      </c>
      <c r="AC122" s="191"/>
      <c r="AD122" s="191" t="s">
        <v>426</v>
      </c>
      <c r="AE122" s="191" t="s">
        <v>425</v>
      </c>
      <c r="AF122" s="192" t="s">
        <v>92</v>
      </c>
      <c r="AG122" s="191"/>
      <c r="AH122" s="192" t="s">
        <v>424</v>
      </c>
      <c r="AI122" s="191">
        <v>0</v>
      </c>
      <c r="AJ122" s="191">
        <v>0</v>
      </c>
    </row>
    <row r="123" spans="2:36">
      <c r="B123" s="192">
        <v>2120</v>
      </c>
      <c r="C123" s="196">
        <v>189674</v>
      </c>
      <c r="D123" s="192" t="s">
        <v>427</v>
      </c>
      <c r="E123" s="191" t="s">
        <v>307</v>
      </c>
      <c r="F123" s="192">
        <v>2</v>
      </c>
      <c r="G123" s="191"/>
      <c r="H123" s="191"/>
      <c r="I123" s="191" t="s">
        <v>455</v>
      </c>
      <c r="J123" s="191">
        <v>0</v>
      </c>
      <c r="K123" s="191" t="s">
        <v>484</v>
      </c>
      <c r="L123" s="191"/>
      <c r="M123" s="191" t="s">
        <v>540</v>
      </c>
      <c r="N123" s="195">
        <v>43066</v>
      </c>
      <c r="O123" s="195">
        <v>43066</v>
      </c>
      <c r="P123" s="191" t="s">
        <v>625</v>
      </c>
      <c r="Q123" s="192">
        <v>1200</v>
      </c>
      <c r="R123" s="192">
        <v>14050</v>
      </c>
      <c r="S123" s="193">
        <v>4012.32</v>
      </c>
      <c r="T123" s="192">
        <v>14056</v>
      </c>
      <c r="U123" s="193">
        <v>1727.52</v>
      </c>
      <c r="V123" s="193">
        <f t="shared" si="13"/>
        <v>2284.8000000000002</v>
      </c>
      <c r="W123" s="194">
        <v>27.86</v>
      </c>
      <c r="X123" s="192">
        <v>54260</v>
      </c>
      <c r="Y123" s="193">
        <v>27.86</v>
      </c>
      <c r="Z123" s="191" t="s">
        <v>427</v>
      </c>
      <c r="AA123" s="191"/>
      <c r="AB123" s="191">
        <v>37215591</v>
      </c>
      <c r="AC123" s="191"/>
      <c r="AD123" s="191" t="s">
        <v>426</v>
      </c>
      <c r="AE123" s="191" t="s">
        <v>425</v>
      </c>
      <c r="AF123" s="192" t="s">
        <v>92</v>
      </c>
      <c r="AG123" s="191"/>
      <c r="AH123" s="192" t="s">
        <v>424</v>
      </c>
      <c r="AI123" s="191">
        <v>0</v>
      </c>
      <c r="AJ123" s="191">
        <v>0</v>
      </c>
    </row>
    <row r="124" spans="2:36">
      <c r="B124" s="192">
        <v>2120</v>
      </c>
      <c r="C124" s="196">
        <v>190225</v>
      </c>
      <c r="D124" s="192">
        <v>188921</v>
      </c>
      <c r="E124" s="191" t="s">
        <v>631</v>
      </c>
      <c r="F124" s="192"/>
      <c r="G124" s="191"/>
      <c r="H124" s="191"/>
      <c r="I124" s="191"/>
      <c r="J124" s="191">
        <v>0</v>
      </c>
      <c r="K124" s="191"/>
      <c r="L124" s="191"/>
      <c r="M124" s="191" t="s">
        <v>1169</v>
      </c>
      <c r="N124" s="195">
        <v>43054</v>
      </c>
      <c r="O124" s="195">
        <v>43054</v>
      </c>
      <c r="P124" s="191" t="s">
        <v>630</v>
      </c>
      <c r="Q124" s="192">
        <v>1000</v>
      </c>
      <c r="R124" s="192">
        <v>14040</v>
      </c>
      <c r="S124" s="193">
        <v>326.39999999999998</v>
      </c>
      <c r="T124" s="192">
        <v>14046</v>
      </c>
      <c r="U124" s="193">
        <v>171.36</v>
      </c>
      <c r="V124" s="193">
        <f t="shared" si="13"/>
        <v>155.03999999999996</v>
      </c>
      <c r="W124" s="194">
        <v>2.72</v>
      </c>
      <c r="X124" s="192">
        <v>51260</v>
      </c>
      <c r="Y124" s="193">
        <v>2.72</v>
      </c>
      <c r="Z124" s="191" t="s">
        <v>427</v>
      </c>
      <c r="AA124" s="191"/>
      <c r="AB124" s="191">
        <v>26395</v>
      </c>
      <c r="AC124" s="191"/>
      <c r="AD124" s="191" t="s">
        <v>426</v>
      </c>
      <c r="AE124" s="191" t="s">
        <v>425</v>
      </c>
      <c r="AF124" s="192" t="s">
        <v>92</v>
      </c>
      <c r="AG124" s="191"/>
      <c r="AH124" s="192" t="s">
        <v>424</v>
      </c>
      <c r="AI124" s="191">
        <v>0</v>
      </c>
      <c r="AJ124" s="191">
        <v>0</v>
      </c>
    </row>
    <row r="125" spans="2:36">
      <c r="B125" s="192">
        <v>2120</v>
      </c>
      <c r="C125" s="196">
        <v>189649</v>
      </c>
      <c r="D125" s="192">
        <v>188921</v>
      </c>
      <c r="E125" s="191" t="s">
        <v>632</v>
      </c>
      <c r="F125" s="192"/>
      <c r="G125" s="191"/>
      <c r="H125" s="191"/>
      <c r="I125" s="191" t="s">
        <v>455</v>
      </c>
      <c r="J125" s="191">
        <v>0</v>
      </c>
      <c r="K125" s="191" t="s">
        <v>516</v>
      </c>
      <c r="L125" s="191"/>
      <c r="M125" s="191" t="s">
        <v>448</v>
      </c>
      <c r="N125" s="195">
        <v>43054</v>
      </c>
      <c r="O125" s="195">
        <v>43054</v>
      </c>
      <c r="P125" s="191" t="s">
        <v>630</v>
      </c>
      <c r="Q125" s="192">
        <v>1000</v>
      </c>
      <c r="R125" s="192">
        <v>14040</v>
      </c>
      <c r="S125" s="193">
        <v>12.89</v>
      </c>
      <c r="T125" s="192">
        <v>14046</v>
      </c>
      <c r="U125" s="193">
        <v>6.78</v>
      </c>
      <c r="V125" s="193">
        <f t="shared" si="13"/>
        <v>6.11</v>
      </c>
      <c r="W125" s="194">
        <v>0.11</v>
      </c>
      <c r="X125" s="192">
        <v>51260</v>
      </c>
      <c r="Y125" s="193">
        <v>0.11</v>
      </c>
      <c r="Z125" s="191" t="s">
        <v>427</v>
      </c>
      <c r="AA125" s="191"/>
      <c r="AB125" s="191">
        <v>42177</v>
      </c>
      <c r="AC125" s="191"/>
      <c r="AD125" s="191" t="s">
        <v>426</v>
      </c>
      <c r="AE125" s="191" t="s">
        <v>425</v>
      </c>
      <c r="AF125" s="192" t="s">
        <v>92</v>
      </c>
      <c r="AG125" s="191"/>
      <c r="AH125" s="192" t="s">
        <v>424</v>
      </c>
      <c r="AI125" s="191">
        <v>0</v>
      </c>
      <c r="AJ125" s="191">
        <v>0</v>
      </c>
    </row>
    <row r="126" spans="2:36">
      <c r="B126" s="192">
        <v>2120</v>
      </c>
      <c r="C126" s="196">
        <v>189228</v>
      </c>
      <c r="D126" s="192">
        <v>188921</v>
      </c>
      <c r="E126" s="191" t="s">
        <v>633</v>
      </c>
      <c r="F126" s="192"/>
      <c r="G126" s="191"/>
      <c r="H126" s="191"/>
      <c r="I126" s="191" t="s">
        <v>455</v>
      </c>
      <c r="J126" s="191">
        <v>0</v>
      </c>
      <c r="K126" s="191" t="s">
        <v>611</v>
      </c>
      <c r="L126" s="191"/>
      <c r="M126" s="191" t="s">
        <v>448</v>
      </c>
      <c r="N126" s="195">
        <v>43054</v>
      </c>
      <c r="O126" s="195">
        <v>43054</v>
      </c>
      <c r="P126" s="191" t="s">
        <v>630</v>
      </c>
      <c r="Q126" s="192">
        <v>1000</v>
      </c>
      <c r="R126" s="192">
        <v>14040</v>
      </c>
      <c r="S126" s="193">
        <v>383.91</v>
      </c>
      <c r="T126" s="192">
        <v>14046</v>
      </c>
      <c r="U126" s="193">
        <v>201.55</v>
      </c>
      <c r="V126" s="193">
        <f t="shared" si="13"/>
        <v>182.36</v>
      </c>
      <c r="W126" s="194">
        <v>3.2</v>
      </c>
      <c r="X126" s="192">
        <v>51260</v>
      </c>
      <c r="Y126" s="193">
        <v>3.2</v>
      </c>
      <c r="Z126" s="191" t="s">
        <v>427</v>
      </c>
      <c r="AA126" s="191"/>
      <c r="AB126" s="191">
        <v>72936466</v>
      </c>
      <c r="AC126" s="191"/>
      <c r="AD126" s="191" t="s">
        <v>426</v>
      </c>
      <c r="AE126" s="191" t="s">
        <v>425</v>
      </c>
      <c r="AF126" s="192" t="s">
        <v>92</v>
      </c>
      <c r="AG126" s="191"/>
      <c r="AH126" s="192" t="s">
        <v>424</v>
      </c>
      <c r="AI126" s="191">
        <v>0</v>
      </c>
      <c r="AJ126" s="191">
        <v>0</v>
      </c>
    </row>
    <row r="127" spans="2:36">
      <c r="B127" s="192">
        <v>2120</v>
      </c>
      <c r="C127" s="196">
        <v>188921</v>
      </c>
      <c r="D127" s="192" t="s">
        <v>427</v>
      </c>
      <c r="E127" s="191" t="s">
        <v>638</v>
      </c>
      <c r="F127" s="192"/>
      <c r="G127" s="191"/>
      <c r="H127" s="191" t="s">
        <v>637</v>
      </c>
      <c r="I127" s="191" t="s">
        <v>636</v>
      </c>
      <c r="J127" s="191">
        <v>2018</v>
      </c>
      <c r="K127" s="191" t="s">
        <v>494</v>
      </c>
      <c r="L127" s="191" t="s">
        <v>635</v>
      </c>
      <c r="M127" s="191" t="s">
        <v>481</v>
      </c>
      <c r="N127" s="195">
        <v>43054</v>
      </c>
      <c r="O127" s="195">
        <v>43054</v>
      </c>
      <c r="P127" s="191" t="s">
        <v>630</v>
      </c>
      <c r="Q127" s="192">
        <v>1000</v>
      </c>
      <c r="R127" s="192">
        <v>14040</v>
      </c>
      <c r="S127" s="193">
        <v>166605.79999999999</v>
      </c>
      <c r="T127" s="192">
        <v>14046</v>
      </c>
      <c r="U127" s="193">
        <v>87468.04</v>
      </c>
      <c r="V127" s="193">
        <f t="shared" si="13"/>
        <v>79137.759999999995</v>
      </c>
      <c r="W127" s="194">
        <v>1388.38</v>
      </c>
      <c r="X127" s="192">
        <v>51260</v>
      </c>
      <c r="Y127" s="193">
        <v>1388.38</v>
      </c>
      <c r="Z127" s="191" t="s">
        <v>427</v>
      </c>
      <c r="AA127" s="191"/>
      <c r="AB127" s="191" t="s">
        <v>634</v>
      </c>
      <c r="AC127" s="191">
        <v>17</v>
      </c>
      <c r="AD127" s="191" t="s">
        <v>426</v>
      </c>
      <c r="AE127" s="191" t="s">
        <v>425</v>
      </c>
      <c r="AF127" s="192" t="s">
        <v>92</v>
      </c>
      <c r="AG127" s="191"/>
      <c r="AH127" s="192" t="s">
        <v>424</v>
      </c>
      <c r="AI127" s="191">
        <v>0</v>
      </c>
      <c r="AJ127" s="191">
        <v>0</v>
      </c>
    </row>
    <row r="128" spans="2:36">
      <c r="B128" s="192">
        <v>2120</v>
      </c>
      <c r="C128" s="196">
        <v>185018</v>
      </c>
      <c r="D128" s="192">
        <v>184583</v>
      </c>
      <c r="E128" s="191" t="s">
        <v>293</v>
      </c>
      <c r="F128" s="192"/>
      <c r="G128" s="191"/>
      <c r="H128" s="191"/>
      <c r="I128" s="191"/>
      <c r="J128" s="191">
        <v>0</v>
      </c>
      <c r="K128" s="191" t="s">
        <v>643</v>
      </c>
      <c r="L128" s="191"/>
      <c r="M128" s="191"/>
      <c r="N128" s="195">
        <v>42947</v>
      </c>
      <c r="O128" s="195">
        <v>42947</v>
      </c>
      <c r="P128" s="191" t="s">
        <v>642</v>
      </c>
      <c r="Q128" s="192">
        <v>500</v>
      </c>
      <c r="R128" s="192">
        <v>14070</v>
      </c>
      <c r="S128" s="193">
        <v>344.96</v>
      </c>
      <c r="T128" s="192">
        <v>14076</v>
      </c>
      <c r="U128" s="193">
        <v>344.96</v>
      </c>
      <c r="V128" s="193">
        <f t="shared" si="13"/>
        <v>0</v>
      </c>
      <c r="W128" s="194">
        <v>0</v>
      </c>
      <c r="X128" s="192">
        <v>51260</v>
      </c>
      <c r="Y128" s="193">
        <v>0</v>
      </c>
      <c r="Z128" s="191" t="s">
        <v>427</v>
      </c>
      <c r="AA128" s="191"/>
      <c r="AB128" s="191">
        <v>200</v>
      </c>
      <c r="AC128" s="191"/>
      <c r="AD128" s="191" t="s">
        <v>426</v>
      </c>
      <c r="AE128" s="191" t="s">
        <v>425</v>
      </c>
      <c r="AF128" s="192" t="s">
        <v>92</v>
      </c>
      <c r="AG128" s="191"/>
      <c r="AH128" s="192" t="s">
        <v>424</v>
      </c>
      <c r="AI128" s="191">
        <v>0</v>
      </c>
      <c r="AJ128" s="191">
        <v>0</v>
      </c>
    </row>
    <row r="129" spans="2:36">
      <c r="B129" s="192">
        <v>2120</v>
      </c>
      <c r="C129" s="196">
        <v>184583</v>
      </c>
      <c r="D129" s="192" t="s">
        <v>427</v>
      </c>
      <c r="E129" s="191" t="s">
        <v>294</v>
      </c>
      <c r="F129" s="192"/>
      <c r="G129" s="191"/>
      <c r="H129" s="191"/>
      <c r="I129" s="191"/>
      <c r="J129" s="191">
        <v>0</v>
      </c>
      <c r="K129" s="191" t="s">
        <v>644</v>
      </c>
      <c r="L129" s="191"/>
      <c r="M129" s="191"/>
      <c r="N129" s="195">
        <v>42947</v>
      </c>
      <c r="O129" s="195">
        <v>42947</v>
      </c>
      <c r="P129" s="191" t="s">
        <v>642</v>
      </c>
      <c r="Q129" s="192">
        <v>300</v>
      </c>
      <c r="R129" s="192">
        <v>14110</v>
      </c>
      <c r="S129" s="193">
        <v>1046.58</v>
      </c>
      <c r="T129" s="192">
        <v>14116</v>
      </c>
      <c r="U129" s="193">
        <v>1046.58</v>
      </c>
      <c r="V129" s="193">
        <f t="shared" si="13"/>
        <v>0</v>
      </c>
      <c r="W129" s="194">
        <v>0</v>
      </c>
      <c r="X129" s="192">
        <v>70260</v>
      </c>
      <c r="Y129" s="193">
        <v>0</v>
      </c>
      <c r="Z129" s="191" t="s">
        <v>427</v>
      </c>
      <c r="AA129" s="191"/>
      <c r="AB129" s="191">
        <v>678437170</v>
      </c>
      <c r="AC129" s="191"/>
      <c r="AD129" s="191" t="s">
        <v>426</v>
      </c>
      <c r="AE129" s="191" t="s">
        <v>425</v>
      </c>
      <c r="AF129" s="192" t="s">
        <v>92</v>
      </c>
      <c r="AG129" s="191"/>
      <c r="AH129" s="192" t="s">
        <v>424</v>
      </c>
      <c r="AI129" s="191">
        <v>0</v>
      </c>
      <c r="AJ129" s="191">
        <v>0</v>
      </c>
    </row>
    <row r="130" spans="2:36">
      <c r="B130" s="192">
        <v>2120</v>
      </c>
      <c r="C130" s="196">
        <v>185930</v>
      </c>
      <c r="D130" s="192" t="s">
        <v>427</v>
      </c>
      <c r="E130" s="191" t="s">
        <v>297</v>
      </c>
      <c r="F130" s="192">
        <v>100</v>
      </c>
      <c r="G130" s="191"/>
      <c r="H130" s="191"/>
      <c r="I130" s="191" t="s">
        <v>455</v>
      </c>
      <c r="J130" s="191">
        <v>0</v>
      </c>
      <c r="K130" s="191" t="s">
        <v>580</v>
      </c>
      <c r="L130" s="191"/>
      <c r="M130" s="191"/>
      <c r="N130" s="195">
        <v>42945</v>
      </c>
      <c r="O130" s="195">
        <v>42945</v>
      </c>
      <c r="P130" s="191" t="s">
        <v>641</v>
      </c>
      <c r="Q130" s="192">
        <v>700</v>
      </c>
      <c r="R130" s="192">
        <v>14050</v>
      </c>
      <c r="S130" s="193">
        <v>6159.59</v>
      </c>
      <c r="T130" s="192">
        <v>14056</v>
      </c>
      <c r="U130" s="193">
        <v>4839.67</v>
      </c>
      <c r="V130" s="193">
        <f t="shared" si="13"/>
        <v>1319.92</v>
      </c>
      <c r="W130" s="194">
        <v>73.33</v>
      </c>
      <c r="X130" s="192">
        <v>54260</v>
      </c>
      <c r="Y130" s="193">
        <v>73.33</v>
      </c>
      <c r="Z130" s="191" t="s">
        <v>427</v>
      </c>
      <c r="AA130" s="191"/>
      <c r="AB130" s="191">
        <v>65482005</v>
      </c>
      <c r="AC130" s="191"/>
      <c r="AD130" s="191" t="s">
        <v>426</v>
      </c>
      <c r="AE130" s="191" t="s">
        <v>425</v>
      </c>
      <c r="AF130" s="192" t="s">
        <v>92</v>
      </c>
      <c r="AG130" s="191"/>
      <c r="AH130" s="192" t="s">
        <v>424</v>
      </c>
      <c r="AI130" s="191">
        <v>0</v>
      </c>
      <c r="AJ130" s="191">
        <v>0</v>
      </c>
    </row>
    <row r="131" spans="2:36">
      <c r="B131" s="192">
        <v>2120</v>
      </c>
      <c r="C131" s="196">
        <v>184173</v>
      </c>
      <c r="D131" s="192" t="s">
        <v>427</v>
      </c>
      <c r="E131" s="191" t="s">
        <v>295</v>
      </c>
      <c r="F131" s="192">
        <v>2</v>
      </c>
      <c r="G131" s="191"/>
      <c r="H131" s="191"/>
      <c r="I131" s="191"/>
      <c r="J131" s="191">
        <v>0</v>
      </c>
      <c r="K131" s="191" t="s">
        <v>646</v>
      </c>
      <c r="L131" s="191"/>
      <c r="M131" s="191" t="s">
        <v>443</v>
      </c>
      <c r="N131" s="195">
        <v>42927</v>
      </c>
      <c r="O131" s="195">
        <v>42927</v>
      </c>
      <c r="P131" s="191" t="s">
        <v>645</v>
      </c>
      <c r="Q131" s="192">
        <v>1200</v>
      </c>
      <c r="R131" s="192">
        <v>14050</v>
      </c>
      <c r="S131" s="193">
        <v>23286</v>
      </c>
      <c r="T131" s="192">
        <v>14056</v>
      </c>
      <c r="U131" s="193">
        <v>10834.46</v>
      </c>
      <c r="V131" s="193">
        <f t="shared" si="13"/>
        <v>12451.54</v>
      </c>
      <c r="W131" s="194">
        <v>161.71</v>
      </c>
      <c r="X131" s="192">
        <v>54260</v>
      </c>
      <c r="Y131" s="193">
        <v>161.71</v>
      </c>
      <c r="Z131" s="191" t="s">
        <v>427</v>
      </c>
      <c r="AA131" s="191"/>
      <c r="AB131" s="191">
        <v>19740</v>
      </c>
      <c r="AC131" s="191"/>
      <c r="AD131" s="191" t="s">
        <v>426</v>
      </c>
      <c r="AE131" s="191" t="s">
        <v>425</v>
      </c>
      <c r="AF131" s="192" t="s">
        <v>92</v>
      </c>
      <c r="AG131" s="191"/>
      <c r="AH131" s="192" t="s">
        <v>424</v>
      </c>
      <c r="AI131" s="191">
        <v>0</v>
      </c>
      <c r="AJ131" s="191">
        <v>0</v>
      </c>
    </row>
    <row r="132" spans="2:36">
      <c r="B132" s="192">
        <v>2120</v>
      </c>
      <c r="C132" s="196">
        <v>179935</v>
      </c>
      <c r="D132" s="192" t="s">
        <v>427</v>
      </c>
      <c r="E132" s="191" t="s">
        <v>296</v>
      </c>
      <c r="F132" s="192">
        <v>100</v>
      </c>
      <c r="G132" s="191"/>
      <c r="H132" s="191"/>
      <c r="I132" s="191"/>
      <c r="J132" s="191">
        <v>0</v>
      </c>
      <c r="K132" s="191" t="s">
        <v>580</v>
      </c>
      <c r="L132" s="191"/>
      <c r="M132" s="191"/>
      <c r="N132" s="195">
        <v>42829</v>
      </c>
      <c r="O132" s="195">
        <v>42829</v>
      </c>
      <c r="P132" s="191" t="s">
        <v>647</v>
      </c>
      <c r="Q132" s="192">
        <v>700</v>
      </c>
      <c r="R132" s="192">
        <v>14050</v>
      </c>
      <c r="S132" s="193">
        <v>5398.28</v>
      </c>
      <c r="T132" s="192">
        <v>14056</v>
      </c>
      <c r="U132" s="193">
        <v>4498.5600000000004</v>
      </c>
      <c r="V132" s="193">
        <f t="shared" si="13"/>
        <v>899.71999999999935</v>
      </c>
      <c r="W132" s="194">
        <v>64.27</v>
      </c>
      <c r="X132" s="192">
        <v>54260</v>
      </c>
      <c r="Y132" s="193">
        <v>64.27</v>
      </c>
      <c r="Z132" s="191" t="s">
        <v>427</v>
      </c>
      <c r="AA132" s="191"/>
      <c r="AB132" s="191">
        <v>65451989</v>
      </c>
      <c r="AC132" s="191"/>
      <c r="AD132" s="191" t="s">
        <v>426</v>
      </c>
      <c r="AE132" s="191" t="s">
        <v>425</v>
      </c>
      <c r="AF132" s="192" t="s">
        <v>92</v>
      </c>
      <c r="AG132" s="191"/>
      <c r="AH132" s="192" t="s">
        <v>424</v>
      </c>
      <c r="AI132" s="191">
        <v>0</v>
      </c>
      <c r="AJ132" s="191">
        <v>0</v>
      </c>
    </row>
    <row r="133" spans="2:36">
      <c r="B133" s="192">
        <v>2120</v>
      </c>
      <c r="C133" s="196">
        <v>179934</v>
      </c>
      <c r="D133" s="192" t="s">
        <v>427</v>
      </c>
      <c r="E133" s="191" t="s">
        <v>297</v>
      </c>
      <c r="F133" s="192">
        <v>100</v>
      </c>
      <c r="G133" s="191"/>
      <c r="H133" s="191"/>
      <c r="I133" s="191"/>
      <c r="J133" s="191">
        <v>0</v>
      </c>
      <c r="K133" s="191" t="s">
        <v>580</v>
      </c>
      <c r="L133" s="191"/>
      <c r="M133" s="191"/>
      <c r="N133" s="195">
        <v>42829</v>
      </c>
      <c r="O133" s="195">
        <v>42829</v>
      </c>
      <c r="P133" s="191" t="s">
        <v>648</v>
      </c>
      <c r="Q133" s="192">
        <v>700</v>
      </c>
      <c r="R133" s="192">
        <v>14050</v>
      </c>
      <c r="S133" s="193">
        <v>5748.27</v>
      </c>
      <c r="T133" s="192">
        <v>14056</v>
      </c>
      <c r="U133" s="193">
        <v>4790.17</v>
      </c>
      <c r="V133" s="193">
        <f t="shared" si="13"/>
        <v>958.10000000000036</v>
      </c>
      <c r="W133" s="194">
        <v>68.430000000000007</v>
      </c>
      <c r="X133" s="192">
        <v>54260</v>
      </c>
      <c r="Y133" s="193">
        <v>68.430000000000007</v>
      </c>
      <c r="Z133" s="191" t="s">
        <v>427</v>
      </c>
      <c r="AA133" s="191"/>
      <c r="AB133" s="191">
        <v>65451989</v>
      </c>
      <c r="AC133" s="191"/>
      <c r="AD133" s="191" t="s">
        <v>426</v>
      </c>
      <c r="AE133" s="191" t="s">
        <v>425</v>
      </c>
      <c r="AF133" s="192" t="s">
        <v>92</v>
      </c>
      <c r="AG133" s="191"/>
      <c r="AH133" s="192" t="s">
        <v>424</v>
      </c>
      <c r="AI133" s="191">
        <v>0</v>
      </c>
      <c r="AJ133" s="191">
        <v>0</v>
      </c>
    </row>
    <row r="134" spans="2:36">
      <c r="B134" s="192">
        <v>2120</v>
      </c>
      <c r="C134" s="196">
        <v>176458</v>
      </c>
      <c r="D134" s="192" t="s">
        <v>427</v>
      </c>
      <c r="E134" s="191" t="s">
        <v>300</v>
      </c>
      <c r="F134" s="192"/>
      <c r="G134" s="191"/>
      <c r="H134" s="191"/>
      <c r="I134" s="191"/>
      <c r="J134" s="191">
        <v>0</v>
      </c>
      <c r="K134" s="191"/>
      <c r="L134" s="191"/>
      <c r="M134" s="191"/>
      <c r="N134" s="195">
        <v>42794</v>
      </c>
      <c r="O134" s="195">
        <v>42794</v>
      </c>
      <c r="P134" s="191" t="s">
        <v>650</v>
      </c>
      <c r="Q134" s="192">
        <v>500</v>
      </c>
      <c r="R134" s="192">
        <v>14100</v>
      </c>
      <c r="S134" s="193">
        <v>937.45</v>
      </c>
      <c r="T134" s="192">
        <v>14106</v>
      </c>
      <c r="U134" s="193">
        <v>937.45</v>
      </c>
      <c r="V134" s="193">
        <f t="shared" si="13"/>
        <v>0</v>
      </c>
      <c r="W134" s="194">
        <v>0</v>
      </c>
      <c r="X134" s="192">
        <v>70260</v>
      </c>
      <c r="Y134" s="193">
        <v>0</v>
      </c>
      <c r="Z134" s="191" t="s">
        <v>427</v>
      </c>
      <c r="AA134" s="191"/>
      <c r="AB134" s="191" t="s">
        <v>649</v>
      </c>
      <c r="AC134" s="191"/>
      <c r="AD134" s="191" t="s">
        <v>426</v>
      </c>
      <c r="AE134" s="191" t="s">
        <v>425</v>
      </c>
      <c r="AF134" s="192" t="s">
        <v>92</v>
      </c>
      <c r="AG134" s="191"/>
      <c r="AH134" s="192" t="s">
        <v>424</v>
      </c>
      <c r="AI134" s="191">
        <v>0</v>
      </c>
      <c r="AJ134" s="191">
        <v>0</v>
      </c>
    </row>
    <row r="135" spans="2:36">
      <c r="B135" s="192">
        <v>2120</v>
      </c>
      <c r="C135" s="196">
        <v>169271</v>
      </c>
      <c r="D135" s="192" t="s">
        <v>427</v>
      </c>
      <c r="E135" s="191" t="s">
        <v>288</v>
      </c>
      <c r="F135" s="192"/>
      <c r="G135" s="191"/>
      <c r="H135" s="191"/>
      <c r="I135" s="191"/>
      <c r="J135" s="191">
        <v>0</v>
      </c>
      <c r="K135" s="191" t="s">
        <v>449</v>
      </c>
      <c r="L135" s="191"/>
      <c r="M135" s="191"/>
      <c r="N135" s="195">
        <v>42667</v>
      </c>
      <c r="O135" s="195">
        <v>42667</v>
      </c>
      <c r="P135" s="191" t="s">
        <v>652</v>
      </c>
      <c r="Q135" s="192">
        <v>500</v>
      </c>
      <c r="R135" s="192">
        <v>14070</v>
      </c>
      <c r="S135" s="193">
        <v>2587.1999999999998</v>
      </c>
      <c r="T135" s="192">
        <v>14076</v>
      </c>
      <c r="U135" s="193">
        <v>2587.1999999999998</v>
      </c>
      <c r="V135" s="193">
        <f t="shared" si="13"/>
        <v>0</v>
      </c>
      <c r="W135" s="194">
        <v>0</v>
      </c>
      <c r="X135" s="192">
        <v>51260</v>
      </c>
      <c r="Y135" s="193">
        <v>0</v>
      </c>
      <c r="Z135" s="191" t="s">
        <v>427</v>
      </c>
      <c r="AA135" s="191"/>
      <c r="AB135" s="191" t="s">
        <v>651</v>
      </c>
      <c r="AC135" s="191"/>
      <c r="AD135" s="191" t="s">
        <v>426</v>
      </c>
      <c r="AE135" s="191" t="s">
        <v>425</v>
      </c>
      <c r="AF135" s="192" t="s">
        <v>92</v>
      </c>
      <c r="AG135" s="191"/>
      <c r="AH135" s="192" t="s">
        <v>424</v>
      </c>
      <c r="AI135" s="191">
        <v>0</v>
      </c>
      <c r="AJ135" s="191">
        <v>0</v>
      </c>
    </row>
    <row r="136" spans="2:36">
      <c r="B136" s="192">
        <v>2120</v>
      </c>
      <c r="C136" s="196">
        <v>168949</v>
      </c>
      <c r="D136" s="192" t="s">
        <v>427</v>
      </c>
      <c r="E136" s="191" t="s">
        <v>285</v>
      </c>
      <c r="F136" s="192">
        <v>100</v>
      </c>
      <c r="G136" s="191"/>
      <c r="H136" s="191"/>
      <c r="I136" s="191"/>
      <c r="J136" s="191">
        <v>0</v>
      </c>
      <c r="K136" s="191" t="s">
        <v>580</v>
      </c>
      <c r="L136" s="191"/>
      <c r="M136" s="191"/>
      <c r="N136" s="195">
        <v>42667</v>
      </c>
      <c r="O136" s="195">
        <v>42667</v>
      </c>
      <c r="P136" s="191" t="s">
        <v>653</v>
      </c>
      <c r="Q136" s="192">
        <v>700</v>
      </c>
      <c r="R136" s="192">
        <v>14050</v>
      </c>
      <c r="S136" s="193">
        <v>6085.16</v>
      </c>
      <c r="T136" s="192">
        <v>14056</v>
      </c>
      <c r="U136" s="193">
        <v>5433.19</v>
      </c>
      <c r="V136" s="193">
        <f t="shared" si="13"/>
        <v>651.97000000000025</v>
      </c>
      <c r="W136" s="194">
        <v>72.44</v>
      </c>
      <c r="X136" s="192">
        <v>54260</v>
      </c>
      <c r="Y136" s="193">
        <v>72.44</v>
      </c>
      <c r="Z136" s="191" t="s">
        <v>427</v>
      </c>
      <c r="AA136" s="191"/>
      <c r="AB136" s="191">
        <v>65433393</v>
      </c>
      <c r="AC136" s="191"/>
      <c r="AD136" s="191" t="s">
        <v>426</v>
      </c>
      <c r="AE136" s="191" t="s">
        <v>425</v>
      </c>
      <c r="AF136" s="192" t="s">
        <v>92</v>
      </c>
      <c r="AG136" s="191"/>
      <c r="AH136" s="192" t="s">
        <v>424</v>
      </c>
      <c r="AI136" s="191">
        <v>0</v>
      </c>
      <c r="AJ136" s="191">
        <v>0</v>
      </c>
    </row>
    <row r="137" spans="2:36">
      <c r="B137" s="192">
        <v>2120</v>
      </c>
      <c r="C137" s="196">
        <v>168948</v>
      </c>
      <c r="D137" s="192" t="s">
        <v>427</v>
      </c>
      <c r="E137" s="191" t="s">
        <v>286</v>
      </c>
      <c r="F137" s="192">
        <v>100</v>
      </c>
      <c r="G137" s="191"/>
      <c r="H137" s="191"/>
      <c r="I137" s="191"/>
      <c r="J137" s="191">
        <v>0</v>
      </c>
      <c r="K137" s="191" t="s">
        <v>580</v>
      </c>
      <c r="L137" s="191"/>
      <c r="M137" s="191"/>
      <c r="N137" s="195">
        <v>42667</v>
      </c>
      <c r="O137" s="195">
        <v>42667</v>
      </c>
      <c r="P137" s="191" t="s">
        <v>654</v>
      </c>
      <c r="Q137" s="192">
        <v>700</v>
      </c>
      <c r="R137" s="192">
        <v>14050</v>
      </c>
      <c r="S137" s="193">
        <v>5818</v>
      </c>
      <c r="T137" s="192">
        <v>14056</v>
      </c>
      <c r="U137" s="193">
        <v>5194.62</v>
      </c>
      <c r="V137" s="193">
        <f t="shared" si="13"/>
        <v>623.38000000000011</v>
      </c>
      <c r="W137" s="194">
        <v>69.260000000000005</v>
      </c>
      <c r="X137" s="192">
        <v>54260</v>
      </c>
      <c r="Y137" s="193">
        <v>69.260000000000005</v>
      </c>
      <c r="Z137" s="191" t="s">
        <v>427</v>
      </c>
      <c r="AA137" s="191"/>
      <c r="AB137" s="191">
        <v>65433393</v>
      </c>
      <c r="AC137" s="191"/>
      <c r="AD137" s="191" t="s">
        <v>426</v>
      </c>
      <c r="AE137" s="191" t="s">
        <v>425</v>
      </c>
      <c r="AF137" s="192" t="s">
        <v>92</v>
      </c>
      <c r="AG137" s="191"/>
      <c r="AH137" s="192" t="s">
        <v>424</v>
      </c>
      <c r="AI137" s="191">
        <v>0</v>
      </c>
      <c r="AJ137" s="191">
        <v>0</v>
      </c>
    </row>
    <row r="138" spans="2:36">
      <c r="B138" s="192">
        <v>2120</v>
      </c>
      <c r="C138" s="196">
        <v>168825</v>
      </c>
      <c r="D138" s="192" t="s">
        <v>427</v>
      </c>
      <c r="E138" s="191" t="s">
        <v>284</v>
      </c>
      <c r="F138" s="192">
        <v>25</v>
      </c>
      <c r="G138" s="191"/>
      <c r="H138" s="191"/>
      <c r="I138" s="191"/>
      <c r="J138" s="191">
        <v>0</v>
      </c>
      <c r="K138" s="191" t="s">
        <v>430</v>
      </c>
      <c r="L138" s="191"/>
      <c r="M138" s="191" t="s">
        <v>461</v>
      </c>
      <c r="N138" s="195">
        <v>42649</v>
      </c>
      <c r="O138" s="195">
        <v>42649</v>
      </c>
      <c r="P138" s="191" t="s">
        <v>655</v>
      </c>
      <c r="Q138" s="192">
        <v>1200</v>
      </c>
      <c r="R138" s="192">
        <v>14050</v>
      </c>
      <c r="S138" s="193">
        <v>13420.74</v>
      </c>
      <c r="T138" s="192">
        <v>14056</v>
      </c>
      <c r="U138" s="193">
        <v>7083.2</v>
      </c>
      <c r="V138" s="193">
        <f t="shared" si="13"/>
        <v>6337.54</v>
      </c>
      <c r="W138" s="194">
        <v>93.2</v>
      </c>
      <c r="X138" s="192">
        <v>54260</v>
      </c>
      <c r="Y138" s="193">
        <v>93.2</v>
      </c>
      <c r="Z138" s="191" t="s">
        <v>427</v>
      </c>
      <c r="AA138" s="191"/>
      <c r="AB138" s="191">
        <v>7262</v>
      </c>
      <c r="AC138" s="191"/>
      <c r="AD138" s="191" t="s">
        <v>426</v>
      </c>
      <c r="AE138" s="191" t="s">
        <v>425</v>
      </c>
      <c r="AF138" s="192" t="s">
        <v>92</v>
      </c>
      <c r="AG138" s="191"/>
      <c r="AH138" s="192" t="s">
        <v>424</v>
      </c>
      <c r="AI138" s="191">
        <v>0</v>
      </c>
      <c r="AJ138" s="191">
        <v>0</v>
      </c>
    </row>
    <row r="139" spans="2:36">
      <c r="B139" s="192">
        <v>2120</v>
      </c>
      <c r="C139" s="196">
        <v>168824</v>
      </c>
      <c r="D139" s="192" t="s">
        <v>427</v>
      </c>
      <c r="E139" s="191" t="s">
        <v>205</v>
      </c>
      <c r="F139" s="192">
        <v>6</v>
      </c>
      <c r="G139" s="191"/>
      <c r="H139" s="191"/>
      <c r="I139" s="191"/>
      <c r="J139" s="191">
        <v>0</v>
      </c>
      <c r="K139" s="191" t="s">
        <v>430</v>
      </c>
      <c r="L139" s="191"/>
      <c r="M139" s="191" t="s">
        <v>543</v>
      </c>
      <c r="N139" s="195">
        <v>42649</v>
      </c>
      <c r="O139" s="195">
        <v>42649</v>
      </c>
      <c r="P139" s="191" t="s">
        <v>656</v>
      </c>
      <c r="Q139" s="192">
        <v>1200</v>
      </c>
      <c r="R139" s="192">
        <v>14050</v>
      </c>
      <c r="S139" s="193">
        <v>5116.91</v>
      </c>
      <c r="T139" s="192">
        <v>14056</v>
      </c>
      <c r="U139" s="193">
        <v>2700.52</v>
      </c>
      <c r="V139" s="193">
        <f t="shared" si="13"/>
        <v>2416.39</v>
      </c>
      <c r="W139" s="194">
        <v>35.53</v>
      </c>
      <c r="X139" s="192">
        <v>54260</v>
      </c>
      <c r="Y139" s="193">
        <v>35.53</v>
      </c>
      <c r="Z139" s="191" t="s">
        <v>427</v>
      </c>
      <c r="AA139" s="191"/>
      <c r="AB139" s="191">
        <v>7262</v>
      </c>
      <c r="AC139" s="191"/>
      <c r="AD139" s="191" t="s">
        <v>426</v>
      </c>
      <c r="AE139" s="191" t="s">
        <v>425</v>
      </c>
      <c r="AF139" s="192" t="s">
        <v>92</v>
      </c>
      <c r="AG139" s="191"/>
      <c r="AH139" s="192" t="s">
        <v>424</v>
      </c>
      <c r="AI139" s="191">
        <v>0</v>
      </c>
      <c r="AJ139" s="191">
        <v>0</v>
      </c>
    </row>
    <row r="140" spans="2:36">
      <c r="B140" s="192">
        <v>2120</v>
      </c>
      <c r="C140" s="196">
        <v>168823</v>
      </c>
      <c r="D140" s="192" t="s">
        <v>427</v>
      </c>
      <c r="E140" s="191" t="s">
        <v>204</v>
      </c>
      <c r="F140" s="192">
        <v>15</v>
      </c>
      <c r="G140" s="191"/>
      <c r="H140" s="191"/>
      <c r="I140" s="191"/>
      <c r="J140" s="191">
        <v>0</v>
      </c>
      <c r="K140" s="191" t="s">
        <v>430</v>
      </c>
      <c r="L140" s="191"/>
      <c r="M140" s="191" t="s">
        <v>464</v>
      </c>
      <c r="N140" s="195">
        <v>42649</v>
      </c>
      <c r="O140" s="195">
        <v>42649</v>
      </c>
      <c r="P140" s="191" t="s">
        <v>657</v>
      </c>
      <c r="Q140" s="192">
        <v>1200</v>
      </c>
      <c r="R140" s="192">
        <v>14050</v>
      </c>
      <c r="S140" s="193">
        <v>8418.82</v>
      </c>
      <c r="T140" s="192">
        <v>14056</v>
      </c>
      <c r="U140" s="193">
        <v>4443.2700000000004</v>
      </c>
      <c r="V140" s="193">
        <f t="shared" si="13"/>
        <v>3975.5499999999993</v>
      </c>
      <c r="W140" s="194">
        <v>58.46</v>
      </c>
      <c r="X140" s="192">
        <v>54260</v>
      </c>
      <c r="Y140" s="193">
        <v>58.46</v>
      </c>
      <c r="Z140" s="191" t="s">
        <v>427</v>
      </c>
      <c r="AA140" s="191"/>
      <c r="AB140" s="191">
        <v>7262</v>
      </c>
      <c r="AC140" s="191"/>
      <c r="AD140" s="191" t="s">
        <v>426</v>
      </c>
      <c r="AE140" s="191" t="s">
        <v>425</v>
      </c>
      <c r="AF140" s="192" t="s">
        <v>92</v>
      </c>
      <c r="AG140" s="191"/>
      <c r="AH140" s="192" t="s">
        <v>424</v>
      </c>
      <c r="AI140" s="191">
        <v>0</v>
      </c>
      <c r="AJ140" s="191">
        <v>0</v>
      </c>
    </row>
    <row r="141" spans="2:36">
      <c r="B141" s="192">
        <v>2120</v>
      </c>
      <c r="C141" s="196">
        <v>167961</v>
      </c>
      <c r="D141" s="192" t="s">
        <v>427</v>
      </c>
      <c r="E141" s="191" t="s">
        <v>287</v>
      </c>
      <c r="F141" s="192"/>
      <c r="G141" s="191"/>
      <c r="H141" s="191"/>
      <c r="I141" s="191"/>
      <c r="J141" s="191">
        <v>0</v>
      </c>
      <c r="K141" s="191" t="s">
        <v>659</v>
      </c>
      <c r="L141" s="191"/>
      <c r="M141" s="191"/>
      <c r="N141" s="195">
        <v>42635</v>
      </c>
      <c r="O141" s="195">
        <v>42635</v>
      </c>
      <c r="P141" s="191" t="s">
        <v>658</v>
      </c>
      <c r="Q141" s="192">
        <v>500</v>
      </c>
      <c r="R141" s="192">
        <v>14070</v>
      </c>
      <c r="S141" s="193">
        <v>5329</v>
      </c>
      <c r="T141" s="192">
        <v>14076</v>
      </c>
      <c r="U141" s="193">
        <v>5329</v>
      </c>
      <c r="V141" s="193">
        <f t="shared" si="13"/>
        <v>0</v>
      </c>
      <c r="W141" s="194">
        <v>0</v>
      </c>
      <c r="X141" s="192">
        <v>51260</v>
      </c>
      <c r="Y141" s="193">
        <v>0</v>
      </c>
      <c r="Z141" s="191" t="s">
        <v>427</v>
      </c>
      <c r="AA141" s="191"/>
      <c r="AB141" s="191">
        <v>5262</v>
      </c>
      <c r="AC141" s="191"/>
      <c r="AD141" s="191" t="s">
        <v>426</v>
      </c>
      <c r="AE141" s="191" t="s">
        <v>425</v>
      </c>
      <c r="AF141" s="192" t="s">
        <v>92</v>
      </c>
      <c r="AG141" s="191"/>
      <c r="AH141" s="192" t="s">
        <v>424</v>
      </c>
      <c r="AI141" s="191">
        <v>0</v>
      </c>
      <c r="AJ141" s="191">
        <v>0</v>
      </c>
    </row>
    <row r="142" spans="2:36">
      <c r="B142" s="192">
        <v>2120</v>
      </c>
      <c r="C142" s="196">
        <v>167672</v>
      </c>
      <c r="D142" s="192" t="s">
        <v>427</v>
      </c>
      <c r="E142" s="191" t="s">
        <v>283</v>
      </c>
      <c r="F142" s="192">
        <v>2</v>
      </c>
      <c r="G142" s="191"/>
      <c r="H142" s="191"/>
      <c r="I142" s="191"/>
      <c r="J142" s="191">
        <v>0</v>
      </c>
      <c r="K142" s="191" t="s">
        <v>484</v>
      </c>
      <c r="L142" s="191"/>
      <c r="M142" s="191" t="s">
        <v>443</v>
      </c>
      <c r="N142" s="195">
        <v>42632</v>
      </c>
      <c r="O142" s="195">
        <v>42632</v>
      </c>
      <c r="P142" s="191" t="s">
        <v>660</v>
      </c>
      <c r="Q142" s="192">
        <v>1200</v>
      </c>
      <c r="R142" s="192">
        <v>14050</v>
      </c>
      <c r="S142" s="193">
        <v>17274.96</v>
      </c>
      <c r="T142" s="192">
        <v>14056</v>
      </c>
      <c r="U142" s="193">
        <v>9117.35</v>
      </c>
      <c r="V142" s="193">
        <f t="shared" ref="V142:V205" si="14">S142-U142</f>
        <v>8157.6099999999988</v>
      </c>
      <c r="W142" s="194">
        <v>119.97</v>
      </c>
      <c r="X142" s="192">
        <v>54260</v>
      </c>
      <c r="Y142" s="193">
        <v>119.97</v>
      </c>
      <c r="Z142" s="191" t="s">
        <v>427</v>
      </c>
      <c r="AA142" s="191"/>
      <c r="AB142" s="191">
        <v>37212911</v>
      </c>
      <c r="AC142" s="191"/>
      <c r="AD142" s="191" t="s">
        <v>426</v>
      </c>
      <c r="AE142" s="191" t="s">
        <v>425</v>
      </c>
      <c r="AF142" s="192" t="s">
        <v>92</v>
      </c>
      <c r="AG142" s="191"/>
      <c r="AH142" s="192" t="s">
        <v>424</v>
      </c>
      <c r="AI142" s="191">
        <v>0</v>
      </c>
      <c r="AJ142" s="191">
        <v>0</v>
      </c>
    </row>
    <row r="143" spans="2:36">
      <c r="B143" s="192">
        <v>2120</v>
      </c>
      <c r="C143" s="196">
        <v>167242</v>
      </c>
      <c r="D143" s="192" t="s">
        <v>427</v>
      </c>
      <c r="E143" s="191" t="s">
        <v>281</v>
      </c>
      <c r="F143" s="192">
        <v>6</v>
      </c>
      <c r="G143" s="191"/>
      <c r="H143" s="191"/>
      <c r="I143" s="191"/>
      <c r="J143" s="191">
        <v>0</v>
      </c>
      <c r="K143" s="191" t="s">
        <v>646</v>
      </c>
      <c r="L143" s="191"/>
      <c r="M143" s="191" t="s">
        <v>469</v>
      </c>
      <c r="N143" s="195">
        <v>42627</v>
      </c>
      <c r="O143" s="195">
        <v>42627</v>
      </c>
      <c r="P143" s="191" t="s">
        <v>662</v>
      </c>
      <c r="Q143" s="192">
        <v>1200</v>
      </c>
      <c r="R143" s="192">
        <v>14050</v>
      </c>
      <c r="S143" s="193">
        <v>3945.48</v>
      </c>
      <c r="T143" s="192">
        <v>14056</v>
      </c>
      <c r="U143" s="193">
        <v>2109.7399999999998</v>
      </c>
      <c r="V143" s="193">
        <f t="shared" si="14"/>
        <v>1835.7400000000002</v>
      </c>
      <c r="W143" s="194">
        <v>27.4</v>
      </c>
      <c r="X143" s="192">
        <v>54260</v>
      </c>
      <c r="Y143" s="193">
        <v>27.4</v>
      </c>
      <c r="Z143" s="191" t="s">
        <v>427</v>
      </c>
      <c r="AA143" s="191"/>
      <c r="AB143" s="191">
        <v>16361</v>
      </c>
      <c r="AC143" s="191"/>
      <c r="AD143" s="191" t="s">
        <v>426</v>
      </c>
      <c r="AE143" s="191" t="s">
        <v>425</v>
      </c>
      <c r="AF143" s="192" t="s">
        <v>92</v>
      </c>
      <c r="AG143" s="191"/>
      <c r="AH143" s="192" t="s">
        <v>424</v>
      </c>
      <c r="AI143" s="191">
        <v>0</v>
      </c>
      <c r="AJ143" s="191">
        <v>0</v>
      </c>
    </row>
    <row r="144" spans="2:36">
      <c r="B144" s="192">
        <v>2120</v>
      </c>
      <c r="C144" s="196">
        <v>167243</v>
      </c>
      <c r="D144" s="192" t="s">
        <v>427</v>
      </c>
      <c r="E144" s="191" t="s">
        <v>282</v>
      </c>
      <c r="F144" s="192">
        <v>2</v>
      </c>
      <c r="G144" s="191"/>
      <c r="H144" s="191"/>
      <c r="I144" s="191"/>
      <c r="J144" s="191">
        <v>0</v>
      </c>
      <c r="K144" s="191" t="s">
        <v>484</v>
      </c>
      <c r="L144" s="191"/>
      <c r="M144" s="191" t="s">
        <v>538</v>
      </c>
      <c r="N144" s="195">
        <v>42613</v>
      </c>
      <c r="O144" s="195">
        <v>42613</v>
      </c>
      <c r="P144" s="191" t="s">
        <v>661</v>
      </c>
      <c r="Q144" s="192">
        <v>1200</v>
      </c>
      <c r="R144" s="192">
        <v>14050</v>
      </c>
      <c r="S144" s="193">
        <v>16326.32</v>
      </c>
      <c r="T144" s="192">
        <v>14056</v>
      </c>
      <c r="U144" s="193">
        <v>8730.07</v>
      </c>
      <c r="V144" s="193">
        <f t="shared" si="14"/>
        <v>7596.25</v>
      </c>
      <c r="W144" s="194">
        <v>113.38</v>
      </c>
      <c r="X144" s="192">
        <v>54260</v>
      </c>
      <c r="Y144" s="193">
        <v>113.38</v>
      </c>
      <c r="Z144" s="191" t="s">
        <v>427</v>
      </c>
      <c r="AA144" s="191"/>
      <c r="AB144" s="191">
        <v>37212853</v>
      </c>
      <c r="AC144" s="191"/>
      <c r="AD144" s="191" t="s">
        <v>426</v>
      </c>
      <c r="AE144" s="191" t="s">
        <v>425</v>
      </c>
      <c r="AF144" s="192" t="s">
        <v>92</v>
      </c>
      <c r="AG144" s="191"/>
      <c r="AH144" s="192" t="s">
        <v>424</v>
      </c>
      <c r="AI144" s="191">
        <v>0</v>
      </c>
      <c r="AJ144" s="191">
        <v>0</v>
      </c>
    </row>
    <row r="145" spans="2:36">
      <c r="B145" s="192">
        <v>2120</v>
      </c>
      <c r="C145" s="196">
        <v>166669</v>
      </c>
      <c r="D145" s="192" t="s">
        <v>427</v>
      </c>
      <c r="E145" s="191" t="s">
        <v>666</v>
      </c>
      <c r="F145" s="192"/>
      <c r="G145" s="191"/>
      <c r="H145" s="191"/>
      <c r="I145" s="191"/>
      <c r="J145" s="191">
        <v>0</v>
      </c>
      <c r="K145" s="191" t="s">
        <v>665</v>
      </c>
      <c r="L145" s="191"/>
      <c r="M145" s="191"/>
      <c r="N145" s="195">
        <v>42543</v>
      </c>
      <c r="O145" s="195">
        <v>42543</v>
      </c>
      <c r="P145" s="191" t="s">
        <v>664</v>
      </c>
      <c r="Q145" s="192">
        <v>100</v>
      </c>
      <c r="R145" s="192">
        <v>14110</v>
      </c>
      <c r="S145" s="193">
        <v>3828.11</v>
      </c>
      <c r="T145" s="192">
        <v>14116</v>
      </c>
      <c r="U145" s="193">
        <v>3828.11</v>
      </c>
      <c r="V145" s="193">
        <f t="shared" si="14"/>
        <v>0</v>
      </c>
      <c r="W145" s="194">
        <v>0</v>
      </c>
      <c r="X145" s="192">
        <v>70260</v>
      </c>
      <c r="Y145" s="193">
        <v>0</v>
      </c>
      <c r="Z145" s="191" t="s">
        <v>427</v>
      </c>
      <c r="AA145" s="191"/>
      <c r="AB145" s="191" t="s">
        <v>663</v>
      </c>
      <c r="AC145" s="191"/>
      <c r="AD145" s="191" t="s">
        <v>426</v>
      </c>
      <c r="AE145" s="191" t="s">
        <v>425</v>
      </c>
      <c r="AF145" s="192" t="s">
        <v>92</v>
      </c>
      <c r="AG145" s="191"/>
      <c r="AH145" s="192" t="s">
        <v>424</v>
      </c>
      <c r="AI145" s="191">
        <v>0</v>
      </c>
      <c r="AJ145" s="191">
        <v>0</v>
      </c>
    </row>
    <row r="146" spans="2:36">
      <c r="B146" s="192">
        <v>2120</v>
      </c>
      <c r="C146" s="196">
        <v>139928</v>
      </c>
      <c r="D146" s="192" t="s">
        <v>427</v>
      </c>
      <c r="E146" s="191" t="s">
        <v>669</v>
      </c>
      <c r="F146" s="192"/>
      <c r="G146" s="191"/>
      <c r="H146" s="191"/>
      <c r="I146" s="191"/>
      <c r="J146" s="191">
        <v>0</v>
      </c>
      <c r="K146" s="191" t="s">
        <v>668</v>
      </c>
      <c r="L146" s="191"/>
      <c r="M146" s="191"/>
      <c r="N146" s="195">
        <v>42543</v>
      </c>
      <c r="O146" s="195">
        <v>42543</v>
      </c>
      <c r="P146" s="191" t="s">
        <v>664</v>
      </c>
      <c r="Q146" s="192">
        <v>100</v>
      </c>
      <c r="R146" s="192">
        <v>14110</v>
      </c>
      <c r="S146" s="193">
        <v>2532.91</v>
      </c>
      <c r="T146" s="192">
        <v>14116</v>
      </c>
      <c r="U146" s="193">
        <v>2532.91</v>
      </c>
      <c r="V146" s="193">
        <f t="shared" si="14"/>
        <v>0</v>
      </c>
      <c r="W146" s="194">
        <v>0</v>
      </c>
      <c r="X146" s="192">
        <v>70260</v>
      </c>
      <c r="Y146" s="193">
        <v>0</v>
      </c>
      <c r="Z146" s="191" t="s">
        <v>427</v>
      </c>
      <c r="AA146" s="191"/>
      <c r="AB146" s="191" t="s">
        <v>667</v>
      </c>
      <c r="AC146" s="191"/>
      <c r="AD146" s="191" t="s">
        <v>426</v>
      </c>
      <c r="AE146" s="191" t="s">
        <v>425</v>
      </c>
      <c r="AF146" s="192" t="s">
        <v>92</v>
      </c>
      <c r="AG146" s="191"/>
      <c r="AH146" s="192" t="s">
        <v>424</v>
      </c>
      <c r="AI146" s="191">
        <v>0</v>
      </c>
      <c r="AJ146" s="191">
        <v>0</v>
      </c>
    </row>
    <row r="147" spans="2:36">
      <c r="B147" s="192">
        <v>2120</v>
      </c>
      <c r="C147" s="196">
        <v>133346</v>
      </c>
      <c r="D147" s="192">
        <v>133345</v>
      </c>
      <c r="E147" s="191" t="s">
        <v>673</v>
      </c>
      <c r="F147" s="192"/>
      <c r="G147" s="191"/>
      <c r="H147" s="191"/>
      <c r="I147" s="191"/>
      <c r="J147" s="191">
        <v>0</v>
      </c>
      <c r="K147" s="191" t="s">
        <v>672</v>
      </c>
      <c r="L147" s="191"/>
      <c r="M147" s="191"/>
      <c r="N147" s="195">
        <v>42452</v>
      </c>
      <c r="O147" s="195">
        <v>42452</v>
      </c>
      <c r="P147" s="191" t="s">
        <v>671</v>
      </c>
      <c r="Q147" s="192">
        <v>500</v>
      </c>
      <c r="R147" s="192">
        <v>14100</v>
      </c>
      <c r="S147" s="193">
        <v>583.35</v>
      </c>
      <c r="T147" s="192">
        <v>14106</v>
      </c>
      <c r="U147" s="193">
        <v>583.35</v>
      </c>
      <c r="V147" s="193">
        <f t="shared" si="14"/>
        <v>0</v>
      </c>
      <c r="W147" s="194">
        <v>0</v>
      </c>
      <c r="X147" s="192">
        <v>70260</v>
      </c>
      <c r="Y147" s="193">
        <v>0</v>
      </c>
      <c r="Z147" s="191" t="s">
        <v>427</v>
      </c>
      <c r="AA147" s="191"/>
      <c r="AB147" s="191" t="s">
        <v>670</v>
      </c>
      <c r="AC147" s="191"/>
      <c r="AD147" s="191" t="s">
        <v>426</v>
      </c>
      <c r="AE147" s="191" t="s">
        <v>425</v>
      </c>
      <c r="AF147" s="192" t="s">
        <v>92</v>
      </c>
      <c r="AG147" s="197">
        <v>42521</v>
      </c>
      <c r="AH147" s="192" t="s">
        <v>424</v>
      </c>
      <c r="AI147" s="191">
        <v>0</v>
      </c>
      <c r="AJ147" s="191">
        <v>19.440000000000001</v>
      </c>
    </row>
    <row r="148" spans="2:36">
      <c r="B148" s="192">
        <v>2120</v>
      </c>
      <c r="C148" s="196">
        <v>133345</v>
      </c>
      <c r="D148" s="192" t="s">
        <v>427</v>
      </c>
      <c r="E148" s="191" t="s">
        <v>266</v>
      </c>
      <c r="F148" s="192"/>
      <c r="G148" s="191"/>
      <c r="H148" s="191"/>
      <c r="I148" s="191"/>
      <c r="J148" s="191">
        <v>0</v>
      </c>
      <c r="K148" s="191" t="s">
        <v>672</v>
      </c>
      <c r="L148" s="191"/>
      <c r="M148" s="191"/>
      <c r="N148" s="195">
        <v>42451</v>
      </c>
      <c r="O148" s="195">
        <v>42451</v>
      </c>
      <c r="P148" s="191" t="s">
        <v>671</v>
      </c>
      <c r="Q148" s="192">
        <v>500</v>
      </c>
      <c r="R148" s="192">
        <v>14100</v>
      </c>
      <c r="S148" s="193">
        <v>2075.02</v>
      </c>
      <c r="T148" s="192">
        <v>14106</v>
      </c>
      <c r="U148" s="193">
        <v>2075.02</v>
      </c>
      <c r="V148" s="193">
        <f t="shared" si="14"/>
        <v>0</v>
      </c>
      <c r="W148" s="194">
        <v>0</v>
      </c>
      <c r="X148" s="192">
        <v>70260</v>
      </c>
      <c r="Y148" s="193">
        <v>0</v>
      </c>
      <c r="Z148" s="191" t="s">
        <v>427</v>
      </c>
      <c r="AA148" s="191"/>
      <c r="AB148" s="191" t="s">
        <v>674</v>
      </c>
      <c r="AC148" s="191"/>
      <c r="AD148" s="191" t="s">
        <v>426</v>
      </c>
      <c r="AE148" s="191" t="s">
        <v>425</v>
      </c>
      <c r="AF148" s="192" t="s">
        <v>92</v>
      </c>
      <c r="AG148" s="197">
        <v>42521</v>
      </c>
      <c r="AH148" s="192" t="s">
        <v>424</v>
      </c>
      <c r="AI148" s="191">
        <v>0</v>
      </c>
      <c r="AJ148" s="191">
        <v>69.17</v>
      </c>
    </row>
    <row r="149" spans="2:36">
      <c r="B149" s="192">
        <v>2120</v>
      </c>
      <c r="C149" s="196">
        <v>131033</v>
      </c>
      <c r="D149" s="192">
        <v>25787</v>
      </c>
      <c r="E149" s="191" t="s">
        <v>1034</v>
      </c>
      <c r="F149" s="192"/>
      <c r="G149" s="191"/>
      <c r="H149" s="191"/>
      <c r="I149" s="191"/>
      <c r="J149" s="191">
        <v>0</v>
      </c>
      <c r="K149" s="191" t="s">
        <v>1033</v>
      </c>
      <c r="L149" s="191"/>
      <c r="M149" s="191" t="s">
        <v>448</v>
      </c>
      <c r="N149" s="195">
        <v>42390</v>
      </c>
      <c r="O149" s="195">
        <v>42390</v>
      </c>
      <c r="P149" s="191" t="s">
        <v>1032</v>
      </c>
      <c r="Q149" s="192">
        <v>300</v>
      </c>
      <c r="R149" s="192">
        <v>14040</v>
      </c>
      <c r="S149" s="193">
        <v>5325.68</v>
      </c>
      <c r="T149" s="192">
        <v>14046</v>
      </c>
      <c r="U149" s="193">
        <v>5325.68</v>
      </c>
      <c r="V149" s="193">
        <f t="shared" si="14"/>
        <v>0</v>
      </c>
      <c r="W149" s="194">
        <v>0</v>
      </c>
      <c r="X149" s="192">
        <v>51260</v>
      </c>
      <c r="Y149" s="193">
        <v>0</v>
      </c>
      <c r="Z149" s="191" t="s">
        <v>427</v>
      </c>
      <c r="AA149" s="191"/>
      <c r="AB149" s="191" t="s">
        <v>1031</v>
      </c>
      <c r="AC149" s="191"/>
      <c r="AD149" s="191" t="s">
        <v>426</v>
      </c>
      <c r="AE149" s="191" t="s">
        <v>425</v>
      </c>
      <c r="AF149" s="192" t="s">
        <v>92</v>
      </c>
      <c r="AG149" s="191"/>
      <c r="AH149" s="192" t="s">
        <v>424</v>
      </c>
      <c r="AI149" s="191">
        <v>0</v>
      </c>
      <c r="AJ149" s="191">
        <v>0</v>
      </c>
    </row>
    <row r="150" spans="2:36">
      <c r="B150" s="192">
        <v>2120</v>
      </c>
      <c r="C150" s="196">
        <v>131234</v>
      </c>
      <c r="D150" s="192">
        <v>129371</v>
      </c>
      <c r="E150" s="191" t="s">
        <v>676</v>
      </c>
      <c r="F150" s="192"/>
      <c r="G150" s="191"/>
      <c r="H150" s="191"/>
      <c r="I150" s="191"/>
      <c r="J150" s="191">
        <v>0</v>
      </c>
      <c r="K150" s="191" t="s">
        <v>520</v>
      </c>
      <c r="L150" s="191"/>
      <c r="M150" s="191" t="s">
        <v>448</v>
      </c>
      <c r="N150" s="195">
        <v>42389</v>
      </c>
      <c r="O150" s="195">
        <v>42389</v>
      </c>
      <c r="P150" s="191" t="s">
        <v>675</v>
      </c>
      <c r="Q150" s="192">
        <v>1000</v>
      </c>
      <c r="R150" s="192">
        <v>14040</v>
      </c>
      <c r="S150" s="193">
        <v>239.14</v>
      </c>
      <c r="T150" s="192">
        <v>14046</v>
      </c>
      <c r="U150" s="193">
        <v>167.37</v>
      </c>
      <c r="V150" s="193">
        <f t="shared" si="14"/>
        <v>71.769999999999982</v>
      </c>
      <c r="W150" s="194">
        <v>1.99</v>
      </c>
      <c r="X150" s="192">
        <v>51260</v>
      </c>
      <c r="Y150" s="193">
        <v>1.99</v>
      </c>
      <c r="Z150" s="191" t="s">
        <v>427</v>
      </c>
      <c r="AA150" s="191"/>
      <c r="AB150" s="191">
        <v>24304</v>
      </c>
      <c r="AC150" s="191"/>
      <c r="AD150" s="191" t="s">
        <v>426</v>
      </c>
      <c r="AE150" s="191" t="s">
        <v>425</v>
      </c>
      <c r="AF150" s="192" t="s">
        <v>92</v>
      </c>
      <c r="AG150" s="191"/>
      <c r="AH150" s="192" t="s">
        <v>424</v>
      </c>
      <c r="AI150" s="191">
        <v>0</v>
      </c>
      <c r="AJ150" s="191">
        <v>0</v>
      </c>
    </row>
    <row r="151" spans="2:36">
      <c r="B151" s="192">
        <v>2120</v>
      </c>
      <c r="C151" s="196">
        <v>130199</v>
      </c>
      <c r="D151" s="192">
        <v>129371</v>
      </c>
      <c r="E151" s="191" t="s">
        <v>679</v>
      </c>
      <c r="F151" s="192"/>
      <c r="G151" s="191"/>
      <c r="H151" s="191"/>
      <c r="I151" s="191"/>
      <c r="J151" s="191">
        <v>0</v>
      </c>
      <c r="K151" s="191" t="s">
        <v>678</v>
      </c>
      <c r="L151" s="191"/>
      <c r="M151" s="191" t="s">
        <v>448</v>
      </c>
      <c r="N151" s="195">
        <v>42389</v>
      </c>
      <c r="O151" s="195">
        <v>42389</v>
      </c>
      <c r="P151" s="191" t="s">
        <v>675</v>
      </c>
      <c r="Q151" s="192">
        <v>1000</v>
      </c>
      <c r="R151" s="192">
        <v>14040</v>
      </c>
      <c r="S151" s="193">
        <v>938.14</v>
      </c>
      <c r="T151" s="192">
        <v>14046</v>
      </c>
      <c r="U151" s="193">
        <v>656.68</v>
      </c>
      <c r="V151" s="193">
        <f t="shared" si="14"/>
        <v>281.46000000000004</v>
      </c>
      <c r="W151" s="194">
        <v>7.82</v>
      </c>
      <c r="X151" s="192">
        <v>51260</v>
      </c>
      <c r="Y151" s="193">
        <v>7.82</v>
      </c>
      <c r="Z151" s="191" t="s">
        <v>427</v>
      </c>
      <c r="AA151" s="191"/>
      <c r="AB151" s="191" t="s">
        <v>677</v>
      </c>
      <c r="AC151" s="191"/>
      <c r="AD151" s="191" t="s">
        <v>426</v>
      </c>
      <c r="AE151" s="191" t="s">
        <v>425</v>
      </c>
      <c r="AF151" s="192" t="s">
        <v>92</v>
      </c>
      <c r="AG151" s="191"/>
      <c r="AH151" s="192" t="s">
        <v>424</v>
      </c>
      <c r="AI151" s="191">
        <v>0</v>
      </c>
      <c r="AJ151" s="191">
        <v>0</v>
      </c>
    </row>
    <row r="152" spans="2:36">
      <c r="B152" s="192">
        <v>2120</v>
      </c>
      <c r="C152" s="196">
        <v>130084</v>
      </c>
      <c r="D152" s="192">
        <v>129371</v>
      </c>
      <c r="E152" s="191" t="s">
        <v>681</v>
      </c>
      <c r="F152" s="192"/>
      <c r="G152" s="191"/>
      <c r="H152" s="191"/>
      <c r="I152" s="191"/>
      <c r="J152" s="191">
        <v>0</v>
      </c>
      <c r="K152" s="191" t="s">
        <v>680</v>
      </c>
      <c r="L152" s="191"/>
      <c r="M152" s="191" t="s">
        <v>448</v>
      </c>
      <c r="N152" s="195">
        <v>42389</v>
      </c>
      <c r="O152" s="195">
        <v>42389</v>
      </c>
      <c r="P152" s="191" t="s">
        <v>675</v>
      </c>
      <c r="Q152" s="192">
        <v>1000</v>
      </c>
      <c r="R152" s="192">
        <v>14040</v>
      </c>
      <c r="S152" s="193">
        <v>634.54999999999995</v>
      </c>
      <c r="T152" s="192">
        <v>14046</v>
      </c>
      <c r="U152" s="193">
        <v>444.22</v>
      </c>
      <c r="V152" s="193">
        <f t="shared" si="14"/>
        <v>190.32999999999993</v>
      </c>
      <c r="W152" s="194">
        <v>5.29</v>
      </c>
      <c r="X152" s="192">
        <v>51260</v>
      </c>
      <c r="Y152" s="193">
        <v>5.29</v>
      </c>
      <c r="Z152" s="191" t="s">
        <v>427</v>
      </c>
      <c r="AA152" s="191"/>
      <c r="AB152" s="191">
        <v>5034149</v>
      </c>
      <c r="AC152" s="191"/>
      <c r="AD152" s="191" t="s">
        <v>426</v>
      </c>
      <c r="AE152" s="191" t="s">
        <v>425</v>
      </c>
      <c r="AF152" s="192" t="s">
        <v>92</v>
      </c>
      <c r="AG152" s="191"/>
      <c r="AH152" s="192" t="s">
        <v>424</v>
      </c>
      <c r="AI152" s="191">
        <v>0</v>
      </c>
      <c r="AJ152" s="191">
        <v>0</v>
      </c>
    </row>
    <row r="153" spans="2:36">
      <c r="B153" s="192">
        <v>2120</v>
      </c>
      <c r="C153" s="196">
        <v>130038</v>
      </c>
      <c r="D153" s="192">
        <v>129371</v>
      </c>
      <c r="E153" s="191" t="s">
        <v>682</v>
      </c>
      <c r="F153" s="192"/>
      <c r="G153" s="191"/>
      <c r="H153" s="191"/>
      <c r="I153" s="191"/>
      <c r="J153" s="191">
        <v>0</v>
      </c>
      <c r="K153" s="191" t="s">
        <v>516</v>
      </c>
      <c r="L153" s="191"/>
      <c r="M153" s="191" t="s">
        <v>448</v>
      </c>
      <c r="N153" s="195">
        <v>42389</v>
      </c>
      <c r="O153" s="195">
        <v>42389</v>
      </c>
      <c r="P153" s="191" t="s">
        <v>675</v>
      </c>
      <c r="Q153" s="192">
        <v>1000</v>
      </c>
      <c r="R153" s="192">
        <v>14040</v>
      </c>
      <c r="S153" s="193">
        <v>1040.27</v>
      </c>
      <c r="T153" s="192">
        <v>14046</v>
      </c>
      <c r="U153" s="193">
        <v>728.21</v>
      </c>
      <c r="V153" s="193">
        <f t="shared" si="14"/>
        <v>312.05999999999995</v>
      </c>
      <c r="W153" s="194">
        <v>8.67</v>
      </c>
      <c r="X153" s="192">
        <v>51260</v>
      </c>
      <c r="Y153" s="193">
        <v>8.67</v>
      </c>
      <c r="Z153" s="191" t="s">
        <v>427</v>
      </c>
      <c r="AA153" s="191"/>
      <c r="AB153" s="191">
        <v>38467</v>
      </c>
      <c r="AC153" s="191"/>
      <c r="AD153" s="191" t="s">
        <v>426</v>
      </c>
      <c r="AE153" s="191" t="s">
        <v>425</v>
      </c>
      <c r="AF153" s="192" t="s">
        <v>92</v>
      </c>
      <c r="AG153" s="191"/>
      <c r="AH153" s="192" t="s">
        <v>424</v>
      </c>
      <c r="AI153" s="191">
        <v>0</v>
      </c>
      <c r="AJ153" s="191">
        <v>0</v>
      </c>
    </row>
    <row r="154" spans="2:36">
      <c r="B154" s="192">
        <v>2120</v>
      </c>
      <c r="C154" s="196">
        <v>129371</v>
      </c>
      <c r="D154" s="192" t="s">
        <v>427</v>
      </c>
      <c r="E154" s="191" t="s">
        <v>685</v>
      </c>
      <c r="F154" s="192"/>
      <c r="G154" s="191"/>
      <c r="H154" s="191" t="s">
        <v>684</v>
      </c>
      <c r="I154" s="191" t="s">
        <v>677</v>
      </c>
      <c r="J154" s="191">
        <v>2016</v>
      </c>
      <c r="K154" s="191" t="s">
        <v>494</v>
      </c>
      <c r="L154" s="191" t="s">
        <v>493</v>
      </c>
      <c r="M154" s="191" t="s">
        <v>492</v>
      </c>
      <c r="N154" s="195">
        <v>42389</v>
      </c>
      <c r="O154" s="195">
        <v>42389</v>
      </c>
      <c r="P154" s="191" t="s">
        <v>675</v>
      </c>
      <c r="Q154" s="192">
        <v>1000</v>
      </c>
      <c r="R154" s="192">
        <v>14040</v>
      </c>
      <c r="S154" s="193">
        <v>252944.72</v>
      </c>
      <c r="T154" s="192">
        <v>14046</v>
      </c>
      <c r="U154" s="193">
        <v>177061.29</v>
      </c>
      <c r="V154" s="193">
        <f t="shared" si="14"/>
        <v>75883.429999999993</v>
      </c>
      <c r="W154" s="194">
        <v>2107.87</v>
      </c>
      <c r="X154" s="192">
        <v>51260</v>
      </c>
      <c r="Y154" s="193">
        <v>2107.87</v>
      </c>
      <c r="Z154" s="191" t="s">
        <v>427</v>
      </c>
      <c r="AA154" s="191"/>
      <c r="AB154" s="191" t="s">
        <v>683</v>
      </c>
      <c r="AC154" s="191">
        <v>16</v>
      </c>
      <c r="AD154" s="191" t="s">
        <v>426</v>
      </c>
      <c r="AE154" s="191" t="s">
        <v>425</v>
      </c>
      <c r="AF154" s="192" t="s">
        <v>92</v>
      </c>
      <c r="AG154" s="191"/>
      <c r="AH154" s="192" t="s">
        <v>424</v>
      </c>
      <c r="AI154" s="191">
        <v>0</v>
      </c>
      <c r="AJ154" s="191">
        <v>0</v>
      </c>
    </row>
    <row r="155" spans="2:36">
      <c r="B155" s="192">
        <v>2120</v>
      </c>
      <c r="C155" s="196">
        <v>126735</v>
      </c>
      <c r="D155" s="192" t="s">
        <v>427</v>
      </c>
      <c r="E155" s="191" t="s">
        <v>688</v>
      </c>
      <c r="F155" s="192">
        <v>100</v>
      </c>
      <c r="G155" s="191"/>
      <c r="H155" s="191"/>
      <c r="I155" s="191"/>
      <c r="J155" s="191">
        <v>0</v>
      </c>
      <c r="K155" s="191" t="s">
        <v>687</v>
      </c>
      <c r="L155" s="191"/>
      <c r="M155" s="191"/>
      <c r="N155" s="195">
        <v>42310</v>
      </c>
      <c r="O155" s="195">
        <v>42310</v>
      </c>
      <c r="P155" s="191" t="s">
        <v>686</v>
      </c>
      <c r="Q155" s="192">
        <v>700</v>
      </c>
      <c r="R155" s="192">
        <v>14050</v>
      </c>
      <c r="S155" s="193">
        <v>5641.04</v>
      </c>
      <c r="T155" s="192">
        <v>14056</v>
      </c>
      <c r="U155" s="193">
        <v>5641.04</v>
      </c>
      <c r="V155" s="193">
        <f t="shared" si="14"/>
        <v>0</v>
      </c>
      <c r="W155" s="194">
        <v>0</v>
      </c>
      <c r="X155" s="192">
        <v>54260</v>
      </c>
      <c r="Y155" s="193">
        <v>0</v>
      </c>
      <c r="Z155" s="191" t="s">
        <v>427</v>
      </c>
      <c r="AA155" s="191"/>
      <c r="AB155" s="191">
        <v>65387074</v>
      </c>
      <c r="AC155" s="191"/>
      <c r="AD155" s="191" t="s">
        <v>426</v>
      </c>
      <c r="AE155" s="191" t="s">
        <v>425</v>
      </c>
      <c r="AF155" s="192" t="s">
        <v>92</v>
      </c>
      <c r="AG155" s="191"/>
      <c r="AH155" s="192" t="s">
        <v>424</v>
      </c>
      <c r="AI155" s="191">
        <v>0</v>
      </c>
      <c r="AJ155" s="191">
        <v>0</v>
      </c>
    </row>
    <row r="156" spans="2:36">
      <c r="B156" s="192">
        <v>2120</v>
      </c>
      <c r="C156" s="196">
        <v>126734</v>
      </c>
      <c r="D156" s="192" t="s">
        <v>427</v>
      </c>
      <c r="E156" s="191" t="s">
        <v>689</v>
      </c>
      <c r="F156" s="192">
        <v>100</v>
      </c>
      <c r="G156" s="191"/>
      <c r="H156" s="191"/>
      <c r="I156" s="191"/>
      <c r="J156" s="191">
        <v>0</v>
      </c>
      <c r="K156" s="191" t="s">
        <v>687</v>
      </c>
      <c r="L156" s="191"/>
      <c r="M156" s="191"/>
      <c r="N156" s="195">
        <v>42310</v>
      </c>
      <c r="O156" s="195">
        <v>42310</v>
      </c>
      <c r="P156" s="191" t="s">
        <v>686</v>
      </c>
      <c r="Q156" s="192">
        <v>700</v>
      </c>
      <c r="R156" s="192">
        <v>14050</v>
      </c>
      <c r="S156" s="193">
        <v>5371.53</v>
      </c>
      <c r="T156" s="192">
        <v>14056</v>
      </c>
      <c r="U156" s="193">
        <v>5371.53</v>
      </c>
      <c r="V156" s="193">
        <f t="shared" si="14"/>
        <v>0</v>
      </c>
      <c r="W156" s="194">
        <v>0</v>
      </c>
      <c r="X156" s="192">
        <v>54260</v>
      </c>
      <c r="Y156" s="193">
        <v>0</v>
      </c>
      <c r="Z156" s="191" t="s">
        <v>427</v>
      </c>
      <c r="AA156" s="191"/>
      <c r="AB156" s="191">
        <v>65387074</v>
      </c>
      <c r="AC156" s="191"/>
      <c r="AD156" s="191" t="s">
        <v>426</v>
      </c>
      <c r="AE156" s="191" t="s">
        <v>425</v>
      </c>
      <c r="AF156" s="192" t="s">
        <v>92</v>
      </c>
      <c r="AG156" s="191"/>
      <c r="AH156" s="192" t="s">
        <v>424</v>
      </c>
      <c r="AI156" s="191">
        <v>0</v>
      </c>
      <c r="AJ156" s="191">
        <v>0</v>
      </c>
    </row>
    <row r="157" spans="2:36">
      <c r="B157" s="192">
        <v>2120</v>
      </c>
      <c r="C157" s="196">
        <v>126344</v>
      </c>
      <c r="D157" s="192" t="s">
        <v>427</v>
      </c>
      <c r="E157" s="191" t="s">
        <v>691</v>
      </c>
      <c r="F157" s="192">
        <v>10</v>
      </c>
      <c r="G157" s="191"/>
      <c r="H157" s="191"/>
      <c r="I157" s="191"/>
      <c r="J157" s="191">
        <v>0</v>
      </c>
      <c r="K157" s="191" t="s">
        <v>646</v>
      </c>
      <c r="L157" s="191"/>
      <c r="M157" s="191" t="s">
        <v>540</v>
      </c>
      <c r="N157" s="195">
        <v>42303</v>
      </c>
      <c r="O157" s="195">
        <v>42303</v>
      </c>
      <c r="P157" s="191" t="s">
        <v>690</v>
      </c>
      <c r="Q157" s="192">
        <v>1200</v>
      </c>
      <c r="R157" s="192">
        <v>14050</v>
      </c>
      <c r="S157" s="193">
        <v>14261.94</v>
      </c>
      <c r="T157" s="192">
        <v>14056</v>
      </c>
      <c r="U157" s="193">
        <v>8616.6200000000008</v>
      </c>
      <c r="V157" s="193">
        <f t="shared" si="14"/>
        <v>5645.32</v>
      </c>
      <c r="W157" s="194">
        <v>99.04</v>
      </c>
      <c r="X157" s="192">
        <v>54260</v>
      </c>
      <c r="Y157" s="193">
        <v>99.04</v>
      </c>
      <c r="Z157" s="191" t="s">
        <v>427</v>
      </c>
      <c r="AA157" s="191"/>
      <c r="AB157" s="191">
        <v>13004</v>
      </c>
      <c r="AC157" s="191"/>
      <c r="AD157" s="191" t="s">
        <v>426</v>
      </c>
      <c r="AE157" s="191" t="s">
        <v>425</v>
      </c>
      <c r="AF157" s="192" t="s">
        <v>92</v>
      </c>
      <c r="AG157" s="191"/>
      <c r="AH157" s="192" t="s">
        <v>424</v>
      </c>
      <c r="AI157" s="191">
        <v>0</v>
      </c>
      <c r="AJ157" s="191">
        <v>0</v>
      </c>
    </row>
    <row r="158" spans="2:36">
      <c r="B158" s="192">
        <v>2120</v>
      </c>
      <c r="C158" s="196">
        <v>126343</v>
      </c>
      <c r="D158" s="192" t="s">
        <v>427</v>
      </c>
      <c r="E158" s="191" t="s">
        <v>692</v>
      </c>
      <c r="F158" s="192">
        <v>1</v>
      </c>
      <c r="G158" s="191"/>
      <c r="H158" s="191"/>
      <c r="I158" s="191"/>
      <c r="J158" s="191">
        <v>0</v>
      </c>
      <c r="K158" s="191" t="s">
        <v>646</v>
      </c>
      <c r="L158" s="191"/>
      <c r="M158" s="191" t="s">
        <v>624</v>
      </c>
      <c r="N158" s="195">
        <v>42278</v>
      </c>
      <c r="O158" s="195">
        <v>42278</v>
      </c>
      <c r="P158" s="191" t="s">
        <v>690</v>
      </c>
      <c r="Q158" s="192">
        <v>1200</v>
      </c>
      <c r="R158" s="192">
        <v>14050</v>
      </c>
      <c r="S158" s="193">
        <v>1588.97</v>
      </c>
      <c r="T158" s="192">
        <v>14056</v>
      </c>
      <c r="U158" s="193">
        <v>971.08</v>
      </c>
      <c r="V158" s="193">
        <f t="shared" si="14"/>
        <v>617.89</v>
      </c>
      <c r="W158" s="194">
        <v>11.04</v>
      </c>
      <c r="X158" s="192">
        <v>54260</v>
      </c>
      <c r="Y158" s="193">
        <v>11.04</v>
      </c>
      <c r="Z158" s="191" t="s">
        <v>427</v>
      </c>
      <c r="AA158" s="191"/>
      <c r="AB158" s="191">
        <v>13002</v>
      </c>
      <c r="AC158" s="191"/>
      <c r="AD158" s="191" t="s">
        <v>426</v>
      </c>
      <c r="AE158" s="191" t="s">
        <v>425</v>
      </c>
      <c r="AF158" s="192" t="s">
        <v>92</v>
      </c>
      <c r="AG158" s="191"/>
      <c r="AH158" s="192" t="s">
        <v>424</v>
      </c>
      <c r="AI158" s="191">
        <v>0</v>
      </c>
      <c r="AJ158" s="191">
        <v>0</v>
      </c>
    </row>
    <row r="159" spans="2:36">
      <c r="B159" s="192">
        <v>2120</v>
      </c>
      <c r="C159" s="196">
        <v>126342</v>
      </c>
      <c r="D159" s="192" t="s">
        <v>427</v>
      </c>
      <c r="E159" s="191" t="s">
        <v>284</v>
      </c>
      <c r="F159" s="192">
        <v>6</v>
      </c>
      <c r="G159" s="191"/>
      <c r="H159" s="191"/>
      <c r="I159" s="191"/>
      <c r="J159" s="191">
        <v>0</v>
      </c>
      <c r="K159" s="191" t="s">
        <v>646</v>
      </c>
      <c r="L159" s="191"/>
      <c r="M159" s="191" t="s">
        <v>461</v>
      </c>
      <c r="N159" s="195">
        <v>42278</v>
      </c>
      <c r="O159" s="195">
        <v>42278</v>
      </c>
      <c r="P159" s="191" t="s">
        <v>690</v>
      </c>
      <c r="Q159" s="192">
        <v>1200</v>
      </c>
      <c r="R159" s="192">
        <v>14050</v>
      </c>
      <c r="S159" s="193">
        <v>2781.24</v>
      </c>
      <c r="T159" s="192">
        <v>14056</v>
      </c>
      <c r="U159" s="193">
        <v>1699.64</v>
      </c>
      <c r="V159" s="193">
        <f t="shared" si="14"/>
        <v>1081.5999999999997</v>
      </c>
      <c r="W159" s="194">
        <v>19.309999999999999</v>
      </c>
      <c r="X159" s="192">
        <v>54260</v>
      </c>
      <c r="Y159" s="193">
        <v>19.309999999999999</v>
      </c>
      <c r="Z159" s="191" t="s">
        <v>427</v>
      </c>
      <c r="AA159" s="191"/>
      <c r="AB159" s="191">
        <v>12886</v>
      </c>
      <c r="AC159" s="191"/>
      <c r="AD159" s="191" t="s">
        <v>426</v>
      </c>
      <c r="AE159" s="191" t="s">
        <v>425</v>
      </c>
      <c r="AF159" s="192" t="s">
        <v>92</v>
      </c>
      <c r="AG159" s="191"/>
      <c r="AH159" s="192" t="s">
        <v>424</v>
      </c>
      <c r="AI159" s="191">
        <v>0</v>
      </c>
      <c r="AJ159" s="191">
        <v>0</v>
      </c>
    </row>
    <row r="160" spans="2:36">
      <c r="B160" s="192">
        <v>2120</v>
      </c>
      <c r="C160" s="196">
        <v>126208</v>
      </c>
      <c r="D160" s="192" t="s">
        <v>427</v>
      </c>
      <c r="E160" s="191" t="s">
        <v>206</v>
      </c>
      <c r="F160" s="192">
        <v>4</v>
      </c>
      <c r="G160" s="191"/>
      <c r="H160" s="191"/>
      <c r="I160" s="191"/>
      <c r="J160" s="191">
        <v>0</v>
      </c>
      <c r="K160" s="191" t="s">
        <v>430</v>
      </c>
      <c r="L160" s="191"/>
      <c r="M160" s="191" t="s">
        <v>507</v>
      </c>
      <c r="N160" s="195">
        <v>42278</v>
      </c>
      <c r="O160" s="195">
        <v>42278</v>
      </c>
      <c r="P160" s="191" t="s">
        <v>690</v>
      </c>
      <c r="Q160" s="192">
        <v>1200</v>
      </c>
      <c r="R160" s="192">
        <v>14050</v>
      </c>
      <c r="S160" s="193">
        <v>3647.51</v>
      </c>
      <c r="T160" s="192">
        <v>14056</v>
      </c>
      <c r="U160" s="193">
        <v>2229.04</v>
      </c>
      <c r="V160" s="193">
        <f t="shared" si="14"/>
        <v>1418.4700000000003</v>
      </c>
      <c r="W160" s="194">
        <v>25.33</v>
      </c>
      <c r="X160" s="192">
        <v>54260</v>
      </c>
      <c r="Y160" s="193">
        <v>25.33</v>
      </c>
      <c r="Z160" s="191" t="s">
        <v>427</v>
      </c>
      <c r="AA160" s="191"/>
      <c r="AB160" s="191">
        <v>6844</v>
      </c>
      <c r="AC160" s="191"/>
      <c r="AD160" s="191" t="s">
        <v>426</v>
      </c>
      <c r="AE160" s="191" t="s">
        <v>425</v>
      </c>
      <c r="AF160" s="192" t="s">
        <v>92</v>
      </c>
      <c r="AG160" s="191"/>
      <c r="AH160" s="192" t="s">
        <v>424</v>
      </c>
      <c r="AI160" s="191">
        <v>0</v>
      </c>
      <c r="AJ160" s="191">
        <v>0</v>
      </c>
    </row>
    <row r="161" spans="2:36">
      <c r="B161" s="192">
        <v>2120</v>
      </c>
      <c r="C161" s="196">
        <v>126207</v>
      </c>
      <c r="D161" s="192" t="s">
        <v>427</v>
      </c>
      <c r="E161" s="191" t="s">
        <v>205</v>
      </c>
      <c r="F161" s="192">
        <v>6</v>
      </c>
      <c r="G161" s="191"/>
      <c r="H161" s="191"/>
      <c r="I161" s="191"/>
      <c r="J161" s="191">
        <v>0</v>
      </c>
      <c r="K161" s="191" t="s">
        <v>430</v>
      </c>
      <c r="L161" s="191"/>
      <c r="M161" s="191" t="s">
        <v>543</v>
      </c>
      <c r="N161" s="195">
        <v>42278</v>
      </c>
      <c r="O161" s="195">
        <v>42278</v>
      </c>
      <c r="P161" s="191" t="s">
        <v>690</v>
      </c>
      <c r="Q161" s="192">
        <v>1200</v>
      </c>
      <c r="R161" s="192">
        <v>14050</v>
      </c>
      <c r="S161" s="193">
        <v>4592.3999999999996</v>
      </c>
      <c r="T161" s="192">
        <v>14056</v>
      </c>
      <c r="U161" s="193">
        <v>2806.4</v>
      </c>
      <c r="V161" s="193">
        <f t="shared" si="14"/>
        <v>1785.9999999999995</v>
      </c>
      <c r="W161" s="194">
        <v>31.89</v>
      </c>
      <c r="X161" s="192">
        <v>54260</v>
      </c>
      <c r="Y161" s="193">
        <v>31.89</v>
      </c>
      <c r="Z161" s="191" t="s">
        <v>427</v>
      </c>
      <c r="AA161" s="191"/>
      <c r="AB161" s="191">
        <v>6844</v>
      </c>
      <c r="AC161" s="191"/>
      <c r="AD161" s="191" t="s">
        <v>426</v>
      </c>
      <c r="AE161" s="191" t="s">
        <v>425</v>
      </c>
      <c r="AF161" s="192" t="s">
        <v>92</v>
      </c>
      <c r="AG161" s="191"/>
      <c r="AH161" s="192" t="s">
        <v>424</v>
      </c>
      <c r="AI161" s="191">
        <v>0</v>
      </c>
      <c r="AJ161" s="191">
        <v>0</v>
      </c>
    </row>
    <row r="162" spans="2:36">
      <c r="B162" s="192">
        <v>2120</v>
      </c>
      <c r="C162" s="196">
        <v>126206</v>
      </c>
      <c r="D162" s="192" t="s">
        <v>427</v>
      </c>
      <c r="E162" s="191" t="s">
        <v>204</v>
      </c>
      <c r="F162" s="192">
        <v>6</v>
      </c>
      <c r="G162" s="191"/>
      <c r="H162" s="191"/>
      <c r="I162" s="191"/>
      <c r="J162" s="191">
        <v>0</v>
      </c>
      <c r="K162" s="191" t="s">
        <v>430</v>
      </c>
      <c r="L162" s="191"/>
      <c r="M162" s="191" t="s">
        <v>464</v>
      </c>
      <c r="N162" s="195">
        <v>42278</v>
      </c>
      <c r="O162" s="195">
        <v>42278</v>
      </c>
      <c r="P162" s="191" t="s">
        <v>690</v>
      </c>
      <c r="Q162" s="192">
        <v>1200</v>
      </c>
      <c r="R162" s="192">
        <v>14050</v>
      </c>
      <c r="S162" s="193">
        <v>3148.08</v>
      </c>
      <c r="T162" s="192">
        <v>14056</v>
      </c>
      <c r="U162" s="193">
        <v>1923.83</v>
      </c>
      <c r="V162" s="193">
        <f t="shared" si="14"/>
        <v>1224.25</v>
      </c>
      <c r="W162" s="194">
        <v>21.86</v>
      </c>
      <c r="X162" s="192">
        <v>54260</v>
      </c>
      <c r="Y162" s="193">
        <v>21.86</v>
      </c>
      <c r="Z162" s="191" t="s">
        <v>427</v>
      </c>
      <c r="AA162" s="191"/>
      <c r="AB162" s="191">
        <v>6844</v>
      </c>
      <c r="AC162" s="191"/>
      <c r="AD162" s="191" t="s">
        <v>426</v>
      </c>
      <c r="AE162" s="191" t="s">
        <v>425</v>
      </c>
      <c r="AF162" s="192" t="s">
        <v>92</v>
      </c>
      <c r="AG162" s="191"/>
      <c r="AH162" s="192" t="s">
        <v>424</v>
      </c>
      <c r="AI162" s="191">
        <v>0</v>
      </c>
      <c r="AJ162" s="191">
        <v>0</v>
      </c>
    </row>
    <row r="163" spans="2:36">
      <c r="B163" s="192">
        <v>2120</v>
      </c>
      <c r="C163" s="196">
        <v>125750</v>
      </c>
      <c r="D163" s="192">
        <v>125547</v>
      </c>
      <c r="E163" s="191" t="s">
        <v>695</v>
      </c>
      <c r="F163" s="192"/>
      <c r="G163" s="191"/>
      <c r="H163" s="191"/>
      <c r="I163" s="191"/>
      <c r="J163" s="191">
        <v>0</v>
      </c>
      <c r="K163" s="191" t="s">
        <v>678</v>
      </c>
      <c r="L163" s="191"/>
      <c r="M163" s="191" t="s">
        <v>448</v>
      </c>
      <c r="N163" s="195">
        <v>42248</v>
      </c>
      <c r="O163" s="195">
        <v>42248</v>
      </c>
      <c r="P163" s="191" t="s">
        <v>694</v>
      </c>
      <c r="Q163" s="192">
        <v>1000</v>
      </c>
      <c r="R163" s="192">
        <v>14040</v>
      </c>
      <c r="S163" s="193">
        <v>342.17</v>
      </c>
      <c r="T163" s="192">
        <v>14046</v>
      </c>
      <c r="U163" s="193">
        <v>253.8</v>
      </c>
      <c r="V163" s="193">
        <f t="shared" si="14"/>
        <v>88.37</v>
      </c>
      <c r="W163" s="194">
        <v>2.85</v>
      </c>
      <c r="X163" s="192">
        <v>51260</v>
      </c>
      <c r="Y163" s="193">
        <v>2.85</v>
      </c>
      <c r="Z163" s="191" t="s">
        <v>427</v>
      </c>
      <c r="AA163" s="191"/>
      <c r="AB163" s="191" t="s">
        <v>693</v>
      </c>
      <c r="AC163" s="191"/>
      <c r="AD163" s="191" t="s">
        <v>426</v>
      </c>
      <c r="AE163" s="191" t="s">
        <v>425</v>
      </c>
      <c r="AF163" s="192" t="s">
        <v>92</v>
      </c>
      <c r="AG163" s="191"/>
      <c r="AH163" s="192" t="s">
        <v>424</v>
      </c>
      <c r="AI163" s="191">
        <v>0</v>
      </c>
      <c r="AJ163" s="191">
        <v>0</v>
      </c>
    </row>
    <row r="164" spans="2:36">
      <c r="B164" s="192">
        <v>2120</v>
      </c>
      <c r="C164" s="196">
        <v>125547</v>
      </c>
      <c r="D164" s="192" t="s">
        <v>427</v>
      </c>
      <c r="E164" s="191" t="s">
        <v>685</v>
      </c>
      <c r="F164" s="192"/>
      <c r="G164" s="191"/>
      <c r="H164" s="191" t="s">
        <v>698</v>
      </c>
      <c r="I164" s="191" t="s">
        <v>697</v>
      </c>
      <c r="J164" s="191">
        <v>2016</v>
      </c>
      <c r="K164" s="191" t="s">
        <v>494</v>
      </c>
      <c r="L164" s="191" t="s">
        <v>493</v>
      </c>
      <c r="M164" s="191" t="s">
        <v>492</v>
      </c>
      <c r="N164" s="195">
        <v>42248</v>
      </c>
      <c r="O164" s="195">
        <v>42248</v>
      </c>
      <c r="P164" s="191" t="s">
        <v>694</v>
      </c>
      <c r="Q164" s="192">
        <v>1000</v>
      </c>
      <c r="R164" s="192">
        <v>14040</v>
      </c>
      <c r="S164" s="193">
        <v>241172.15</v>
      </c>
      <c r="T164" s="192">
        <v>14046</v>
      </c>
      <c r="U164" s="193">
        <v>178869.38</v>
      </c>
      <c r="V164" s="193">
        <f t="shared" si="14"/>
        <v>62302.76999999999</v>
      </c>
      <c r="W164" s="194">
        <v>2009.77</v>
      </c>
      <c r="X164" s="192">
        <v>51260</v>
      </c>
      <c r="Y164" s="193">
        <v>2009.77</v>
      </c>
      <c r="Z164" s="191" t="s">
        <v>427</v>
      </c>
      <c r="AA164" s="191"/>
      <c r="AB164" s="191" t="s">
        <v>696</v>
      </c>
      <c r="AC164" s="191">
        <v>15</v>
      </c>
      <c r="AD164" s="191" t="s">
        <v>426</v>
      </c>
      <c r="AE164" s="191" t="s">
        <v>425</v>
      </c>
      <c r="AF164" s="192" t="s">
        <v>92</v>
      </c>
      <c r="AG164" s="191"/>
      <c r="AH164" s="192" t="s">
        <v>424</v>
      </c>
      <c r="AI164" s="191">
        <v>0</v>
      </c>
      <c r="AJ164" s="191">
        <v>0</v>
      </c>
    </row>
    <row r="165" spans="2:36">
      <c r="B165" s="192">
        <v>2120</v>
      </c>
      <c r="C165" s="196">
        <v>124346</v>
      </c>
      <c r="D165" s="192" t="s">
        <v>427</v>
      </c>
      <c r="E165" s="191" t="s">
        <v>701</v>
      </c>
      <c r="F165" s="192"/>
      <c r="G165" s="191"/>
      <c r="H165" s="191"/>
      <c r="I165" s="191"/>
      <c r="J165" s="191">
        <v>0</v>
      </c>
      <c r="K165" s="191" t="s">
        <v>700</v>
      </c>
      <c r="L165" s="191"/>
      <c r="M165" s="191"/>
      <c r="N165" s="195">
        <v>42201</v>
      </c>
      <c r="O165" s="195">
        <v>42201</v>
      </c>
      <c r="P165" s="191" t="s">
        <v>699</v>
      </c>
      <c r="Q165" s="192">
        <v>1000</v>
      </c>
      <c r="R165" s="192">
        <v>14010</v>
      </c>
      <c r="S165" s="193">
        <v>26050.41</v>
      </c>
      <c r="T165" s="192">
        <v>14016</v>
      </c>
      <c r="U165" s="193">
        <v>19537.8</v>
      </c>
      <c r="V165" s="193">
        <f t="shared" si="14"/>
        <v>6512.6100000000006</v>
      </c>
      <c r="W165" s="194">
        <v>217.09</v>
      </c>
      <c r="X165" s="192">
        <v>57260</v>
      </c>
      <c r="Y165" s="193">
        <v>217.09</v>
      </c>
      <c r="Z165" s="191" t="s">
        <v>427</v>
      </c>
      <c r="AA165" s="191"/>
      <c r="AB165" s="191">
        <v>23407</v>
      </c>
      <c r="AC165" s="191"/>
      <c r="AD165" s="191" t="s">
        <v>426</v>
      </c>
      <c r="AE165" s="191" t="s">
        <v>425</v>
      </c>
      <c r="AF165" s="192" t="s">
        <v>92</v>
      </c>
      <c r="AG165" s="191"/>
      <c r="AH165" s="192" t="s">
        <v>424</v>
      </c>
      <c r="AI165" s="191">
        <v>0</v>
      </c>
      <c r="AJ165" s="191">
        <v>0</v>
      </c>
    </row>
    <row r="166" spans="2:36">
      <c r="B166" s="192">
        <v>2120</v>
      </c>
      <c r="C166" s="196">
        <v>120298</v>
      </c>
      <c r="D166" s="192" t="s">
        <v>427</v>
      </c>
      <c r="E166" s="191" t="s">
        <v>265</v>
      </c>
      <c r="F166" s="192"/>
      <c r="G166" s="191"/>
      <c r="H166" s="191"/>
      <c r="I166" s="191"/>
      <c r="J166" s="191">
        <v>0</v>
      </c>
      <c r="K166" s="191" t="s">
        <v>535</v>
      </c>
      <c r="L166" s="191"/>
      <c r="M166" s="191"/>
      <c r="N166" s="195">
        <v>42048</v>
      </c>
      <c r="O166" s="195">
        <v>42048</v>
      </c>
      <c r="P166" s="191" t="s">
        <v>703</v>
      </c>
      <c r="Q166" s="192">
        <v>300</v>
      </c>
      <c r="R166" s="192">
        <v>14110</v>
      </c>
      <c r="S166" s="193">
        <v>1655.52</v>
      </c>
      <c r="T166" s="192">
        <v>14116</v>
      </c>
      <c r="U166" s="193">
        <v>1655.52</v>
      </c>
      <c r="V166" s="193">
        <f t="shared" si="14"/>
        <v>0</v>
      </c>
      <c r="W166" s="194">
        <v>0</v>
      </c>
      <c r="X166" s="192">
        <v>70260</v>
      </c>
      <c r="Y166" s="193">
        <v>0</v>
      </c>
      <c r="Z166" s="191" t="s">
        <v>427</v>
      </c>
      <c r="AA166" s="191"/>
      <c r="AB166" s="191" t="s">
        <v>702</v>
      </c>
      <c r="AC166" s="191"/>
      <c r="AD166" s="191" t="s">
        <v>426</v>
      </c>
      <c r="AE166" s="191" t="s">
        <v>425</v>
      </c>
      <c r="AF166" s="192" t="s">
        <v>92</v>
      </c>
      <c r="AG166" s="191"/>
      <c r="AH166" s="192" t="s">
        <v>424</v>
      </c>
      <c r="AI166" s="191">
        <v>0</v>
      </c>
      <c r="AJ166" s="191">
        <v>0</v>
      </c>
    </row>
    <row r="167" spans="2:36">
      <c r="B167" s="192">
        <v>2120</v>
      </c>
      <c r="C167" s="196">
        <v>118264</v>
      </c>
      <c r="D167" s="192" t="s">
        <v>427</v>
      </c>
      <c r="E167" s="191" t="s">
        <v>706</v>
      </c>
      <c r="F167" s="192">
        <v>2</v>
      </c>
      <c r="G167" s="191"/>
      <c r="H167" s="191"/>
      <c r="I167" s="191"/>
      <c r="J167" s="191">
        <v>0</v>
      </c>
      <c r="K167" s="191" t="s">
        <v>430</v>
      </c>
      <c r="L167" s="191"/>
      <c r="M167" s="191" t="s">
        <v>507</v>
      </c>
      <c r="N167" s="195">
        <v>41993</v>
      </c>
      <c r="O167" s="195">
        <v>41993</v>
      </c>
      <c r="P167" s="191" t="s">
        <v>704</v>
      </c>
      <c r="Q167" s="192">
        <v>1200</v>
      </c>
      <c r="R167" s="192">
        <v>14050</v>
      </c>
      <c r="S167" s="193">
        <v>1892.97</v>
      </c>
      <c r="T167" s="192">
        <v>14056</v>
      </c>
      <c r="U167" s="193">
        <v>1275.1500000000001</v>
      </c>
      <c r="V167" s="193">
        <f t="shared" si="14"/>
        <v>617.81999999999994</v>
      </c>
      <c r="W167" s="194">
        <v>13.15</v>
      </c>
      <c r="X167" s="192">
        <v>54260</v>
      </c>
      <c r="Y167" s="193">
        <v>13.15</v>
      </c>
      <c r="Z167" s="191" t="s">
        <v>427</v>
      </c>
      <c r="AA167" s="191"/>
      <c r="AB167" s="191">
        <v>6522</v>
      </c>
      <c r="AC167" s="191"/>
      <c r="AD167" s="191" t="s">
        <v>426</v>
      </c>
      <c r="AE167" s="191" t="s">
        <v>425</v>
      </c>
      <c r="AF167" s="192" t="s">
        <v>92</v>
      </c>
      <c r="AG167" s="191"/>
      <c r="AH167" s="192" t="s">
        <v>424</v>
      </c>
      <c r="AI167" s="191">
        <v>0</v>
      </c>
      <c r="AJ167" s="191">
        <v>0</v>
      </c>
    </row>
    <row r="168" spans="2:36">
      <c r="B168" s="192">
        <v>2120</v>
      </c>
      <c r="C168" s="196">
        <v>118263</v>
      </c>
      <c r="D168" s="192" t="s">
        <v>427</v>
      </c>
      <c r="E168" s="191" t="s">
        <v>707</v>
      </c>
      <c r="F168" s="192">
        <v>2</v>
      </c>
      <c r="G168" s="191"/>
      <c r="H168" s="191"/>
      <c r="I168" s="191"/>
      <c r="J168" s="191">
        <v>0</v>
      </c>
      <c r="K168" s="191" t="s">
        <v>430</v>
      </c>
      <c r="L168" s="191"/>
      <c r="M168" s="191" t="s">
        <v>543</v>
      </c>
      <c r="N168" s="195">
        <v>41993</v>
      </c>
      <c r="O168" s="195">
        <v>41993</v>
      </c>
      <c r="P168" s="191" t="s">
        <v>704</v>
      </c>
      <c r="Q168" s="192">
        <v>1200</v>
      </c>
      <c r="R168" s="192">
        <v>14050</v>
      </c>
      <c r="S168" s="193">
        <v>1621.31</v>
      </c>
      <c r="T168" s="192">
        <v>14056</v>
      </c>
      <c r="U168" s="193">
        <v>1092.1400000000001</v>
      </c>
      <c r="V168" s="193">
        <f t="shared" si="14"/>
        <v>529.16999999999985</v>
      </c>
      <c r="W168" s="194">
        <v>11.26</v>
      </c>
      <c r="X168" s="192">
        <v>54260</v>
      </c>
      <c r="Y168" s="193">
        <v>11.26</v>
      </c>
      <c r="Z168" s="191" t="s">
        <v>427</v>
      </c>
      <c r="AA168" s="191"/>
      <c r="AB168" s="191">
        <v>6522</v>
      </c>
      <c r="AC168" s="191"/>
      <c r="AD168" s="191" t="s">
        <v>426</v>
      </c>
      <c r="AE168" s="191" t="s">
        <v>425</v>
      </c>
      <c r="AF168" s="192" t="s">
        <v>92</v>
      </c>
      <c r="AG168" s="191"/>
      <c r="AH168" s="192" t="s">
        <v>424</v>
      </c>
      <c r="AI168" s="191">
        <v>0</v>
      </c>
      <c r="AJ168" s="191">
        <v>0</v>
      </c>
    </row>
    <row r="169" spans="2:36">
      <c r="B169" s="192">
        <v>2120</v>
      </c>
      <c r="C169" s="196">
        <v>118262</v>
      </c>
      <c r="D169" s="192" t="s">
        <v>427</v>
      </c>
      <c r="E169" s="191" t="s">
        <v>708</v>
      </c>
      <c r="F169" s="192">
        <v>3</v>
      </c>
      <c r="G169" s="191"/>
      <c r="H169" s="191"/>
      <c r="I169" s="191"/>
      <c r="J169" s="191">
        <v>0</v>
      </c>
      <c r="K169" s="191" t="s">
        <v>430</v>
      </c>
      <c r="L169" s="191"/>
      <c r="M169" s="191" t="s">
        <v>464</v>
      </c>
      <c r="N169" s="195">
        <v>41993</v>
      </c>
      <c r="O169" s="195">
        <v>41993</v>
      </c>
      <c r="P169" s="191" t="s">
        <v>704</v>
      </c>
      <c r="Q169" s="192">
        <v>1200</v>
      </c>
      <c r="R169" s="192">
        <v>14050</v>
      </c>
      <c r="S169" s="193">
        <v>1656.89</v>
      </c>
      <c r="T169" s="192">
        <v>14056</v>
      </c>
      <c r="U169" s="193">
        <v>1116.1500000000001</v>
      </c>
      <c r="V169" s="193">
        <f t="shared" si="14"/>
        <v>540.74</v>
      </c>
      <c r="W169" s="194">
        <v>11.51</v>
      </c>
      <c r="X169" s="192">
        <v>54260</v>
      </c>
      <c r="Y169" s="193">
        <v>11.51</v>
      </c>
      <c r="Z169" s="191" t="s">
        <v>427</v>
      </c>
      <c r="AA169" s="191"/>
      <c r="AB169" s="191">
        <v>6522</v>
      </c>
      <c r="AC169" s="191"/>
      <c r="AD169" s="191" t="s">
        <v>426</v>
      </c>
      <c r="AE169" s="191" t="s">
        <v>425</v>
      </c>
      <c r="AF169" s="192" t="s">
        <v>92</v>
      </c>
      <c r="AG169" s="191"/>
      <c r="AH169" s="192" t="s">
        <v>424</v>
      </c>
      <c r="AI169" s="191">
        <v>0</v>
      </c>
      <c r="AJ169" s="191">
        <v>0</v>
      </c>
    </row>
    <row r="170" spans="2:36">
      <c r="B170" s="192">
        <v>2120</v>
      </c>
      <c r="C170" s="196">
        <v>118261</v>
      </c>
      <c r="D170" s="192" t="s">
        <v>427</v>
      </c>
      <c r="E170" s="191" t="s">
        <v>710</v>
      </c>
      <c r="F170" s="192">
        <v>8</v>
      </c>
      <c r="G170" s="191"/>
      <c r="H170" s="191"/>
      <c r="I170" s="191"/>
      <c r="J170" s="191">
        <v>0</v>
      </c>
      <c r="K170" s="191" t="s">
        <v>430</v>
      </c>
      <c r="L170" s="191"/>
      <c r="M170" s="191" t="s">
        <v>461</v>
      </c>
      <c r="N170" s="195">
        <v>41993</v>
      </c>
      <c r="O170" s="195">
        <v>41993</v>
      </c>
      <c r="P170" s="191" t="s">
        <v>709</v>
      </c>
      <c r="Q170" s="192">
        <v>1200</v>
      </c>
      <c r="R170" s="192">
        <v>14050</v>
      </c>
      <c r="S170" s="193">
        <v>4064.06</v>
      </c>
      <c r="T170" s="192">
        <v>14056</v>
      </c>
      <c r="U170" s="193">
        <v>2737.58</v>
      </c>
      <c r="V170" s="193">
        <f t="shared" si="14"/>
        <v>1326.48</v>
      </c>
      <c r="W170" s="194">
        <v>28.22</v>
      </c>
      <c r="X170" s="192">
        <v>54260</v>
      </c>
      <c r="Y170" s="193">
        <v>28.22</v>
      </c>
      <c r="Z170" s="191" t="s">
        <v>427</v>
      </c>
      <c r="AA170" s="191"/>
      <c r="AB170" s="191">
        <v>6522</v>
      </c>
      <c r="AC170" s="191"/>
      <c r="AD170" s="191" t="s">
        <v>426</v>
      </c>
      <c r="AE170" s="191" t="s">
        <v>425</v>
      </c>
      <c r="AF170" s="192" t="s">
        <v>92</v>
      </c>
      <c r="AG170" s="191"/>
      <c r="AH170" s="192" t="s">
        <v>424</v>
      </c>
      <c r="AI170" s="191">
        <v>0</v>
      </c>
      <c r="AJ170" s="191">
        <v>0</v>
      </c>
    </row>
    <row r="171" spans="2:36">
      <c r="B171" s="192">
        <v>2120</v>
      </c>
      <c r="C171" s="196">
        <v>118265</v>
      </c>
      <c r="D171" s="192" t="s">
        <v>427</v>
      </c>
      <c r="E171" s="191" t="s">
        <v>705</v>
      </c>
      <c r="F171" s="192">
        <v>2</v>
      </c>
      <c r="G171" s="191"/>
      <c r="H171" s="191"/>
      <c r="I171" s="191"/>
      <c r="J171" s="191">
        <v>0</v>
      </c>
      <c r="K171" s="191" t="s">
        <v>646</v>
      </c>
      <c r="L171" s="191"/>
      <c r="M171" s="191" t="s">
        <v>538</v>
      </c>
      <c r="N171" s="195">
        <v>41974</v>
      </c>
      <c r="O171" s="195">
        <v>41974</v>
      </c>
      <c r="P171" s="191" t="s">
        <v>704</v>
      </c>
      <c r="Q171" s="192">
        <v>1200</v>
      </c>
      <c r="R171" s="192">
        <v>14050</v>
      </c>
      <c r="S171" s="193">
        <v>16536.52</v>
      </c>
      <c r="T171" s="192">
        <v>14056</v>
      </c>
      <c r="U171" s="193">
        <v>11254</v>
      </c>
      <c r="V171" s="193">
        <f t="shared" si="14"/>
        <v>5282.52</v>
      </c>
      <c r="W171" s="194">
        <v>114.84</v>
      </c>
      <c r="X171" s="192">
        <v>54260</v>
      </c>
      <c r="Y171" s="193">
        <v>114.84</v>
      </c>
      <c r="Z171" s="191" t="s">
        <v>427</v>
      </c>
      <c r="AA171" s="191"/>
      <c r="AB171" s="191">
        <v>9788</v>
      </c>
      <c r="AC171" s="191"/>
      <c r="AD171" s="191" t="s">
        <v>426</v>
      </c>
      <c r="AE171" s="191" t="s">
        <v>425</v>
      </c>
      <c r="AF171" s="192" t="s">
        <v>92</v>
      </c>
      <c r="AG171" s="191"/>
      <c r="AH171" s="192" t="s">
        <v>424</v>
      </c>
      <c r="AI171" s="191">
        <v>0</v>
      </c>
      <c r="AJ171" s="191">
        <v>0</v>
      </c>
    </row>
    <row r="172" spans="2:36">
      <c r="B172" s="192">
        <v>2120</v>
      </c>
      <c r="C172" s="196">
        <v>117628</v>
      </c>
      <c r="D172" s="192" t="s">
        <v>427</v>
      </c>
      <c r="E172" s="191" t="s">
        <v>714</v>
      </c>
      <c r="F172" s="192"/>
      <c r="G172" s="191"/>
      <c r="H172" s="191"/>
      <c r="I172" s="191"/>
      <c r="J172" s="191">
        <v>0</v>
      </c>
      <c r="K172" s="191" t="s">
        <v>713</v>
      </c>
      <c r="L172" s="191"/>
      <c r="M172" s="191"/>
      <c r="N172" s="195">
        <v>41973</v>
      </c>
      <c r="O172" s="195">
        <v>41973</v>
      </c>
      <c r="P172" s="191" t="s">
        <v>712</v>
      </c>
      <c r="Q172" s="192">
        <v>300</v>
      </c>
      <c r="R172" s="192">
        <v>14110</v>
      </c>
      <c r="S172" s="193">
        <v>1076.26</v>
      </c>
      <c r="T172" s="192">
        <v>14116</v>
      </c>
      <c r="U172" s="193">
        <v>1076.26</v>
      </c>
      <c r="V172" s="193">
        <f t="shared" si="14"/>
        <v>0</v>
      </c>
      <c r="W172" s="194">
        <v>0</v>
      </c>
      <c r="X172" s="192">
        <v>70260</v>
      </c>
      <c r="Y172" s="193">
        <v>0</v>
      </c>
      <c r="Z172" s="191" t="s">
        <v>427</v>
      </c>
      <c r="AA172" s="191"/>
      <c r="AB172" s="191" t="s">
        <v>711</v>
      </c>
      <c r="AC172" s="191"/>
      <c r="AD172" s="191" t="s">
        <v>426</v>
      </c>
      <c r="AE172" s="191" t="s">
        <v>425</v>
      </c>
      <c r="AF172" s="192" t="s">
        <v>92</v>
      </c>
      <c r="AG172" s="191"/>
      <c r="AH172" s="192" t="s">
        <v>424</v>
      </c>
      <c r="AI172" s="191">
        <v>0</v>
      </c>
      <c r="AJ172" s="191">
        <v>0</v>
      </c>
    </row>
    <row r="173" spans="2:36">
      <c r="B173" s="192">
        <v>2120</v>
      </c>
      <c r="C173" s="196">
        <v>118506</v>
      </c>
      <c r="D173" s="192">
        <v>95319</v>
      </c>
      <c r="E173" s="191" t="s">
        <v>777</v>
      </c>
      <c r="F173" s="192"/>
      <c r="G173" s="191"/>
      <c r="H173" s="191"/>
      <c r="I173" s="191"/>
      <c r="J173" s="191">
        <v>0</v>
      </c>
      <c r="K173" s="191" t="s">
        <v>776</v>
      </c>
      <c r="L173" s="191"/>
      <c r="M173" s="191" t="s">
        <v>448</v>
      </c>
      <c r="N173" s="195">
        <v>41962</v>
      </c>
      <c r="O173" s="195">
        <v>41962</v>
      </c>
      <c r="P173" s="191" t="s">
        <v>775</v>
      </c>
      <c r="Q173" s="192">
        <v>300</v>
      </c>
      <c r="R173" s="192">
        <v>14040</v>
      </c>
      <c r="S173" s="193">
        <v>18065.71</v>
      </c>
      <c r="T173" s="192">
        <v>14046</v>
      </c>
      <c r="U173" s="193">
        <v>18065.71</v>
      </c>
      <c r="V173" s="193">
        <f t="shared" si="14"/>
        <v>0</v>
      </c>
      <c r="W173" s="194">
        <v>0</v>
      </c>
      <c r="X173" s="192">
        <v>51260</v>
      </c>
      <c r="Y173" s="193">
        <v>0</v>
      </c>
      <c r="Z173" s="191" t="s">
        <v>427</v>
      </c>
      <c r="AA173" s="191"/>
      <c r="AB173" s="191" t="s">
        <v>774</v>
      </c>
      <c r="AC173" s="191"/>
      <c r="AD173" s="191" t="s">
        <v>426</v>
      </c>
      <c r="AE173" s="191" t="s">
        <v>425</v>
      </c>
      <c r="AF173" s="192" t="s">
        <v>92</v>
      </c>
      <c r="AG173" s="191"/>
      <c r="AH173" s="192" t="s">
        <v>424</v>
      </c>
      <c r="AI173" s="191">
        <v>0</v>
      </c>
      <c r="AJ173" s="191">
        <v>0</v>
      </c>
    </row>
    <row r="174" spans="2:36">
      <c r="B174" s="192">
        <v>2120</v>
      </c>
      <c r="C174" s="196">
        <v>117102</v>
      </c>
      <c r="D174" s="192" t="s">
        <v>427</v>
      </c>
      <c r="E174" s="191" t="s">
        <v>716</v>
      </c>
      <c r="F174" s="192">
        <v>0</v>
      </c>
      <c r="G174" s="191"/>
      <c r="H174" s="191"/>
      <c r="I174" s="191"/>
      <c r="J174" s="191">
        <v>0</v>
      </c>
      <c r="K174" s="191" t="s">
        <v>646</v>
      </c>
      <c r="L174" s="191"/>
      <c r="M174" s="191"/>
      <c r="N174" s="195">
        <v>41943</v>
      </c>
      <c r="O174" s="195">
        <v>41943</v>
      </c>
      <c r="P174" s="191" t="s">
        <v>715</v>
      </c>
      <c r="Q174" s="192">
        <v>500</v>
      </c>
      <c r="R174" s="192">
        <v>14050</v>
      </c>
      <c r="S174" s="193">
        <v>3263.48</v>
      </c>
      <c r="T174" s="192">
        <v>14056</v>
      </c>
      <c r="U174" s="193">
        <v>3263.48</v>
      </c>
      <c r="V174" s="193">
        <f t="shared" si="14"/>
        <v>0</v>
      </c>
      <c r="W174" s="194">
        <v>0</v>
      </c>
      <c r="X174" s="192">
        <v>54260</v>
      </c>
      <c r="Y174" s="193">
        <v>0</v>
      </c>
      <c r="Z174" s="191" t="s">
        <v>427</v>
      </c>
      <c r="AA174" s="191"/>
      <c r="AB174" s="191">
        <v>9695</v>
      </c>
      <c r="AC174" s="191"/>
      <c r="AD174" s="191" t="s">
        <v>426</v>
      </c>
      <c r="AE174" s="191" t="s">
        <v>425</v>
      </c>
      <c r="AF174" s="192" t="s">
        <v>92</v>
      </c>
      <c r="AG174" s="191"/>
      <c r="AH174" s="192" t="s">
        <v>424</v>
      </c>
      <c r="AI174" s="191">
        <v>0</v>
      </c>
      <c r="AJ174" s="191">
        <v>0</v>
      </c>
    </row>
    <row r="175" spans="2:36">
      <c r="B175" s="192">
        <v>2120</v>
      </c>
      <c r="C175" s="196">
        <v>115099</v>
      </c>
      <c r="D175" s="192" t="s">
        <v>427</v>
      </c>
      <c r="E175" s="191" t="s">
        <v>720</v>
      </c>
      <c r="F175" s="192">
        <v>180</v>
      </c>
      <c r="G175" s="191"/>
      <c r="H175" s="191"/>
      <c r="I175" s="191"/>
      <c r="J175" s="191">
        <v>0</v>
      </c>
      <c r="K175" s="191" t="s">
        <v>719</v>
      </c>
      <c r="L175" s="191"/>
      <c r="M175" s="191"/>
      <c r="N175" s="195">
        <v>41839</v>
      </c>
      <c r="O175" s="195">
        <v>41839</v>
      </c>
      <c r="P175" s="191" t="s">
        <v>718</v>
      </c>
      <c r="Q175" s="192">
        <v>700</v>
      </c>
      <c r="R175" s="192">
        <v>14050</v>
      </c>
      <c r="S175" s="193">
        <v>9383.56</v>
      </c>
      <c r="T175" s="192">
        <v>14056</v>
      </c>
      <c r="U175" s="193">
        <v>9383.56</v>
      </c>
      <c r="V175" s="193">
        <f t="shared" si="14"/>
        <v>0</v>
      </c>
      <c r="W175" s="194">
        <v>0</v>
      </c>
      <c r="X175" s="192">
        <v>54260</v>
      </c>
      <c r="Y175" s="193">
        <v>0</v>
      </c>
      <c r="Z175" s="191" t="s">
        <v>427</v>
      </c>
      <c r="AA175" s="191"/>
      <c r="AB175" s="191" t="s">
        <v>717</v>
      </c>
      <c r="AC175" s="191"/>
      <c r="AD175" s="191" t="s">
        <v>426</v>
      </c>
      <c r="AE175" s="191" t="s">
        <v>425</v>
      </c>
      <c r="AF175" s="192" t="s">
        <v>92</v>
      </c>
      <c r="AG175" s="191"/>
      <c r="AH175" s="192" t="s">
        <v>424</v>
      </c>
      <c r="AI175" s="191">
        <v>0</v>
      </c>
      <c r="AJ175" s="191">
        <v>0</v>
      </c>
    </row>
    <row r="176" spans="2:36">
      <c r="B176" s="192">
        <v>2120</v>
      </c>
      <c r="C176" s="196">
        <v>115098</v>
      </c>
      <c r="D176" s="192" t="s">
        <v>427</v>
      </c>
      <c r="E176" s="191" t="s">
        <v>722</v>
      </c>
      <c r="F176" s="192">
        <v>350</v>
      </c>
      <c r="G176" s="191"/>
      <c r="H176" s="191"/>
      <c r="I176" s="191"/>
      <c r="J176" s="191">
        <v>0</v>
      </c>
      <c r="K176" s="191" t="s">
        <v>719</v>
      </c>
      <c r="L176" s="191"/>
      <c r="M176" s="191"/>
      <c r="N176" s="195">
        <v>41839</v>
      </c>
      <c r="O176" s="195">
        <v>41839</v>
      </c>
      <c r="P176" s="191" t="s">
        <v>718</v>
      </c>
      <c r="Q176" s="192">
        <v>700</v>
      </c>
      <c r="R176" s="192">
        <v>14050</v>
      </c>
      <c r="S176" s="193">
        <v>19892.87</v>
      </c>
      <c r="T176" s="192">
        <v>14056</v>
      </c>
      <c r="U176" s="193">
        <v>19892.87</v>
      </c>
      <c r="V176" s="193">
        <f t="shared" si="14"/>
        <v>0</v>
      </c>
      <c r="W176" s="194">
        <v>0</v>
      </c>
      <c r="X176" s="192">
        <v>54260</v>
      </c>
      <c r="Y176" s="193">
        <v>0</v>
      </c>
      <c r="Z176" s="191" t="s">
        <v>427</v>
      </c>
      <c r="AA176" s="191"/>
      <c r="AB176" s="191" t="s">
        <v>721</v>
      </c>
      <c r="AC176" s="191"/>
      <c r="AD176" s="191" t="s">
        <v>426</v>
      </c>
      <c r="AE176" s="191" t="s">
        <v>425</v>
      </c>
      <c r="AF176" s="192" t="s">
        <v>92</v>
      </c>
      <c r="AG176" s="191"/>
      <c r="AH176" s="192" t="s">
        <v>424</v>
      </c>
      <c r="AI176" s="191">
        <v>0</v>
      </c>
      <c r="AJ176" s="191">
        <v>0</v>
      </c>
    </row>
    <row r="177" spans="2:36">
      <c r="B177" s="192">
        <v>2120</v>
      </c>
      <c r="C177" s="196">
        <v>113894</v>
      </c>
      <c r="D177" s="192" t="s">
        <v>427</v>
      </c>
      <c r="E177" s="191" t="s">
        <v>725</v>
      </c>
      <c r="F177" s="192"/>
      <c r="G177" s="191"/>
      <c r="H177" s="191"/>
      <c r="I177" s="191"/>
      <c r="J177" s="191">
        <v>0</v>
      </c>
      <c r="K177" s="191" t="s">
        <v>535</v>
      </c>
      <c r="L177" s="191"/>
      <c r="M177" s="191"/>
      <c r="N177" s="195">
        <v>41820</v>
      </c>
      <c r="O177" s="195">
        <v>41820</v>
      </c>
      <c r="P177" s="191" t="s">
        <v>724</v>
      </c>
      <c r="Q177" s="192">
        <v>300</v>
      </c>
      <c r="R177" s="192">
        <v>14110</v>
      </c>
      <c r="S177" s="193">
        <v>824.08</v>
      </c>
      <c r="T177" s="192">
        <v>14116</v>
      </c>
      <c r="U177" s="193">
        <v>824.08</v>
      </c>
      <c r="V177" s="193">
        <f t="shared" si="14"/>
        <v>0</v>
      </c>
      <c r="W177" s="194">
        <v>0</v>
      </c>
      <c r="X177" s="192">
        <v>70260</v>
      </c>
      <c r="Y177" s="193">
        <v>0</v>
      </c>
      <c r="Z177" s="191" t="s">
        <v>427</v>
      </c>
      <c r="AA177" s="191"/>
      <c r="AB177" s="191" t="s">
        <v>723</v>
      </c>
      <c r="AC177" s="191"/>
      <c r="AD177" s="191" t="s">
        <v>426</v>
      </c>
      <c r="AE177" s="191" t="s">
        <v>425</v>
      </c>
      <c r="AF177" s="192" t="s">
        <v>92</v>
      </c>
      <c r="AG177" s="191"/>
      <c r="AH177" s="192" t="s">
        <v>424</v>
      </c>
      <c r="AI177" s="191">
        <v>0</v>
      </c>
      <c r="AJ177" s="191">
        <v>0</v>
      </c>
    </row>
    <row r="178" spans="2:36">
      <c r="B178" s="192">
        <v>2120</v>
      </c>
      <c r="C178" s="196">
        <v>107501</v>
      </c>
      <c r="D178" s="192" t="s">
        <v>427</v>
      </c>
      <c r="E178" s="191" t="s">
        <v>742</v>
      </c>
      <c r="F178" s="192"/>
      <c r="G178" s="191"/>
      <c r="H178" s="191"/>
      <c r="I178" s="191"/>
      <c r="J178" s="191">
        <v>0</v>
      </c>
      <c r="K178" s="191" t="s">
        <v>535</v>
      </c>
      <c r="L178" s="191"/>
      <c r="M178" s="191"/>
      <c r="N178" s="195">
        <v>41547</v>
      </c>
      <c r="O178" s="195">
        <v>41547</v>
      </c>
      <c r="P178" s="191" t="s">
        <v>741</v>
      </c>
      <c r="Q178" s="192">
        <v>300</v>
      </c>
      <c r="R178" s="192">
        <v>14110</v>
      </c>
      <c r="S178" s="193">
        <v>1010.1</v>
      </c>
      <c r="T178" s="192">
        <v>14116</v>
      </c>
      <c r="U178" s="193">
        <v>1010.1</v>
      </c>
      <c r="V178" s="193">
        <f t="shared" si="14"/>
        <v>0</v>
      </c>
      <c r="W178" s="194">
        <v>0</v>
      </c>
      <c r="X178" s="192">
        <v>70260</v>
      </c>
      <c r="Y178" s="193">
        <v>0</v>
      </c>
      <c r="Z178" s="191" t="s">
        <v>427</v>
      </c>
      <c r="AA178" s="191"/>
      <c r="AB178" s="191" t="s">
        <v>740</v>
      </c>
      <c r="AC178" s="191"/>
      <c r="AD178" s="191" t="s">
        <v>426</v>
      </c>
      <c r="AE178" s="191" t="s">
        <v>425</v>
      </c>
      <c r="AF178" s="192" t="s">
        <v>92</v>
      </c>
      <c r="AG178" s="191"/>
      <c r="AH178" s="192" t="s">
        <v>424</v>
      </c>
      <c r="AI178" s="191">
        <v>0</v>
      </c>
      <c r="AJ178" s="191">
        <v>0</v>
      </c>
    </row>
    <row r="179" spans="2:36">
      <c r="B179" s="192">
        <v>2120</v>
      </c>
      <c r="C179" s="196">
        <v>107856</v>
      </c>
      <c r="D179" s="192" t="s">
        <v>427</v>
      </c>
      <c r="E179" s="191" t="s">
        <v>739</v>
      </c>
      <c r="F179" s="192"/>
      <c r="G179" s="191"/>
      <c r="H179" s="191"/>
      <c r="I179" s="191"/>
      <c r="J179" s="191">
        <v>0</v>
      </c>
      <c r="K179" s="191" t="s">
        <v>700</v>
      </c>
      <c r="L179" s="191"/>
      <c r="M179" s="191"/>
      <c r="N179" s="195">
        <v>41502</v>
      </c>
      <c r="O179" s="195">
        <v>41502</v>
      </c>
      <c r="P179" s="191" t="s">
        <v>738</v>
      </c>
      <c r="Q179" s="192">
        <v>1000</v>
      </c>
      <c r="R179" s="192">
        <v>14010</v>
      </c>
      <c r="S179" s="193">
        <v>32340</v>
      </c>
      <c r="T179" s="192">
        <v>14016</v>
      </c>
      <c r="U179" s="193">
        <v>30453.5</v>
      </c>
      <c r="V179" s="193">
        <f t="shared" si="14"/>
        <v>1886.5</v>
      </c>
      <c r="W179" s="194">
        <v>269.5</v>
      </c>
      <c r="X179" s="192">
        <v>57260</v>
      </c>
      <c r="Y179" s="193">
        <v>269.5</v>
      </c>
      <c r="Z179" s="191" t="s">
        <v>427</v>
      </c>
      <c r="AA179" s="191"/>
      <c r="AB179" s="191">
        <v>23308</v>
      </c>
      <c r="AC179" s="191"/>
      <c r="AD179" s="191" t="s">
        <v>426</v>
      </c>
      <c r="AE179" s="191" t="s">
        <v>425</v>
      </c>
      <c r="AF179" s="192" t="s">
        <v>92</v>
      </c>
      <c r="AG179" s="191"/>
      <c r="AH179" s="192" t="s">
        <v>424</v>
      </c>
      <c r="AI179" s="191">
        <v>0</v>
      </c>
      <c r="AJ179" s="191">
        <v>0</v>
      </c>
    </row>
    <row r="180" spans="2:36">
      <c r="B180" s="192">
        <v>2120</v>
      </c>
      <c r="C180" s="196">
        <v>107484</v>
      </c>
      <c r="D180" s="192" t="s">
        <v>427</v>
      </c>
      <c r="E180" s="191" t="s">
        <v>745</v>
      </c>
      <c r="F180" s="192"/>
      <c r="G180" s="191"/>
      <c r="H180" s="191"/>
      <c r="I180" s="191"/>
      <c r="J180" s="191">
        <v>0</v>
      </c>
      <c r="K180" s="191" t="s">
        <v>744</v>
      </c>
      <c r="L180" s="191"/>
      <c r="M180" s="191"/>
      <c r="N180" s="195">
        <v>41501</v>
      </c>
      <c r="O180" s="195">
        <v>41501</v>
      </c>
      <c r="P180" s="191" t="s">
        <v>743</v>
      </c>
      <c r="Q180" s="192">
        <v>1000</v>
      </c>
      <c r="R180" s="192">
        <v>14080</v>
      </c>
      <c r="S180" s="193">
        <v>11556.16</v>
      </c>
      <c r="T180" s="192">
        <v>14086</v>
      </c>
      <c r="U180" s="193">
        <v>10978.39</v>
      </c>
      <c r="V180" s="193">
        <f t="shared" si="14"/>
        <v>577.77000000000044</v>
      </c>
      <c r="W180" s="194">
        <v>96.3</v>
      </c>
      <c r="X180" s="192">
        <v>57260</v>
      </c>
      <c r="Y180" s="193">
        <v>96.3</v>
      </c>
      <c r="Z180" s="191" t="s">
        <v>427</v>
      </c>
      <c r="AA180" s="191"/>
      <c r="AB180" s="191">
        <v>1887</v>
      </c>
      <c r="AC180" s="191"/>
      <c r="AD180" s="191" t="s">
        <v>426</v>
      </c>
      <c r="AE180" s="191" t="s">
        <v>425</v>
      </c>
      <c r="AF180" s="192" t="s">
        <v>92</v>
      </c>
      <c r="AG180" s="191"/>
      <c r="AH180" s="192" t="s">
        <v>424</v>
      </c>
      <c r="AI180" s="191">
        <v>0</v>
      </c>
      <c r="AJ180" s="191">
        <v>0</v>
      </c>
    </row>
    <row r="181" spans="2:36">
      <c r="B181" s="192">
        <v>2120</v>
      </c>
      <c r="C181" s="196">
        <v>105994</v>
      </c>
      <c r="D181" s="192" t="s">
        <v>427</v>
      </c>
      <c r="E181" s="191" t="s">
        <v>748</v>
      </c>
      <c r="F181" s="192">
        <v>90</v>
      </c>
      <c r="G181" s="191"/>
      <c r="H181" s="191"/>
      <c r="I181" s="191"/>
      <c r="J181" s="191">
        <v>0</v>
      </c>
      <c r="K181" s="191" t="s">
        <v>719</v>
      </c>
      <c r="L181" s="191"/>
      <c r="M181" s="191"/>
      <c r="N181" s="195">
        <v>41472</v>
      </c>
      <c r="O181" s="195">
        <v>41472</v>
      </c>
      <c r="P181" s="191" t="s">
        <v>747</v>
      </c>
      <c r="Q181" s="192">
        <v>700</v>
      </c>
      <c r="R181" s="192">
        <v>14050</v>
      </c>
      <c r="S181" s="193">
        <v>5310</v>
      </c>
      <c r="T181" s="192">
        <v>14056</v>
      </c>
      <c r="U181" s="193">
        <v>5310</v>
      </c>
      <c r="V181" s="193">
        <f t="shared" si="14"/>
        <v>0</v>
      </c>
      <c r="W181" s="194">
        <v>0</v>
      </c>
      <c r="X181" s="192">
        <v>54260</v>
      </c>
      <c r="Y181" s="193">
        <v>0</v>
      </c>
      <c r="Z181" s="191" t="s">
        <v>427</v>
      </c>
      <c r="AA181" s="191"/>
      <c r="AB181" s="191" t="s">
        <v>746</v>
      </c>
      <c r="AC181" s="191"/>
      <c r="AD181" s="191" t="s">
        <v>426</v>
      </c>
      <c r="AE181" s="191" t="s">
        <v>425</v>
      </c>
      <c r="AF181" s="192" t="s">
        <v>92</v>
      </c>
      <c r="AG181" s="191"/>
      <c r="AH181" s="192" t="s">
        <v>424</v>
      </c>
      <c r="AI181" s="191">
        <v>0</v>
      </c>
      <c r="AJ181" s="191">
        <v>0</v>
      </c>
    </row>
    <row r="182" spans="2:36">
      <c r="B182" s="192">
        <v>2120</v>
      </c>
      <c r="C182" s="196">
        <v>105993</v>
      </c>
      <c r="D182" s="192" t="s">
        <v>427</v>
      </c>
      <c r="E182" s="191" t="s">
        <v>750</v>
      </c>
      <c r="F182" s="192">
        <v>90</v>
      </c>
      <c r="G182" s="191"/>
      <c r="H182" s="191"/>
      <c r="I182" s="191"/>
      <c r="J182" s="191">
        <v>0</v>
      </c>
      <c r="K182" s="191" t="s">
        <v>719</v>
      </c>
      <c r="L182" s="191"/>
      <c r="M182" s="191"/>
      <c r="N182" s="195">
        <v>41472</v>
      </c>
      <c r="O182" s="195">
        <v>41472</v>
      </c>
      <c r="P182" s="191" t="s">
        <v>747</v>
      </c>
      <c r="Q182" s="192">
        <v>700</v>
      </c>
      <c r="R182" s="192">
        <v>14050</v>
      </c>
      <c r="S182" s="193">
        <v>13689.69</v>
      </c>
      <c r="T182" s="192">
        <v>14056</v>
      </c>
      <c r="U182" s="193">
        <v>13689.69</v>
      </c>
      <c r="V182" s="193">
        <f t="shared" si="14"/>
        <v>0</v>
      </c>
      <c r="W182" s="194">
        <v>0</v>
      </c>
      <c r="X182" s="192">
        <v>54260</v>
      </c>
      <c r="Y182" s="193">
        <v>0</v>
      </c>
      <c r="Z182" s="191" t="s">
        <v>427</v>
      </c>
      <c r="AA182" s="191"/>
      <c r="AB182" s="191" t="s">
        <v>749</v>
      </c>
      <c r="AC182" s="191"/>
      <c r="AD182" s="191" t="s">
        <v>426</v>
      </c>
      <c r="AE182" s="191" t="s">
        <v>425</v>
      </c>
      <c r="AF182" s="192" t="s">
        <v>92</v>
      </c>
      <c r="AG182" s="191"/>
      <c r="AH182" s="192" t="s">
        <v>424</v>
      </c>
      <c r="AI182" s="191">
        <v>0</v>
      </c>
      <c r="AJ182" s="191">
        <v>0</v>
      </c>
    </row>
    <row r="183" spans="2:36">
      <c r="B183" s="192">
        <v>2120</v>
      </c>
      <c r="C183" s="196">
        <v>102021</v>
      </c>
      <c r="D183" s="192">
        <v>98562</v>
      </c>
      <c r="E183" s="191" t="s">
        <v>760</v>
      </c>
      <c r="F183" s="192">
        <v>0</v>
      </c>
      <c r="G183" s="191"/>
      <c r="H183" s="191"/>
      <c r="I183" s="191"/>
      <c r="J183" s="191">
        <v>0</v>
      </c>
      <c r="K183" s="191"/>
      <c r="L183" s="191"/>
      <c r="M183" s="191"/>
      <c r="N183" s="195">
        <v>41275</v>
      </c>
      <c r="O183" s="195">
        <v>41275</v>
      </c>
      <c r="P183" s="191" t="s">
        <v>764</v>
      </c>
      <c r="Q183" s="192">
        <v>210</v>
      </c>
      <c r="R183" s="192">
        <v>14110</v>
      </c>
      <c r="S183" s="193">
        <v>403.25</v>
      </c>
      <c r="T183" s="192">
        <v>14116</v>
      </c>
      <c r="U183" s="193">
        <v>403.25</v>
      </c>
      <c r="V183" s="193">
        <f t="shared" si="14"/>
        <v>0</v>
      </c>
      <c r="W183" s="194">
        <v>0</v>
      </c>
      <c r="X183" s="192">
        <v>70260</v>
      </c>
      <c r="Y183" s="193">
        <v>0</v>
      </c>
      <c r="Z183" s="191" t="s">
        <v>427</v>
      </c>
      <c r="AA183" s="191"/>
      <c r="AB183" s="191" t="s">
        <v>758</v>
      </c>
      <c r="AC183" s="191"/>
      <c r="AD183" s="191" t="s">
        <v>426</v>
      </c>
      <c r="AE183" s="191" t="s">
        <v>425</v>
      </c>
      <c r="AF183" s="192" t="s">
        <v>92</v>
      </c>
      <c r="AG183" s="191"/>
      <c r="AH183" s="192" t="s">
        <v>424</v>
      </c>
      <c r="AI183" s="191">
        <v>0</v>
      </c>
      <c r="AJ183" s="191">
        <v>0</v>
      </c>
    </row>
    <row r="184" spans="2:36">
      <c r="B184" s="192">
        <v>2120</v>
      </c>
      <c r="C184" s="196">
        <v>102020</v>
      </c>
      <c r="D184" s="192">
        <v>99980</v>
      </c>
      <c r="E184" s="191" t="s">
        <v>760</v>
      </c>
      <c r="F184" s="192">
        <v>0</v>
      </c>
      <c r="G184" s="191"/>
      <c r="H184" s="191"/>
      <c r="I184" s="191"/>
      <c r="J184" s="191">
        <v>0</v>
      </c>
      <c r="K184" s="191"/>
      <c r="L184" s="191"/>
      <c r="M184" s="191"/>
      <c r="N184" s="195">
        <v>41275</v>
      </c>
      <c r="O184" s="195">
        <v>41275</v>
      </c>
      <c r="P184" s="191" t="s">
        <v>759</v>
      </c>
      <c r="Q184" s="192">
        <v>211</v>
      </c>
      <c r="R184" s="192">
        <v>14110</v>
      </c>
      <c r="S184" s="193">
        <v>412</v>
      </c>
      <c r="T184" s="192">
        <v>14116</v>
      </c>
      <c r="U184" s="193">
        <v>412</v>
      </c>
      <c r="V184" s="193">
        <f t="shared" si="14"/>
        <v>0</v>
      </c>
      <c r="W184" s="194">
        <v>0</v>
      </c>
      <c r="X184" s="192">
        <v>70260</v>
      </c>
      <c r="Y184" s="193">
        <v>0</v>
      </c>
      <c r="Z184" s="191" t="s">
        <v>427</v>
      </c>
      <c r="AA184" s="191"/>
      <c r="AB184" s="191" t="s">
        <v>758</v>
      </c>
      <c r="AC184" s="191"/>
      <c r="AD184" s="191" t="s">
        <v>426</v>
      </c>
      <c r="AE184" s="191" t="s">
        <v>425</v>
      </c>
      <c r="AF184" s="192" t="s">
        <v>92</v>
      </c>
      <c r="AG184" s="191"/>
      <c r="AH184" s="192" t="s">
        <v>424</v>
      </c>
      <c r="AI184" s="191">
        <v>0</v>
      </c>
      <c r="AJ184" s="191">
        <v>0</v>
      </c>
    </row>
    <row r="185" spans="2:36">
      <c r="B185" s="192">
        <v>2120</v>
      </c>
      <c r="C185" s="196">
        <v>99980</v>
      </c>
      <c r="D185" s="192" t="s">
        <v>427</v>
      </c>
      <c r="E185" s="191" t="s">
        <v>763</v>
      </c>
      <c r="F185" s="192">
        <v>0</v>
      </c>
      <c r="G185" s="191"/>
      <c r="H185" s="191"/>
      <c r="I185" s="191"/>
      <c r="J185" s="191">
        <v>0</v>
      </c>
      <c r="K185" s="191" t="s">
        <v>762</v>
      </c>
      <c r="L185" s="191"/>
      <c r="M185" s="191"/>
      <c r="N185" s="195">
        <v>41257</v>
      </c>
      <c r="O185" s="195">
        <v>41257</v>
      </c>
      <c r="P185" s="191" t="s">
        <v>759</v>
      </c>
      <c r="Q185" s="192">
        <v>300</v>
      </c>
      <c r="R185" s="192">
        <v>14110</v>
      </c>
      <c r="S185" s="193">
        <v>1244.81</v>
      </c>
      <c r="T185" s="192">
        <v>14116</v>
      </c>
      <c r="U185" s="193">
        <v>1244.81</v>
      </c>
      <c r="V185" s="193">
        <f t="shared" si="14"/>
        <v>0</v>
      </c>
      <c r="W185" s="194">
        <v>0</v>
      </c>
      <c r="X185" s="192">
        <v>70260</v>
      </c>
      <c r="Y185" s="193">
        <v>0</v>
      </c>
      <c r="Z185" s="191" t="s">
        <v>427</v>
      </c>
      <c r="AA185" s="191"/>
      <c r="AB185" s="191" t="s">
        <v>761</v>
      </c>
      <c r="AC185" s="191"/>
      <c r="AD185" s="191" t="s">
        <v>426</v>
      </c>
      <c r="AE185" s="191" t="s">
        <v>425</v>
      </c>
      <c r="AF185" s="192" t="s">
        <v>92</v>
      </c>
      <c r="AG185" s="191"/>
      <c r="AH185" s="192" t="s">
        <v>424</v>
      </c>
      <c r="AI185" s="191">
        <v>0</v>
      </c>
      <c r="AJ185" s="191">
        <v>0</v>
      </c>
    </row>
    <row r="186" spans="2:36">
      <c r="B186" s="192">
        <v>2120</v>
      </c>
      <c r="C186" s="196">
        <v>98389</v>
      </c>
      <c r="D186" s="192" t="s">
        <v>427</v>
      </c>
      <c r="E186" s="191" t="s">
        <v>768</v>
      </c>
      <c r="F186" s="192">
        <v>3</v>
      </c>
      <c r="G186" s="191"/>
      <c r="H186" s="191"/>
      <c r="I186" s="191"/>
      <c r="J186" s="191">
        <v>0</v>
      </c>
      <c r="K186" s="191" t="s">
        <v>646</v>
      </c>
      <c r="L186" s="191"/>
      <c r="M186" s="191" t="s">
        <v>461</v>
      </c>
      <c r="N186" s="195">
        <v>41227</v>
      </c>
      <c r="O186" s="195">
        <v>41227</v>
      </c>
      <c r="P186" s="191" t="s">
        <v>767</v>
      </c>
      <c r="Q186" s="192">
        <v>1200</v>
      </c>
      <c r="R186" s="192">
        <v>14050</v>
      </c>
      <c r="S186" s="193">
        <v>1342.11</v>
      </c>
      <c r="T186" s="192">
        <v>14056</v>
      </c>
      <c r="U186" s="193">
        <v>1146.3599999999999</v>
      </c>
      <c r="V186" s="193">
        <f t="shared" si="14"/>
        <v>195.75</v>
      </c>
      <c r="W186" s="194">
        <v>9.32</v>
      </c>
      <c r="X186" s="192">
        <v>54260</v>
      </c>
      <c r="Y186" s="193">
        <v>9.32</v>
      </c>
      <c r="Z186" s="191" t="s">
        <v>427</v>
      </c>
      <c r="AA186" s="191"/>
      <c r="AB186" s="191">
        <v>2536</v>
      </c>
      <c r="AC186" s="191"/>
      <c r="AD186" s="191" t="s">
        <v>426</v>
      </c>
      <c r="AE186" s="191" t="s">
        <v>425</v>
      </c>
      <c r="AF186" s="192" t="s">
        <v>92</v>
      </c>
      <c r="AG186" s="191"/>
      <c r="AH186" s="192" t="s">
        <v>424</v>
      </c>
      <c r="AI186" s="191">
        <v>0</v>
      </c>
      <c r="AJ186" s="191">
        <v>0</v>
      </c>
    </row>
    <row r="187" spans="2:36">
      <c r="B187" s="192">
        <v>2120</v>
      </c>
      <c r="C187" s="196">
        <v>98388</v>
      </c>
      <c r="D187" s="192" t="s">
        <v>427</v>
      </c>
      <c r="E187" s="191" t="s">
        <v>769</v>
      </c>
      <c r="F187" s="192">
        <v>5</v>
      </c>
      <c r="G187" s="191"/>
      <c r="H187" s="191"/>
      <c r="I187" s="191"/>
      <c r="J187" s="191">
        <v>0</v>
      </c>
      <c r="K187" s="191" t="s">
        <v>646</v>
      </c>
      <c r="L187" s="191"/>
      <c r="M187" s="191" t="s">
        <v>469</v>
      </c>
      <c r="N187" s="195">
        <v>41222</v>
      </c>
      <c r="O187" s="195">
        <v>41222</v>
      </c>
      <c r="P187" s="191" t="s">
        <v>767</v>
      </c>
      <c r="Q187" s="192">
        <v>1200</v>
      </c>
      <c r="R187" s="192">
        <v>14050</v>
      </c>
      <c r="S187" s="193">
        <v>2484.79</v>
      </c>
      <c r="T187" s="192">
        <v>14056</v>
      </c>
      <c r="U187" s="193">
        <v>2122.4699999999998</v>
      </c>
      <c r="V187" s="193">
        <f t="shared" si="14"/>
        <v>362.32000000000016</v>
      </c>
      <c r="W187" s="194">
        <v>17.260000000000002</v>
      </c>
      <c r="X187" s="192">
        <v>54260</v>
      </c>
      <c r="Y187" s="193">
        <v>17.260000000000002</v>
      </c>
      <c r="Z187" s="191" t="s">
        <v>427</v>
      </c>
      <c r="AA187" s="191"/>
      <c r="AB187" s="191">
        <v>2495</v>
      </c>
      <c r="AC187" s="191"/>
      <c r="AD187" s="191" t="s">
        <v>426</v>
      </c>
      <c r="AE187" s="191" t="s">
        <v>425</v>
      </c>
      <c r="AF187" s="192" t="s">
        <v>92</v>
      </c>
      <c r="AG187" s="191"/>
      <c r="AH187" s="192" t="s">
        <v>424</v>
      </c>
      <c r="AI187" s="191">
        <v>0</v>
      </c>
      <c r="AJ187" s="191">
        <v>0</v>
      </c>
    </row>
    <row r="188" spans="2:36">
      <c r="B188" s="192">
        <v>2120</v>
      </c>
      <c r="C188" s="196">
        <v>98562</v>
      </c>
      <c r="D188" s="192" t="s">
        <v>427</v>
      </c>
      <c r="E188" s="191" t="s">
        <v>766</v>
      </c>
      <c r="F188" s="192">
        <v>0</v>
      </c>
      <c r="G188" s="191"/>
      <c r="H188" s="191"/>
      <c r="I188" s="191"/>
      <c r="J188" s="191">
        <v>0</v>
      </c>
      <c r="K188" s="191"/>
      <c r="L188" s="191"/>
      <c r="M188" s="191"/>
      <c r="N188" s="195">
        <v>41213</v>
      </c>
      <c r="O188" s="195">
        <v>41213</v>
      </c>
      <c r="P188" s="191" t="s">
        <v>764</v>
      </c>
      <c r="Q188" s="192">
        <v>300</v>
      </c>
      <c r="R188" s="192">
        <v>14110</v>
      </c>
      <c r="S188" s="193">
        <v>6021.71</v>
      </c>
      <c r="T188" s="192">
        <v>14116</v>
      </c>
      <c r="U188" s="193">
        <v>6021.71</v>
      </c>
      <c r="V188" s="193">
        <f t="shared" si="14"/>
        <v>0</v>
      </c>
      <c r="W188" s="194">
        <v>0</v>
      </c>
      <c r="X188" s="192">
        <v>70260</v>
      </c>
      <c r="Y188" s="193">
        <v>0</v>
      </c>
      <c r="Z188" s="191" t="s">
        <v>427</v>
      </c>
      <c r="AA188" s="191"/>
      <c r="AB188" s="191" t="s">
        <v>765</v>
      </c>
      <c r="AC188" s="191"/>
      <c r="AD188" s="191" t="s">
        <v>426</v>
      </c>
      <c r="AE188" s="191" t="s">
        <v>425</v>
      </c>
      <c r="AF188" s="192" t="s">
        <v>92</v>
      </c>
      <c r="AG188" s="191"/>
      <c r="AH188" s="192" t="s">
        <v>424</v>
      </c>
      <c r="AI188" s="191">
        <v>0</v>
      </c>
      <c r="AJ188" s="191">
        <v>0</v>
      </c>
    </row>
    <row r="189" spans="2:36">
      <c r="B189" s="192">
        <v>2120</v>
      </c>
      <c r="C189" s="196">
        <v>95878</v>
      </c>
      <c r="D189" s="192" t="s">
        <v>427</v>
      </c>
      <c r="E189" s="191" t="s">
        <v>275</v>
      </c>
      <c r="F189" s="192">
        <v>0</v>
      </c>
      <c r="G189" s="191"/>
      <c r="H189" s="191"/>
      <c r="I189" s="191"/>
      <c r="J189" s="191">
        <v>0</v>
      </c>
      <c r="K189" s="191" t="s">
        <v>771</v>
      </c>
      <c r="L189" s="191"/>
      <c r="M189" s="191"/>
      <c r="N189" s="195">
        <v>41122</v>
      </c>
      <c r="O189" s="195">
        <v>41122</v>
      </c>
      <c r="P189" s="191" t="s">
        <v>770</v>
      </c>
      <c r="Q189" s="192">
        <v>1000</v>
      </c>
      <c r="R189" s="192">
        <v>14080</v>
      </c>
      <c r="S189" s="193">
        <v>31559.96</v>
      </c>
      <c r="T189" s="192">
        <v>14086</v>
      </c>
      <c r="U189" s="193">
        <v>31559.96</v>
      </c>
      <c r="V189" s="193">
        <f t="shared" si="14"/>
        <v>0</v>
      </c>
      <c r="W189" s="194">
        <v>0</v>
      </c>
      <c r="X189" s="192">
        <v>57260</v>
      </c>
      <c r="Y189" s="193">
        <v>0</v>
      </c>
      <c r="Z189" s="191" t="s">
        <v>427</v>
      </c>
      <c r="AA189" s="191"/>
      <c r="AB189" s="191">
        <v>144</v>
      </c>
      <c r="AC189" s="191"/>
      <c r="AD189" s="191" t="s">
        <v>426</v>
      </c>
      <c r="AE189" s="191" t="s">
        <v>425</v>
      </c>
      <c r="AF189" s="192" t="s">
        <v>92</v>
      </c>
      <c r="AG189" s="191"/>
      <c r="AH189" s="192" t="s">
        <v>424</v>
      </c>
      <c r="AI189" s="191">
        <v>0</v>
      </c>
      <c r="AJ189" s="191">
        <v>0</v>
      </c>
    </row>
    <row r="190" spans="2:36">
      <c r="B190" s="192">
        <v>2120</v>
      </c>
      <c r="C190" s="196">
        <v>95319</v>
      </c>
      <c r="D190" s="192" t="s">
        <v>427</v>
      </c>
      <c r="E190" s="191" t="s">
        <v>784</v>
      </c>
      <c r="F190" s="192">
        <v>0</v>
      </c>
      <c r="G190" s="191"/>
      <c r="H190" s="191" t="s">
        <v>779</v>
      </c>
      <c r="I190" s="191" t="s">
        <v>783</v>
      </c>
      <c r="J190" s="191">
        <v>2011</v>
      </c>
      <c r="K190" s="191" t="s">
        <v>782</v>
      </c>
      <c r="L190" s="191" t="s">
        <v>493</v>
      </c>
      <c r="M190" s="191" t="s">
        <v>492</v>
      </c>
      <c r="N190" s="195">
        <v>41121</v>
      </c>
      <c r="O190" s="195">
        <v>41121</v>
      </c>
      <c r="P190" s="191" t="s">
        <v>778</v>
      </c>
      <c r="Q190" s="192">
        <v>800</v>
      </c>
      <c r="R190" s="192">
        <v>14040</v>
      </c>
      <c r="S190" s="193">
        <v>160100</v>
      </c>
      <c r="T190" s="192">
        <v>14046</v>
      </c>
      <c r="U190" s="193">
        <v>160100</v>
      </c>
      <c r="V190" s="193">
        <f t="shared" si="14"/>
        <v>0</v>
      </c>
      <c r="W190" s="194">
        <v>0</v>
      </c>
      <c r="X190" s="192">
        <v>51260</v>
      </c>
      <c r="Y190" s="193">
        <v>0</v>
      </c>
      <c r="Z190" s="191" t="s">
        <v>427</v>
      </c>
      <c r="AA190" s="191"/>
      <c r="AB190" s="191" t="s">
        <v>781</v>
      </c>
      <c r="AC190" s="191">
        <v>11</v>
      </c>
      <c r="AD190" s="191" t="s">
        <v>426</v>
      </c>
      <c r="AE190" s="191" t="s">
        <v>425</v>
      </c>
      <c r="AF190" s="192" t="s">
        <v>92</v>
      </c>
      <c r="AG190" s="191"/>
      <c r="AH190" s="192" t="s">
        <v>424</v>
      </c>
      <c r="AI190" s="191">
        <v>0</v>
      </c>
      <c r="AJ190" s="191">
        <v>0</v>
      </c>
    </row>
    <row r="191" spans="2:36">
      <c r="B191" s="192">
        <v>2120</v>
      </c>
      <c r="C191" s="196">
        <v>95259</v>
      </c>
      <c r="D191" s="192">
        <v>95319</v>
      </c>
      <c r="E191" s="191" t="s">
        <v>780</v>
      </c>
      <c r="F191" s="192">
        <v>0</v>
      </c>
      <c r="G191" s="191"/>
      <c r="H191" s="191" t="s">
        <v>779</v>
      </c>
      <c r="I191" s="191"/>
      <c r="J191" s="191">
        <v>2011</v>
      </c>
      <c r="K191" s="191"/>
      <c r="L191" s="191"/>
      <c r="M191" s="191" t="s">
        <v>448</v>
      </c>
      <c r="N191" s="195">
        <v>41121</v>
      </c>
      <c r="O191" s="195">
        <v>41121</v>
      </c>
      <c r="P191" s="191" t="s">
        <v>778</v>
      </c>
      <c r="Q191" s="192">
        <v>800</v>
      </c>
      <c r="R191" s="192">
        <v>14040</v>
      </c>
      <c r="S191" s="193">
        <v>12717</v>
      </c>
      <c r="T191" s="192">
        <v>14046</v>
      </c>
      <c r="U191" s="193">
        <v>12717</v>
      </c>
      <c r="V191" s="193">
        <f t="shared" si="14"/>
        <v>0</v>
      </c>
      <c r="W191" s="194">
        <v>0</v>
      </c>
      <c r="X191" s="192">
        <v>51260</v>
      </c>
      <c r="Y191" s="193">
        <v>0</v>
      </c>
      <c r="Z191" s="191" t="s">
        <v>427</v>
      </c>
      <c r="AA191" s="191"/>
      <c r="AB191" s="191">
        <v>3346</v>
      </c>
      <c r="AC191" s="191"/>
      <c r="AD191" s="191" t="s">
        <v>426</v>
      </c>
      <c r="AE191" s="191" t="s">
        <v>425</v>
      </c>
      <c r="AF191" s="192" t="s">
        <v>92</v>
      </c>
      <c r="AG191" s="191"/>
      <c r="AH191" s="192" t="s">
        <v>424</v>
      </c>
      <c r="AI191" s="191">
        <v>0</v>
      </c>
      <c r="AJ191" s="191">
        <v>0</v>
      </c>
    </row>
    <row r="192" spans="2:36">
      <c r="B192" s="192">
        <v>2120</v>
      </c>
      <c r="C192" s="196">
        <v>95714</v>
      </c>
      <c r="D192" s="192" t="s">
        <v>427</v>
      </c>
      <c r="E192" s="191" t="s">
        <v>773</v>
      </c>
      <c r="F192" s="192">
        <v>0</v>
      </c>
      <c r="G192" s="191"/>
      <c r="H192" s="191"/>
      <c r="I192" s="191"/>
      <c r="J192" s="191">
        <v>0</v>
      </c>
      <c r="K192" s="191" t="s">
        <v>516</v>
      </c>
      <c r="L192" s="191"/>
      <c r="M192" s="191"/>
      <c r="N192" s="195">
        <v>41118</v>
      </c>
      <c r="O192" s="195">
        <v>41118</v>
      </c>
      <c r="P192" s="191" t="s">
        <v>772</v>
      </c>
      <c r="Q192" s="192">
        <v>500</v>
      </c>
      <c r="R192" s="192">
        <v>14070</v>
      </c>
      <c r="S192" s="193">
        <v>629.54999999999995</v>
      </c>
      <c r="T192" s="192">
        <v>14076</v>
      </c>
      <c r="U192" s="193">
        <v>629.54999999999995</v>
      </c>
      <c r="V192" s="193">
        <f t="shared" si="14"/>
        <v>0</v>
      </c>
      <c r="W192" s="194">
        <v>0</v>
      </c>
      <c r="X192" s="192">
        <v>51260</v>
      </c>
      <c r="Y192" s="193">
        <v>0</v>
      </c>
      <c r="Z192" s="191" t="s">
        <v>427</v>
      </c>
      <c r="AA192" s="191"/>
      <c r="AB192" s="191">
        <v>30543</v>
      </c>
      <c r="AC192" s="191"/>
      <c r="AD192" s="191" t="s">
        <v>426</v>
      </c>
      <c r="AE192" s="191" t="s">
        <v>425</v>
      </c>
      <c r="AF192" s="192" t="s">
        <v>92</v>
      </c>
      <c r="AG192" s="191"/>
      <c r="AH192" s="192" t="s">
        <v>424</v>
      </c>
      <c r="AI192" s="191">
        <v>0</v>
      </c>
      <c r="AJ192" s="191">
        <v>0</v>
      </c>
    </row>
    <row r="193" spans="2:48">
      <c r="B193" s="192">
        <v>2120</v>
      </c>
      <c r="C193" s="196">
        <v>110469</v>
      </c>
      <c r="D193" s="192" t="s">
        <v>427</v>
      </c>
      <c r="E193" s="191" t="s">
        <v>251</v>
      </c>
      <c r="F193" s="192">
        <v>0</v>
      </c>
      <c r="G193" s="191"/>
      <c r="H193" s="191"/>
      <c r="I193" s="191"/>
      <c r="J193" s="191">
        <v>0</v>
      </c>
      <c r="K193" s="191" t="s">
        <v>535</v>
      </c>
      <c r="L193" s="191"/>
      <c r="M193" s="191"/>
      <c r="N193" s="195">
        <v>41029</v>
      </c>
      <c r="O193" s="195">
        <v>41029</v>
      </c>
      <c r="P193" s="191" t="s">
        <v>727</v>
      </c>
      <c r="Q193" s="192">
        <v>300</v>
      </c>
      <c r="R193" s="192">
        <v>14110</v>
      </c>
      <c r="S193" s="193">
        <v>466.06</v>
      </c>
      <c r="T193" s="192">
        <v>14116</v>
      </c>
      <c r="U193" s="193">
        <v>466.06</v>
      </c>
      <c r="V193" s="193">
        <f t="shared" si="14"/>
        <v>0</v>
      </c>
      <c r="W193" s="194">
        <v>0</v>
      </c>
      <c r="X193" s="192">
        <v>70260</v>
      </c>
      <c r="Y193" s="193">
        <v>0</v>
      </c>
      <c r="Z193" s="191" t="s">
        <v>427</v>
      </c>
      <c r="AA193" s="191"/>
      <c r="AB193" s="191" t="s">
        <v>726</v>
      </c>
      <c r="AC193" s="191"/>
      <c r="AD193" s="191" t="s">
        <v>426</v>
      </c>
      <c r="AE193" s="191" t="s">
        <v>425</v>
      </c>
      <c r="AF193" s="192" t="s">
        <v>92</v>
      </c>
      <c r="AG193" s="197">
        <v>41639</v>
      </c>
      <c r="AH193" s="192" t="s">
        <v>424</v>
      </c>
      <c r="AI193" s="191">
        <v>0</v>
      </c>
      <c r="AJ193" s="191">
        <v>258.92</v>
      </c>
    </row>
    <row r="194" spans="2:48">
      <c r="B194" s="192">
        <v>2120</v>
      </c>
      <c r="C194" s="196">
        <v>95045</v>
      </c>
      <c r="D194" s="192" t="s">
        <v>427</v>
      </c>
      <c r="E194" s="191" t="s">
        <v>251</v>
      </c>
      <c r="F194" s="192">
        <v>0</v>
      </c>
      <c r="G194" s="191"/>
      <c r="H194" s="191"/>
      <c r="I194" s="191"/>
      <c r="J194" s="191">
        <v>0</v>
      </c>
      <c r="K194" s="191" t="s">
        <v>535</v>
      </c>
      <c r="L194" s="191"/>
      <c r="M194" s="191"/>
      <c r="N194" s="195">
        <v>41029</v>
      </c>
      <c r="O194" s="195">
        <v>41029</v>
      </c>
      <c r="P194" s="191" t="s">
        <v>727</v>
      </c>
      <c r="Q194" s="192">
        <v>300</v>
      </c>
      <c r="R194" s="192">
        <v>14110</v>
      </c>
      <c r="S194" s="193">
        <v>466.06</v>
      </c>
      <c r="T194" s="192">
        <v>14116</v>
      </c>
      <c r="U194" s="193">
        <v>466.06</v>
      </c>
      <c r="V194" s="193">
        <f t="shared" si="14"/>
        <v>0</v>
      </c>
      <c r="W194" s="194">
        <v>0</v>
      </c>
      <c r="X194" s="192">
        <v>70260</v>
      </c>
      <c r="Y194" s="193">
        <v>0</v>
      </c>
      <c r="Z194" s="191" t="s">
        <v>427</v>
      </c>
      <c r="AA194" s="191"/>
      <c r="AB194" s="191" t="s">
        <v>726</v>
      </c>
      <c r="AC194" s="191"/>
      <c r="AD194" s="191" t="s">
        <v>426</v>
      </c>
      <c r="AE194" s="191" t="s">
        <v>425</v>
      </c>
      <c r="AF194" s="192" t="s">
        <v>92</v>
      </c>
      <c r="AG194" s="197">
        <v>41090</v>
      </c>
      <c r="AH194" s="192" t="s">
        <v>424</v>
      </c>
      <c r="AI194" s="191">
        <v>0</v>
      </c>
      <c r="AJ194" s="191">
        <v>25.89</v>
      </c>
    </row>
    <row r="195" spans="2:48">
      <c r="B195" s="192">
        <v>2120</v>
      </c>
      <c r="C195" s="196">
        <v>89096</v>
      </c>
      <c r="D195" s="192" t="s">
        <v>427</v>
      </c>
      <c r="E195" s="191" t="s">
        <v>787</v>
      </c>
      <c r="F195" s="192">
        <v>0</v>
      </c>
      <c r="G195" s="191"/>
      <c r="H195" s="191"/>
      <c r="I195" s="191"/>
      <c r="J195" s="191">
        <v>0</v>
      </c>
      <c r="K195" s="191" t="s">
        <v>535</v>
      </c>
      <c r="L195" s="191"/>
      <c r="M195" s="191"/>
      <c r="N195" s="195">
        <v>40908</v>
      </c>
      <c r="O195" s="195">
        <v>40908</v>
      </c>
      <c r="P195" s="191" t="s">
        <v>786</v>
      </c>
      <c r="Q195" s="192">
        <v>500</v>
      </c>
      <c r="R195" s="192">
        <v>14110</v>
      </c>
      <c r="S195" s="193">
        <v>846.18</v>
      </c>
      <c r="T195" s="192">
        <v>14116</v>
      </c>
      <c r="U195" s="193">
        <v>846.18</v>
      </c>
      <c r="V195" s="193">
        <f t="shared" si="14"/>
        <v>0</v>
      </c>
      <c r="W195" s="194">
        <v>0</v>
      </c>
      <c r="X195" s="192">
        <v>70260</v>
      </c>
      <c r="Y195" s="193">
        <v>0</v>
      </c>
      <c r="Z195" s="191" t="s">
        <v>427</v>
      </c>
      <c r="AA195" s="191"/>
      <c r="AB195" s="191" t="s">
        <v>785</v>
      </c>
      <c r="AC195" s="191"/>
      <c r="AD195" s="191" t="s">
        <v>426</v>
      </c>
      <c r="AE195" s="191" t="s">
        <v>425</v>
      </c>
      <c r="AF195" s="192" t="s">
        <v>92</v>
      </c>
      <c r="AG195" s="191"/>
      <c r="AH195" s="192" t="s">
        <v>424</v>
      </c>
      <c r="AI195" s="191">
        <v>0</v>
      </c>
      <c r="AJ195" s="191">
        <v>0</v>
      </c>
    </row>
    <row r="196" spans="2:48">
      <c r="B196" s="192">
        <v>2120</v>
      </c>
      <c r="C196" s="196">
        <v>89011</v>
      </c>
      <c r="D196" s="192" t="s">
        <v>427</v>
      </c>
      <c r="E196" s="191" t="s">
        <v>789</v>
      </c>
      <c r="F196" s="192">
        <v>0</v>
      </c>
      <c r="G196" s="191"/>
      <c r="H196" s="191"/>
      <c r="I196" s="191"/>
      <c r="J196" s="191">
        <v>0</v>
      </c>
      <c r="K196" s="191"/>
      <c r="L196" s="191"/>
      <c r="M196" s="191"/>
      <c r="N196" s="195">
        <v>40892</v>
      </c>
      <c r="O196" s="195">
        <v>40892</v>
      </c>
      <c r="P196" s="191" t="s">
        <v>788</v>
      </c>
      <c r="Q196" s="192">
        <v>1000</v>
      </c>
      <c r="R196" s="192">
        <v>14080</v>
      </c>
      <c r="S196" s="193">
        <v>11393</v>
      </c>
      <c r="T196" s="192">
        <v>14086</v>
      </c>
      <c r="U196" s="193">
        <v>11393</v>
      </c>
      <c r="V196" s="193">
        <f t="shared" si="14"/>
        <v>0</v>
      </c>
      <c r="W196" s="194">
        <v>0</v>
      </c>
      <c r="X196" s="192">
        <v>57260</v>
      </c>
      <c r="Y196" s="193">
        <v>0</v>
      </c>
      <c r="Z196" s="191" t="s">
        <v>427</v>
      </c>
      <c r="AA196" s="191"/>
      <c r="AB196" s="191">
        <v>35068</v>
      </c>
      <c r="AC196" s="191"/>
      <c r="AD196" s="191" t="s">
        <v>426</v>
      </c>
      <c r="AE196" s="191" t="s">
        <v>425</v>
      </c>
      <c r="AF196" s="192" t="s">
        <v>92</v>
      </c>
      <c r="AG196" s="191"/>
      <c r="AH196" s="192" t="s">
        <v>424</v>
      </c>
      <c r="AI196" s="191">
        <v>0</v>
      </c>
      <c r="AJ196" s="191">
        <v>0</v>
      </c>
    </row>
    <row r="197" spans="2:48">
      <c r="B197" s="192">
        <v>2120</v>
      </c>
      <c r="C197" s="196">
        <v>253601</v>
      </c>
      <c r="D197" s="192" t="s">
        <v>427</v>
      </c>
      <c r="E197" s="191" t="s">
        <v>408</v>
      </c>
      <c r="F197" s="192">
        <v>4</v>
      </c>
      <c r="G197" s="191"/>
      <c r="H197" s="191"/>
      <c r="I197" s="191"/>
      <c r="J197" s="191">
        <v>0</v>
      </c>
      <c r="K197" s="191" t="s">
        <v>472</v>
      </c>
      <c r="L197" s="191"/>
      <c r="M197" s="191" t="s">
        <v>471</v>
      </c>
      <c r="N197" s="195">
        <v>40884</v>
      </c>
      <c r="O197" s="195">
        <v>40884</v>
      </c>
      <c r="P197" s="191" t="s">
        <v>470</v>
      </c>
      <c r="Q197" s="192">
        <v>1200</v>
      </c>
      <c r="R197" s="192">
        <v>14050</v>
      </c>
      <c r="S197" s="193">
        <v>2753.82</v>
      </c>
      <c r="T197" s="192">
        <v>14056</v>
      </c>
      <c r="U197" s="193">
        <v>2562.5700000000002</v>
      </c>
      <c r="V197" s="193">
        <f t="shared" si="14"/>
        <v>191.25</v>
      </c>
      <c r="W197" s="194">
        <v>19.12</v>
      </c>
      <c r="X197" s="192">
        <v>54260</v>
      </c>
      <c r="Y197" s="193">
        <v>19.12</v>
      </c>
      <c r="Z197" s="191" t="s">
        <v>427</v>
      </c>
      <c r="AA197" s="191"/>
      <c r="AB197" s="191">
        <v>5166</v>
      </c>
      <c r="AC197" s="191"/>
      <c r="AD197" s="191" t="s">
        <v>426</v>
      </c>
      <c r="AE197" s="191" t="s">
        <v>425</v>
      </c>
      <c r="AF197" s="192" t="s">
        <v>92</v>
      </c>
      <c r="AG197" s="197">
        <v>44347</v>
      </c>
      <c r="AH197" s="192" t="s">
        <v>424</v>
      </c>
      <c r="AI197" s="191">
        <v>0</v>
      </c>
      <c r="AJ197" s="191">
        <v>2180.09</v>
      </c>
      <c r="AM197" s="256"/>
      <c r="AN197" s="256"/>
      <c r="AO197" s="257"/>
      <c r="AP197" s="258"/>
      <c r="AQ197" s="259"/>
      <c r="AR197" s="260"/>
      <c r="AS197" s="261"/>
      <c r="AT197" s="261"/>
      <c r="AU197" s="260"/>
      <c r="AV197" s="262"/>
    </row>
    <row r="198" spans="2:48">
      <c r="B198" s="192">
        <v>2120</v>
      </c>
      <c r="C198" s="196">
        <v>253600</v>
      </c>
      <c r="D198" s="192" t="s">
        <v>427</v>
      </c>
      <c r="E198" s="191" t="s">
        <v>409</v>
      </c>
      <c r="F198" s="192">
        <v>4</v>
      </c>
      <c r="G198" s="191"/>
      <c r="H198" s="191"/>
      <c r="I198" s="191"/>
      <c r="J198" s="191">
        <v>0</v>
      </c>
      <c r="K198" s="191" t="s">
        <v>472</v>
      </c>
      <c r="L198" s="191"/>
      <c r="M198" s="191" t="s">
        <v>471</v>
      </c>
      <c r="N198" s="195">
        <v>40884</v>
      </c>
      <c r="O198" s="195">
        <v>40884</v>
      </c>
      <c r="P198" s="191" t="s">
        <v>470</v>
      </c>
      <c r="Q198" s="192">
        <v>1200</v>
      </c>
      <c r="R198" s="192">
        <v>14050</v>
      </c>
      <c r="S198" s="193">
        <v>2753.82</v>
      </c>
      <c r="T198" s="192">
        <v>14056</v>
      </c>
      <c r="U198" s="193">
        <v>2562.58</v>
      </c>
      <c r="V198" s="193">
        <f t="shared" si="14"/>
        <v>191.24000000000024</v>
      </c>
      <c r="W198" s="194">
        <v>19.12</v>
      </c>
      <c r="X198" s="192">
        <v>54260</v>
      </c>
      <c r="Y198" s="193">
        <v>19.12</v>
      </c>
      <c r="Z198" s="191" t="s">
        <v>427</v>
      </c>
      <c r="AA198" s="191"/>
      <c r="AB198" s="191">
        <v>5166</v>
      </c>
      <c r="AC198" s="191"/>
      <c r="AD198" s="191" t="s">
        <v>426</v>
      </c>
      <c r="AE198" s="191" t="s">
        <v>425</v>
      </c>
      <c r="AF198" s="192" t="s">
        <v>92</v>
      </c>
      <c r="AG198" s="197">
        <v>44347</v>
      </c>
      <c r="AH198" s="192" t="s">
        <v>424</v>
      </c>
      <c r="AI198" s="191">
        <v>0</v>
      </c>
      <c r="AJ198" s="191">
        <v>2180.1</v>
      </c>
      <c r="AM198" s="256"/>
      <c r="AN198" s="256"/>
      <c r="AO198" s="257"/>
      <c r="AP198" s="258"/>
      <c r="AQ198" s="259"/>
      <c r="AR198" s="260"/>
      <c r="AS198" s="261"/>
      <c r="AT198" s="261"/>
      <c r="AU198" s="260"/>
      <c r="AV198" s="262"/>
    </row>
    <row r="199" spans="2:48">
      <c r="B199" s="192">
        <v>2120</v>
      </c>
      <c r="C199" s="196">
        <v>88948</v>
      </c>
      <c r="D199" s="192" t="s">
        <v>427</v>
      </c>
      <c r="E199" s="191" t="s">
        <v>790</v>
      </c>
      <c r="F199" s="192">
        <v>3</v>
      </c>
      <c r="G199" s="191"/>
      <c r="H199" s="191"/>
      <c r="I199" s="191"/>
      <c r="J199" s="191">
        <v>0</v>
      </c>
      <c r="K199" s="191" t="s">
        <v>472</v>
      </c>
      <c r="L199" s="191"/>
      <c r="M199" s="191" t="s">
        <v>471</v>
      </c>
      <c r="N199" s="195">
        <v>40884</v>
      </c>
      <c r="O199" s="195">
        <v>40884</v>
      </c>
      <c r="P199" s="191" t="s">
        <v>470</v>
      </c>
      <c r="Q199" s="192">
        <v>1200</v>
      </c>
      <c r="R199" s="192">
        <v>14050</v>
      </c>
      <c r="S199" s="193">
        <v>2065.36</v>
      </c>
      <c r="T199" s="192">
        <v>14056</v>
      </c>
      <c r="U199" s="193">
        <v>1921.92</v>
      </c>
      <c r="V199" s="193">
        <f t="shared" si="14"/>
        <v>143.44000000000005</v>
      </c>
      <c r="W199" s="194">
        <v>14.34</v>
      </c>
      <c r="X199" s="192">
        <v>54260</v>
      </c>
      <c r="Y199" s="193">
        <v>14.34</v>
      </c>
      <c r="Z199" s="191" t="s">
        <v>427</v>
      </c>
      <c r="AA199" s="191"/>
      <c r="AB199" s="191">
        <v>5166</v>
      </c>
      <c r="AC199" s="191"/>
      <c r="AD199" s="191" t="s">
        <v>426</v>
      </c>
      <c r="AE199" s="191" t="s">
        <v>425</v>
      </c>
      <c r="AF199" s="192" t="s">
        <v>92</v>
      </c>
      <c r="AG199" s="197">
        <v>44347</v>
      </c>
      <c r="AH199" s="192" t="s">
        <v>424</v>
      </c>
      <c r="AI199" s="191">
        <v>2</v>
      </c>
      <c r="AJ199" s="191">
        <v>1635.07</v>
      </c>
    </row>
    <row r="200" spans="2:48">
      <c r="B200" s="192">
        <v>2120</v>
      </c>
      <c r="C200" s="196">
        <v>88796</v>
      </c>
      <c r="D200" s="192" t="s">
        <v>427</v>
      </c>
      <c r="E200" s="191" t="s">
        <v>793</v>
      </c>
      <c r="F200" s="192">
        <v>0</v>
      </c>
      <c r="G200" s="191"/>
      <c r="H200" s="191"/>
      <c r="I200" s="191"/>
      <c r="J200" s="191">
        <v>0</v>
      </c>
      <c r="K200" s="191" t="s">
        <v>792</v>
      </c>
      <c r="L200" s="191"/>
      <c r="M200" s="191"/>
      <c r="N200" s="195">
        <v>40878</v>
      </c>
      <c r="O200" s="195">
        <v>40878</v>
      </c>
      <c r="P200" s="191" t="s">
        <v>791</v>
      </c>
      <c r="Q200" s="192">
        <v>500</v>
      </c>
      <c r="R200" s="192">
        <v>14070</v>
      </c>
      <c r="S200" s="193">
        <v>6996.91</v>
      </c>
      <c r="T200" s="192">
        <v>14076</v>
      </c>
      <c r="U200" s="193">
        <v>6996.91</v>
      </c>
      <c r="V200" s="193">
        <f t="shared" si="14"/>
        <v>0</v>
      </c>
      <c r="W200" s="194">
        <v>0</v>
      </c>
      <c r="X200" s="192">
        <v>51260</v>
      </c>
      <c r="Y200" s="193">
        <v>0</v>
      </c>
      <c r="Z200" s="191" t="s">
        <v>427</v>
      </c>
      <c r="AA200" s="191"/>
      <c r="AB200" s="191">
        <v>1337737</v>
      </c>
      <c r="AC200" s="191"/>
      <c r="AD200" s="191" t="s">
        <v>426</v>
      </c>
      <c r="AE200" s="191" t="s">
        <v>425</v>
      </c>
      <c r="AF200" s="192" t="s">
        <v>92</v>
      </c>
      <c r="AG200" s="191"/>
      <c r="AH200" s="192" t="s">
        <v>424</v>
      </c>
      <c r="AI200" s="191">
        <v>0</v>
      </c>
      <c r="AJ200" s="191">
        <v>0</v>
      </c>
    </row>
    <row r="201" spans="2:48">
      <c r="B201" s="192">
        <v>2120</v>
      </c>
      <c r="C201" s="196">
        <v>88949</v>
      </c>
      <c r="D201" s="192">
        <v>88787</v>
      </c>
      <c r="E201" s="191" t="s">
        <v>795</v>
      </c>
      <c r="F201" s="192">
        <v>0</v>
      </c>
      <c r="G201" s="191"/>
      <c r="H201" s="191"/>
      <c r="I201" s="191"/>
      <c r="J201" s="191">
        <v>0</v>
      </c>
      <c r="K201" s="191"/>
      <c r="L201" s="191"/>
      <c r="M201" s="191"/>
      <c r="N201" s="195">
        <v>40861</v>
      </c>
      <c r="O201" s="195">
        <v>40861</v>
      </c>
      <c r="P201" s="191" t="s">
        <v>794</v>
      </c>
      <c r="Q201" s="192">
        <v>700</v>
      </c>
      <c r="R201" s="192">
        <v>14050</v>
      </c>
      <c r="S201" s="193">
        <v>2465.52</v>
      </c>
      <c r="T201" s="192">
        <v>14056</v>
      </c>
      <c r="U201" s="193">
        <v>2465.52</v>
      </c>
      <c r="V201" s="193">
        <f t="shared" si="14"/>
        <v>0</v>
      </c>
      <c r="W201" s="194">
        <v>0</v>
      </c>
      <c r="X201" s="192">
        <v>54260</v>
      </c>
      <c r="Y201" s="193">
        <v>0</v>
      </c>
      <c r="Z201" s="191" t="s">
        <v>427</v>
      </c>
      <c r="AA201" s="191"/>
      <c r="AB201" s="191">
        <v>42514</v>
      </c>
      <c r="AC201" s="191"/>
      <c r="AD201" s="191" t="s">
        <v>426</v>
      </c>
      <c r="AE201" s="191" t="s">
        <v>425</v>
      </c>
      <c r="AF201" s="192" t="s">
        <v>92</v>
      </c>
      <c r="AG201" s="191"/>
      <c r="AH201" s="192" t="s">
        <v>424</v>
      </c>
      <c r="AI201" s="191">
        <v>0</v>
      </c>
      <c r="AJ201" s="191">
        <v>0</v>
      </c>
    </row>
    <row r="202" spans="2:48">
      <c r="B202" s="192">
        <v>2120</v>
      </c>
      <c r="C202" s="196">
        <v>88787</v>
      </c>
      <c r="D202" s="192" t="s">
        <v>427</v>
      </c>
      <c r="E202" s="191" t="s">
        <v>798</v>
      </c>
      <c r="F202" s="192">
        <v>296</v>
      </c>
      <c r="G202" s="191"/>
      <c r="H202" s="191"/>
      <c r="I202" s="191"/>
      <c r="J202" s="191">
        <v>0</v>
      </c>
      <c r="K202" s="191" t="s">
        <v>797</v>
      </c>
      <c r="L202" s="191"/>
      <c r="M202" s="191"/>
      <c r="N202" s="195">
        <v>40861</v>
      </c>
      <c r="O202" s="195">
        <v>40861</v>
      </c>
      <c r="P202" s="191" t="s">
        <v>794</v>
      </c>
      <c r="Q202" s="192">
        <v>700</v>
      </c>
      <c r="R202" s="192">
        <v>14050</v>
      </c>
      <c r="S202" s="193">
        <v>13493.98</v>
      </c>
      <c r="T202" s="192">
        <v>14056</v>
      </c>
      <c r="U202" s="193">
        <v>13493.98</v>
      </c>
      <c r="V202" s="193">
        <f t="shared" si="14"/>
        <v>0</v>
      </c>
      <c r="W202" s="194">
        <v>0</v>
      </c>
      <c r="X202" s="192">
        <v>54260</v>
      </c>
      <c r="Y202" s="193">
        <v>0</v>
      </c>
      <c r="Z202" s="191" t="s">
        <v>427</v>
      </c>
      <c r="AA202" s="191"/>
      <c r="AB202" s="191" t="s">
        <v>796</v>
      </c>
      <c r="AC202" s="191"/>
      <c r="AD202" s="191" t="s">
        <v>426</v>
      </c>
      <c r="AE202" s="191" t="s">
        <v>425</v>
      </c>
      <c r="AF202" s="192" t="s">
        <v>92</v>
      </c>
      <c r="AG202" s="191"/>
      <c r="AH202" s="192" t="s">
        <v>424</v>
      </c>
      <c r="AI202" s="191">
        <v>0</v>
      </c>
      <c r="AJ202" s="191">
        <v>0</v>
      </c>
    </row>
    <row r="203" spans="2:48">
      <c r="B203" s="192">
        <v>2120</v>
      </c>
      <c r="C203" s="196">
        <v>88786</v>
      </c>
      <c r="D203" s="192" t="s">
        <v>427</v>
      </c>
      <c r="E203" s="191" t="s">
        <v>799</v>
      </c>
      <c r="F203" s="192">
        <v>238</v>
      </c>
      <c r="G203" s="191"/>
      <c r="H203" s="191"/>
      <c r="I203" s="191"/>
      <c r="J203" s="191">
        <v>0</v>
      </c>
      <c r="K203" s="191" t="s">
        <v>797</v>
      </c>
      <c r="L203" s="191"/>
      <c r="M203" s="191"/>
      <c r="N203" s="195">
        <v>40861</v>
      </c>
      <c r="O203" s="195">
        <v>40861</v>
      </c>
      <c r="P203" s="191" t="s">
        <v>794</v>
      </c>
      <c r="Q203" s="192">
        <v>700</v>
      </c>
      <c r="R203" s="192">
        <v>14050</v>
      </c>
      <c r="S203" s="193">
        <v>11941.29</v>
      </c>
      <c r="T203" s="192">
        <v>14056</v>
      </c>
      <c r="U203" s="193">
        <v>11941.29</v>
      </c>
      <c r="V203" s="193">
        <f t="shared" si="14"/>
        <v>0</v>
      </c>
      <c r="W203" s="194">
        <v>0</v>
      </c>
      <c r="X203" s="192">
        <v>54260</v>
      </c>
      <c r="Y203" s="193">
        <v>0</v>
      </c>
      <c r="Z203" s="191" t="s">
        <v>427</v>
      </c>
      <c r="AA203" s="191"/>
      <c r="AB203" s="191" t="s">
        <v>796</v>
      </c>
      <c r="AC203" s="191"/>
      <c r="AD203" s="191" t="s">
        <v>426</v>
      </c>
      <c r="AE203" s="191" t="s">
        <v>425</v>
      </c>
      <c r="AF203" s="192" t="s">
        <v>92</v>
      </c>
      <c r="AG203" s="191"/>
      <c r="AH203" s="192" t="s">
        <v>424</v>
      </c>
      <c r="AI203" s="191">
        <v>0</v>
      </c>
      <c r="AJ203" s="191">
        <v>0</v>
      </c>
    </row>
    <row r="204" spans="2:48">
      <c r="B204" s="192">
        <v>2120</v>
      </c>
      <c r="C204" s="196">
        <v>86791</v>
      </c>
      <c r="D204" s="192">
        <v>86342</v>
      </c>
      <c r="E204" s="191" t="s">
        <v>804</v>
      </c>
      <c r="F204" s="192">
        <v>0</v>
      </c>
      <c r="G204" s="191"/>
      <c r="H204" s="191" t="s">
        <v>803</v>
      </c>
      <c r="I204" s="191"/>
      <c r="J204" s="191">
        <v>2012</v>
      </c>
      <c r="K204" s="191"/>
      <c r="L204" s="191"/>
      <c r="M204" s="191" t="s">
        <v>802</v>
      </c>
      <c r="N204" s="195">
        <v>40794</v>
      </c>
      <c r="O204" s="195">
        <v>40794</v>
      </c>
      <c r="P204" s="191" t="s">
        <v>801</v>
      </c>
      <c r="Q204" s="192">
        <v>1000</v>
      </c>
      <c r="R204" s="192">
        <v>14040</v>
      </c>
      <c r="S204" s="193">
        <v>60443.839999999997</v>
      </c>
      <c r="T204" s="192">
        <v>14046</v>
      </c>
      <c r="U204" s="193">
        <v>60443.839999999997</v>
      </c>
      <c r="V204" s="193">
        <f t="shared" si="14"/>
        <v>0</v>
      </c>
      <c r="W204" s="194">
        <v>0</v>
      </c>
      <c r="X204" s="192">
        <v>51260</v>
      </c>
      <c r="Y204" s="193">
        <v>0</v>
      </c>
      <c r="Z204" s="191" t="s">
        <v>427</v>
      </c>
      <c r="AA204" s="191"/>
      <c r="AB204" s="191" t="s">
        <v>800</v>
      </c>
      <c r="AC204" s="191"/>
      <c r="AD204" s="191" t="s">
        <v>426</v>
      </c>
      <c r="AE204" s="191" t="s">
        <v>425</v>
      </c>
      <c r="AF204" s="192" t="s">
        <v>92</v>
      </c>
      <c r="AG204" s="191"/>
      <c r="AH204" s="192" t="s">
        <v>424</v>
      </c>
      <c r="AI204" s="191">
        <v>0</v>
      </c>
      <c r="AJ204" s="191">
        <v>0</v>
      </c>
    </row>
    <row r="205" spans="2:48">
      <c r="B205" s="192">
        <v>2120</v>
      </c>
      <c r="C205" s="196">
        <v>86342</v>
      </c>
      <c r="D205" s="192" t="s">
        <v>427</v>
      </c>
      <c r="E205" s="191" t="s">
        <v>809</v>
      </c>
      <c r="F205" s="192">
        <v>0</v>
      </c>
      <c r="G205" s="191"/>
      <c r="H205" s="191" t="s">
        <v>803</v>
      </c>
      <c r="I205" s="191" t="s">
        <v>808</v>
      </c>
      <c r="J205" s="191">
        <v>2012</v>
      </c>
      <c r="K205" s="191" t="s">
        <v>807</v>
      </c>
      <c r="L205" s="191" t="s">
        <v>806</v>
      </c>
      <c r="M205" s="191" t="s">
        <v>481</v>
      </c>
      <c r="N205" s="195">
        <v>40794</v>
      </c>
      <c r="O205" s="195">
        <v>40794</v>
      </c>
      <c r="P205" s="191" t="s">
        <v>801</v>
      </c>
      <c r="Q205" s="192">
        <v>1000</v>
      </c>
      <c r="R205" s="192">
        <v>14040</v>
      </c>
      <c r="S205" s="193">
        <v>66816.149999999994</v>
      </c>
      <c r="T205" s="192">
        <v>14046</v>
      </c>
      <c r="U205" s="193">
        <v>66816.149999999994</v>
      </c>
      <c r="V205" s="193">
        <f t="shared" si="14"/>
        <v>0</v>
      </c>
      <c r="W205" s="194">
        <v>0</v>
      </c>
      <c r="X205" s="192">
        <v>51260</v>
      </c>
      <c r="Y205" s="193">
        <v>0</v>
      </c>
      <c r="Z205" s="191" t="s">
        <v>427</v>
      </c>
      <c r="AA205" s="191"/>
      <c r="AB205" s="191" t="s">
        <v>805</v>
      </c>
      <c r="AC205" s="191">
        <v>1</v>
      </c>
      <c r="AD205" s="191" t="s">
        <v>426</v>
      </c>
      <c r="AE205" s="191" t="s">
        <v>425</v>
      </c>
      <c r="AF205" s="192" t="s">
        <v>92</v>
      </c>
      <c r="AG205" s="191"/>
      <c r="AH205" s="192" t="s">
        <v>424</v>
      </c>
      <c r="AI205" s="191">
        <v>0</v>
      </c>
      <c r="AJ205" s="191">
        <v>0</v>
      </c>
    </row>
    <row r="206" spans="2:48">
      <c r="B206" s="192">
        <v>2120</v>
      </c>
      <c r="C206" s="196">
        <v>89012</v>
      </c>
      <c r="D206" s="192">
        <v>86025</v>
      </c>
      <c r="E206" s="191" t="s">
        <v>811</v>
      </c>
      <c r="F206" s="192">
        <v>0</v>
      </c>
      <c r="G206" s="191"/>
      <c r="H206" s="191"/>
      <c r="I206" s="191"/>
      <c r="J206" s="191">
        <v>0</v>
      </c>
      <c r="K206" s="191"/>
      <c r="L206" s="191"/>
      <c r="M206" s="191"/>
      <c r="N206" s="195">
        <v>40772</v>
      </c>
      <c r="O206" s="195">
        <v>40772</v>
      </c>
      <c r="P206" s="191" t="s">
        <v>810</v>
      </c>
      <c r="Q206" s="192">
        <v>1000</v>
      </c>
      <c r="R206" s="192">
        <v>14080</v>
      </c>
      <c r="S206" s="193">
        <v>620.91999999999996</v>
      </c>
      <c r="T206" s="192">
        <v>14086</v>
      </c>
      <c r="U206" s="193">
        <v>620.91999999999996</v>
      </c>
      <c r="V206" s="193">
        <f t="shared" ref="V206:V269" si="15">S206-U206</f>
        <v>0</v>
      </c>
      <c r="W206" s="194">
        <v>0</v>
      </c>
      <c r="X206" s="192">
        <v>57260</v>
      </c>
      <c r="Y206" s="193">
        <v>0</v>
      </c>
      <c r="Z206" s="191" t="s">
        <v>427</v>
      </c>
      <c r="AA206" s="191"/>
      <c r="AB206" s="191">
        <v>19579</v>
      </c>
      <c r="AC206" s="191"/>
      <c r="AD206" s="191" t="s">
        <v>426</v>
      </c>
      <c r="AE206" s="191" t="s">
        <v>425</v>
      </c>
      <c r="AF206" s="192" t="s">
        <v>92</v>
      </c>
      <c r="AG206" s="191"/>
      <c r="AH206" s="192" t="s">
        <v>424</v>
      </c>
      <c r="AI206" s="191">
        <v>0</v>
      </c>
      <c r="AJ206" s="191">
        <v>0</v>
      </c>
    </row>
    <row r="207" spans="2:48">
      <c r="B207" s="192">
        <v>2120</v>
      </c>
      <c r="C207" s="196">
        <v>86025</v>
      </c>
      <c r="D207" s="192" t="s">
        <v>427</v>
      </c>
      <c r="E207" s="191" t="s">
        <v>813</v>
      </c>
      <c r="F207" s="192">
        <v>0</v>
      </c>
      <c r="G207" s="191"/>
      <c r="H207" s="191"/>
      <c r="I207" s="191"/>
      <c r="J207" s="191">
        <v>0</v>
      </c>
      <c r="K207" s="191" t="s">
        <v>812</v>
      </c>
      <c r="L207" s="191"/>
      <c r="M207" s="191"/>
      <c r="N207" s="195">
        <v>40772</v>
      </c>
      <c r="O207" s="195">
        <v>40772</v>
      </c>
      <c r="P207" s="191" t="s">
        <v>810</v>
      </c>
      <c r="Q207" s="192">
        <v>1000</v>
      </c>
      <c r="R207" s="192">
        <v>14080</v>
      </c>
      <c r="S207" s="193">
        <v>1599.75</v>
      </c>
      <c r="T207" s="192">
        <v>14086</v>
      </c>
      <c r="U207" s="193">
        <v>1599.75</v>
      </c>
      <c r="V207" s="193">
        <f t="shared" si="15"/>
        <v>0</v>
      </c>
      <c r="W207" s="194">
        <v>0</v>
      </c>
      <c r="X207" s="192">
        <v>57260</v>
      </c>
      <c r="Y207" s="193">
        <v>0</v>
      </c>
      <c r="Z207" s="191" t="s">
        <v>427</v>
      </c>
      <c r="AA207" s="191"/>
      <c r="AB207" s="191">
        <v>81711</v>
      </c>
      <c r="AC207" s="191"/>
      <c r="AD207" s="191" t="s">
        <v>426</v>
      </c>
      <c r="AE207" s="191" t="s">
        <v>425</v>
      </c>
      <c r="AF207" s="192" t="s">
        <v>92</v>
      </c>
      <c r="AG207" s="191"/>
      <c r="AH207" s="192" t="s">
        <v>424</v>
      </c>
      <c r="AI207" s="191">
        <v>0</v>
      </c>
      <c r="AJ207" s="191">
        <v>0</v>
      </c>
    </row>
    <row r="208" spans="2:48">
      <c r="B208" s="192">
        <v>2120</v>
      </c>
      <c r="C208" s="196">
        <v>85176</v>
      </c>
      <c r="D208" s="192" t="s">
        <v>427</v>
      </c>
      <c r="E208" s="191" t="s">
        <v>820</v>
      </c>
      <c r="F208" s="192">
        <v>0</v>
      </c>
      <c r="G208" s="191"/>
      <c r="H208" s="191" t="s">
        <v>819</v>
      </c>
      <c r="I208" s="191" t="s">
        <v>818</v>
      </c>
      <c r="J208" s="191">
        <v>2001</v>
      </c>
      <c r="K208" s="191" t="s">
        <v>817</v>
      </c>
      <c r="L208" s="191" t="s">
        <v>816</v>
      </c>
      <c r="M208" s="191" t="s">
        <v>815</v>
      </c>
      <c r="N208" s="195">
        <v>40755</v>
      </c>
      <c r="O208" s="195">
        <v>40755</v>
      </c>
      <c r="P208" s="191" t="s">
        <v>814</v>
      </c>
      <c r="Q208" s="192">
        <v>300</v>
      </c>
      <c r="R208" s="192">
        <v>14040</v>
      </c>
      <c r="S208" s="193">
        <v>29999.71</v>
      </c>
      <c r="T208" s="192">
        <v>14046</v>
      </c>
      <c r="U208" s="193">
        <v>29999.71</v>
      </c>
      <c r="V208" s="193">
        <f t="shared" si="15"/>
        <v>0</v>
      </c>
      <c r="W208" s="194">
        <v>0</v>
      </c>
      <c r="X208" s="192">
        <v>51260</v>
      </c>
      <c r="Y208" s="193">
        <v>0</v>
      </c>
      <c r="Z208" s="191" t="s">
        <v>427</v>
      </c>
      <c r="AA208" s="191"/>
      <c r="AB208" s="191">
        <v>718111</v>
      </c>
      <c r="AC208" s="191">
        <v>2</v>
      </c>
      <c r="AD208" s="191" t="s">
        <v>426</v>
      </c>
      <c r="AE208" s="191" t="s">
        <v>425</v>
      </c>
      <c r="AF208" s="192" t="s">
        <v>92</v>
      </c>
      <c r="AG208" s="191"/>
      <c r="AH208" s="192" t="s">
        <v>424</v>
      </c>
      <c r="AI208" s="191">
        <v>0</v>
      </c>
      <c r="AJ208" s="191">
        <v>0</v>
      </c>
    </row>
    <row r="209" spans="2:48">
      <c r="B209" s="192">
        <v>2120</v>
      </c>
      <c r="C209" s="196">
        <v>80720</v>
      </c>
      <c r="D209" s="192" t="s">
        <v>427</v>
      </c>
      <c r="E209" s="191" t="s">
        <v>829</v>
      </c>
      <c r="F209" s="192">
        <v>0</v>
      </c>
      <c r="G209" s="191"/>
      <c r="H209" s="191"/>
      <c r="I209" s="191"/>
      <c r="J209" s="191">
        <v>0</v>
      </c>
      <c r="K209" s="191" t="s">
        <v>535</v>
      </c>
      <c r="L209" s="191"/>
      <c r="M209" s="191"/>
      <c r="N209" s="195">
        <v>40627</v>
      </c>
      <c r="O209" s="195">
        <v>40627</v>
      </c>
      <c r="P209" s="191" t="s">
        <v>828</v>
      </c>
      <c r="Q209" s="192">
        <v>300</v>
      </c>
      <c r="R209" s="192">
        <v>14110</v>
      </c>
      <c r="S209" s="193">
        <v>1120.45</v>
      </c>
      <c r="T209" s="192">
        <v>14116</v>
      </c>
      <c r="U209" s="193">
        <v>1120.45</v>
      </c>
      <c r="V209" s="193">
        <f t="shared" si="15"/>
        <v>0</v>
      </c>
      <c r="W209" s="194">
        <v>0</v>
      </c>
      <c r="X209" s="192">
        <v>70260</v>
      </c>
      <c r="Y209" s="193">
        <v>0</v>
      </c>
      <c r="Z209" s="191" t="s">
        <v>427</v>
      </c>
      <c r="AA209" s="191"/>
      <c r="AB209" s="191" t="s">
        <v>827</v>
      </c>
      <c r="AC209" s="191"/>
      <c r="AD209" s="191" t="s">
        <v>426</v>
      </c>
      <c r="AE209" s="191" t="s">
        <v>425</v>
      </c>
      <c r="AF209" s="192" t="s">
        <v>92</v>
      </c>
      <c r="AG209" s="191"/>
      <c r="AH209" s="192" t="s">
        <v>424</v>
      </c>
      <c r="AI209" s="191">
        <v>0</v>
      </c>
      <c r="AJ209" s="191">
        <v>0</v>
      </c>
    </row>
    <row r="210" spans="2:48">
      <c r="B210" s="192">
        <v>2120</v>
      </c>
      <c r="C210" s="196">
        <v>80440</v>
      </c>
      <c r="D210" s="192" t="s">
        <v>427</v>
      </c>
      <c r="E210" s="191" t="s">
        <v>831</v>
      </c>
      <c r="F210" s="192">
        <v>2</v>
      </c>
      <c r="G210" s="191"/>
      <c r="H210" s="191"/>
      <c r="I210" s="191"/>
      <c r="J210" s="191">
        <v>0</v>
      </c>
      <c r="K210" s="191" t="s">
        <v>430</v>
      </c>
      <c r="L210" s="191"/>
      <c r="M210" s="191" t="s">
        <v>507</v>
      </c>
      <c r="N210" s="195">
        <v>40544</v>
      </c>
      <c r="O210" s="195">
        <v>40544</v>
      </c>
      <c r="P210" s="191" t="s">
        <v>830</v>
      </c>
      <c r="Q210" s="192">
        <v>1110</v>
      </c>
      <c r="R210" s="192">
        <v>14050</v>
      </c>
      <c r="S210" s="193">
        <v>1636.4</v>
      </c>
      <c r="T210" s="192">
        <v>14056</v>
      </c>
      <c r="U210" s="193">
        <v>1636.4</v>
      </c>
      <c r="V210" s="193">
        <f t="shared" si="15"/>
        <v>0</v>
      </c>
      <c r="W210" s="194">
        <v>0</v>
      </c>
      <c r="X210" s="192">
        <v>54260</v>
      </c>
      <c r="Y210" s="193">
        <v>0</v>
      </c>
      <c r="Z210" s="191" t="s">
        <v>427</v>
      </c>
      <c r="AA210" s="191"/>
      <c r="AB210" s="191">
        <v>4714</v>
      </c>
      <c r="AC210" s="191"/>
      <c r="AD210" s="191" t="s">
        <v>426</v>
      </c>
      <c r="AE210" s="191" t="s">
        <v>425</v>
      </c>
      <c r="AF210" s="192" t="s">
        <v>92</v>
      </c>
      <c r="AG210" s="191"/>
      <c r="AH210" s="192" t="s">
        <v>424</v>
      </c>
      <c r="AI210" s="191">
        <v>0</v>
      </c>
      <c r="AJ210" s="191">
        <v>0</v>
      </c>
    </row>
    <row r="211" spans="2:48">
      <c r="B211" s="192">
        <v>2120</v>
      </c>
      <c r="C211" s="196">
        <v>80439</v>
      </c>
      <c r="D211" s="192" t="s">
        <v>427</v>
      </c>
      <c r="E211" s="191" t="s">
        <v>832</v>
      </c>
      <c r="F211" s="192">
        <v>3</v>
      </c>
      <c r="G211" s="191"/>
      <c r="H211" s="191"/>
      <c r="I211" s="191"/>
      <c r="J211" s="191">
        <v>0</v>
      </c>
      <c r="K211" s="191" t="s">
        <v>430</v>
      </c>
      <c r="L211" s="191"/>
      <c r="M211" s="191" t="s">
        <v>464</v>
      </c>
      <c r="N211" s="195">
        <v>40544</v>
      </c>
      <c r="O211" s="195">
        <v>40544</v>
      </c>
      <c r="P211" s="191" t="s">
        <v>830</v>
      </c>
      <c r="Q211" s="192">
        <v>1110</v>
      </c>
      <c r="R211" s="192">
        <v>14050</v>
      </c>
      <c r="S211" s="193">
        <v>1623.47</v>
      </c>
      <c r="T211" s="192">
        <v>14056</v>
      </c>
      <c r="U211" s="193">
        <v>1623.47</v>
      </c>
      <c r="V211" s="193">
        <f t="shared" si="15"/>
        <v>0</v>
      </c>
      <c r="W211" s="194">
        <v>0</v>
      </c>
      <c r="X211" s="192">
        <v>54260</v>
      </c>
      <c r="Y211" s="193">
        <v>0</v>
      </c>
      <c r="Z211" s="191" t="s">
        <v>427</v>
      </c>
      <c r="AA211" s="191"/>
      <c r="AB211" s="191">
        <v>4714</v>
      </c>
      <c r="AC211" s="191"/>
      <c r="AD211" s="191" t="s">
        <v>426</v>
      </c>
      <c r="AE211" s="191" t="s">
        <v>425</v>
      </c>
      <c r="AF211" s="192" t="s">
        <v>92</v>
      </c>
      <c r="AG211" s="191"/>
      <c r="AH211" s="192" t="s">
        <v>424</v>
      </c>
      <c r="AI211" s="191">
        <v>0</v>
      </c>
      <c r="AJ211" s="191">
        <v>0</v>
      </c>
    </row>
    <row r="212" spans="2:48">
      <c r="B212" s="192">
        <v>2120</v>
      </c>
      <c r="C212" s="196">
        <v>79181</v>
      </c>
      <c r="D212" s="192" t="s">
        <v>427</v>
      </c>
      <c r="E212" s="191" t="s">
        <v>835</v>
      </c>
      <c r="F212" s="192">
        <v>0</v>
      </c>
      <c r="G212" s="191"/>
      <c r="H212" s="191"/>
      <c r="I212" s="191"/>
      <c r="J212" s="191">
        <v>0</v>
      </c>
      <c r="K212" s="191" t="s">
        <v>834</v>
      </c>
      <c r="L212" s="191"/>
      <c r="M212" s="191"/>
      <c r="N212" s="195">
        <v>40532</v>
      </c>
      <c r="O212" s="195">
        <v>40532</v>
      </c>
      <c r="P212" s="191" t="s">
        <v>833</v>
      </c>
      <c r="Q212" s="192">
        <v>300</v>
      </c>
      <c r="R212" s="192">
        <v>14110</v>
      </c>
      <c r="S212" s="193">
        <v>4249.4799999999996</v>
      </c>
      <c r="T212" s="192">
        <v>14116</v>
      </c>
      <c r="U212" s="193">
        <v>4249.4799999999996</v>
      </c>
      <c r="V212" s="193">
        <f t="shared" si="15"/>
        <v>0</v>
      </c>
      <c r="W212" s="194">
        <v>0</v>
      </c>
      <c r="X212" s="192">
        <v>70260</v>
      </c>
      <c r="Y212" s="193">
        <v>0</v>
      </c>
      <c r="Z212" s="191" t="s">
        <v>427</v>
      </c>
      <c r="AA212" s="191"/>
      <c r="AB212" s="191">
        <v>107040</v>
      </c>
      <c r="AC212" s="191"/>
      <c r="AD212" s="191" t="s">
        <v>426</v>
      </c>
      <c r="AE212" s="191" t="s">
        <v>425</v>
      </c>
      <c r="AF212" s="192" t="s">
        <v>92</v>
      </c>
      <c r="AG212" s="191"/>
      <c r="AH212" s="192" t="s">
        <v>424</v>
      </c>
      <c r="AI212" s="191">
        <v>0</v>
      </c>
      <c r="AJ212" s="191">
        <v>0</v>
      </c>
    </row>
    <row r="213" spans="2:48">
      <c r="B213" s="192">
        <v>2120</v>
      </c>
      <c r="C213" s="196">
        <v>76799</v>
      </c>
      <c r="D213" s="192">
        <v>75874</v>
      </c>
      <c r="E213" s="191" t="s">
        <v>839</v>
      </c>
      <c r="F213" s="192">
        <v>0</v>
      </c>
      <c r="G213" s="191"/>
      <c r="H213" s="191"/>
      <c r="I213" s="191"/>
      <c r="J213" s="191">
        <v>0</v>
      </c>
      <c r="K213" s="191" t="s">
        <v>838</v>
      </c>
      <c r="L213" s="191"/>
      <c r="M213" s="191"/>
      <c r="N213" s="195">
        <v>40374</v>
      </c>
      <c r="O213" s="195">
        <v>40374</v>
      </c>
      <c r="P213" s="191" t="s">
        <v>837</v>
      </c>
      <c r="Q213" s="192">
        <v>1000</v>
      </c>
      <c r="R213" s="192">
        <v>14080</v>
      </c>
      <c r="S213" s="193">
        <v>-4363.7700000000004</v>
      </c>
      <c r="T213" s="192">
        <v>14086</v>
      </c>
      <c r="U213" s="193">
        <v>-4363.7700000000004</v>
      </c>
      <c r="V213" s="193">
        <f t="shared" si="15"/>
        <v>0</v>
      </c>
      <c r="W213" s="194">
        <v>0</v>
      </c>
      <c r="X213" s="192">
        <v>57260</v>
      </c>
      <c r="Y213" s="193">
        <v>0</v>
      </c>
      <c r="Z213" s="191" t="s">
        <v>427</v>
      </c>
      <c r="AA213" s="191"/>
      <c r="AB213" s="191" t="s">
        <v>836</v>
      </c>
      <c r="AC213" s="191"/>
      <c r="AD213" s="191" t="s">
        <v>426</v>
      </c>
      <c r="AE213" s="191" t="s">
        <v>425</v>
      </c>
      <c r="AF213" s="192" t="s">
        <v>92</v>
      </c>
      <c r="AG213" s="191"/>
      <c r="AH213" s="192" t="s">
        <v>424</v>
      </c>
      <c r="AI213" s="191">
        <v>0</v>
      </c>
      <c r="AJ213" s="191">
        <v>0</v>
      </c>
    </row>
    <row r="214" spans="2:48">
      <c r="B214" s="192">
        <v>2120</v>
      </c>
      <c r="C214" s="196">
        <v>75874</v>
      </c>
      <c r="D214" s="192" t="s">
        <v>427</v>
      </c>
      <c r="E214" s="191" t="s">
        <v>840</v>
      </c>
      <c r="F214" s="192">
        <v>0</v>
      </c>
      <c r="G214" s="191"/>
      <c r="H214" s="191"/>
      <c r="I214" s="191"/>
      <c r="J214" s="191">
        <v>0</v>
      </c>
      <c r="K214" s="191"/>
      <c r="L214" s="191"/>
      <c r="M214" s="191"/>
      <c r="N214" s="195">
        <v>40374</v>
      </c>
      <c r="O214" s="195">
        <v>40374</v>
      </c>
      <c r="P214" s="191" t="s">
        <v>837</v>
      </c>
      <c r="Q214" s="192">
        <v>1000</v>
      </c>
      <c r="R214" s="192">
        <v>14080</v>
      </c>
      <c r="S214" s="193">
        <v>33338.769999999997</v>
      </c>
      <c r="T214" s="192">
        <v>14086</v>
      </c>
      <c r="U214" s="193">
        <v>33338.769999999997</v>
      </c>
      <c r="V214" s="193">
        <f t="shared" si="15"/>
        <v>0</v>
      </c>
      <c r="W214" s="194">
        <v>0</v>
      </c>
      <c r="X214" s="192">
        <v>57260</v>
      </c>
      <c r="Y214" s="193">
        <v>0</v>
      </c>
      <c r="Z214" s="191" t="s">
        <v>427</v>
      </c>
      <c r="AA214" s="191"/>
      <c r="AB214" s="191">
        <v>50622</v>
      </c>
      <c r="AC214" s="191"/>
      <c r="AD214" s="191" t="s">
        <v>426</v>
      </c>
      <c r="AE214" s="191" t="s">
        <v>425</v>
      </c>
      <c r="AF214" s="192" t="s">
        <v>92</v>
      </c>
      <c r="AG214" s="191"/>
      <c r="AH214" s="192" t="s">
        <v>424</v>
      </c>
      <c r="AI214" s="191">
        <v>0</v>
      </c>
      <c r="AJ214" s="191">
        <v>0</v>
      </c>
    </row>
    <row r="215" spans="2:48">
      <c r="B215" s="192">
        <v>2120</v>
      </c>
      <c r="C215" s="196">
        <v>75418</v>
      </c>
      <c r="D215" s="192" t="s">
        <v>427</v>
      </c>
      <c r="E215" s="191" t="s">
        <v>843</v>
      </c>
      <c r="F215" s="192">
        <v>0</v>
      </c>
      <c r="G215" s="191"/>
      <c r="H215" s="191"/>
      <c r="I215" s="191"/>
      <c r="J215" s="191">
        <v>0</v>
      </c>
      <c r="K215" s="191" t="s">
        <v>535</v>
      </c>
      <c r="L215" s="191"/>
      <c r="M215" s="191"/>
      <c r="N215" s="195">
        <v>40344</v>
      </c>
      <c r="O215" s="195">
        <v>40344</v>
      </c>
      <c r="P215" s="191" t="s">
        <v>842</v>
      </c>
      <c r="Q215" s="192">
        <v>300</v>
      </c>
      <c r="R215" s="192">
        <v>14110</v>
      </c>
      <c r="S215" s="193">
        <v>1043.42</v>
      </c>
      <c r="T215" s="192">
        <v>14116</v>
      </c>
      <c r="U215" s="193">
        <v>1043.42</v>
      </c>
      <c r="V215" s="193">
        <f t="shared" si="15"/>
        <v>0</v>
      </c>
      <c r="W215" s="194">
        <v>0</v>
      </c>
      <c r="X215" s="192">
        <v>70260</v>
      </c>
      <c r="Y215" s="193">
        <v>0</v>
      </c>
      <c r="Z215" s="191" t="s">
        <v>427</v>
      </c>
      <c r="AA215" s="191"/>
      <c r="AB215" s="191" t="s">
        <v>841</v>
      </c>
      <c r="AC215" s="191"/>
      <c r="AD215" s="191" t="s">
        <v>426</v>
      </c>
      <c r="AE215" s="191" t="s">
        <v>425</v>
      </c>
      <c r="AF215" s="192" t="s">
        <v>92</v>
      </c>
      <c r="AG215" s="191"/>
      <c r="AH215" s="192" t="s">
        <v>424</v>
      </c>
      <c r="AI215" s="191">
        <v>0</v>
      </c>
      <c r="AJ215" s="191">
        <v>0</v>
      </c>
    </row>
    <row r="216" spans="2:48">
      <c r="B216" s="192">
        <v>2120</v>
      </c>
      <c r="C216" s="196">
        <v>74175</v>
      </c>
      <c r="D216" s="192" t="s">
        <v>427</v>
      </c>
      <c r="E216" s="191" t="s">
        <v>849</v>
      </c>
      <c r="F216" s="192">
        <v>3</v>
      </c>
      <c r="G216" s="191"/>
      <c r="H216" s="191"/>
      <c r="I216" s="191"/>
      <c r="J216" s="191">
        <v>0</v>
      </c>
      <c r="K216" s="191" t="s">
        <v>465</v>
      </c>
      <c r="L216" s="191"/>
      <c r="M216" s="191" t="s">
        <v>464</v>
      </c>
      <c r="N216" s="195">
        <v>40303</v>
      </c>
      <c r="O216" s="195">
        <v>40303</v>
      </c>
      <c r="P216" s="191" t="s">
        <v>848</v>
      </c>
      <c r="Q216" s="192">
        <v>1200</v>
      </c>
      <c r="R216" s="192">
        <v>14050</v>
      </c>
      <c r="S216" s="193">
        <v>1293.5999999999999</v>
      </c>
      <c r="T216" s="192">
        <v>14056</v>
      </c>
      <c r="U216" s="193">
        <v>1293.5999999999999</v>
      </c>
      <c r="V216" s="193">
        <f t="shared" si="15"/>
        <v>0</v>
      </c>
      <c r="W216" s="194">
        <v>0</v>
      </c>
      <c r="X216" s="192">
        <v>54260</v>
      </c>
      <c r="Y216" s="193">
        <v>0</v>
      </c>
      <c r="Z216" s="191" t="s">
        <v>427</v>
      </c>
      <c r="AA216" s="191"/>
      <c r="AB216" s="191" t="s">
        <v>847</v>
      </c>
      <c r="AC216" s="191"/>
      <c r="AD216" s="191" t="s">
        <v>426</v>
      </c>
      <c r="AE216" s="191" t="s">
        <v>425</v>
      </c>
      <c r="AF216" s="192" t="s">
        <v>92</v>
      </c>
      <c r="AG216" s="191"/>
      <c r="AH216" s="192" t="s">
        <v>424</v>
      </c>
      <c r="AI216" s="191">
        <v>0</v>
      </c>
      <c r="AJ216" s="191">
        <v>0</v>
      </c>
    </row>
    <row r="217" spans="2:48">
      <c r="B217" s="192">
        <v>2120</v>
      </c>
      <c r="C217" s="196">
        <v>74174</v>
      </c>
      <c r="D217" s="192" t="s">
        <v>427</v>
      </c>
      <c r="E217" s="191" t="s">
        <v>850</v>
      </c>
      <c r="F217" s="192">
        <v>5</v>
      </c>
      <c r="G217" s="191"/>
      <c r="H217" s="191"/>
      <c r="I217" s="191"/>
      <c r="J217" s="191">
        <v>0</v>
      </c>
      <c r="K217" s="191" t="s">
        <v>465</v>
      </c>
      <c r="L217" s="191"/>
      <c r="M217" s="191" t="s">
        <v>461</v>
      </c>
      <c r="N217" s="195">
        <v>40303</v>
      </c>
      <c r="O217" s="195">
        <v>40303</v>
      </c>
      <c r="P217" s="191" t="s">
        <v>848</v>
      </c>
      <c r="Q217" s="192">
        <v>1200</v>
      </c>
      <c r="R217" s="192">
        <v>14050</v>
      </c>
      <c r="S217" s="193">
        <v>1994.3</v>
      </c>
      <c r="T217" s="192">
        <v>14056</v>
      </c>
      <c r="U217" s="193">
        <v>1994.3</v>
      </c>
      <c r="V217" s="193">
        <f t="shared" si="15"/>
        <v>0</v>
      </c>
      <c r="W217" s="194">
        <v>0</v>
      </c>
      <c r="X217" s="192">
        <v>54260</v>
      </c>
      <c r="Y217" s="193">
        <v>0</v>
      </c>
      <c r="Z217" s="191" t="s">
        <v>427</v>
      </c>
      <c r="AA217" s="191"/>
      <c r="AB217" s="191" t="s">
        <v>847</v>
      </c>
      <c r="AC217" s="191"/>
      <c r="AD217" s="191" t="s">
        <v>426</v>
      </c>
      <c r="AE217" s="191" t="s">
        <v>425</v>
      </c>
      <c r="AF217" s="192" t="s">
        <v>92</v>
      </c>
      <c r="AG217" s="191"/>
      <c r="AH217" s="192" t="s">
        <v>424</v>
      </c>
      <c r="AI217" s="191">
        <v>2</v>
      </c>
      <c r="AJ217" s="191">
        <v>0</v>
      </c>
    </row>
    <row r="218" spans="2:48">
      <c r="B218" s="192">
        <v>2120</v>
      </c>
      <c r="C218" s="196">
        <v>73782</v>
      </c>
      <c r="D218" s="192" t="s">
        <v>427</v>
      </c>
      <c r="E218" s="191" t="s">
        <v>854</v>
      </c>
      <c r="F218" s="192">
        <v>0</v>
      </c>
      <c r="G218" s="191"/>
      <c r="H218" s="191"/>
      <c r="I218" s="191"/>
      <c r="J218" s="191">
        <v>0</v>
      </c>
      <c r="K218" s="191" t="s">
        <v>853</v>
      </c>
      <c r="L218" s="191"/>
      <c r="M218" s="191"/>
      <c r="N218" s="195">
        <v>40298</v>
      </c>
      <c r="O218" s="195">
        <v>40298</v>
      </c>
      <c r="P218" s="191" t="s">
        <v>852</v>
      </c>
      <c r="Q218" s="192">
        <v>1000</v>
      </c>
      <c r="R218" s="192">
        <v>14080</v>
      </c>
      <c r="S218" s="193">
        <v>7530</v>
      </c>
      <c r="T218" s="192">
        <v>14086</v>
      </c>
      <c r="U218" s="193">
        <v>7530</v>
      </c>
      <c r="V218" s="193">
        <f t="shared" si="15"/>
        <v>0</v>
      </c>
      <c r="W218" s="194">
        <v>0</v>
      </c>
      <c r="X218" s="192">
        <v>57260</v>
      </c>
      <c r="Y218" s="193">
        <v>0</v>
      </c>
      <c r="Z218" s="191" t="s">
        <v>427</v>
      </c>
      <c r="AA218" s="191"/>
      <c r="AB218" s="191" t="s">
        <v>851</v>
      </c>
      <c r="AC218" s="191"/>
      <c r="AD218" s="191" t="s">
        <v>426</v>
      </c>
      <c r="AE218" s="191" t="s">
        <v>425</v>
      </c>
      <c r="AF218" s="192" t="s">
        <v>92</v>
      </c>
      <c r="AG218" s="191"/>
      <c r="AH218" s="192" t="s">
        <v>424</v>
      </c>
      <c r="AI218" s="191">
        <v>0</v>
      </c>
      <c r="AJ218" s="191">
        <v>0</v>
      </c>
    </row>
    <row r="219" spans="2:48">
      <c r="B219" s="192">
        <v>2120</v>
      </c>
      <c r="C219" s="196">
        <v>254642</v>
      </c>
      <c r="D219" s="192" t="s">
        <v>427</v>
      </c>
      <c r="E219" s="191" t="s">
        <v>406</v>
      </c>
      <c r="F219" s="192">
        <v>1</v>
      </c>
      <c r="G219" s="191"/>
      <c r="H219" s="191"/>
      <c r="I219" s="191"/>
      <c r="J219" s="191">
        <v>0</v>
      </c>
      <c r="K219" s="191" t="s">
        <v>467</v>
      </c>
      <c r="L219" s="191"/>
      <c r="M219" s="191" t="s">
        <v>461</v>
      </c>
      <c r="N219" s="195">
        <v>40283</v>
      </c>
      <c r="O219" s="195">
        <v>40283</v>
      </c>
      <c r="P219" s="191" t="s">
        <v>466</v>
      </c>
      <c r="Q219" s="192">
        <v>1200</v>
      </c>
      <c r="R219" s="192">
        <v>14050</v>
      </c>
      <c r="S219" s="193">
        <v>468.15</v>
      </c>
      <c r="T219" s="192">
        <v>14056</v>
      </c>
      <c r="U219" s="193">
        <v>468.15</v>
      </c>
      <c r="V219" s="193">
        <f t="shared" si="15"/>
        <v>0</v>
      </c>
      <c r="W219" s="194">
        <v>0</v>
      </c>
      <c r="X219" s="192">
        <v>54260</v>
      </c>
      <c r="Y219" s="193">
        <v>0</v>
      </c>
      <c r="Z219" s="191" t="s">
        <v>427</v>
      </c>
      <c r="AA219" s="191"/>
      <c r="AB219" s="191">
        <v>37200841</v>
      </c>
      <c r="AC219" s="191"/>
      <c r="AD219" s="191" t="s">
        <v>426</v>
      </c>
      <c r="AE219" s="191" t="s">
        <v>425</v>
      </c>
      <c r="AF219" s="192" t="s">
        <v>92</v>
      </c>
      <c r="AG219" s="197">
        <v>44347</v>
      </c>
      <c r="AH219" s="192" t="s">
        <v>424</v>
      </c>
      <c r="AI219" s="191">
        <v>0</v>
      </c>
      <c r="AJ219" s="191">
        <v>435.64</v>
      </c>
      <c r="AM219" s="256"/>
      <c r="AN219" s="256"/>
      <c r="AO219" s="257"/>
      <c r="AP219" s="258"/>
      <c r="AQ219" s="259"/>
      <c r="AR219" s="260"/>
      <c r="AS219" s="261"/>
      <c r="AT219" s="261"/>
      <c r="AU219" s="260"/>
      <c r="AV219" s="262"/>
    </row>
    <row r="220" spans="2:48">
      <c r="B220" s="192">
        <v>2120</v>
      </c>
      <c r="C220" s="196">
        <v>110468</v>
      </c>
      <c r="D220" s="192" t="s">
        <v>427</v>
      </c>
      <c r="E220" s="191" t="s">
        <v>730</v>
      </c>
      <c r="F220" s="192">
        <v>0</v>
      </c>
      <c r="G220" s="191"/>
      <c r="H220" s="191"/>
      <c r="I220" s="191"/>
      <c r="J220" s="191">
        <v>0</v>
      </c>
      <c r="K220" s="191" t="s">
        <v>729</v>
      </c>
      <c r="L220" s="191"/>
      <c r="M220" s="191"/>
      <c r="N220" s="195">
        <v>40277</v>
      </c>
      <c r="O220" s="195">
        <v>40277</v>
      </c>
      <c r="P220" s="191" t="s">
        <v>728</v>
      </c>
      <c r="Q220" s="192">
        <v>500</v>
      </c>
      <c r="R220" s="192">
        <v>14070</v>
      </c>
      <c r="S220" s="193">
        <v>572.38</v>
      </c>
      <c r="T220" s="192">
        <v>14076</v>
      </c>
      <c r="U220" s="193">
        <v>572.38</v>
      </c>
      <c r="V220" s="193">
        <f t="shared" si="15"/>
        <v>0</v>
      </c>
      <c r="W220" s="194">
        <v>0</v>
      </c>
      <c r="X220" s="192">
        <v>51260</v>
      </c>
      <c r="Y220" s="193">
        <v>0</v>
      </c>
      <c r="Z220" s="191" t="s">
        <v>427</v>
      </c>
      <c r="AA220" s="191"/>
      <c r="AB220" s="191">
        <v>486084</v>
      </c>
      <c r="AC220" s="191"/>
      <c r="AD220" s="191" t="s">
        <v>426</v>
      </c>
      <c r="AE220" s="191" t="s">
        <v>425</v>
      </c>
      <c r="AF220" s="192" t="s">
        <v>92</v>
      </c>
      <c r="AG220" s="197">
        <v>41639</v>
      </c>
      <c r="AH220" s="192" t="s">
        <v>424</v>
      </c>
      <c r="AI220" s="191">
        <v>0</v>
      </c>
      <c r="AJ220" s="191">
        <v>429.3</v>
      </c>
    </row>
    <row r="221" spans="2:48">
      <c r="B221" s="192">
        <v>2120</v>
      </c>
      <c r="C221" s="196">
        <v>110467</v>
      </c>
      <c r="D221" s="192" t="s">
        <v>427</v>
      </c>
      <c r="E221" s="191" t="s">
        <v>731</v>
      </c>
      <c r="F221" s="192">
        <v>0</v>
      </c>
      <c r="G221" s="191"/>
      <c r="H221" s="191"/>
      <c r="I221" s="191"/>
      <c r="J221" s="191">
        <v>0</v>
      </c>
      <c r="K221" s="191" t="s">
        <v>729</v>
      </c>
      <c r="L221" s="191"/>
      <c r="M221" s="191"/>
      <c r="N221" s="195">
        <v>40277</v>
      </c>
      <c r="O221" s="195">
        <v>40277</v>
      </c>
      <c r="P221" s="191" t="s">
        <v>728</v>
      </c>
      <c r="Q221" s="192">
        <v>500</v>
      </c>
      <c r="R221" s="192">
        <v>14070</v>
      </c>
      <c r="S221" s="193">
        <v>4000</v>
      </c>
      <c r="T221" s="192">
        <v>14076</v>
      </c>
      <c r="U221" s="193">
        <v>4000</v>
      </c>
      <c r="V221" s="193">
        <f t="shared" si="15"/>
        <v>0</v>
      </c>
      <c r="W221" s="194">
        <v>0</v>
      </c>
      <c r="X221" s="192">
        <v>51260</v>
      </c>
      <c r="Y221" s="193">
        <v>0</v>
      </c>
      <c r="Z221" s="191" t="s">
        <v>427</v>
      </c>
      <c r="AA221" s="191"/>
      <c r="AB221" s="191">
        <v>485788</v>
      </c>
      <c r="AC221" s="191"/>
      <c r="AD221" s="191" t="s">
        <v>426</v>
      </c>
      <c r="AE221" s="191" t="s">
        <v>425</v>
      </c>
      <c r="AF221" s="192" t="s">
        <v>92</v>
      </c>
      <c r="AG221" s="197">
        <v>41639</v>
      </c>
      <c r="AH221" s="192" t="s">
        <v>424</v>
      </c>
      <c r="AI221" s="191">
        <v>0</v>
      </c>
      <c r="AJ221" s="191">
        <v>3000</v>
      </c>
    </row>
    <row r="222" spans="2:48">
      <c r="B222" s="192">
        <v>2120</v>
      </c>
      <c r="C222" s="196">
        <v>75368</v>
      </c>
      <c r="D222" s="192" t="s">
        <v>427</v>
      </c>
      <c r="E222" s="191" t="s">
        <v>846</v>
      </c>
      <c r="F222" s="192">
        <v>0</v>
      </c>
      <c r="G222" s="191"/>
      <c r="H222" s="191"/>
      <c r="I222" s="191"/>
      <c r="J222" s="191">
        <v>0</v>
      </c>
      <c r="K222" s="191" t="s">
        <v>845</v>
      </c>
      <c r="L222" s="191"/>
      <c r="M222" s="191"/>
      <c r="N222" s="195">
        <v>40269</v>
      </c>
      <c r="O222" s="195">
        <v>40269</v>
      </c>
      <c r="P222" s="191" t="s">
        <v>844</v>
      </c>
      <c r="Q222" s="192">
        <v>500</v>
      </c>
      <c r="R222" s="192">
        <v>14070</v>
      </c>
      <c r="S222" s="193">
        <v>14237.59</v>
      </c>
      <c r="T222" s="192">
        <v>14076</v>
      </c>
      <c r="U222" s="193">
        <v>14237.59</v>
      </c>
      <c r="V222" s="193">
        <f t="shared" si="15"/>
        <v>0</v>
      </c>
      <c r="W222" s="194">
        <v>0</v>
      </c>
      <c r="X222" s="192">
        <v>51260</v>
      </c>
      <c r="Y222" s="193">
        <v>0</v>
      </c>
      <c r="Z222" s="191" t="s">
        <v>427</v>
      </c>
      <c r="AA222" s="191"/>
      <c r="AB222" s="191">
        <v>484928</v>
      </c>
      <c r="AC222" s="191"/>
      <c r="AD222" s="191" t="s">
        <v>426</v>
      </c>
      <c r="AE222" s="191" t="s">
        <v>425</v>
      </c>
      <c r="AF222" s="192" t="s">
        <v>92</v>
      </c>
      <c r="AG222" s="191"/>
      <c r="AH222" s="192" t="s">
        <v>424</v>
      </c>
      <c r="AI222" s="191">
        <v>0</v>
      </c>
      <c r="AJ222" s="191">
        <v>0</v>
      </c>
    </row>
    <row r="223" spans="2:48">
      <c r="B223" s="192">
        <v>2120</v>
      </c>
      <c r="C223" s="196">
        <v>72185</v>
      </c>
      <c r="D223" s="192">
        <v>71167</v>
      </c>
      <c r="E223" s="191" t="s">
        <v>861</v>
      </c>
      <c r="F223" s="192">
        <v>0</v>
      </c>
      <c r="G223" s="191"/>
      <c r="H223" s="191" t="s">
        <v>860</v>
      </c>
      <c r="I223" s="191"/>
      <c r="J223" s="191">
        <v>2010</v>
      </c>
      <c r="K223" s="191"/>
      <c r="L223" s="191"/>
      <c r="M223" s="191" t="s">
        <v>492</v>
      </c>
      <c r="N223" s="195">
        <v>40179</v>
      </c>
      <c r="O223" s="195">
        <v>40179</v>
      </c>
      <c r="P223" s="191" t="s">
        <v>859</v>
      </c>
      <c r="Q223" s="192">
        <v>911</v>
      </c>
      <c r="R223" s="192">
        <v>14040</v>
      </c>
      <c r="S223" s="193">
        <v>13204.61</v>
      </c>
      <c r="T223" s="192">
        <v>14046</v>
      </c>
      <c r="U223" s="193">
        <v>13204.61</v>
      </c>
      <c r="V223" s="193">
        <f t="shared" si="15"/>
        <v>0</v>
      </c>
      <c r="W223" s="194">
        <v>0</v>
      </c>
      <c r="X223" s="192">
        <v>51260</v>
      </c>
      <c r="Y223" s="193">
        <v>0</v>
      </c>
      <c r="Z223" s="191" t="s">
        <v>427</v>
      </c>
      <c r="AA223" s="191"/>
      <c r="AB223" s="191">
        <v>1215714</v>
      </c>
      <c r="AC223" s="191">
        <v>10</v>
      </c>
      <c r="AD223" s="191" t="s">
        <v>426</v>
      </c>
      <c r="AE223" s="191" t="s">
        <v>425</v>
      </c>
      <c r="AF223" s="192" t="s">
        <v>92</v>
      </c>
      <c r="AG223" s="191"/>
      <c r="AH223" s="192" t="s">
        <v>424</v>
      </c>
      <c r="AI223" s="191">
        <v>0</v>
      </c>
      <c r="AJ223" s="191">
        <v>0</v>
      </c>
    </row>
    <row r="224" spans="2:48">
      <c r="B224" s="192">
        <v>2120</v>
      </c>
      <c r="C224" s="196">
        <v>71938</v>
      </c>
      <c r="D224" s="192" t="s">
        <v>427</v>
      </c>
      <c r="E224" s="191" t="s">
        <v>858</v>
      </c>
      <c r="F224" s="192">
        <v>0</v>
      </c>
      <c r="G224" s="191"/>
      <c r="H224" s="191"/>
      <c r="I224" s="191"/>
      <c r="J224" s="191">
        <v>0</v>
      </c>
      <c r="K224" s="191" t="s">
        <v>857</v>
      </c>
      <c r="L224" s="191"/>
      <c r="M224" s="191"/>
      <c r="N224" s="195">
        <v>40179</v>
      </c>
      <c r="O224" s="195">
        <v>40179</v>
      </c>
      <c r="P224" s="191" t="s">
        <v>856</v>
      </c>
      <c r="Q224" s="192">
        <v>500</v>
      </c>
      <c r="R224" s="192">
        <v>14070</v>
      </c>
      <c r="S224" s="193">
        <v>2200</v>
      </c>
      <c r="T224" s="192">
        <v>14076</v>
      </c>
      <c r="U224" s="193">
        <v>2200</v>
      </c>
      <c r="V224" s="193">
        <f t="shared" si="15"/>
        <v>0</v>
      </c>
      <c r="W224" s="194">
        <v>0</v>
      </c>
      <c r="X224" s="192">
        <v>51260</v>
      </c>
      <c r="Y224" s="193">
        <v>0</v>
      </c>
      <c r="Z224" s="191" t="s">
        <v>427</v>
      </c>
      <c r="AA224" s="191"/>
      <c r="AB224" s="191" t="s">
        <v>855</v>
      </c>
      <c r="AC224" s="191"/>
      <c r="AD224" s="191" t="s">
        <v>426</v>
      </c>
      <c r="AE224" s="191" t="s">
        <v>425</v>
      </c>
      <c r="AF224" s="192" t="s">
        <v>92</v>
      </c>
      <c r="AG224" s="191"/>
      <c r="AH224" s="192" t="s">
        <v>424</v>
      </c>
      <c r="AI224" s="191">
        <v>0</v>
      </c>
      <c r="AJ224" s="191">
        <v>0</v>
      </c>
    </row>
    <row r="225" spans="2:36">
      <c r="B225" s="192">
        <v>2120</v>
      </c>
      <c r="C225" s="196">
        <v>71167</v>
      </c>
      <c r="D225" s="192" t="s">
        <v>427</v>
      </c>
      <c r="E225" s="191" t="s">
        <v>864</v>
      </c>
      <c r="F225" s="192">
        <v>0</v>
      </c>
      <c r="G225" s="191"/>
      <c r="H225" s="191" t="s">
        <v>860</v>
      </c>
      <c r="I225" s="191" t="s">
        <v>863</v>
      </c>
      <c r="J225" s="191">
        <v>2010</v>
      </c>
      <c r="K225" s="191" t="s">
        <v>494</v>
      </c>
      <c r="L225" s="191" t="s">
        <v>493</v>
      </c>
      <c r="M225" s="191" t="s">
        <v>492</v>
      </c>
      <c r="N225" s="195">
        <v>40162</v>
      </c>
      <c r="O225" s="195">
        <v>40162</v>
      </c>
      <c r="P225" s="191" t="s">
        <v>862</v>
      </c>
      <c r="Q225" s="192">
        <v>1000</v>
      </c>
      <c r="R225" s="192">
        <v>14040</v>
      </c>
      <c r="S225" s="193">
        <v>185728.34</v>
      </c>
      <c r="T225" s="192">
        <v>14046</v>
      </c>
      <c r="U225" s="193">
        <v>185728.34</v>
      </c>
      <c r="V225" s="193">
        <f t="shared" si="15"/>
        <v>0</v>
      </c>
      <c r="W225" s="194">
        <v>0</v>
      </c>
      <c r="X225" s="192">
        <v>51260</v>
      </c>
      <c r="Y225" s="193">
        <v>0</v>
      </c>
      <c r="Z225" s="191" t="s">
        <v>427</v>
      </c>
      <c r="AA225" s="191"/>
      <c r="AB225" s="191">
        <v>1177322</v>
      </c>
      <c r="AC225" s="191">
        <v>10</v>
      </c>
      <c r="AD225" s="191" t="s">
        <v>426</v>
      </c>
      <c r="AE225" s="191" t="s">
        <v>425</v>
      </c>
      <c r="AF225" s="192" t="s">
        <v>92</v>
      </c>
      <c r="AG225" s="191"/>
      <c r="AH225" s="192" t="s">
        <v>424</v>
      </c>
      <c r="AI225" s="191">
        <v>0</v>
      </c>
      <c r="AJ225" s="191">
        <v>0</v>
      </c>
    </row>
    <row r="226" spans="2:36">
      <c r="B226" s="192">
        <v>2120</v>
      </c>
      <c r="C226" s="196">
        <v>202896</v>
      </c>
      <c r="D226" s="192">
        <v>202893</v>
      </c>
      <c r="E226" s="191" t="s">
        <v>589</v>
      </c>
      <c r="F226" s="192">
        <v>0</v>
      </c>
      <c r="G226" s="191"/>
      <c r="H226" s="191"/>
      <c r="I226" s="191"/>
      <c r="J226" s="191">
        <v>0</v>
      </c>
      <c r="K226" s="191"/>
      <c r="L226" s="191"/>
      <c r="M226" s="191" t="s">
        <v>448</v>
      </c>
      <c r="N226" s="195">
        <v>40081</v>
      </c>
      <c r="O226" s="195">
        <v>40081</v>
      </c>
      <c r="P226" s="191" t="s">
        <v>588</v>
      </c>
      <c r="Q226" s="192">
        <v>300</v>
      </c>
      <c r="R226" s="192">
        <v>14040</v>
      </c>
      <c r="S226" s="193">
        <v>14680.19</v>
      </c>
      <c r="T226" s="192">
        <v>14046</v>
      </c>
      <c r="U226" s="193">
        <v>14680.19</v>
      </c>
      <c r="V226" s="193">
        <f t="shared" si="15"/>
        <v>0</v>
      </c>
      <c r="W226" s="194">
        <v>0</v>
      </c>
      <c r="X226" s="192">
        <v>51260</v>
      </c>
      <c r="Y226" s="193">
        <v>0</v>
      </c>
      <c r="Z226" s="191" t="s">
        <v>427</v>
      </c>
      <c r="AA226" s="191"/>
      <c r="AB226" s="191" t="s">
        <v>587</v>
      </c>
      <c r="AC226" s="191">
        <v>245</v>
      </c>
      <c r="AD226" s="191" t="s">
        <v>426</v>
      </c>
      <c r="AE226" s="191" t="s">
        <v>425</v>
      </c>
      <c r="AF226" s="192" t="s">
        <v>92</v>
      </c>
      <c r="AG226" s="197">
        <v>43343</v>
      </c>
      <c r="AH226" s="192" t="s">
        <v>424</v>
      </c>
      <c r="AI226" s="191">
        <v>0</v>
      </c>
      <c r="AJ226" s="191">
        <v>14680.19</v>
      </c>
    </row>
    <row r="227" spans="2:36">
      <c r="B227" s="192">
        <v>2120</v>
      </c>
      <c r="C227" s="196">
        <v>66099</v>
      </c>
      <c r="D227" s="192" t="s">
        <v>427</v>
      </c>
      <c r="E227" s="191" t="s">
        <v>867</v>
      </c>
      <c r="F227" s="192">
        <v>454</v>
      </c>
      <c r="G227" s="191"/>
      <c r="H227" s="191"/>
      <c r="I227" s="191"/>
      <c r="J227" s="191">
        <v>0</v>
      </c>
      <c r="K227" s="191" t="s">
        <v>465</v>
      </c>
      <c r="L227" s="191"/>
      <c r="M227" s="191"/>
      <c r="N227" s="195">
        <v>39990</v>
      </c>
      <c r="O227" s="195">
        <v>39990</v>
      </c>
      <c r="P227" s="191" t="s">
        <v>866</v>
      </c>
      <c r="Q227" s="192">
        <v>700</v>
      </c>
      <c r="R227" s="192">
        <v>14050</v>
      </c>
      <c r="S227" s="193">
        <v>23223.89</v>
      </c>
      <c r="T227" s="192">
        <v>14056</v>
      </c>
      <c r="U227" s="193">
        <v>23223.89</v>
      </c>
      <c r="V227" s="193">
        <f t="shared" si="15"/>
        <v>0</v>
      </c>
      <c r="W227" s="194">
        <v>0</v>
      </c>
      <c r="X227" s="192">
        <v>54260</v>
      </c>
      <c r="Y227" s="193">
        <v>0</v>
      </c>
      <c r="Z227" s="191" t="s">
        <v>427</v>
      </c>
      <c r="AA227" s="191"/>
      <c r="AB227" s="191" t="s">
        <v>865</v>
      </c>
      <c r="AC227" s="191"/>
      <c r="AD227" s="191" t="s">
        <v>426</v>
      </c>
      <c r="AE227" s="191" t="s">
        <v>425</v>
      </c>
      <c r="AF227" s="192" t="s">
        <v>92</v>
      </c>
      <c r="AG227" s="191"/>
      <c r="AH227" s="192" t="s">
        <v>424</v>
      </c>
      <c r="AI227" s="191">
        <v>0</v>
      </c>
      <c r="AJ227" s="191">
        <v>0</v>
      </c>
    </row>
    <row r="228" spans="2:36">
      <c r="B228" s="192">
        <v>2120</v>
      </c>
      <c r="C228" s="196">
        <v>202895</v>
      </c>
      <c r="D228" s="192">
        <v>202893</v>
      </c>
      <c r="E228" s="191" t="s">
        <v>592</v>
      </c>
      <c r="F228" s="192">
        <v>0</v>
      </c>
      <c r="G228" s="191"/>
      <c r="H228" s="191"/>
      <c r="I228" s="191"/>
      <c r="J228" s="191">
        <v>0</v>
      </c>
      <c r="K228" s="191"/>
      <c r="L228" s="191"/>
      <c r="M228" s="191" t="s">
        <v>448</v>
      </c>
      <c r="N228" s="195">
        <v>39979</v>
      </c>
      <c r="O228" s="195">
        <v>39979</v>
      </c>
      <c r="P228" s="191" t="s">
        <v>591</v>
      </c>
      <c r="Q228" s="192">
        <v>300</v>
      </c>
      <c r="R228" s="192">
        <v>14040</v>
      </c>
      <c r="S228" s="193">
        <v>7065.91</v>
      </c>
      <c r="T228" s="192">
        <v>14046</v>
      </c>
      <c r="U228" s="193">
        <v>7065.91</v>
      </c>
      <c r="V228" s="193">
        <f t="shared" si="15"/>
        <v>0</v>
      </c>
      <c r="W228" s="194">
        <v>0</v>
      </c>
      <c r="X228" s="192">
        <v>51260</v>
      </c>
      <c r="Y228" s="193">
        <v>0</v>
      </c>
      <c r="Z228" s="191" t="s">
        <v>427</v>
      </c>
      <c r="AA228" s="191"/>
      <c r="AB228" s="191" t="s">
        <v>590</v>
      </c>
      <c r="AC228" s="191">
        <v>245</v>
      </c>
      <c r="AD228" s="191" t="s">
        <v>426</v>
      </c>
      <c r="AE228" s="191" t="s">
        <v>425</v>
      </c>
      <c r="AF228" s="192" t="s">
        <v>92</v>
      </c>
      <c r="AG228" s="197">
        <v>43343</v>
      </c>
      <c r="AH228" s="192" t="s">
        <v>424</v>
      </c>
      <c r="AI228" s="191">
        <v>0</v>
      </c>
      <c r="AJ228" s="191">
        <v>7065.91</v>
      </c>
    </row>
    <row r="229" spans="2:36">
      <c r="B229" s="192">
        <v>2120</v>
      </c>
      <c r="C229" s="196">
        <v>63319</v>
      </c>
      <c r="D229" s="192" t="s">
        <v>427</v>
      </c>
      <c r="E229" s="191" t="s">
        <v>873</v>
      </c>
      <c r="F229" s="192">
        <v>0</v>
      </c>
      <c r="G229" s="191"/>
      <c r="H229" s="191"/>
      <c r="I229" s="191"/>
      <c r="J229" s="191">
        <v>0</v>
      </c>
      <c r="K229" s="191" t="s">
        <v>872</v>
      </c>
      <c r="L229" s="191"/>
      <c r="M229" s="191"/>
      <c r="N229" s="195">
        <v>39845</v>
      </c>
      <c r="O229" s="195">
        <v>39845</v>
      </c>
      <c r="P229" s="191" t="s">
        <v>871</v>
      </c>
      <c r="Q229" s="192">
        <v>300</v>
      </c>
      <c r="R229" s="192">
        <v>14110</v>
      </c>
      <c r="S229" s="193">
        <v>6775</v>
      </c>
      <c r="T229" s="192">
        <v>14116</v>
      </c>
      <c r="U229" s="193">
        <v>6775</v>
      </c>
      <c r="V229" s="193">
        <f t="shared" si="15"/>
        <v>0</v>
      </c>
      <c r="W229" s="194">
        <v>0</v>
      </c>
      <c r="X229" s="192">
        <v>70260</v>
      </c>
      <c r="Y229" s="193">
        <v>0</v>
      </c>
      <c r="Z229" s="191" t="s">
        <v>427</v>
      </c>
      <c r="AA229" s="191"/>
      <c r="AB229" s="191">
        <v>10316</v>
      </c>
      <c r="AC229" s="191"/>
      <c r="AD229" s="191" t="s">
        <v>426</v>
      </c>
      <c r="AE229" s="191" t="s">
        <v>425</v>
      </c>
      <c r="AF229" s="192" t="s">
        <v>92</v>
      </c>
      <c r="AG229" s="191"/>
      <c r="AH229" s="192" t="s">
        <v>424</v>
      </c>
      <c r="AI229" s="191">
        <v>0</v>
      </c>
      <c r="AJ229" s="191">
        <v>0</v>
      </c>
    </row>
    <row r="230" spans="2:36">
      <c r="B230" s="192">
        <v>2120</v>
      </c>
      <c r="C230" s="196">
        <v>63283</v>
      </c>
      <c r="D230" s="192" t="s">
        <v>427</v>
      </c>
      <c r="E230" s="191" t="s">
        <v>874</v>
      </c>
      <c r="F230" s="192">
        <v>0</v>
      </c>
      <c r="G230" s="191"/>
      <c r="H230" s="191"/>
      <c r="I230" s="191"/>
      <c r="J230" s="191">
        <v>0</v>
      </c>
      <c r="K230" s="191"/>
      <c r="L230" s="191"/>
      <c r="M230" s="191"/>
      <c r="N230" s="195">
        <v>39814</v>
      </c>
      <c r="O230" s="195">
        <v>39814</v>
      </c>
      <c r="P230" s="191"/>
      <c r="Q230" s="192">
        <v>1406</v>
      </c>
      <c r="R230" s="192">
        <v>15250</v>
      </c>
      <c r="S230" s="193">
        <v>100000</v>
      </c>
      <c r="T230" s="192">
        <v>15256</v>
      </c>
      <c r="U230" s="193">
        <v>97126.42</v>
      </c>
      <c r="V230" s="193">
        <f t="shared" si="15"/>
        <v>2873.5800000000017</v>
      </c>
      <c r="W230" s="194">
        <v>574.72</v>
      </c>
      <c r="X230" s="192">
        <v>70269</v>
      </c>
      <c r="Y230" s="193">
        <v>574.72</v>
      </c>
      <c r="Z230" s="191" t="s">
        <v>427</v>
      </c>
      <c r="AA230" s="191">
        <v>0</v>
      </c>
      <c r="AB230" s="191"/>
      <c r="AC230" s="191"/>
      <c r="AD230" s="191" t="s">
        <v>426</v>
      </c>
      <c r="AE230" s="191" t="s">
        <v>425</v>
      </c>
      <c r="AF230" s="192" t="s">
        <v>92</v>
      </c>
      <c r="AG230" s="191"/>
      <c r="AH230" s="192" t="s">
        <v>424</v>
      </c>
      <c r="AI230" s="191">
        <v>0</v>
      </c>
      <c r="AJ230" s="191">
        <v>0</v>
      </c>
    </row>
    <row r="231" spans="2:36">
      <c r="B231" s="192">
        <v>2120</v>
      </c>
      <c r="C231" s="196">
        <v>80845</v>
      </c>
      <c r="D231" s="192" t="s">
        <v>427</v>
      </c>
      <c r="E231" s="191" t="s">
        <v>826</v>
      </c>
      <c r="F231" s="192">
        <v>12</v>
      </c>
      <c r="G231" s="191"/>
      <c r="H231" s="191"/>
      <c r="I231" s="191"/>
      <c r="J231" s="191">
        <v>0</v>
      </c>
      <c r="K231" s="191"/>
      <c r="L231" s="191"/>
      <c r="M231" s="191" t="s">
        <v>461</v>
      </c>
      <c r="N231" s="195">
        <v>39755</v>
      </c>
      <c r="O231" s="195">
        <v>39755</v>
      </c>
      <c r="P231" s="191"/>
      <c r="Q231" s="192">
        <v>1200</v>
      </c>
      <c r="R231" s="192">
        <v>14050</v>
      </c>
      <c r="S231" s="193">
        <v>804.18</v>
      </c>
      <c r="T231" s="192">
        <v>14056</v>
      </c>
      <c r="U231" s="193">
        <v>804.18</v>
      </c>
      <c r="V231" s="193">
        <f t="shared" si="15"/>
        <v>0</v>
      </c>
      <c r="W231" s="194">
        <v>0</v>
      </c>
      <c r="X231" s="192">
        <v>54260</v>
      </c>
      <c r="Y231" s="193">
        <v>0</v>
      </c>
      <c r="Z231" s="191" t="s">
        <v>425</v>
      </c>
      <c r="AA231" s="191" t="s">
        <v>825</v>
      </c>
      <c r="AB231" s="191"/>
      <c r="AC231" s="191"/>
      <c r="AD231" s="191" t="s">
        <v>426</v>
      </c>
      <c r="AE231" s="191" t="s">
        <v>425</v>
      </c>
      <c r="AF231" s="192" t="s">
        <v>92</v>
      </c>
      <c r="AG231" s="197">
        <v>40633</v>
      </c>
      <c r="AH231" s="192" t="s">
        <v>424</v>
      </c>
      <c r="AI231" s="191">
        <v>0</v>
      </c>
      <c r="AJ231" s="191">
        <v>161.94999999999999</v>
      </c>
    </row>
    <row r="232" spans="2:36">
      <c r="B232" s="192">
        <v>2120</v>
      </c>
      <c r="C232" s="196">
        <v>64731</v>
      </c>
      <c r="D232" s="192" t="s">
        <v>427</v>
      </c>
      <c r="E232" s="191" t="s">
        <v>868</v>
      </c>
      <c r="F232" s="192">
        <v>6</v>
      </c>
      <c r="G232" s="191"/>
      <c r="H232" s="191"/>
      <c r="I232" s="191"/>
      <c r="J232" s="191">
        <v>0</v>
      </c>
      <c r="K232" s="191"/>
      <c r="L232" s="191"/>
      <c r="M232" s="191" t="s">
        <v>543</v>
      </c>
      <c r="N232" s="195">
        <v>39755</v>
      </c>
      <c r="O232" s="195">
        <v>39755</v>
      </c>
      <c r="P232" s="191"/>
      <c r="Q232" s="192">
        <v>1200</v>
      </c>
      <c r="R232" s="192">
        <v>14050</v>
      </c>
      <c r="S232" s="193">
        <v>1560</v>
      </c>
      <c r="T232" s="192">
        <v>14056</v>
      </c>
      <c r="U232" s="193">
        <v>1560</v>
      </c>
      <c r="V232" s="193">
        <f t="shared" si="15"/>
        <v>0</v>
      </c>
      <c r="W232" s="194">
        <v>0</v>
      </c>
      <c r="X232" s="192">
        <v>54260</v>
      </c>
      <c r="Y232" s="193">
        <v>0</v>
      </c>
      <c r="Z232" s="191" t="s">
        <v>425</v>
      </c>
      <c r="AA232" s="191" t="s">
        <v>825</v>
      </c>
      <c r="AB232" s="191"/>
      <c r="AC232" s="191"/>
      <c r="AD232" s="191" t="s">
        <v>426</v>
      </c>
      <c r="AE232" s="191" t="s">
        <v>425</v>
      </c>
      <c r="AF232" s="192" t="s">
        <v>92</v>
      </c>
      <c r="AG232" s="197">
        <v>39933</v>
      </c>
      <c r="AH232" s="192" t="s">
        <v>424</v>
      </c>
      <c r="AI232" s="191">
        <v>0</v>
      </c>
      <c r="AJ232" s="191">
        <v>65</v>
      </c>
    </row>
    <row r="233" spans="2:36">
      <c r="B233" s="192">
        <v>2120</v>
      </c>
      <c r="C233" s="196">
        <v>64729</v>
      </c>
      <c r="D233" s="192" t="s">
        <v>427</v>
      </c>
      <c r="E233" s="191" t="s">
        <v>869</v>
      </c>
      <c r="F233" s="192">
        <v>4</v>
      </c>
      <c r="G233" s="191"/>
      <c r="H233" s="191"/>
      <c r="I233" s="191"/>
      <c r="J233" s="191">
        <v>0</v>
      </c>
      <c r="K233" s="191"/>
      <c r="L233" s="191"/>
      <c r="M233" s="191" t="s">
        <v>469</v>
      </c>
      <c r="N233" s="195">
        <v>39755</v>
      </c>
      <c r="O233" s="195">
        <v>39755</v>
      </c>
      <c r="P233" s="191"/>
      <c r="Q233" s="192">
        <v>1200</v>
      </c>
      <c r="R233" s="192">
        <v>14050</v>
      </c>
      <c r="S233" s="193">
        <v>872.5</v>
      </c>
      <c r="T233" s="192">
        <v>14056</v>
      </c>
      <c r="U233" s="193">
        <v>872.5</v>
      </c>
      <c r="V233" s="193">
        <f t="shared" si="15"/>
        <v>0</v>
      </c>
      <c r="W233" s="194">
        <v>0</v>
      </c>
      <c r="X233" s="192">
        <v>54260</v>
      </c>
      <c r="Y233" s="193">
        <v>0</v>
      </c>
      <c r="Z233" s="191" t="s">
        <v>425</v>
      </c>
      <c r="AA233" s="191" t="s">
        <v>825</v>
      </c>
      <c r="AB233" s="191"/>
      <c r="AC233" s="191"/>
      <c r="AD233" s="191" t="s">
        <v>426</v>
      </c>
      <c r="AE233" s="191" t="s">
        <v>425</v>
      </c>
      <c r="AF233" s="192" t="s">
        <v>92</v>
      </c>
      <c r="AG233" s="197">
        <v>39933</v>
      </c>
      <c r="AH233" s="192" t="s">
        <v>424</v>
      </c>
      <c r="AI233" s="191">
        <v>0</v>
      </c>
      <c r="AJ233" s="191">
        <v>36.35</v>
      </c>
    </row>
    <row r="234" spans="2:36">
      <c r="B234" s="192">
        <v>2120</v>
      </c>
      <c r="C234" s="196">
        <v>64728</v>
      </c>
      <c r="D234" s="192" t="s">
        <v>427</v>
      </c>
      <c r="E234" s="191" t="s">
        <v>870</v>
      </c>
      <c r="F234" s="192">
        <v>5</v>
      </c>
      <c r="G234" s="191"/>
      <c r="H234" s="191"/>
      <c r="I234" s="191"/>
      <c r="J234" s="191">
        <v>0</v>
      </c>
      <c r="K234" s="191"/>
      <c r="L234" s="191"/>
      <c r="M234" s="191" t="s">
        <v>464</v>
      </c>
      <c r="N234" s="195">
        <v>39755</v>
      </c>
      <c r="O234" s="195">
        <v>39755</v>
      </c>
      <c r="P234" s="191"/>
      <c r="Q234" s="192">
        <v>1200</v>
      </c>
      <c r="R234" s="192">
        <v>14050</v>
      </c>
      <c r="S234" s="193">
        <v>587.5</v>
      </c>
      <c r="T234" s="192">
        <v>14056</v>
      </c>
      <c r="U234" s="193">
        <v>587.5</v>
      </c>
      <c r="V234" s="193">
        <f t="shared" si="15"/>
        <v>0</v>
      </c>
      <c r="W234" s="194">
        <v>0</v>
      </c>
      <c r="X234" s="192">
        <v>54260</v>
      </c>
      <c r="Y234" s="193">
        <v>0</v>
      </c>
      <c r="Z234" s="191" t="s">
        <v>425</v>
      </c>
      <c r="AA234" s="191" t="s">
        <v>825</v>
      </c>
      <c r="AB234" s="191"/>
      <c r="AC234" s="191"/>
      <c r="AD234" s="191" t="s">
        <v>426</v>
      </c>
      <c r="AE234" s="191" t="s">
        <v>425</v>
      </c>
      <c r="AF234" s="192" t="s">
        <v>92</v>
      </c>
      <c r="AG234" s="197">
        <v>39933</v>
      </c>
      <c r="AH234" s="192" t="s">
        <v>424</v>
      </c>
      <c r="AI234" s="191">
        <v>0</v>
      </c>
      <c r="AJ234" s="191">
        <v>24.48</v>
      </c>
    </row>
    <row r="235" spans="2:36">
      <c r="B235" s="192">
        <v>2120</v>
      </c>
      <c r="C235" s="196">
        <v>54540</v>
      </c>
      <c r="D235" s="192" t="s">
        <v>427</v>
      </c>
      <c r="E235" s="191" t="s">
        <v>877</v>
      </c>
      <c r="F235" s="192">
        <v>300</v>
      </c>
      <c r="G235" s="191"/>
      <c r="H235" s="191">
        <v>0</v>
      </c>
      <c r="I235" s="191"/>
      <c r="J235" s="191">
        <v>0</v>
      </c>
      <c r="K235" s="191" t="s">
        <v>465</v>
      </c>
      <c r="L235" s="191"/>
      <c r="M235" s="191"/>
      <c r="N235" s="195">
        <v>39405</v>
      </c>
      <c r="O235" s="195">
        <v>39405</v>
      </c>
      <c r="P235" s="191" t="s">
        <v>876</v>
      </c>
      <c r="Q235" s="192">
        <v>700</v>
      </c>
      <c r="R235" s="192">
        <v>14050</v>
      </c>
      <c r="S235" s="193">
        <v>17653.66</v>
      </c>
      <c r="T235" s="192">
        <v>14056</v>
      </c>
      <c r="U235" s="193">
        <v>17653.66</v>
      </c>
      <c r="V235" s="193">
        <f t="shared" si="15"/>
        <v>0</v>
      </c>
      <c r="W235" s="194">
        <v>0</v>
      </c>
      <c r="X235" s="192">
        <v>54260</v>
      </c>
      <c r="Y235" s="193">
        <v>0</v>
      </c>
      <c r="Z235" s="191" t="s">
        <v>427</v>
      </c>
      <c r="AA235" s="191"/>
      <c r="AB235" s="191" t="s">
        <v>875</v>
      </c>
      <c r="AC235" s="191"/>
      <c r="AD235" s="191" t="s">
        <v>426</v>
      </c>
      <c r="AE235" s="191" t="s">
        <v>425</v>
      </c>
      <c r="AF235" s="192" t="s">
        <v>92</v>
      </c>
      <c r="AG235" s="191"/>
      <c r="AH235" s="192" t="s">
        <v>424</v>
      </c>
      <c r="AI235" s="191">
        <v>0</v>
      </c>
      <c r="AJ235" s="191">
        <v>0</v>
      </c>
    </row>
    <row r="236" spans="2:36">
      <c r="B236" s="192">
        <v>2120</v>
      </c>
      <c r="C236" s="196">
        <v>54539</v>
      </c>
      <c r="D236" s="192" t="s">
        <v>427</v>
      </c>
      <c r="E236" s="191" t="s">
        <v>878</v>
      </c>
      <c r="F236" s="192">
        <v>165</v>
      </c>
      <c r="G236" s="191"/>
      <c r="H236" s="191">
        <v>0</v>
      </c>
      <c r="I236" s="191"/>
      <c r="J236" s="191">
        <v>0</v>
      </c>
      <c r="K236" s="191" t="s">
        <v>465</v>
      </c>
      <c r="L236" s="191"/>
      <c r="M236" s="191"/>
      <c r="N236" s="195">
        <v>39405</v>
      </c>
      <c r="O236" s="195">
        <v>39405</v>
      </c>
      <c r="P236" s="191" t="s">
        <v>876</v>
      </c>
      <c r="Q236" s="192">
        <v>700</v>
      </c>
      <c r="R236" s="192">
        <v>14050</v>
      </c>
      <c r="S236" s="193">
        <v>8921.85</v>
      </c>
      <c r="T236" s="192">
        <v>14056</v>
      </c>
      <c r="U236" s="193">
        <v>8921.85</v>
      </c>
      <c r="V236" s="193">
        <f t="shared" si="15"/>
        <v>0</v>
      </c>
      <c r="W236" s="194">
        <v>0</v>
      </c>
      <c r="X236" s="192">
        <v>54260</v>
      </c>
      <c r="Y236" s="193">
        <v>0</v>
      </c>
      <c r="Z236" s="191" t="s">
        <v>427</v>
      </c>
      <c r="AA236" s="191"/>
      <c r="AB236" s="191" t="s">
        <v>875</v>
      </c>
      <c r="AC236" s="191"/>
      <c r="AD236" s="191" t="s">
        <v>426</v>
      </c>
      <c r="AE236" s="191" t="s">
        <v>425</v>
      </c>
      <c r="AF236" s="192" t="s">
        <v>92</v>
      </c>
      <c r="AG236" s="191"/>
      <c r="AH236" s="192" t="s">
        <v>424</v>
      </c>
      <c r="AI236" s="191">
        <v>0</v>
      </c>
      <c r="AJ236" s="191">
        <v>0</v>
      </c>
    </row>
    <row r="237" spans="2:36">
      <c r="B237" s="192">
        <v>2120</v>
      </c>
      <c r="C237" s="196">
        <v>51724</v>
      </c>
      <c r="D237" s="192" t="s">
        <v>427</v>
      </c>
      <c r="E237" s="191" t="s">
        <v>893</v>
      </c>
      <c r="F237" s="192">
        <v>6</v>
      </c>
      <c r="G237" s="191"/>
      <c r="H237" s="191">
        <v>0</v>
      </c>
      <c r="I237" s="191"/>
      <c r="J237" s="191">
        <v>0</v>
      </c>
      <c r="K237" s="191" t="s">
        <v>892</v>
      </c>
      <c r="L237" s="191"/>
      <c r="M237" s="191" t="s">
        <v>507</v>
      </c>
      <c r="N237" s="195">
        <v>39309</v>
      </c>
      <c r="O237" s="195">
        <v>39309</v>
      </c>
      <c r="P237" s="191" t="s">
        <v>883</v>
      </c>
      <c r="Q237" s="192">
        <v>1200</v>
      </c>
      <c r="R237" s="192">
        <v>14050</v>
      </c>
      <c r="S237" s="193">
        <v>4733.93</v>
      </c>
      <c r="T237" s="192">
        <v>14056</v>
      </c>
      <c r="U237" s="193">
        <v>4733.93</v>
      </c>
      <c r="V237" s="193">
        <f t="shared" si="15"/>
        <v>0</v>
      </c>
      <c r="W237" s="194">
        <v>0</v>
      </c>
      <c r="X237" s="192">
        <v>54260</v>
      </c>
      <c r="Y237" s="193">
        <v>0</v>
      </c>
      <c r="Z237" s="191" t="s">
        <v>427</v>
      </c>
      <c r="AA237" s="191"/>
      <c r="AB237" s="191">
        <v>3481</v>
      </c>
      <c r="AC237" s="191"/>
      <c r="AD237" s="191" t="s">
        <v>426</v>
      </c>
      <c r="AE237" s="191" t="s">
        <v>425</v>
      </c>
      <c r="AF237" s="192" t="s">
        <v>92</v>
      </c>
      <c r="AG237" s="191"/>
      <c r="AH237" s="192" t="s">
        <v>424</v>
      </c>
      <c r="AI237" s="191">
        <v>0</v>
      </c>
      <c r="AJ237" s="191">
        <v>0</v>
      </c>
    </row>
    <row r="238" spans="2:36">
      <c r="B238" s="192">
        <v>2120</v>
      </c>
      <c r="C238" s="196">
        <v>51723</v>
      </c>
      <c r="D238" s="192" t="s">
        <v>427</v>
      </c>
      <c r="E238" s="191" t="s">
        <v>894</v>
      </c>
      <c r="F238" s="192">
        <v>3</v>
      </c>
      <c r="G238" s="191"/>
      <c r="H238" s="191">
        <v>0</v>
      </c>
      <c r="I238" s="191"/>
      <c r="J238" s="191">
        <v>0</v>
      </c>
      <c r="K238" s="191" t="s">
        <v>892</v>
      </c>
      <c r="L238" s="191"/>
      <c r="M238" s="191" t="s">
        <v>543</v>
      </c>
      <c r="N238" s="195">
        <v>39309</v>
      </c>
      <c r="O238" s="195">
        <v>39309</v>
      </c>
      <c r="P238" s="191" t="s">
        <v>883</v>
      </c>
      <c r="Q238" s="192">
        <v>1200</v>
      </c>
      <c r="R238" s="192">
        <v>14050</v>
      </c>
      <c r="S238" s="193">
        <v>1905.42</v>
      </c>
      <c r="T238" s="192">
        <v>14056</v>
      </c>
      <c r="U238" s="193">
        <v>1905.42</v>
      </c>
      <c r="V238" s="193">
        <f t="shared" si="15"/>
        <v>0</v>
      </c>
      <c r="W238" s="194">
        <v>0</v>
      </c>
      <c r="X238" s="192">
        <v>54260</v>
      </c>
      <c r="Y238" s="193">
        <v>0</v>
      </c>
      <c r="Z238" s="191" t="s">
        <v>427</v>
      </c>
      <c r="AA238" s="191"/>
      <c r="AB238" s="191">
        <v>3481</v>
      </c>
      <c r="AC238" s="191"/>
      <c r="AD238" s="191" t="s">
        <v>426</v>
      </c>
      <c r="AE238" s="191" t="s">
        <v>425</v>
      </c>
      <c r="AF238" s="192" t="s">
        <v>92</v>
      </c>
      <c r="AG238" s="191"/>
      <c r="AH238" s="192" t="s">
        <v>424</v>
      </c>
      <c r="AI238" s="191">
        <v>0</v>
      </c>
      <c r="AJ238" s="191">
        <v>0</v>
      </c>
    </row>
    <row r="239" spans="2:36">
      <c r="B239" s="192">
        <v>2120</v>
      </c>
      <c r="C239" s="196">
        <v>53658</v>
      </c>
      <c r="D239" s="192" t="s">
        <v>427</v>
      </c>
      <c r="E239" s="191" t="s">
        <v>884</v>
      </c>
      <c r="F239" s="192">
        <v>5</v>
      </c>
      <c r="G239" s="191"/>
      <c r="H239" s="191">
        <v>0</v>
      </c>
      <c r="I239" s="191"/>
      <c r="J239" s="191">
        <v>0</v>
      </c>
      <c r="K239" s="191" t="s">
        <v>465</v>
      </c>
      <c r="L239" s="191"/>
      <c r="M239" s="191" t="s">
        <v>464</v>
      </c>
      <c r="N239" s="195">
        <v>39287</v>
      </c>
      <c r="O239" s="195">
        <v>39287</v>
      </c>
      <c r="P239" s="191" t="s">
        <v>883</v>
      </c>
      <c r="Q239" s="192">
        <v>1200</v>
      </c>
      <c r="R239" s="192">
        <v>14050</v>
      </c>
      <c r="S239" s="193">
        <v>2225</v>
      </c>
      <c r="T239" s="192">
        <v>14056</v>
      </c>
      <c r="U239" s="193">
        <v>2225</v>
      </c>
      <c r="V239" s="193">
        <f t="shared" si="15"/>
        <v>0</v>
      </c>
      <c r="W239" s="194">
        <v>0</v>
      </c>
      <c r="X239" s="192">
        <v>54260</v>
      </c>
      <c r="Y239" s="193">
        <v>0</v>
      </c>
      <c r="Z239" s="191" t="s">
        <v>427</v>
      </c>
      <c r="AA239" s="191"/>
      <c r="AB239" s="191" t="s">
        <v>882</v>
      </c>
      <c r="AC239" s="191"/>
      <c r="AD239" s="191" t="s">
        <v>426</v>
      </c>
      <c r="AE239" s="191" t="s">
        <v>425</v>
      </c>
      <c r="AF239" s="192" t="s">
        <v>92</v>
      </c>
      <c r="AG239" s="191"/>
      <c r="AH239" s="192" t="s">
        <v>424</v>
      </c>
      <c r="AI239" s="191">
        <v>0</v>
      </c>
      <c r="AJ239" s="191">
        <v>0</v>
      </c>
    </row>
    <row r="240" spans="2:36">
      <c r="B240" s="192">
        <v>2120</v>
      </c>
      <c r="C240" s="196">
        <v>53657</v>
      </c>
      <c r="D240" s="192" t="s">
        <v>427</v>
      </c>
      <c r="E240" s="191" t="s">
        <v>885</v>
      </c>
      <c r="F240" s="192">
        <v>3</v>
      </c>
      <c r="G240" s="191"/>
      <c r="H240" s="191">
        <v>0</v>
      </c>
      <c r="I240" s="191"/>
      <c r="J240" s="191">
        <v>0</v>
      </c>
      <c r="K240" s="191" t="s">
        <v>465</v>
      </c>
      <c r="L240" s="191"/>
      <c r="M240" s="191" t="s">
        <v>461</v>
      </c>
      <c r="N240" s="195">
        <v>39287</v>
      </c>
      <c r="O240" s="195">
        <v>39287</v>
      </c>
      <c r="P240" s="191" t="s">
        <v>883</v>
      </c>
      <c r="Q240" s="192">
        <v>1200</v>
      </c>
      <c r="R240" s="192">
        <v>14050</v>
      </c>
      <c r="S240" s="193">
        <v>1275</v>
      </c>
      <c r="T240" s="192">
        <v>14056</v>
      </c>
      <c r="U240" s="193">
        <v>1275</v>
      </c>
      <c r="V240" s="193">
        <f t="shared" si="15"/>
        <v>0</v>
      </c>
      <c r="W240" s="194">
        <v>0</v>
      </c>
      <c r="X240" s="192">
        <v>54260</v>
      </c>
      <c r="Y240" s="193">
        <v>0</v>
      </c>
      <c r="Z240" s="191" t="s">
        <v>427</v>
      </c>
      <c r="AA240" s="191"/>
      <c r="AB240" s="191" t="s">
        <v>882</v>
      </c>
      <c r="AC240" s="191"/>
      <c r="AD240" s="191" t="s">
        <v>426</v>
      </c>
      <c r="AE240" s="191" t="s">
        <v>425</v>
      </c>
      <c r="AF240" s="192" t="s">
        <v>92</v>
      </c>
      <c r="AG240" s="191"/>
      <c r="AH240" s="192" t="s">
        <v>424</v>
      </c>
      <c r="AI240" s="191">
        <v>0</v>
      </c>
      <c r="AJ240" s="191">
        <v>0</v>
      </c>
    </row>
    <row r="241" spans="2:36">
      <c r="B241" s="192">
        <v>2120</v>
      </c>
      <c r="C241" s="196">
        <v>52123</v>
      </c>
      <c r="D241" s="192" t="s">
        <v>427</v>
      </c>
      <c r="E241" s="191" t="s">
        <v>887</v>
      </c>
      <c r="F241" s="192">
        <v>2</v>
      </c>
      <c r="G241" s="191"/>
      <c r="H241" s="191">
        <v>0</v>
      </c>
      <c r="I241" s="191"/>
      <c r="J241" s="191">
        <v>0</v>
      </c>
      <c r="K241" s="191" t="s">
        <v>465</v>
      </c>
      <c r="L241" s="191"/>
      <c r="M241" s="191" t="s">
        <v>469</v>
      </c>
      <c r="N241" s="195">
        <v>39261</v>
      </c>
      <c r="O241" s="195">
        <v>39261</v>
      </c>
      <c r="P241" s="191" t="s">
        <v>883</v>
      </c>
      <c r="Q241" s="192">
        <v>1200</v>
      </c>
      <c r="R241" s="192">
        <v>14050</v>
      </c>
      <c r="S241" s="193">
        <v>930</v>
      </c>
      <c r="T241" s="192">
        <v>14056</v>
      </c>
      <c r="U241" s="193">
        <v>930</v>
      </c>
      <c r="V241" s="193">
        <f t="shared" si="15"/>
        <v>0</v>
      </c>
      <c r="W241" s="194">
        <v>0</v>
      </c>
      <c r="X241" s="192">
        <v>54260</v>
      </c>
      <c r="Y241" s="193">
        <v>0</v>
      </c>
      <c r="Z241" s="191" t="s">
        <v>427</v>
      </c>
      <c r="AA241" s="191"/>
      <c r="AB241" s="191" t="s">
        <v>886</v>
      </c>
      <c r="AC241" s="191"/>
      <c r="AD241" s="191" t="s">
        <v>426</v>
      </c>
      <c r="AE241" s="191" t="s">
        <v>425</v>
      </c>
      <c r="AF241" s="192" t="s">
        <v>92</v>
      </c>
      <c r="AG241" s="191"/>
      <c r="AH241" s="192" t="s">
        <v>424</v>
      </c>
      <c r="AI241" s="191">
        <v>0</v>
      </c>
      <c r="AJ241" s="191">
        <v>0</v>
      </c>
    </row>
    <row r="242" spans="2:36">
      <c r="B242" s="192">
        <v>2120</v>
      </c>
      <c r="C242" s="196">
        <v>51841</v>
      </c>
      <c r="D242" s="192" t="s">
        <v>427</v>
      </c>
      <c r="E242" s="191" t="s">
        <v>890</v>
      </c>
      <c r="F242" s="192">
        <v>1</v>
      </c>
      <c r="G242" s="191"/>
      <c r="H242" s="191">
        <v>0</v>
      </c>
      <c r="I242" s="191"/>
      <c r="J242" s="191">
        <v>2006</v>
      </c>
      <c r="K242" s="191" t="s">
        <v>465</v>
      </c>
      <c r="L242" s="191" t="s">
        <v>734</v>
      </c>
      <c r="M242" s="191" t="s">
        <v>443</v>
      </c>
      <c r="N242" s="195">
        <v>39234</v>
      </c>
      <c r="O242" s="195">
        <v>39234</v>
      </c>
      <c r="P242" s="191" t="s">
        <v>889</v>
      </c>
      <c r="Q242" s="192">
        <v>1200</v>
      </c>
      <c r="R242" s="192">
        <v>14050</v>
      </c>
      <c r="S242" s="193">
        <v>7750</v>
      </c>
      <c r="T242" s="192">
        <v>14056</v>
      </c>
      <c r="U242" s="193">
        <v>7750</v>
      </c>
      <c r="V242" s="193">
        <f t="shared" si="15"/>
        <v>0</v>
      </c>
      <c r="W242" s="194">
        <v>0</v>
      </c>
      <c r="X242" s="192">
        <v>54260</v>
      </c>
      <c r="Y242" s="193">
        <v>0</v>
      </c>
      <c r="Z242" s="191" t="s">
        <v>427</v>
      </c>
      <c r="AA242" s="191"/>
      <c r="AB242" s="191" t="s">
        <v>888</v>
      </c>
      <c r="AC242" s="191"/>
      <c r="AD242" s="191" t="s">
        <v>426</v>
      </c>
      <c r="AE242" s="191" t="s">
        <v>425</v>
      </c>
      <c r="AF242" s="192" t="s">
        <v>92</v>
      </c>
      <c r="AG242" s="191"/>
      <c r="AH242" s="192" t="s">
        <v>424</v>
      </c>
      <c r="AI242" s="191">
        <v>0</v>
      </c>
      <c r="AJ242" s="191">
        <v>0</v>
      </c>
    </row>
    <row r="243" spans="2:36">
      <c r="B243" s="192">
        <v>2120</v>
      </c>
      <c r="C243" s="196">
        <v>51840</v>
      </c>
      <c r="D243" s="192" t="s">
        <v>427</v>
      </c>
      <c r="E243" s="191" t="s">
        <v>891</v>
      </c>
      <c r="F243" s="192">
        <v>2</v>
      </c>
      <c r="G243" s="191"/>
      <c r="H243" s="191">
        <v>0</v>
      </c>
      <c r="I243" s="191"/>
      <c r="J243" s="191">
        <v>2006</v>
      </c>
      <c r="K243" s="191" t="s">
        <v>465</v>
      </c>
      <c r="L243" s="191" t="s">
        <v>734</v>
      </c>
      <c r="M243" s="191" t="s">
        <v>538</v>
      </c>
      <c r="N243" s="195">
        <v>39234</v>
      </c>
      <c r="O243" s="195">
        <v>39234</v>
      </c>
      <c r="P243" s="191" t="s">
        <v>889</v>
      </c>
      <c r="Q243" s="192">
        <v>1200</v>
      </c>
      <c r="R243" s="192">
        <v>14050</v>
      </c>
      <c r="S243" s="193">
        <v>13490</v>
      </c>
      <c r="T243" s="192">
        <v>14056</v>
      </c>
      <c r="U243" s="193">
        <v>13490</v>
      </c>
      <c r="V243" s="193">
        <f t="shared" si="15"/>
        <v>0</v>
      </c>
      <c r="W243" s="194">
        <v>0</v>
      </c>
      <c r="X243" s="192">
        <v>54260</v>
      </c>
      <c r="Y243" s="193">
        <v>0</v>
      </c>
      <c r="Z243" s="191" t="s">
        <v>427</v>
      </c>
      <c r="AA243" s="191"/>
      <c r="AB243" s="191" t="s">
        <v>888</v>
      </c>
      <c r="AC243" s="191"/>
      <c r="AD243" s="191" t="s">
        <v>426</v>
      </c>
      <c r="AE243" s="191" t="s">
        <v>425</v>
      </c>
      <c r="AF243" s="192" t="s">
        <v>92</v>
      </c>
      <c r="AG243" s="191"/>
      <c r="AH243" s="192" t="s">
        <v>424</v>
      </c>
      <c r="AI243" s="191">
        <v>0</v>
      </c>
      <c r="AJ243" s="191">
        <v>0</v>
      </c>
    </row>
    <row r="244" spans="2:36">
      <c r="B244" s="192">
        <v>2120</v>
      </c>
      <c r="C244" s="196">
        <v>54180</v>
      </c>
      <c r="D244" s="192" t="s">
        <v>427</v>
      </c>
      <c r="E244" s="191" t="s">
        <v>880</v>
      </c>
      <c r="F244" s="192">
        <v>3</v>
      </c>
      <c r="G244" s="191"/>
      <c r="H244" s="191">
        <v>0</v>
      </c>
      <c r="I244" s="191"/>
      <c r="J244" s="191">
        <v>0</v>
      </c>
      <c r="K244" s="191" t="s">
        <v>430</v>
      </c>
      <c r="L244" s="191"/>
      <c r="M244" s="191" t="s">
        <v>507</v>
      </c>
      <c r="N244" s="195">
        <v>39216</v>
      </c>
      <c r="O244" s="195">
        <v>39216</v>
      </c>
      <c r="P244" s="191" t="s">
        <v>879</v>
      </c>
      <c r="Q244" s="192">
        <v>1200</v>
      </c>
      <c r="R244" s="192">
        <v>14050</v>
      </c>
      <c r="S244" s="193">
        <v>2458.58</v>
      </c>
      <c r="T244" s="192">
        <v>14056</v>
      </c>
      <c r="U244" s="193">
        <v>2458.58</v>
      </c>
      <c r="V244" s="193">
        <f t="shared" si="15"/>
        <v>0</v>
      </c>
      <c r="W244" s="194">
        <v>0</v>
      </c>
      <c r="X244" s="192">
        <v>54260</v>
      </c>
      <c r="Y244" s="193">
        <v>0</v>
      </c>
      <c r="Z244" s="191" t="s">
        <v>427</v>
      </c>
      <c r="AA244" s="191"/>
      <c r="AB244" s="191">
        <v>3381</v>
      </c>
      <c r="AC244" s="191"/>
      <c r="AD244" s="191" t="s">
        <v>426</v>
      </c>
      <c r="AE244" s="191" t="s">
        <v>425</v>
      </c>
      <c r="AF244" s="192" t="s">
        <v>92</v>
      </c>
      <c r="AG244" s="191"/>
      <c r="AH244" s="192" t="s">
        <v>424</v>
      </c>
      <c r="AI244" s="191">
        <v>0</v>
      </c>
      <c r="AJ244" s="191">
        <v>0</v>
      </c>
    </row>
    <row r="245" spans="2:36">
      <c r="B245" s="192">
        <v>2120</v>
      </c>
      <c r="C245" s="196">
        <v>54179</v>
      </c>
      <c r="D245" s="192" t="s">
        <v>427</v>
      </c>
      <c r="E245" s="191" t="s">
        <v>881</v>
      </c>
      <c r="F245" s="192">
        <v>2</v>
      </c>
      <c r="G245" s="191"/>
      <c r="H245" s="191">
        <v>0</v>
      </c>
      <c r="I245" s="191"/>
      <c r="J245" s="191">
        <v>0</v>
      </c>
      <c r="K245" s="191" t="s">
        <v>430</v>
      </c>
      <c r="L245" s="191"/>
      <c r="M245" s="191" t="s">
        <v>543</v>
      </c>
      <c r="N245" s="195">
        <v>39216</v>
      </c>
      <c r="O245" s="195">
        <v>39216</v>
      </c>
      <c r="P245" s="191" t="s">
        <v>879</v>
      </c>
      <c r="Q245" s="192">
        <v>1200</v>
      </c>
      <c r="R245" s="192">
        <v>14050</v>
      </c>
      <c r="S245" s="193">
        <v>1336.78</v>
      </c>
      <c r="T245" s="192">
        <v>14056</v>
      </c>
      <c r="U245" s="193">
        <v>1336.78</v>
      </c>
      <c r="V245" s="193">
        <f t="shared" si="15"/>
        <v>0</v>
      </c>
      <c r="W245" s="194">
        <v>0</v>
      </c>
      <c r="X245" s="192">
        <v>54260</v>
      </c>
      <c r="Y245" s="193">
        <v>0</v>
      </c>
      <c r="Z245" s="191" t="s">
        <v>427</v>
      </c>
      <c r="AA245" s="191"/>
      <c r="AB245" s="191">
        <v>3381</v>
      </c>
      <c r="AC245" s="191"/>
      <c r="AD245" s="191" t="s">
        <v>426</v>
      </c>
      <c r="AE245" s="191" t="s">
        <v>425</v>
      </c>
      <c r="AF245" s="192" t="s">
        <v>92</v>
      </c>
      <c r="AG245" s="191"/>
      <c r="AH245" s="192" t="s">
        <v>424</v>
      </c>
      <c r="AI245" s="191">
        <v>0</v>
      </c>
      <c r="AJ245" s="191">
        <v>0</v>
      </c>
    </row>
    <row r="246" spans="2:36">
      <c r="B246" s="192">
        <v>2120</v>
      </c>
      <c r="C246" s="196">
        <v>51101</v>
      </c>
      <c r="D246" s="192" t="s">
        <v>427</v>
      </c>
      <c r="E246" s="191" t="s">
        <v>887</v>
      </c>
      <c r="F246" s="192">
        <v>2</v>
      </c>
      <c r="G246" s="191"/>
      <c r="H246" s="191" t="s">
        <v>897</v>
      </c>
      <c r="I246" s="191"/>
      <c r="J246" s="191">
        <v>1997</v>
      </c>
      <c r="K246" s="191" t="s">
        <v>896</v>
      </c>
      <c r="L246" s="191" t="s">
        <v>734</v>
      </c>
      <c r="M246" s="191" t="s">
        <v>469</v>
      </c>
      <c r="N246" s="195">
        <v>39211</v>
      </c>
      <c r="O246" s="195">
        <v>39211</v>
      </c>
      <c r="P246" s="191" t="s">
        <v>879</v>
      </c>
      <c r="Q246" s="192">
        <v>1200</v>
      </c>
      <c r="R246" s="192">
        <v>14050</v>
      </c>
      <c r="S246" s="193">
        <v>1012.34</v>
      </c>
      <c r="T246" s="192">
        <v>14056</v>
      </c>
      <c r="U246" s="193">
        <v>1012.34</v>
      </c>
      <c r="V246" s="193">
        <f t="shared" si="15"/>
        <v>0</v>
      </c>
      <c r="W246" s="194">
        <v>0</v>
      </c>
      <c r="X246" s="192">
        <v>54260</v>
      </c>
      <c r="Y246" s="193">
        <v>0</v>
      </c>
      <c r="Z246" s="191" t="s">
        <v>427</v>
      </c>
      <c r="AA246" s="191"/>
      <c r="AB246" s="191" t="s">
        <v>895</v>
      </c>
      <c r="AC246" s="191"/>
      <c r="AD246" s="191" t="s">
        <v>426</v>
      </c>
      <c r="AE246" s="191" t="s">
        <v>425</v>
      </c>
      <c r="AF246" s="192" t="s">
        <v>92</v>
      </c>
      <c r="AG246" s="191"/>
      <c r="AH246" s="192" t="s">
        <v>424</v>
      </c>
      <c r="AI246" s="191">
        <v>0</v>
      </c>
      <c r="AJ246" s="191">
        <v>0</v>
      </c>
    </row>
    <row r="247" spans="2:36">
      <c r="B247" s="192">
        <v>2120</v>
      </c>
      <c r="C247" s="196">
        <v>51100</v>
      </c>
      <c r="D247" s="192" t="s">
        <v>427</v>
      </c>
      <c r="E247" s="191" t="s">
        <v>884</v>
      </c>
      <c r="F247" s="192">
        <v>3</v>
      </c>
      <c r="G247" s="191"/>
      <c r="H247" s="191">
        <v>0</v>
      </c>
      <c r="I247" s="191"/>
      <c r="J247" s="191">
        <v>0</v>
      </c>
      <c r="K247" s="191" t="s">
        <v>465</v>
      </c>
      <c r="L247" s="191"/>
      <c r="M247" s="191" t="s">
        <v>464</v>
      </c>
      <c r="N247" s="195">
        <v>39211</v>
      </c>
      <c r="O247" s="195">
        <v>39211</v>
      </c>
      <c r="P247" s="191" t="s">
        <v>879</v>
      </c>
      <c r="Q247" s="192">
        <v>1200</v>
      </c>
      <c r="R247" s="192">
        <v>14050</v>
      </c>
      <c r="S247" s="193">
        <v>1449.01</v>
      </c>
      <c r="T247" s="192">
        <v>14056</v>
      </c>
      <c r="U247" s="193">
        <v>1449.01</v>
      </c>
      <c r="V247" s="193">
        <f t="shared" si="15"/>
        <v>0</v>
      </c>
      <c r="W247" s="194">
        <v>0</v>
      </c>
      <c r="X247" s="192">
        <v>54260</v>
      </c>
      <c r="Y247" s="193">
        <v>0</v>
      </c>
      <c r="Z247" s="191" t="s">
        <v>427</v>
      </c>
      <c r="AA247" s="191"/>
      <c r="AB247" s="191" t="s">
        <v>895</v>
      </c>
      <c r="AC247" s="191"/>
      <c r="AD247" s="191" t="s">
        <v>426</v>
      </c>
      <c r="AE247" s="191" t="s">
        <v>425</v>
      </c>
      <c r="AF247" s="192" t="s">
        <v>92</v>
      </c>
      <c r="AG247" s="191"/>
      <c r="AH247" s="192" t="s">
        <v>424</v>
      </c>
      <c r="AI247" s="191">
        <v>0</v>
      </c>
      <c r="AJ247" s="191">
        <v>0</v>
      </c>
    </row>
    <row r="248" spans="2:36">
      <c r="B248" s="192">
        <v>2120</v>
      </c>
      <c r="C248" s="196">
        <v>51099</v>
      </c>
      <c r="D248" s="192" t="s">
        <v>427</v>
      </c>
      <c r="E248" s="191" t="s">
        <v>885</v>
      </c>
      <c r="F248" s="192">
        <v>12</v>
      </c>
      <c r="G248" s="191"/>
      <c r="H248" s="191">
        <v>0</v>
      </c>
      <c r="I248" s="191"/>
      <c r="J248" s="191">
        <v>0</v>
      </c>
      <c r="K248" s="191" t="s">
        <v>465</v>
      </c>
      <c r="L248" s="191"/>
      <c r="M248" s="191" t="s">
        <v>461</v>
      </c>
      <c r="N248" s="195">
        <v>39211</v>
      </c>
      <c r="O248" s="195">
        <v>39211</v>
      </c>
      <c r="P248" s="191" t="s">
        <v>879</v>
      </c>
      <c r="Q248" s="192">
        <v>1200</v>
      </c>
      <c r="R248" s="192">
        <v>14050</v>
      </c>
      <c r="S248" s="193">
        <v>5537.04</v>
      </c>
      <c r="T248" s="192">
        <v>14056</v>
      </c>
      <c r="U248" s="193">
        <v>5537.04</v>
      </c>
      <c r="V248" s="193">
        <f t="shared" si="15"/>
        <v>0</v>
      </c>
      <c r="W248" s="194">
        <v>0</v>
      </c>
      <c r="X248" s="192">
        <v>54260</v>
      </c>
      <c r="Y248" s="193">
        <v>0</v>
      </c>
      <c r="Z248" s="191" t="s">
        <v>427</v>
      </c>
      <c r="AA248" s="191"/>
      <c r="AB248" s="191" t="s">
        <v>895</v>
      </c>
      <c r="AC248" s="191"/>
      <c r="AD248" s="191" t="s">
        <v>426</v>
      </c>
      <c r="AE248" s="191" t="s">
        <v>425</v>
      </c>
      <c r="AF248" s="192" t="s">
        <v>92</v>
      </c>
      <c r="AG248" s="191"/>
      <c r="AH248" s="192" t="s">
        <v>424</v>
      </c>
      <c r="AI248" s="191">
        <v>0</v>
      </c>
      <c r="AJ248" s="191">
        <v>0</v>
      </c>
    </row>
    <row r="249" spans="2:36">
      <c r="B249" s="192">
        <v>2120</v>
      </c>
      <c r="C249" s="196">
        <v>105616</v>
      </c>
      <c r="D249" s="192" t="s">
        <v>427</v>
      </c>
      <c r="E249" s="191" t="s">
        <v>756</v>
      </c>
      <c r="F249" s="192">
        <v>5</v>
      </c>
      <c r="G249" s="191"/>
      <c r="H249" s="191">
        <v>0</v>
      </c>
      <c r="I249" s="191"/>
      <c r="J249" s="191">
        <v>0</v>
      </c>
      <c r="K249" s="191" t="s">
        <v>465</v>
      </c>
      <c r="L249" s="191"/>
      <c r="M249" s="191" t="s">
        <v>543</v>
      </c>
      <c r="N249" s="195">
        <v>39083</v>
      </c>
      <c r="O249" s="195">
        <v>39083</v>
      </c>
      <c r="P249" s="191" t="s">
        <v>755</v>
      </c>
      <c r="Q249" s="192">
        <v>1108</v>
      </c>
      <c r="R249" s="192">
        <v>14050</v>
      </c>
      <c r="S249" s="193">
        <v>3186.3</v>
      </c>
      <c r="T249" s="192">
        <v>14056</v>
      </c>
      <c r="U249" s="193">
        <v>3186.3</v>
      </c>
      <c r="V249" s="193">
        <f t="shared" si="15"/>
        <v>0</v>
      </c>
      <c r="W249" s="194">
        <v>0</v>
      </c>
      <c r="X249" s="192">
        <v>54260</v>
      </c>
      <c r="Y249" s="193">
        <v>0</v>
      </c>
      <c r="Z249" s="191" t="s">
        <v>427</v>
      </c>
      <c r="AA249" s="191"/>
      <c r="AB249" s="191" t="s">
        <v>754</v>
      </c>
      <c r="AC249" s="191"/>
      <c r="AD249" s="191" t="s">
        <v>426</v>
      </c>
      <c r="AE249" s="191" t="s">
        <v>425</v>
      </c>
      <c r="AF249" s="192" t="s">
        <v>92</v>
      </c>
      <c r="AG249" s="197">
        <v>41455</v>
      </c>
      <c r="AH249" s="192" t="s">
        <v>424</v>
      </c>
      <c r="AI249" s="191">
        <v>0</v>
      </c>
      <c r="AJ249" s="191">
        <v>1775.22</v>
      </c>
    </row>
    <row r="250" spans="2:36">
      <c r="B250" s="192">
        <v>2120</v>
      </c>
      <c r="C250" s="196">
        <v>48841</v>
      </c>
      <c r="D250" s="192" t="s">
        <v>427</v>
      </c>
      <c r="E250" s="191" t="s">
        <v>900</v>
      </c>
      <c r="F250" s="192">
        <v>2</v>
      </c>
      <c r="G250" s="191"/>
      <c r="H250" s="191">
        <v>0</v>
      </c>
      <c r="I250" s="191"/>
      <c r="J250" s="191">
        <v>0</v>
      </c>
      <c r="K250" s="191" t="s">
        <v>465</v>
      </c>
      <c r="L250" s="191"/>
      <c r="M250" s="191" t="s">
        <v>464</v>
      </c>
      <c r="N250" s="195">
        <v>39083</v>
      </c>
      <c r="O250" s="195">
        <v>39083</v>
      </c>
      <c r="P250" s="191" t="s">
        <v>899</v>
      </c>
      <c r="Q250" s="192">
        <v>1108</v>
      </c>
      <c r="R250" s="192">
        <v>14050</v>
      </c>
      <c r="S250" s="193">
        <v>900</v>
      </c>
      <c r="T250" s="192">
        <v>14056</v>
      </c>
      <c r="U250" s="193">
        <v>900</v>
      </c>
      <c r="V250" s="193">
        <f t="shared" si="15"/>
        <v>0</v>
      </c>
      <c r="W250" s="194">
        <v>0</v>
      </c>
      <c r="X250" s="192">
        <v>54260</v>
      </c>
      <c r="Y250" s="193">
        <v>0</v>
      </c>
      <c r="Z250" s="191" t="s">
        <v>427</v>
      </c>
      <c r="AA250" s="191"/>
      <c r="AB250" s="191" t="s">
        <v>898</v>
      </c>
      <c r="AC250" s="191"/>
      <c r="AD250" s="191" t="s">
        <v>426</v>
      </c>
      <c r="AE250" s="191" t="s">
        <v>425</v>
      </c>
      <c r="AF250" s="192" t="s">
        <v>92</v>
      </c>
      <c r="AG250" s="191"/>
      <c r="AH250" s="192" t="s">
        <v>424</v>
      </c>
      <c r="AI250" s="191">
        <v>0</v>
      </c>
      <c r="AJ250" s="191">
        <v>0</v>
      </c>
    </row>
    <row r="251" spans="2:36">
      <c r="B251" s="192">
        <v>2120</v>
      </c>
      <c r="C251" s="196">
        <v>48840</v>
      </c>
      <c r="D251" s="192" t="s">
        <v>427</v>
      </c>
      <c r="E251" s="191" t="s">
        <v>901</v>
      </c>
      <c r="F251" s="192">
        <v>2</v>
      </c>
      <c r="G251" s="191"/>
      <c r="H251" s="191">
        <v>0</v>
      </c>
      <c r="I251" s="191"/>
      <c r="J251" s="191">
        <v>0</v>
      </c>
      <c r="K251" s="191" t="s">
        <v>465</v>
      </c>
      <c r="L251" s="191"/>
      <c r="M251" s="191" t="s">
        <v>461</v>
      </c>
      <c r="N251" s="195">
        <v>39083</v>
      </c>
      <c r="O251" s="195">
        <v>39083</v>
      </c>
      <c r="P251" s="191" t="s">
        <v>899</v>
      </c>
      <c r="Q251" s="192">
        <v>1108</v>
      </c>
      <c r="R251" s="192">
        <v>14050</v>
      </c>
      <c r="S251" s="193">
        <v>860</v>
      </c>
      <c r="T251" s="192">
        <v>14056</v>
      </c>
      <c r="U251" s="193">
        <v>860</v>
      </c>
      <c r="V251" s="193">
        <f t="shared" si="15"/>
        <v>0</v>
      </c>
      <c r="W251" s="194">
        <v>0</v>
      </c>
      <c r="X251" s="192">
        <v>54260</v>
      </c>
      <c r="Y251" s="193">
        <v>0</v>
      </c>
      <c r="Z251" s="191" t="s">
        <v>427</v>
      </c>
      <c r="AA251" s="191"/>
      <c r="AB251" s="191" t="s">
        <v>898</v>
      </c>
      <c r="AC251" s="191"/>
      <c r="AD251" s="191" t="s">
        <v>426</v>
      </c>
      <c r="AE251" s="191" t="s">
        <v>425</v>
      </c>
      <c r="AF251" s="192" t="s">
        <v>92</v>
      </c>
      <c r="AG251" s="191"/>
      <c r="AH251" s="192" t="s">
        <v>424</v>
      </c>
      <c r="AI251" s="191">
        <v>0</v>
      </c>
      <c r="AJ251" s="191">
        <v>0</v>
      </c>
    </row>
    <row r="252" spans="2:36">
      <c r="B252" s="192">
        <v>2120</v>
      </c>
      <c r="C252" s="196">
        <v>48839</v>
      </c>
      <c r="D252" s="192" t="s">
        <v>427</v>
      </c>
      <c r="E252" s="191" t="s">
        <v>509</v>
      </c>
      <c r="F252" s="192">
        <v>3</v>
      </c>
      <c r="G252" s="191"/>
      <c r="H252" s="191">
        <v>0</v>
      </c>
      <c r="I252" s="191"/>
      <c r="J252" s="191">
        <v>0</v>
      </c>
      <c r="K252" s="191" t="s">
        <v>465</v>
      </c>
      <c r="L252" s="191"/>
      <c r="M252" s="191" t="s">
        <v>469</v>
      </c>
      <c r="N252" s="195">
        <v>39083</v>
      </c>
      <c r="O252" s="195">
        <v>39083</v>
      </c>
      <c r="P252" s="191" t="s">
        <v>899</v>
      </c>
      <c r="Q252" s="192">
        <v>1110</v>
      </c>
      <c r="R252" s="192">
        <v>14050</v>
      </c>
      <c r="S252" s="193">
        <v>1410</v>
      </c>
      <c r="T252" s="192">
        <v>14056</v>
      </c>
      <c r="U252" s="193">
        <v>1410</v>
      </c>
      <c r="V252" s="193">
        <f t="shared" si="15"/>
        <v>0</v>
      </c>
      <c r="W252" s="194">
        <v>0</v>
      </c>
      <c r="X252" s="192">
        <v>54260</v>
      </c>
      <c r="Y252" s="193">
        <v>0</v>
      </c>
      <c r="Z252" s="191" t="s">
        <v>427</v>
      </c>
      <c r="AA252" s="191"/>
      <c r="AB252" s="191" t="s">
        <v>902</v>
      </c>
      <c r="AC252" s="191"/>
      <c r="AD252" s="191" t="s">
        <v>426</v>
      </c>
      <c r="AE252" s="191" t="s">
        <v>425</v>
      </c>
      <c r="AF252" s="192" t="s">
        <v>92</v>
      </c>
      <c r="AG252" s="191"/>
      <c r="AH252" s="192" t="s">
        <v>424</v>
      </c>
      <c r="AI252" s="191">
        <v>0</v>
      </c>
      <c r="AJ252" s="191">
        <v>0</v>
      </c>
    </row>
    <row r="253" spans="2:36">
      <c r="B253" s="192">
        <v>2120</v>
      </c>
      <c r="C253" s="196">
        <v>48053</v>
      </c>
      <c r="D253" s="192" t="s">
        <v>427</v>
      </c>
      <c r="E253" s="191" t="s">
        <v>905</v>
      </c>
      <c r="F253" s="192">
        <v>1</v>
      </c>
      <c r="G253" s="191"/>
      <c r="H253" s="191">
        <v>0</v>
      </c>
      <c r="I253" s="191"/>
      <c r="J253" s="191">
        <v>2006</v>
      </c>
      <c r="K253" s="191" t="s">
        <v>465</v>
      </c>
      <c r="L253" s="191" t="s">
        <v>734</v>
      </c>
      <c r="M253" s="191" t="s">
        <v>538</v>
      </c>
      <c r="N253" s="195">
        <v>39083</v>
      </c>
      <c r="O253" s="195">
        <v>39083</v>
      </c>
      <c r="P253" s="191" t="s">
        <v>904</v>
      </c>
      <c r="Q253" s="192">
        <v>1107</v>
      </c>
      <c r="R253" s="192">
        <v>14050</v>
      </c>
      <c r="S253" s="193">
        <v>6620</v>
      </c>
      <c r="T253" s="192">
        <v>14056</v>
      </c>
      <c r="U253" s="193">
        <v>6620</v>
      </c>
      <c r="V253" s="193">
        <f t="shared" si="15"/>
        <v>0</v>
      </c>
      <c r="W253" s="194">
        <v>0</v>
      </c>
      <c r="X253" s="192">
        <v>54260</v>
      </c>
      <c r="Y253" s="193">
        <v>0</v>
      </c>
      <c r="Z253" s="191" t="s">
        <v>427</v>
      </c>
      <c r="AA253" s="191"/>
      <c r="AB253" s="191" t="s">
        <v>903</v>
      </c>
      <c r="AC253" s="191"/>
      <c r="AD253" s="191" t="s">
        <v>426</v>
      </c>
      <c r="AE253" s="191" t="s">
        <v>425</v>
      </c>
      <c r="AF253" s="192" t="s">
        <v>92</v>
      </c>
      <c r="AG253" s="191"/>
      <c r="AH253" s="192" t="s">
        <v>424</v>
      </c>
      <c r="AI253" s="191">
        <v>0</v>
      </c>
      <c r="AJ253" s="191">
        <v>0</v>
      </c>
    </row>
    <row r="254" spans="2:36">
      <c r="B254" s="192">
        <v>2120</v>
      </c>
      <c r="C254" s="196">
        <v>47979</v>
      </c>
      <c r="D254" s="192" t="s">
        <v>427</v>
      </c>
      <c r="E254" s="191" t="s">
        <v>880</v>
      </c>
      <c r="F254" s="192">
        <v>2</v>
      </c>
      <c r="G254" s="191"/>
      <c r="H254" s="191">
        <v>0</v>
      </c>
      <c r="I254" s="191"/>
      <c r="J254" s="191">
        <v>0</v>
      </c>
      <c r="K254" s="191" t="s">
        <v>430</v>
      </c>
      <c r="L254" s="191"/>
      <c r="M254" s="191" t="s">
        <v>507</v>
      </c>
      <c r="N254" s="195">
        <v>38943</v>
      </c>
      <c r="O254" s="195">
        <v>38943</v>
      </c>
      <c r="P254" s="191" t="s">
        <v>906</v>
      </c>
      <c r="Q254" s="192">
        <v>1200</v>
      </c>
      <c r="R254" s="192">
        <v>14050</v>
      </c>
      <c r="S254" s="193">
        <v>1454</v>
      </c>
      <c r="T254" s="192">
        <v>14056</v>
      </c>
      <c r="U254" s="193">
        <v>1454</v>
      </c>
      <c r="V254" s="193">
        <f t="shared" si="15"/>
        <v>0</v>
      </c>
      <c r="W254" s="194">
        <v>0</v>
      </c>
      <c r="X254" s="192">
        <v>54260</v>
      </c>
      <c r="Y254" s="193">
        <v>0</v>
      </c>
      <c r="Z254" s="191" t="s">
        <v>427</v>
      </c>
      <c r="AA254" s="191"/>
      <c r="AB254" s="191">
        <v>3071</v>
      </c>
      <c r="AC254" s="191"/>
      <c r="AD254" s="191" t="s">
        <v>426</v>
      </c>
      <c r="AE254" s="191" t="s">
        <v>425</v>
      </c>
      <c r="AF254" s="192" t="s">
        <v>92</v>
      </c>
      <c r="AG254" s="191"/>
      <c r="AH254" s="192" t="s">
        <v>424</v>
      </c>
      <c r="AI254" s="191">
        <v>0</v>
      </c>
      <c r="AJ254" s="191">
        <v>0</v>
      </c>
    </row>
    <row r="255" spans="2:36">
      <c r="B255" s="192">
        <v>2120</v>
      </c>
      <c r="C255" s="196">
        <v>47978</v>
      </c>
      <c r="D255" s="192" t="s">
        <v>427</v>
      </c>
      <c r="E255" s="191" t="s">
        <v>881</v>
      </c>
      <c r="F255" s="192">
        <v>8</v>
      </c>
      <c r="G255" s="191"/>
      <c r="H255" s="191">
        <v>0</v>
      </c>
      <c r="I255" s="191"/>
      <c r="J255" s="191">
        <v>0</v>
      </c>
      <c r="K255" s="191" t="s">
        <v>430</v>
      </c>
      <c r="L255" s="191"/>
      <c r="M255" s="191" t="s">
        <v>543</v>
      </c>
      <c r="N255" s="195">
        <v>38943</v>
      </c>
      <c r="O255" s="195">
        <v>38943</v>
      </c>
      <c r="P255" s="191" t="s">
        <v>906</v>
      </c>
      <c r="Q255" s="192">
        <v>1200</v>
      </c>
      <c r="R255" s="192">
        <v>14050</v>
      </c>
      <c r="S255" s="193">
        <v>4912</v>
      </c>
      <c r="T255" s="192">
        <v>14056</v>
      </c>
      <c r="U255" s="193">
        <v>4912</v>
      </c>
      <c r="V255" s="193">
        <f t="shared" si="15"/>
        <v>0</v>
      </c>
      <c r="W255" s="194">
        <v>0</v>
      </c>
      <c r="X255" s="192">
        <v>54260</v>
      </c>
      <c r="Y255" s="193">
        <v>0</v>
      </c>
      <c r="Z255" s="191" t="s">
        <v>427</v>
      </c>
      <c r="AA255" s="191"/>
      <c r="AB255" s="191">
        <v>3071</v>
      </c>
      <c r="AC255" s="191"/>
      <c r="AD255" s="191" t="s">
        <v>426</v>
      </c>
      <c r="AE255" s="191" t="s">
        <v>425</v>
      </c>
      <c r="AF255" s="192" t="s">
        <v>92</v>
      </c>
      <c r="AG255" s="191"/>
      <c r="AH255" s="192" t="s">
        <v>424</v>
      </c>
      <c r="AI255" s="191">
        <v>0</v>
      </c>
      <c r="AJ255" s="191">
        <v>0</v>
      </c>
    </row>
    <row r="256" spans="2:36">
      <c r="B256" s="192">
        <v>2120</v>
      </c>
      <c r="C256" s="196">
        <v>219448</v>
      </c>
      <c r="D256" s="192" t="s">
        <v>427</v>
      </c>
      <c r="E256" s="191" t="s">
        <v>379</v>
      </c>
      <c r="F256" s="192">
        <v>4</v>
      </c>
      <c r="G256" s="191"/>
      <c r="H256" s="191">
        <v>0</v>
      </c>
      <c r="I256" s="191"/>
      <c r="J256" s="191">
        <v>0</v>
      </c>
      <c r="K256" s="191" t="s">
        <v>465</v>
      </c>
      <c r="L256" s="191"/>
      <c r="M256" s="191" t="s">
        <v>464</v>
      </c>
      <c r="N256" s="195">
        <v>38884</v>
      </c>
      <c r="O256" s="195">
        <v>38884</v>
      </c>
      <c r="P256" s="191" t="s">
        <v>548</v>
      </c>
      <c r="Q256" s="192">
        <v>1200</v>
      </c>
      <c r="R256" s="192">
        <v>14050</v>
      </c>
      <c r="S256" s="193">
        <v>1624.66</v>
      </c>
      <c r="T256" s="192">
        <v>14056</v>
      </c>
      <c r="U256" s="193">
        <v>1624.66</v>
      </c>
      <c r="V256" s="193">
        <f t="shared" si="15"/>
        <v>0</v>
      </c>
      <c r="W256" s="194">
        <v>0</v>
      </c>
      <c r="X256" s="192">
        <v>54260</v>
      </c>
      <c r="Y256" s="193">
        <v>0</v>
      </c>
      <c r="Z256" s="191" t="s">
        <v>427</v>
      </c>
      <c r="AA256" s="191"/>
      <c r="AB256" s="191" t="s">
        <v>547</v>
      </c>
      <c r="AC256" s="191"/>
      <c r="AD256" s="191" t="s">
        <v>426</v>
      </c>
      <c r="AE256" s="191" t="s">
        <v>425</v>
      </c>
      <c r="AF256" s="192" t="s">
        <v>92</v>
      </c>
      <c r="AG256" s="197">
        <v>43708</v>
      </c>
      <c r="AH256" s="192" t="s">
        <v>424</v>
      </c>
      <c r="AI256" s="191">
        <v>0</v>
      </c>
      <c r="AJ256" s="191">
        <v>1624.66</v>
      </c>
    </row>
    <row r="257" spans="2:48">
      <c r="B257" s="192">
        <v>2120</v>
      </c>
      <c r="C257" s="196">
        <v>254643</v>
      </c>
      <c r="D257" s="192" t="s">
        <v>427</v>
      </c>
      <c r="E257" s="191" t="s">
        <v>379</v>
      </c>
      <c r="F257" s="192">
        <v>3</v>
      </c>
      <c r="G257" s="191"/>
      <c r="H257" s="191">
        <v>0</v>
      </c>
      <c r="I257" s="191"/>
      <c r="J257" s="191">
        <v>0</v>
      </c>
      <c r="K257" s="191" t="s">
        <v>465</v>
      </c>
      <c r="L257" s="191"/>
      <c r="M257" s="191" t="s">
        <v>464</v>
      </c>
      <c r="N257" s="195">
        <v>38841</v>
      </c>
      <c r="O257" s="195">
        <v>38841</v>
      </c>
      <c r="P257" s="191" t="s">
        <v>463</v>
      </c>
      <c r="Q257" s="192">
        <v>1200</v>
      </c>
      <c r="R257" s="192">
        <v>14050</v>
      </c>
      <c r="S257" s="193">
        <v>1218.49</v>
      </c>
      <c r="T257" s="192">
        <v>14056</v>
      </c>
      <c r="U257" s="193">
        <v>1218.49</v>
      </c>
      <c r="V257" s="193">
        <f t="shared" si="15"/>
        <v>0</v>
      </c>
      <c r="W257" s="194">
        <v>0</v>
      </c>
      <c r="X257" s="192">
        <v>54260</v>
      </c>
      <c r="Y257" s="193">
        <v>0</v>
      </c>
      <c r="Z257" s="191" t="s">
        <v>427</v>
      </c>
      <c r="AA257" s="191"/>
      <c r="AB257" s="191" t="s">
        <v>462</v>
      </c>
      <c r="AC257" s="191"/>
      <c r="AD257" s="191" t="s">
        <v>426</v>
      </c>
      <c r="AE257" s="191" t="s">
        <v>425</v>
      </c>
      <c r="AF257" s="192" t="s">
        <v>92</v>
      </c>
      <c r="AG257" s="197">
        <v>44347</v>
      </c>
      <c r="AH257" s="192" t="s">
        <v>424</v>
      </c>
      <c r="AI257" s="191">
        <v>0</v>
      </c>
      <c r="AJ257" s="191">
        <v>1218.49</v>
      </c>
      <c r="AM257" s="256"/>
      <c r="AN257" s="256"/>
      <c r="AO257" s="257"/>
      <c r="AP257" s="258"/>
      <c r="AQ257" s="259"/>
      <c r="AR257" s="260"/>
      <c r="AS257" s="261"/>
      <c r="AT257" s="261"/>
      <c r="AU257" s="260"/>
      <c r="AV257" s="262"/>
    </row>
    <row r="258" spans="2:48">
      <c r="B258" s="192">
        <v>2120</v>
      </c>
      <c r="C258" s="196">
        <v>219446</v>
      </c>
      <c r="D258" s="192" t="s">
        <v>427</v>
      </c>
      <c r="E258" s="191" t="s">
        <v>381</v>
      </c>
      <c r="F258" s="192">
        <v>1</v>
      </c>
      <c r="G258" s="191"/>
      <c r="H258" s="191">
        <v>0</v>
      </c>
      <c r="I258" s="191"/>
      <c r="J258" s="191">
        <v>0</v>
      </c>
      <c r="K258" s="191" t="s">
        <v>465</v>
      </c>
      <c r="L258" s="191"/>
      <c r="M258" s="191" t="s">
        <v>507</v>
      </c>
      <c r="N258" s="195">
        <v>38841</v>
      </c>
      <c r="O258" s="195">
        <v>38841</v>
      </c>
      <c r="P258" s="191" t="s">
        <v>463</v>
      </c>
      <c r="Q258" s="192">
        <v>1200</v>
      </c>
      <c r="R258" s="192">
        <v>14050</v>
      </c>
      <c r="S258" s="193">
        <v>974.14</v>
      </c>
      <c r="T258" s="192">
        <v>14056</v>
      </c>
      <c r="U258" s="193">
        <v>974.14</v>
      </c>
      <c r="V258" s="193">
        <f t="shared" si="15"/>
        <v>0</v>
      </c>
      <c r="W258" s="194">
        <v>0</v>
      </c>
      <c r="X258" s="192">
        <v>54260</v>
      </c>
      <c r="Y258" s="193">
        <v>0</v>
      </c>
      <c r="Z258" s="191" t="s">
        <v>427</v>
      </c>
      <c r="AA258" s="191"/>
      <c r="AB258" s="191" t="s">
        <v>462</v>
      </c>
      <c r="AC258" s="191"/>
      <c r="AD258" s="191" t="s">
        <v>426</v>
      </c>
      <c r="AE258" s="191" t="s">
        <v>425</v>
      </c>
      <c r="AF258" s="192" t="s">
        <v>92</v>
      </c>
      <c r="AG258" s="197">
        <v>43708</v>
      </c>
      <c r="AH258" s="192" t="s">
        <v>424</v>
      </c>
      <c r="AI258" s="191">
        <v>0</v>
      </c>
      <c r="AJ258" s="191">
        <v>974.14</v>
      </c>
    </row>
    <row r="259" spans="2:48">
      <c r="B259" s="192">
        <v>2120</v>
      </c>
      <c r="C259" s="196">
        <v>42987</v>
      </c>
      <c r="D259" s="192" t="s">
        <v>427</v>
      </c>
      <c r="E259" s="191" t="s">
        <v>913</v>
      </c>
      <c r="F259" s="192">
        <v>427</v>
      </c>
      <c r="G259" s="191"/>
      <c r="H259" s="191">
        <v>0</v>
      </c>
      <c r="I259" s="191"/>
      <c r="J259" s="191">
        <v>0</v>
      </c>
      <c r="K259" s="191" t="s">
        <v>465</v>
      </c>
      <c r="L259" s="191"/>
      <c r="M259" s="191"/>
      <c r="N259" s="195">
        <v>38828</v>
      </c>
      <c r="O259" s="195">
        <v>38828</v>
      </c>
      <c r="P259" s="191" t="s">
        <v>912</v>
      </c>
      <c r="Q259" s="192">
        <v>700</v>
      </c>
      <c r="R259" s="192">
        <v>14050</v>
      </c>
      <c r="S259" s="193">
        <v>26081.66</v>
      </c>
      <c r="T259" s="192">
        <v>14056</v>
      </c>
      <c r="U259" s="193">
        <v>26081.66</v>
      </c>
      <c r="V259" s="193">
        <f t="shared" si="15"/>
        <v>0</v>
      </c>
      <c r="W259" s="194">
        <v>0</v>
      </c>
      <c r="X259" s="192">
        <v>54260</v>
      </c>
      <c r="Y259" s="193">
        <v>0</v>
      </c>
      <c r="Z259" s="191" t="s">
        <v>427</v>
      </c>
      <c r="AA259" s="191"/>
      <c r="AB259" s="191" t="s">
        <v>911</v>
      </c>
      <c r="AC259" s="191"/>
      <c r="AD259" s="191" t="s">
        <v>426</v>
      </c>
      <c r="AE259" s="191" t="s">
        <v>425</v>
      </c>
      <c r="AF259" s="192" t="s">
        <v>92</v>
      </c>
      <c r="AG259" s="191"/>
      <c r="AH259" s="192" t="s">
        <v>424</v>
      </c>
      <c r="AI259" s="191">
        <v>0</v>
      </c>
      <c r="AJ259" s="191">
        <v>0</v>
      </c>
    </row>
    <row r="260" spans="2:48">
      <c r="B260" s="192">
        <v>2120</v>
      </c>
      <c r="C260" s="196">
        <v>43739</v>
      </c>
      <c r="D260" s="192" t="s">
        <v>427</v>
      </c>
      <c r="E260" s="191" t="s">
        <v>756</v>
      </c>
      <c r="F260" s="192">
        <v>2</v>
      </c>
      <c r="G260" s="191"/>
      <c r="H260" s="191">
        <v>0</v>
      </c>
      <c r="I260" s="191"/>
      <c r="J260" s="191">
        <v>0</v>
      </c>
      <c r="K260" s="191" t="s">
        <v>465</v>
      </c>
      <c r="L260" s="191"/>
      <c r="M260" s="191" t="s">
        <v>543</v>
      </c>
      <c r="N260" s="195">
        <v>38812</v>
      </c>
      <c r="O260" s="195">
        <v>38812</v>
      </c>
      <c r="P260" s="191" t="s">
        <v>908</v>
      </c>
      <c r="Q260" s="192">
        <v>1200</v>
      </c>
      <c r="R260" s="192">
        <v>14050</v>
      </c>
      <c r="S260" s="193">
        <v>1802.76</v>
      </c>
      <c r="T260" s="192">
        <v>14056</v>
      </c>
      <c r="U260" s="193">
        <v>1802.76</v>
      </c>
      <c r="V260" s="193">
        <f t="shared" si="15"/>
        <v>0</v>
      </c>
      <c r="W260" s="194">
        <v>0</v>
      </c>
      <c r="X260" s="192">
        <v>54260</v>
      </c>
      <c r="Y260" s="193">
        <v>0</v>
      </c>
      <c r="Z260" s="191" t="s">
        <v>427</v>
      </c>
      <c r="AA260" s="191"/>
      <c r="AB260" s="191" t="s">
        <v>907</v>
      </c>
      <c r="AC260" s="191"/>
      <c r="AD260" s="191" t="s">
        <v>426</v>
      </c>
      <c r="AE260" s="191" t="s">
        <v>425</v>
      </c>
      <c r="AF260" s="192" t="s">
        <v>92</v>
      </c>
      <c r="AG260" s="191"/>
      <c r="AH260" s="192" t="s">
        <v>424</v>
      </c>
      <c r="AI260" s="191">
        <v>0</v>
      </c>
      <c r="AJ260" s="191">
        <v>0</v>
      </c>
    </row>
    <row r="261" spans="2:48">
      <c r="B261" s="192">
        <v>2120</v>
      </c>
      <c r="C261" s="196">
        <v>43738</v>
      </c>
      <c r="D261" s="192" t="s">
        <v>427</v>
      </c>
      <c r="E261" s="191" t="s">
        <v>900</v>
      </c>
      <c r="F261" s="192">
        <v>5</v>
      </c>
      <c r="G261" s="191"/>
      <c r="H261" s="191">
        <v>0</v>
      </c>
      <c r="I261" s="191"/>
      <c r="J261" s="191">
        <v>0</v>
      </c>
      <c r="K261" s="191" t="s">
        <v>465</v>
      </c>
      <c r="L261" s="191"/>
      <c r="M261" s="191" t="s">
        <v>464</v>
      </c>
      <c r="N261" s="195">
        <v>38812</v>
      </c>
      <c r="O261" s="195">
        <v>38812</v>
      </c>
      <c r="P261" s="191" t="s">
        <v>908</v>
      </c>
      <c r="Q261" s="192">
        <v>1200</v>
      </c>
      <c r="R261" s="192">
        <v>14050</v>
      </c>
      <c r="S261" s="193">
        <v>2253.4499999999998</v>
      </c>
      <c r="T261" s="192">
        <v>14056</v>
      </c>
      <c r="U261" s="193">
        <v>2253.4499999999998</v>
      </c>
      <c r="V261" s="193">
        <f t="shared" si="15"/>
        <v>0</v>
      </c>
      <c r="W261" s="194">
        <v>0</v>
      </c>
      <c r="X261" s="192">
        <v>54260</v>
      </c>
      <c r="Y261" s="193">
        <v>0</v>
      </c>
      <c r="Z261" s="191" t="s">
        <v>427</v>
      </c>
      <c r="AA261" s="191"/>
      <c r="AB261" s="191" t="s">
        <v>907</v>
      </c>
      <c r="AC261" s="191"/>
      <c r="AD261" s="191" t="s">
        <v>426</v>
      </c>
      <c r="AE261" s="191" t="s">
        <v>425</v>
      </c>
      <c r="AF261" s="192" t="s">
        <v>92</v>
      </c>
      <c r="AG261" s="191"/>
      <c r="AH261" s="192" t="s">
        <v>424</v>
      </c>
      <c r="AI261" s="191">
        <v>0</v>
      </c>
      <c r="AJ261" s="191">
        <v>0</v>
      </c>
    </row>
    <row r="262" spans="2:48">
      <c r="B262" s="192">
        <v>2120</v>
      </c>
      <c r="C262" s="196">
        <v>43737</v>
      </c>
      <c r="D262" s="192" t="s">
        <v>427</v>
      </c>
      <c r="E262" s="191" t="s">
        <v>901</v>
      </c>
      <c r="F262" s="192">
        <v>7</v>
      </c>
      <c r="G262" s="191"/>
      <c r="H262" s="191">
        <v>0</v>
      </c>
      <c r="I262" s="191"/>
      <c r="J262" s="191">
        <v>0</v>
      </c>
      <c r="K262" s="191" t="s">
        <v>465</v>
      </c>
      <c r="L262" s="191"/>
      <c r="M262" s="191" t="s">
        <v>461</v>
      </c>
      <c r="N262" s="195">
        <v>38812</v>
      </c>
      <c r="O262" s="195">
        <v>38812</v>
      </c>
      <c r="P262" s="191" t="s">
        <v>908</v>
      </c>
      <c r="Q262" s="192">
        <v>1200</v>
      </c>
      <c r="R262" s="192">
        <v>14050</v>
      </c>
      <c r="S262" s="193">
        <v>2926.77</v>
      </c>
      <c r="T262" s="192">
        <v>14056</v>
      </c>
      <c r="U262" s="193">
        <v>2926.77</v>
      </c>
      <c r="V262" s="193">
        <f t="shared" si="15"/>
        <v>0</v>
      </c>
      <c r="W262" s="194">
        <v>0</v>
      </c>
      <c r="X262" s="192">
        <v>54260</v>
      </c>
      <c r="Y262" s="193">
        <v>0</v>
      </c>
      <c r="Z262" s="191" t="s">
        <v>427</v>
      </c>
      <c r="AA262" s="191"/>
      <c r="AB262" s="191" t="s">
        <v>907</v>
      </c>
      <c r="AC262" s="191"/>
      <c r="AD262" s="191" t="s">
        <v>426</v>
      </c>
      <c r="AE262" s="191" t="s">
        <v>425</v>
      </c>
      <c r="AF262" s="192" t="s">
        <v>92</v>
      </c>
      <c r="AG262" s="191"/>
      <c r="AH262" s="192" t="s">
        <v>424</v>
      </c>
      <c r="AI262" s="191">
        <v>2</v>
      </c>
      <c r="AJ262" s="191">
        <v>0</v>
      </c>
    </row>
    <row r="263" spans="2:48">
      <c r="B263" s="192">
        <v>2120</v>
      </c>
      <c r="C263" s="196">
        <v>42180</v>
      </c>
      <c r="D263" s="192" t="s">
        <v>427</v>
      </c>
      <c r="E263" s="191" t="s">
        <v>918</v>
      </c>
      <c r="F263" s="192">
        <v>4</v>
      </c>
      <c r="G263" s="191"/>
      <c r="H263" s="191">
        <v>0</v>
      </c>
      <c r="I263" s="191"/>
      <c r="J263" s="191">
        <v>0</v>
      </c>
      <c r="K263" s="191" t="s">
        <v>430</v>
      </c>
      <c r="L263" s="191"/>
      <c r="M263" s="191" t="s">
        <v>507</v>
      </c>
      <c r="N263" s="195">
        <v>38796</v>
      </c>
      <c r="O263" s="195">
        <v>38796</v>
      </c>
      <c r="P263" s="191" t="s">
        <v>908</v>
      </c>
      <c r="Q263" s="192">
        <v>1200</v>
      </c>
      <c r="R263" s="192">
        <v>14050</v>
      </c>
      <c r="S263" s="193">
        <v>3148.85</v>
      </c>
      <c r="T263" s="192">
        <v>14056</v>
      </c>
      <c r="U263" s="193">
        <v>3148.85</v>
      </c>
      <c r="V263" s="193">
        <f t="shared" si="15"/>
        <v>0</v>
      </c>
      <c r="W263" s="194">
        <v>0</v>
      </c>
      <c r="X263" s="192">
        <v>54260</v>
      </c>
      <c r="Y263" s="193">
        <v>0</v>
      </c>
      <c r="Z263" s="191" t="s">
        <v>427</v>
      </c>
      <c r="AA263" s="191"/>
      <c r="AB263" s="191">
        <v>2828</v>
      </c>
      <c r="AC263" s="191"/>
      <c r="AD263" s="191" t="s">
        <v>426</v>
      </c>
      <c r="AE263" s="191" t="s">
        <v>425</v>
      </c>
      <c r="AF263" s="192" t="s">
        <v>92</v>
      </c>
      <c r="AG263" s="191"/>
      <c r="AH263" s="192" t="s">
        <v>424</v>
      </c>
      <c r="AI263" s="191">
        <v>0</v>
      </c>
      <c r="AJ263" s="191">
        <v>0</v>
      </c>
    </row>
    <row r="264" spans="2:48">
      <c r="B264" s="192">
        <v>2120</v>
      </c>
      <c r="C264" s="196">
        <v>42179</v>
      </c>
      <c r="D264" s="192" t="s">
        <v>427</v>
      </c>
      <c r="E264" s="191" t="s">
        <v>919</v>
      </c>
      <c r="F264" s="192">
        <v>4</v>
      </c>
      <c r="G264" s="191"/>
      <c r="H264" s="191">
        <v>0</v>
      </c>
      <c r="I264" s="191"/>
      <c r="J264" s="191">
        <v>0</v>
      </c>
      <c r="K264" s="191" t="s">
        <v>430</v>
      </c>
      <c r="L264" s="191"/>
      <c r="M264" s="191" t="s">
        <v>543</v>
      </c>
      <c r="N264" s="195">
        <v>38796</v>
      </c>
      <c r="O264" s="195">
        <v>38796</v>
      </c>
      <c r="P264" s="191" t="s">
        <v>908</v>
      </c>
      <c r="Q264" s="192">
        <v>1200</v>
      </c>
      <c r="R264" s="192">
        <v>14050</v>
      </c>
      <c r="S264" s="193">
        <v>2567.09</v>
      </c>
      <c r="T264" s="192">
        <v>14056</v>
      </c>
      <c r="U264" s="193">
        <v>2567.09</v>
      </c>
      <c r="V264" s="193">
        <f t="shared" si="15"/>
        <v>0</v>
      </c>
      <c r="W264" s="194">
        <v>0</v>
      </c>
      <c r="X264" s="192">
        <v>54260</v>
      </c>
      <c r="Y264" s="193">
        <v>0</v>
      </c>
      <c r="Z264" s="191" t="s">
        <v>427</v>
      </c>
      <c r="AA264" s="191"/>
      <c r="AB264" s="191">
        <v>2828</v>
      </c>
      <c r="AC264" s="191"/>
      <c r="AD264" s="191" t="s">
        <v>426</v>
      </c>
      <c r="AE264" s="191" t="s">
        <v>425</v>
      </c>
      <c r="AF264" s="192" t="s">
        <v>92</v>
      </c>
      <c r="AG264" s="191"/>
      <c r="AH264" s="192" t="s">
        <v>424</v>
      </c>
      <c r="AI264" s="191">
        <v>0</v>
      </c>
      <c r="AJ264" s="191">
        <v>0</v>
      </c>
    </row>
    <row r="265" spans="2:48">
      <c r="B265" s="192">
        <v>2120</v>
      </c>
      <c r="C265" s="196">
        <v>42267</v>
      </c>
      <c r="D265" s="192" t="s">
        <v>427</v>
      </c>
      <c r="E265" s="191" t="s">
        <v>917</v>
      </c>
      <c r="F265" s="192">
        <v>0</v>
      </c>
      <c r="G265" s="191"/>
      <c r="H265" s="191">
        <v>0</v>
      </c>
      <c r="I265" s="191"/>
      <c r="J265" s="191">
        <v>0</v>
      </c>
      <c r="K265" s="191" t="s">
        <v>916</v>
      </c>
      <c r="L265" s="191"/>
      <c r="M265" s="191"/>
      <c r="N265" s="195">
        <v>38792</v>
      </c>
      <c r="O265" s="195">
        <v>38792</v>
      </c>
      <c r="P265" s="191" t="s">
        <v>915</v>
      </c>
      <c r="Q265" s="192">
        <v>300</v>
      </c>
      <c r="R265" s="192">
        <v>14110</v>
      </c>
      <c r="S265" s="193">
        <v>1327.04</v>
      </c>
      <c r="T265" s="192">
        <v>14116</v>
      </c>
      <c r="U265" s="193">
        <v>1327.04</v>
      </c>
      <c r="V265" s="193">
        <f t="shared" si="15"/>
        <v>0</v>
      </c>
      <c r="W265" s="194">
        <v>0</v>
      </c>
      <c r="X265" s="192">
        <v>70260</v>
      </c>
      <c r="Y265" s="193">
        <v>0</v>
      </c>
      <c r="Z265" s="191" t="s">
        <v>427</v>
      </c>
      <c r="AA265" s="191"/>
      <c r="AB265" s="191" t="s">
        <v>914</v>
      </c>
      <c r="AC265" s="191"/>
      <c r="AD265" s="191" t="s">
        <v>426</v>
      </c>
      <c r="AE265" s="191" t="s">
        <v>425</v>
      </c>
      <c r="AF265" s="192" t="s">
        <v>92</v>
      </c>
      <c r="AG265" s="191"/>
      <c r="AH265" s="192" t="s">
        <v>424</v>
      </c>
      <c r="AI265" s="191">
        <v>0</v>
      </c>
      <c r="AJ265" s="191">
        <v>0</v>
      </c>
    </row>
    <row r="266" spans="2:48">
      <c r="B266" s="192">
        <v>2120</v>
      </c>
      <c r="C266" s="196">
        <v>43736</v>
      </c>
      <c r="D266" s="192" t="s">
        <v>427</v>
      </c>
      <c r="E266" s="191" t="s">
        <v>910</v>
      </c>
      <c r="F266" s="192">
        <v>8</v>
      </c>
      <c r="G266" s="191"/>
      <c r="H266" s="191">
        <v>0</v>
      </c>
      <c r="I266" s="191"/>
      <c r="J266" s="191">
        <v>0</v>
      </c>
      <c r="K266" s="191" t="s">
        <v>465</v>
      </c>
      <c r="L266" s="191"/>
      <c r="M266" s="191" t="s">
        <v>469</v>
      </c>
      <c r="N266" s="195">
        <v>38791</v>
      </c>
      <c r="O266" s="195">
        <v>38791</v>
      </c>
      <c r="P266" s="191" t="s">
        <v>908</v>
      </c>
      <c r="Q266" s="192">
        <v>1200</v>
      </c>
      <c r="R266" s="192">
        <v>14050</v>
      </c>
      <c r="S266" s="193">
        <v>3749.76</v>
      </c>
      <c r="T266" s="192">
        <v>14056</v>
      </c>
      <c r="U266" s="193">
        <v>3749.76</v>
      </c>
      <c r="V266" s="193">
        <f t="shared" si="15"/>
        <v>0</v>
      </c>
      <c r="W266" s="194">
        <v>0</v>
      </c>
      <c r="X266" s="192">
        <v>54260</v>
      </c>
      <c r="Y266" s="193">
        <v>0</v>
      </c>
      <c r="Z266" s="191" t="s">
        <v>427</v>
      </c>
      <c r="AA266" s="191"/>
      <c r="AB266" s="191" t="s">
        <v>909</v>
      </c>
      <c r="AC266" s="191"/>
      <c r="AD266" s="191" t="s">
        <v>426</v>
      </c>
      <c r="AE266" s="191" t="s">
        <v>425</v>
      </c>
      <c r="AF266" s="192" t="s">
        <v>92</v>
      </c>
      <c r="AG266" s="191"/>
      <c r="AH266" s="192" t="s">
        <v>424</v>
      </c>
      <c r="AI266" s="191">
        <v>0</v>
      </c>
      <c r="AJ266" s="191">
        <v>0</v>
      </c>
    </row>
    <row r="267" spans="2:48">
      <c r="B267" s="192">
        <v>2120</v>
      </c>
      <c r="C267" s="196">
        <v>40931</v>
      </c>
      <c r="D267" s="192" t="s">
        <v>427</v>
      </c>
      <c r="E267" s="191" t="s">
        <v>922</v>
      </c>
      <c r="F267" s="192">
        <v>150</v>
      </c>
      <c r="G267" s="191"/>
      <c r="H267" s="191">
        <v>0</v>
      </c>
      <c r="I267" s="191"/>
      <c r="J267" s="191">
        <v>0</v>
      </c>
      <c r="K267" s="191" t="s">
        <v>465</v>
      </c>
      <c r="L267" s="191"/>
      <c r="M267" s="191"/>
      <c r="N267" s="195">
        <v>38718</v>
      </c>
      <c r="O267" s="195">
        <v>38718</v>
      </c>
      <c r="P267" s="191" t="s">
        <v>921</v>
      </c>
      <c r="Q267" s="192">
        <v>700</v>
      </c>
      <c r="R267" s="192">
        <v>14050</v>
      </c>
      <c r="S267" s="193">
        <v>10022.94</v>
      </c>
      <c r="T267" s="192">
        <v>14056</v>
      </c>
      <c r="U267" s="193">
        <v>10022.94</v>
      </c>
      <c r="V267" s="193">
        <f t="shared" si="15"/>
        <v>0</v>
      </c>
      <c r="W267" s="194">
        <v>0</v>
      </c>
      <c r="X267" s="192">
        <v>54260</v>
      </c>
      <c r="Y267" s="193">
        <v>0</v>
      </c>
      <c r="Z267" s="191" t="s">
        <v>427</v>
      </c>
      <c r="AA267" s="191">
        <v>0</v>
      </c>
      <c r="AB267" s="191" t="s">
        <v>920</v>
      </c>
      <c r="AC267" s="191"/>
      <c r="AD267" s="191" t="s">
        <v>426</v>
      </c>
      <c r="AE267" s="191" t="s">
        <v>425</v>
      </c>
      <c r="AF267" s="192" t="s">
        <v>92</v>
      </c>
      <c r="AG267" s="191"/>
      <c r="AH267" s="192" t="s">
        <v>424</v>
      </c>
      <c r="AI267" s="191">
        <v>0</v>
      </c>
      <c r="AJ267" s="191">
        <v>0</v>
      </c>
    </row>
    <row r="268" spans="2:48">
      <c r="B268" s="192">
        <v>2120</v>
      </c>
      <c r="C268" s="196">
        <v>38676</v>
      </c>
      <c r="D268" s="192"/>
      <c r="E268" s="191" t="s">
        <v>935</v>
      </c>
      <c r="F268" s="192">
        <v>0</v>
      </c>
      <c r="G268" s="191"/>
      <c r="H268" s="191"/>
      <c r="I268" s="191"/>
      <c r="J268" s="191">
        <v>0</v>
      </c>
      <c r="K268" s="191" t="s">
        <v>934</v>
      </c>
      <c r="L268" s="191"/>
      <c r="M268" s="191"/>
      <c r="N268" s="195">
        <v>38658</v>
      </c>
      <c r="O268" s="195">
        <v>38658</v>
      </c>
      <c r="P268" s="191" t="s">
        <v>933</v>
      </c>
      <c r="Q268" s="192">
        <v>500</v>
      </c>
      <c r="R268" s="192">
        <v>14070</v>
      </c>
      <c r="S268" s="193">
        <v>1969.08</v>
      </c>
      <c r="T268" s="192">
        <v>14076</v>
      </c>
      <c r="U268" s="193">
        <v>1969.08</v>
      </c>
      <c r="V268" s="193">
        <f t="shared" si="15"/>
        <v>0</v>
      </c>
      <c r="W268" s="194">
        <v>0</v>
      </c>
      <c r="X268" s="192">
        <v>51260</v>
      </c>
      <c r="Y268" s="193">
        <v>0</v>
      </c>
      <c r="Z268" s="191" t="s">
        <v>427</v>
      </c>
      <c r="AA268" s="191">
        <v>0</v>
      </c>
      <c r="AB268" s="191" t="s">
        <v>932</v>
      </c>
      <c r="AC268" s="191"/>
      <c r="AD268" s="191" t="s">
        <v>426</v>
      </c>
      <c r="AE268" s="191" t="s">
        <v>425</v>
      </c>
      <c r="AF268" s="192" t="s">
        <v>92</v>
      </c>
      <c r="AG268" s="191"/>
      <c r="AH268" s="192" t="s">
        <v>424</v>
      </c>
      <c r="AI268" s="191">
        <v>0</v>
      </c>
      <c r="AJ268" s="191">
        <v>0</v>
      </c>
    </row>
    <row r="269" spans="2:48">
      <c r="B269" s="192">
        <v>2120</v>
      </c>
      <c r="C269" s="196">
        <v>39063</v>
      </c>
      <c r="D269" s="192" t="s">
        <v>427</v>
      </c>
      <c r="E269" s="191" t="s">
        <v>926</v>
      </c>
      <c r="F269" s="192">
        <v>1</v>
      </c>
      <c r="G269" s="191"/>
      <c r="H269" s="191"/>
      <c r="I269" s="191"/>
      <c r="J269" s="191">
        <v>0</v>
      </c>
      <c r="K269" s="191" t="s">
        <v>925</v>
      </c>
      <c r="L269" s="191"/>
      <c r="M269" s="191" t="s">
        <v>543</v>
      </c>
      <c r="N269" s="195">
        <v>38629</v>
      </c>
      <c r="O269" s="195">
        <v>38629</v>
      </c>
      <c r="P269" s="191" t="s">
        <v>924</v>
      </c>
      <c r="Q269" s="192">
        <v>1200</v>
      </c>
      <c r="R269" s="192">
        <v>14050</v>
      </c>
      <c r="S269" s="193">
        <v>691.74</v>
      </c>
      <c r="T269" s="192">
        <v>14056</v>
      </c>
      <c r="U269" s="193">
        <v>691.74</v>
      </c>
      <c r="V269" s="193">
        <f t="shared" si="15"/>
        <v>0</v>
      </c>
      <c r="W269" s="194">
        <v>0</v>
      </c>
      <c r="X269" s="192">
        <v>54260</v>
      </c>
      <c r="Y269" s="193">
        <v>0</v>
      </c>
      <c r="Z269" s="191" t="s">
        <v>427</v>
      </c>
      <c r="AA269" s="191">
        <v>0</v>
      </c>
      <c r="AB269" s="191">
        <v>2649</v>
      </c>
      <c r="AC269" s="191"/>
      <c r="AD269" s="191" t="s">
        <v>426</v>
      </c>
      <c r="AE269" s="191" t="s">
        <v>425</v>
      </c>
      <c r="AF269" s="192" t="s">
        <v>92</v>
      </c>
      <c r="AG269" s="191"/>
      <c r="AH269" s="192" t="s">
        <v>424</v>
      </c>
      <c r="AI269" s="191">
        <v>0</v>
      </c>
      <c r="AJ269" s="191">
        <v>0</v>
      </c>
    </row>
    <row r="270" spans="2:48">
      <c r="B270" s="192">
        <v>2120</v>
      </c>
      <c r="C270" s="196">
        <v>39062</v>
      </c>
      <c r="D270" s="192" t="s">
        <v>427</v>
      </c>
      <c r="E270" s="191" t="s">
        <v>927</v>
      </c>
      <c r="F270" s="192">
        <v>2</v>
      </c>
      <c r="G270" s="191"/>
      <c r="H270" s="191"/>
      <c r="I270" s="191"/>
      <c r="J270" s="191">
        <v>0</v>
      </c>
      <c r="K270" s="191" t="s">
        <v>925</v>
      </c>
      <c r="L270" s="191"/>
      <c r="M270" s="191" t="s">
        <v>507</v>
      </c>
      <c r="N270" s="195">
        <v>38629</v>
      </c>
      <c r="O270" s="195">
        <v>38629</v>
      </c>
      <c r="P270" s="191" t="s">
        <v>924</v>
      </c>
      <c r="Q270" s="192">
        <v>1200</v>
      </c>
      <c r="R270" s="192">
        <v>14050</v>
      </c>
      <c r="S270" s="193">
        <v>1696.98</v>
      </c>
      <c r="T270" s="192">
        <v>14056</v>
      </c>
      <c r="U270" s="193">
        <v>1696.98</v>
      </c>
      <c r="V270" s="193">
        <f t="shared" ref="V270:V333" si="16">S270-U270</f>
        <v>0</v>
      </c>
      <c r="W270" s="194">
        <v>0</v>
      </c>
      <c r="X270" s="192">
        <v>54260</v>
      </c>
      <c r="Y270" s="193">
        <v>0</v>
      </c>
      <c r="Z270" s="191" t="s">
        <v>427</v>
      </c>
      <c r="AA270" s="191">
        <v>0</v>
      </c>
      <c r="AB270" s="191">
        <v>2649</v>
      </c>
      <c r="AC270" s="191"/>
      <c r="AD270" s="191" t="s">
        <v>426</v>
      </c>
      <c r="AE270" s="191" t="s">
        <v>425</v>
      </c>
      <c r="AF270" s="192" t="s">
        <v>92</v>
      </c>
      <c r="AG270" s="191"/>
      <c r="AH270" s="192" t="s">
        <v>424</v>
      </c>
      <c r="AI270" s="191">
        <v>0</v>
      </c>
      <c r="AJ270" s="191">
        <v>0</v>
      </c>
    </row>
    <row r="271" spans="2:48">
      <c r="B271" s="192">
        <v>2120</v>
      </c>
      <c r="C271" s="196">
        <v>39061</v>
      </c>
      <c r="D271" s="192" t="s">
        <v>427</v>
      </c>
      <c r="E271" s="191" t="s">
        <v>930</v>
      </c>
      <c r="F271" s="192">
        <v>3</v>
      </c>
      <c r="G271" s="191"/>
      <c r="H271" s="191"/>
      <c r="I271" s="191"/>
      <c r="J271" s="191">
        <v>0</v>
      </c>
      <c r="K271" s="191" t="s">
        <v>752</v>
      </c>
      <c r="L271" s="191"/>
      <c r="M271" s="191" t="s">
        <v>469</v>
      </c>
      <c r="N271" s="195">
        <v>38594</v>
      </c>
      <c r="O271" s="195">
        <v>38594</v>
      </c>
      <c r="P271" s="191" t="s">
        <v>929</v>
      </c>
      <c r="Q271" s="192">
        <v>1200</v>
      </c>
      <c r="R271" s="192">
        <v>14050</v>
      </c>
      <c r="S271" s="193">
        <v>1265.3800000000001</v>
      </c>
      <c r="T271" s="192">
        <v>14056</v>
      </c>
      <c r="U271" s="193">
        <v>1265.3800000000001</v>
      </c>
      <c r="V271" s="193">
        <f t="shared" si="16"/>
        <v>0</v>
      </c>
      <c r="W271" s="194">
        <v>0</v>
      </c>
      <c r="X271" s="192">
        <v>54260</v>
      </c>
      <c r="Y271" s="193">
        <v>0</v>
      </c>
      <c r="Z271" s="191" t="s">
        <v>427</v>
      </c>
      <c r="AA271" s="191">
        <v>0</v>
      </c>
      <c r="AB271" s="191" t="s">
        <v>928</v>
      </c>
      <c r="AC271" s="191"/>
      <c r="AD271" s="191" t="s">
        <v>426</v>
      </c>
      <c r="AE271" s="191" t="s">
        <v>425</v>
      </c>
      <c r="AF271" s="192" t="s">
        <v>92</v>
      </c>
      <c r="AG271" s="191"/>
      <c r="AH271" s="192" t="s">
        <v>424</v>
      </c>
      <c r="AI271" s="191">
        <v>0</v>
      </c>
      <c r="AJ271" s="191">
        <v>0</v>
      </c>
    </row>
    <row r="272" spans="2:48">
      <c r="B272" s="192">
        <v>2120</v>
      </c>
      <c r="C272" s="196">
        <v>39059</v>
      </c>
      <c r="D272" s="192" t="s">
        <v>427</v>
      </c>
      <c r="E272" s="191" t="s">
        <v>931</v>
      </c>
      <c r="F272" s="192">
        <v>8</v>
      </c>
      <c r="G272" s="191"/>
      <c r="H272" s="191"/>
      <c r="I272" s="191"/>
      <c r="J272" s="191">
        <v>0</v>
      </c>
      <c r="K272" s="191" t="s">
        <v>752</v>
      </c>
      <c r="L272" s="191"/>
      <c r="M272" s="191" t="s">
        <v>464</v>
      </c>
      <c r="N272" s="195">
        <v>38594</v>
      </c>
      <c r="O272" s="195">
        <v>38594</v>
      </c>
      <c r="P272" s="191" t="s">
        <v>929</v>
      </c>
      <c r="Q272" s="192">
        <v>1200</v>
      </c>
      <c r="R272" s="192">
        <v>14050</v>
      </c>
      <c r="S272" s="193">
        <v>3228</v>
      </c>
      <c r="T272" s="192">
        <v>14056</v>
      </c>
      <c r="U272" s="193">
        <v>3228</v>
      </c>
      <c r="V272" s="193">
        <f t="shared" si="16"/>
        <v>0</v>
      </c>
      <c r="W272" s="194">
        <v>0</v>
      </c>
      <c r="X272" s="192">
        <v>54260</v>
      </c>
      <c r="Y272" s="193">
        <v>0</v>
      </c>
      <c r="Z272" s="191" t="s">
        <v>427</v>
      </c>
      <c r="AA272" s="191">
        <v>0</v>
      </c>
      <c r="AB272" s="191" t="s">
        <v>928</v>
      </c>
      <c r="AC272" s="191"/>
      <c r="AD272" s="191" t="s">
        <v>426</v>
      </c>
      <c r="AE272" s="191" t="s">
        <v>425</v>
      </c>
      <c r="AF272" s="192" t="s">
        <v>92</v>
      </c>
      <c r="AG272" s="191"/>
      <c r="AH272" s="192" t="s">
        <v>424</v>
      </c>
      <c r="AI272" s="191">
        <v>0</v>
      </c>
      <c r="AJ272" s="191">
        <v>0</v>
      </c>
    </row>
    <row r="273" spans="2:36">
      <c r="B273" s="192">
        <v>2120</v>
      </c>
      <c r="C273" s="196">
        <v>36403</v>
      </c>
      <c r="D273" s="192" t="s">
        <v>427</v>
      </c>
      <c r="E273" s="191" t="s">
        <v>937</v>
      </c>
      <c r="F273" s="192">
        <v>3</v>
      </c>
      <c r="G273" s="191"/>
      <c r="H273" s="191"/>
      <c r="I273" s="191"/>
      <c r="J273" s="191">
        <v>0</v>
      </c>
      <c r="K273" s="191" t="s">
        <v>752</v>
      </c>
      <c r="L273" s="191"/>
      <c r="M273" s="191" t="s">
        <v>543</v>
      </c>
      <c r="N273" s="195">
        <v>38579</v>
      </c>
      <c r="O273" s="195">
        <v>38579</v>
      </c>
      <c r="P273" s="191" t="s">
        <v>929</v>
      </c>
      <c r="Q273" s="192">
        <v>1200</v>
      </c>
      <c r="R273" s="192">
        <v>14050</v>
      </c>
      <c r="S273" s="193">
        <v>2469.42</v>
      </c>
      <c r="T273" s="192">
        <v>14056</v>
      </c>
      <c r="U273" s="193">
        <v>2469.42</v>
      </c>
      <c r="V273" s="193">
        <f t="shared" si="16"/>
        <v>0</v>
      </c>
      <c r="W273" s="194">
        <v>0</v>
      </c>
      <c r="X273" s="192">
        <v>54260</v>
      </c>
      <c r="Y273" s="193">
        <v>0</v>
      </c>
      <c r="Z273" s="191" t="s">
        <v>427</v>
      </c>
      <c r="AA273" s="191">
        <v>0</v>
      </c>
      <c r="AB273" s="191" t="s">
        <v>936</v>
      </c>
      <c r="AC273" s="191"/>
      <c r="AD273" s="191" t="s">
        <v>426</v>
      </c>
      <c r="AE273" s="191" t="s">
        <v>425</v>
      </c>
      <c r="AF273" s="192" t="s">
        <v>92</v>
      </c>
      <c r="AG273" s="191"/>
      <c r="AH273" s="192" t="s">
        <v>424</v>
      </c>
      <c r="AI273" s="191">
        <v>0</v>
      </c>
      <c r="AJ273" s="191">
        <v>0</v>
      </c>
    </row>
    <row r="274" spans="2:36">
      <c r="B274" s="192">
        <v>2120</v>
      </c>
      <c r="C274" s="196">
        <v>35116</v>
      </c>
      <c r="D274" s="192" t="s">
        <v>427</v>
      </c>
      <c r="E274" s="191" t="s">
        <v>938</v>
      </c>
      <c r="F274" s="192">
        <v>2</v>
      </c>
      <c r="G274" s="191"/>
      <c r="H274" s="191"/>
      <c r="I274" s="191"/>
      <c r="J274" s="191">
        <v>0</v>
      </c>
      <c r="K274" s="191" t="s">
        <v>925</v>
      </c>
      <c r="L274" s="191"/>
      <c r="M274" s="191" t="s">
        <v>507</v>
      </c>
      <c r="N274" s="195">
        <v>38467</v>
      </c>
      <c r="O274" s="195">
        <v>38467</v>
      </c>
      <c r="P274" s="191">
        <v>52120001</v>
      </c>
      <c r="Q274" s="192">
        <v>1200</v>
      </c>
      <c r="R274" s="192">
        <v>14050</v>
      </c>
      <c r="S274" s="193">
        <v>1484</v>
      </c>
      <c r="T274" s="192">
        <v>14056</v>
      </c>
      <c r="U274" s="193">
        <v>1484</v>
      </c>
      <c r="V274" s="193">
        <f t="shared" si="16"/>
        <v>0</v>
      </c>
      <c r="W274" s="194">
        <v>0</v>
      </c>
      <c r="X274" s="192">
        <v>54260</v>
      </c>
      <c r="Y274" s="193">
        <v>0</v>
      </c>
      <c r="Z274" s="191" t="s">
        <v>427</v>
      </c>
      <c r="AA274" s="191">
        <v>0</v>
      </c>
      <c r="AB274" s="191">
        <v>2441</v>
      </c>
      <c r="AC274" s="191"/>
      <c r="AD274" s="191" t="s">
        <v>426</v>
      </c>
      <c r="AE274" s="191" t="s">
        <v>425</v>
      </c>
      <c r="AF274" s="192" t="s">
        <v>92</v>
      </c>
      <c r="AG274" s="191"/>
      <c r="AH274" s="192" t="s">
        <v>424</v>
      </c>
      <c r="AI274" s="191">
        <v>0</v>
      </c>
      <c r="AJ274" s="191">
        <v>0</v>
      </c>
    </row>
    <row r="275" spans="2:36">
      <c r="B275" s="192">
        <v>2120</v>
      </c>
      <c r="C275" s="196">
        <v>35115</v>
      </c>
      <c r="D275" s="192" t="s">
        <v>427</v>
      </c>
      <c r="E275" s="191" t="s">
        <v>939</v>
      </c>
      <c r="F275" s="192">
        <v>3</v>
      </c>
      <c r="G275" s="191"/>
      <c r="H275" s="191"/>
      <c r="I275" s="191"/>
      <c r="J275" s="191">
        <v>0</v>
      </c>
      <c r="K275" s="191" t="s">
        <v>925</v>
      </c>
      <c r="L275" s="191"/>
      <c r="M275" s="191" t="s">
        <v>543</v>
      </c>
      <c r="N275" s="195">
        <v>38467</v>
      </c>
      <c r="O275" s="195">
        <v>38467</v>
      </c>
      <c r="P275" s="191">
        <v>52120001</v>
      </c>
      <c r="Q275" s="192">
        <v>1200</v>
      </c>
      <c r="R275" s="192">
        <v>14050</v>
      </c>
      <c r="S275" s="193">
        <v>1848</v>
      </c>
      <c r="T275" s="192">
        <v>14056</v>
      </c>
      <c r="U275" s="193">
        <v>1848</v>
      </c>
      <c r="V275" s="193">
        <f t="shared" si="16"/>
        <v>0</v>
      </c>
      <c r="W275" s="194">
        <v>0</v>
      </c>
      <c r="X275" s="192">
        <v>54260</v>
      </c>
      <c r="Y275" s="193">
        <v>0</v>
      </c>
      <c r="Z275" s="191" t="s">
        <v>427</v>
      </c>
      <c r="AA275" s="191">
        <v>0</v>
      </c>
      <c r="AB275" s="191">
        <v>2441</v>
      </c>
      <c r="AC275" s="191"/>
      <c r="AD275" s="191" t="s">
        <v>426</v>
      </c>
      <c r="AE275" s="191" t="s">
        <v>425</v>
      </c>
      <c r="AF275" s="192" t="s">
        <v>92</v>
      </c>
      <c r="AG275" s="191"/>
      <c r="AH275" s="192" t="s">
        <v>424</v>
      </c>
      <c r="AI275" s="191">
        <v>0</v>
      </c>
      <c r="AJ275" s="191">
        <v>0</v>
      </c>
    </row>
    <row r="276" spans="2:36">
      <c r="B276" s="192">
        <v>2120</v>
      </c>
      <c r="C276" s="196">
        <v>33152</v>
      </c>
      <c r="D276" s="192" t="s">
        <v>427</v>
      </c>
      <c r="E276" s="191" t="s">
        <v>941</v>
      </c>
      <c r="F276" s="192">
        <v>273</v>
      </c>
      <c r="G276" s="191"/>
      <c r="H276" s="191"/>
      <c r="I276" s="191"/>
      <c r="J276" s="191">
        <v>0</v>
      </c>
      <c r="K276" s="191" t="s">
        <v>752</v>
      </c>
      <c r="L276" s="191"/>
      <c r="M276" s="191"/>
      <c r="N276" s="195">
        <v>38455</v>
      </c>
      <c r="O276" s="195">
        <v>38455</v>
      </c>
      <c r="P276" s="191">
        <v>52120002</v>
      </c>
      <c r="Q276" s="192">
        <v>700</v>
      </c>
      <c r="R276" s="192">
        <v>14050</v>
      </c>
      <c r="S276" s="193">
        <v>13476.85</v>
      </c>
      <c r="T276" s="192">
        <v>14056</v>
      </c>
      <c r="U276" s="193">
        <v>13476.85</v>
      </c>
      <c r="V276" s="193">
        <f t="shared" si="16"/>
        <v>0</v>
      </c>
      <c r="W276" s="194">
        <v>0</v>
      </c>
      <c r="X276" s="192">
        <v>54260</v>
      </c>
      <c r="Y276" s="193">
        <v>0</v>
      </c>
      <c r="Z276" s="191" t="s">
        <v>427</v>
      </c>
      <c r="AA276" s="191">
        <v>0</v>
      </c>
      <c r="AB276" s="191" t="s">
        <v>940</v>
      </c>
      <c r="AC276" s="191"/>
      <c r="AD276" s="191" t="s">
        <v>426</v>
      </c>
      <c r="AE276" s="191" t="s">
        <v>425</v>
      </c>
      <c r="AF276" s="192" t="s">
        <v>92</v>
      </c>
      <c r="AG276" s="191"/>
      <c r="AH276" s="192" t="s">
        <v>424</v>
      </c>
      <c r="AI276" s="191">
        <v>2</v>
      </c>
      <c r="AJ276" s="191">
        <v>0</v>
      </c>
    </row>
    <row r="277" spans="2:36">
      <c r="B277" s="192">
        <v>2120</v>
      </c>
      <c r="C277" s="196">
        <v>33151</v>
      </c>
      <c r="D277" s="192" t="s">
        <v>427</v>
      </c>
      <c r="E277" s="191" t="s">
        <v>942</v>
      </c>
      <c r="F277" s="192">
        <v>200</v>
      </c>
      <c r="G277" s="191"/>
      <c r="H277" s="191"/>
      <c r="I277" s="191"/>
      <c r="J277" s="191">
        <v>0</v>
      </c>
      <c r="K277" s="191" t="s">
        <v>752</v>
      </c>
      <c r="L277" s="191"/>
      <c r="M277" s="191"/>
      <c r="N277" s="195">
        <v>38455</v>
      </c>
      <c r="O277" s="195">
        <v>38455</v>
      </c>
      <c r="P277" s="191">
        <v>52120002</v>
      </c>
      <c r="Q277" s="192">
        <v>700</v>
      </c>
      <c r="R277" s="192">
        <v>14050</v>
      </c>
      <c r="S277" s="193">
        <v>10739.33</v>
      </c>
      <c r="T277" s="192">
        <v>14056</v>
      </c>
      <c r="U277" s="193">
        <v>10739.33</v>
      </c>
      <c r="V277" s="193">
        <f t="shared" si="16"/>
        <v>0</v>
      </c>
      <c r="W277" s="194">
        <v>0</v>
      </c>
      <c r="X277" s="192">
        <v>54260</v>
      </c>
      <c r="Y277" s="193">
        <v>0</v>
      </c>
      <c r="Z277" s="191" t="s">
        <v>427</v>
      </c>
      <c r="AA277" s="191">
        <v>0</v>
      </c>
      <c r="AB277" s="191" t="s">
        <v>940</v>
      </c>
      <c r="AC277" s="191"/>
      <c r="AD277" s="191" t="s">
        <v>426</v>
      </c>
      <c r="AE277" s="191" t="s">
        <v>425</v>
      </c>
      <c r="AF277" s="192" t="s">
        <v>92</v>
      </c>
      <c r="AG277" s="191"/>
      <c r="AH277" s="192" t="s">
        <v>424</v>
      </c>
      <c r="AI277" s="191">
        <v>0</v>
      </c>
      <c r="AJ277" s="191">
        <v>0</v>
      </c>
    </row>
    <row r="278" spans="2:36">
      <c r="B278" s="192">
        <v>2120</v>
      </c>
      <c r="C278" s="196">
        <v>32740</v>
      </c>
      <c r="D278" s="192" t="s">
        <v>427</v>
      </c>
      <c r="E278" s="191" t="s">
        <v>944</v>
      </c>
      <c r="F278" s="192">
        <v>2</v>
      </c>
      <c r="G278" s="191"/>
      <c r="H278" s="191"/>
      <c r="I278" s="191"/>
      <c r="J278" s="191">
        <v>0</v>
      </c>
      <c r="K278" s="191" t="s">
        <v>752</v>
      </c>
      <c r="L278" s="191"/>
      <c r="M278" s="191" t="s">
        <v>469</v>
      </c>
      <c r="N278" s="195">
        <v>38427</v>
      </c>
      <c r="O278" s="195">
        <v>38427</v>
      </c>
      <c r="P278" s="191">
        <v>52120001</v>
      </c>
      <c r="Q278" s="192">
        <v>1200</v>
      </c>
      <c r="R278" s="192">
        <v>14050</v>
      </c>
      <c r="S278" s="193">
        <v>820</v>
      </c>
      <c r="T278" s="192">
        <v>14056</v>
      </c>
      <c r="U278" s="193">
        <v>820</v>
      </c>
      <c r="V278" s="193">
        <f t="shared" si="16"/>
        <v>0</v>
      </c>
      <c r="W278" s="194">
        <v>0</v>
      </c>
      <c r="X278" s="192">
        <v>54260</v>
      </c>
      <c r="Y278" s="193">
        <v>0</v>
      </c>
      <c r="Z278" s="191" t="s">
        <v>427</v>
      </c>
      <c r="AA278" s="191">
        <v>0</v>
      </c>
      <c r="AB278" s="191" t="s">
        <v>943</v>
      </c>
      <c r="AC278" s="191"/>
      <c r="AD278" s="191" t="s">
        <v>426</v>
      </c>
      <c r="AE278" s="191" t="s">
        <v>425</v>
      </c>
      <c r="AF278" s="192" t="s">
        <v>92</v>
      </c>
      <c r="AG278" s="191"/>
      <c r="AH278" s="192" t="s">
        <v>424</v>
      </c>
      <c r="AI278" s="191">
        <v>0</v>
      </c>
      <c r="AJ278" s="191">
        <v>0</v>
      </c>
    </row>
    <row r="279" spans="2:36">
      <c r="B279" s="192">
        <v>2120</v>
      </c>
      <c r="C279" s="196">
        <v>32739</v>
      </c>
      <c r="D279" s="192" t="s">
        <v>427</v>
      </c>
      <c r="E279" s="191" t="s">
        <v>945</v>
      </c>
      <c r="F279" s="192">
        <v>6</v>
      </c>
      <c r="G279" s="191"/>
      <c r="H279" s="191"/>
      <c r="I279" s="191"/>
      <c r="J279" s="191">
        <v>0</v>
      </c>
      <c r="K279" s="191" t="s">
        <v>752</v>
      </c>
      <c r="L279" s="191"/>
      <c r="M279" s="191" t="s">
        <v>464</v>
      </c>
      <c r="N279" s="195">
        <v>38427</v>
      </c>
      <c r="O279" s="195">
        <v>38427</v>
      </c>
      <c r="P279" s="191">
        <v>52120001</v>
      </c>
      <c r="Q279" s="192">
        <v>1200</v>
      </c>
      <c r="R279" s="192">
        <v>14050</v>
      </c>
      <c r="S279" s="193">
        <v>2340</v>
      </c>
      <c r="T279" s="192">
        <v>14056</v>
      </c>
      <c r="U279" s="193">
        <v>2340</v>
      </c>
      <c r="V279" s="193">
        <f t="shared" si="16"/>
        <v>0</v>
      </c>
      <c r="W279" s="194">
        <v>0</v>
      </c>
      <c r="X279" s="192">
        <v>54260</v>
      </c>
      <c r="Y279" s="193">
        <v>0</v>
      </c>
      <c r="Z279" s="191" t="s">
        <v>427</v>
      </c>
      <c r="AA279" s="191">
        <v>0</v>
      </c>
      <c r="AB279" s="191" t="s">
        <v>943</v>
      </c>
      <c r="AC279" s="191"/>
      <c r="AD279" s="191" t="s">
        <v>426</v>
      </c>
      <c r="AE279" s="191" t="s">
        <v>425</v>
      </c>
      <c r="AF279" s="192" t="s">
        <v>92</v>
      </c>
      <c r="AG279" s="191"/>
      <c r="AH279" s="192" t="s">
        <v>424</v>
      </c>
      <c r="AI279" s="191">
        <v>0</v>
      </c>
      <c r="AJ279" s="191">
        <v>0</v>
      </c>
    </row>
    <row r="280" spans="2:36">
      <c r="B280" s="192">
        <v>2120</v>
      </c>
      <c r="C280" s="196">
        <v>39809</v>
      </c>
      <c r="D280" s="192"/>
      <c r="E280" s="191" t="s">
        <v>923</v>
      </c>
      <c r="F280" s="192">
        <v>0</v>
      </c>
      <c r="G280" s="191"/>
      <c r="H280" s="191"/>
      <c r="I280" s="191"/>
      <c r="J280" s="191">
        <v>0</v>
      </c>
      <c r="K280" s="191"/>
      <c r="L280" s="191"/>
      <c r="M280" s="191"/>
      <c r="N280" s="195">
        <v>38353</v>
      </c>
      <c r="O280" s="195">
        <v>38353</v>
      </c>
      <c r="P280" s="191"/>
      <c r="Q280" s="192">
        <v>0</v>
      </c>
      <c r="R280" s="192">
        <v>15110</v>
      </c>
      <c r="S280" s="193">
        <v>-94415.71</v>
      </c>
      <c r="T280" s="192">
        <v>15120</v>
      </c>
      <c r="U280" s="193">
        <v>0</v>
      </c>
      <c r="V280" s="193">
        <f t="shared" si="16"/>
        <v>-94415.71</v>
      </c>
      <c r="W280" s="194">
        <v>0</v>
      </c>
      <c r="X280" s="192">
        <v>0</v>
      </c>
      <c r="Y280" s="193">
        <v>0</v>
      </c>
      <c r="Z280" s="191" t="s">
        <v>425</v>
      </c>
      <c r="AA280" s="191" t="s">
        <v>1</v>
      </c>
      <c r="AB280" s="191"/>
      <c r="AC280" s="191"/>
      <c r="AD280" s="191" t="s">
        <v>426</v>
      </c>
      <c r="AE280" s="191" t="s">
        <v>425</v>
      </c>
      <c r="AF280" s="192" t="s">
        <v>732</v>
      </c>
      <c r="AG280" s="191"/>
      <c r="AH280" s="192" t="s">
        <v>424</v>
      </c>
      <c r="AI280" s="191">
        <v>0</v>
      </c>
      <c r="AJ280" s="191">
        <v>0</v>
      </c>
    </row>
    <row r="281" spans="2:36">
      <c r="B281" s="192">
        <v>2120</v>
      </c>
      <c r="C281" s="196">
        <v>30490</v>
      </c>
      <c r="D281" s="192"/>
      <c r="E281" s="191" t="s">
        <v>950</v>
      </c>
      <c r="F281" s="192">
        <v>0</v>
      </c>
      <c r="G281" s="191"/>
      <c r="H281" s="191" t="s">
        <v>949</v>
      </c>
      <c r="I281" s="191"/>
      <c r="J281" s="191">
        <v>0</v>
      </c>
      <c r="K281" s="191" t="s">
        <v>948</v>
      </c>
      <c r="L281" s="191"/>
      <c r="M281" s="191"/>
      <c r="N281" s="195">
        <v>38353</v>
      </c>
      <c r="O281" s="195">
        <v>38353</v>
      </c>
      <c r="P281" s="191" t="s">
        <v>947</v>
      </c>
      <c r="Q281" s="192">
        <v>205</v>
      </c>
      <c r="R281" s="192">
        <v>14110</v>
      </c>
      <c r="S281" s="193">
        <v>212.27</v>
      </c>
      <c r="T281" s="192">
        <v>14116</v>
      </c>
      <c r="U281" s="193">
        <v>212.27</v>
      </c>
      <c r="V281" s="193">
        <f t="shared" si="16"/>
        <v>0</v>
      </c>
      <c r="W281" s="194">
        <v>0</v>
      </c>
      <c r="X281" s="192">
        <v>70260</v>
      </c>
      <c r="Y281" s="193">
        <v>0</v>
      </c>
      <c r="Z281" s="191" t="s">
        <v>427</v>
      </c>
      <c r="AA281" s="191">
        <v>0</v>
      </c>
      <c r="AB281" s="191" t="s">
        <v>946</v>
      </c>
      <c r="AC281" s="191"/>
      <c r="AD281" s="191" t="s">
        <v>426</v>
      </c>
      <c r="AE281" s="191" t="s">
        <v>425</v>
      </c>
      <c r="AF281" s="192" t="s">
        <v>92</v>
      </c>
      <c r="AG281" s="191"/>
      <c r="AH281" s="192" t="s">
        <v>424</v>
      </c>
      <c r="AI281" s="191">
        <v>0</v>
      </c>
      <c r="AJ281" s="191">
        <v>0</v>
      </c>
    </row>
    <row r="282" spans="2:36">
      <c r="B282" s="192">
        <v>2120</v>
      </c>
      <c r="C282" s="196">
        <v>29759</v>
      </c>
      <c r="D282" s="192" t="s">
        <v>427</v>
      </c>
      <c r="E282" s="191" t="s">
        <v>955</v>
      </c>
      <c r="F282" s="192">
        <v>100</v>
      </c>
      <c r="G282" s="191"/>
      <c r="H282" s="191"/>
      <c r="I282" s="191"/>
      <c r="J282" s="191">
        <v>0</v>
      </c>
      <c r="K282" s="191" t="s">
        <v>752</v>
      </c>
      <c r="L282" s="191"/>
      <c r="M282" s="191"/>
      <c r="N282" s="195">
        <v>38328</v>
      </c>
      <c r="O282" s="195">
        <v>38328</v>
      </c>
      <c r="P282" s="191" t="s">
        <v>954</v>
      </c>
      <c r="Q282" s="192">
        <v>700</v>
      </c>
      <c r="R282" s="192">
        <v>14050</v>
      </c>
      <c r="S282" s="193">
        <v>5707.26</v>
      </c>
      <c r="T282" s="192">
        <v>14056</v>
      </c>
      <c r="U282" s="193">
        <v>5707.26</v>
      </c>
      <c r="V282" s="193">
        <f t="shared" si="16"/>
        <v>0</v>
      </c>
      <c r="W282" s="194">
        <v>0</v>
      </c>
      <c r="X282" s="192">
        <v>54260</v>
      </c>
      <c r="Y282" s="193">
        <v>0</v>
      </c>
      <c r="Z282" s="191" t="s">
        <v>427</v>
      </c>
      <c r="AA282" s="191">
        <v>0</v>
      </c>
      <c r="AB282" s="191" t="s">
        <v>953</v>
      </c>
      <c r="AC282" s="191"/>
      <c r="AD282" s="191" t="s">
        <v>426</v>
      </c>
      <c r="AE282" s="191" t="s">
        <v>425</v>
      </c>
      <c r="AF282" s="192" t="s">
        <v>92</v>
      </c>
      <c r="AG282" s="191"/>
      <c r="AH282" s="192" t="s">
        <v>424</v>
      </c>
      <c r="AI282" s="191">
        <v>0</v>
      </c>
      <c r="AJ282" s="191">
        <v>0</v>
      </c>
    </row>
    <row r="283" spans="2:36">
      <c r="B283" s="192">
        <v>2120</v>
      </c>
      <c r="C283" s="196">
        <v>27745</v>
      </c>
      <c r="D283" s="192"/>
      <c r="E283" s="191" t="s">
        <v>960</v>
      </c>
      <c r="F283" s="192">
        <v>0</v>
      </c>
      <c r="G283" s="191"/>
      <c r="H283" s="191"/>
      <c r="I283" s="191"/>
      <c r="J283" s="191">
        <v>0</v>
      </c>
      <c r="K283" s="191" t="s">
        <v>958</v>
      </c>
      <c r="L283" s="191"/>
      <c r="M283" s="191"/>
      <c r="N283" s="195">
        <v>38218</v>
      </c>
      <c r="O283" s="195">
        <v>38218</v>
      </c>
      <c r="P283" s="191" t="s">
        <v>957</v>
      </c>
      <c r="Q283" s="192">
        <v>300</v>
      </c>
      <c r="R283" s="192">
        <v>14080</v>
      </c>
      <c r="S283" s="193">
        <v>793.93</v>
      </c>
      <c r="T283" s="192">
        <v>14086</v>
      </c>
      <c r="U283" s="193">
        <v>793.93</v>
      </c>
      <c r="V283" s="193">
        <f t="shared" si="16"/>
        <v>0</v>
      </c>
      <c r="W283" s="194">
        <v>0</v>
      </c>
      <c r="X283" s="192">
        <v>57260</v>
      </c>
      <c r="Y283" s="193">
        <v>0</v>
      </c>
      <c r="Z283" s="191" t="s">
        <v>427</v>
      </c>
      <c r="AA283" s="191">
        <v>0</v>
      </c>
      <c r="AB283" s="191">
        <v>19268</v>
      </c>
      <c r="AC283" s="191"/>
      <c r="AD283" s="191" t="s">
        <v>426</v>
      </c>
      <c r="AE283" s="191" t="s">
        <v>425</v>
      </c>
      <c r="AF283" s="192" t="s">
        <v>92</v>
      </c>
      <c r="AG283" s="191"/>
      <c r="AH283" s="192" t="s">
        <v>424</v>
      </c>
      <c r="AI283" s="191">
        <v>0</v>
      </c>
      <c r="AJ283" s="191">
        <v>0</v>
      </c>
    </row>
    <row r="284" spans="2:36">
      <c r="B284" s="192">
        <v>2120</v>
      </c>
      <c r="C284" s="196">
        <v>27264</v>
      </c>
      <c r="D284" s="192"/>
      <c r="E284" s="191" t="s">
        <v>978</v>
      </c>
      <c r="F284" s="192">
        <v>0</v>
      </c>
      <c r="G284" s="191"/>
      <c r="H284" s="191"/>
      <c r="I284" s="191"/>
      <c r="J284" s="191">
        <v>0</v>
      </c>
      <c r="K284" s="191" t="s">
        <v>958</v>
      </c>
      <c r="L284" s="191"/>
      <c r="M284" s="191"/>
      <c r="N284" s="195">
        <v>38218</v>
      </c>
      <c r="O284" s="195">
        <v>38218</v>
      </c>
      <c r="P284" s="191" t="s">
        <v>957</v>
      </c>
      <c r="Q284" s="192">
        <v>300</v>
      </c>
      <c r="R284" s="192">
        <v>14080</v>
      </c>
      <c r="S284" s="193">
        <v>1707.61</v>
      </c>
      <c r="T284" s="192">
        <v>14086</v>
      </c>
      <c r="U284" s="193">
        <v>1707.61</v>
      </c>
      <c r="V284" s="193">
        <f t="shared" si="16"/>
        <v>0</v>
      </c>
      <c r="W284" s="194">
        <v>0</v>
      </c>
      <c r="X284" s="192">
        <v>57260</v>
      </c>
      <c r="Y284" s="193">
        <v>0</v>
      </c>
      <c r="Z284" s="191" t="s">
        <v>427</v>
      </c>
      <c r="AA284" s="191">
        <v>0</v>
      </c>
      <c r="AB284" s="191" t="s">
        <v>977</v>
      </c>
      <c r="AC284" s="191"/>
      <c r="AD284" s="191" t="s">
        <v>426</v>
      </c>
      <c r="AE284" s="191" t="s">
        <v>425</v>
      </c>
      <c r="AF284" s="192" t="s">
        <v>92</v>
      </c>
      <c r="AG284" s="191"/>
      <c r="AH284" s="192" t="s">
        <v>424</v>
      </c>
      <c r="AI284" s="191">
        <v>0</v>
      </c>
      <c r="AJ284" s="191">
        <v>0</v>
      </c>
    </row>
    <row r="285" spans="2:36">
      <c r="B285" s="192">
        <v>2120</v>
      </c>
      <c r="C285" s="196">
        <v>27743</v>
      </c>
      <c r="D285" s="192"/>
      <c r="E285" s="191" t="s">
        <v>965</v>
      </c>
      <c r="F285" s="192">
        <v>0</v>
      </c>
      <c r="G285" s="191"/>
      <c r="H285" s="191"/>
      <c r="I285" s="191"/>
      <c r="J285" s="191">
        <v>0</v>
      </c>
      <c r="K285" s="191" t="s">
        <v>964</v>
      </c>
      <c r="L285" s="191"/>
      <c r="M285" s="191"/>
      <c r="N285" s="195">
        <v>38202</v>
      </c>
      <c r="O285" s="195">
        <v>38202</v>
      </c>
      <c r="P285" s="191" t="s">
        <v>957</v>
      </c>
      <c r="Q285" s="192">
        <v>300</v>
      </c>
      <c r="R285" s="192">
        <v>14080</v>
      </c>
      <c r="S285" s="193">
        <v>731.25</v>
      </c>
      <c r="T285" s="192">
        <v>14086</v>
      </c>
      <c r="U285" s="193">
        <v>731.25</v>
      </c>
      <c r="V285" s="193">
        <f t="shared" si="16"/>
        <v>0</v>
      </c>
      <c r="W285" s="194">
        <v>0</v>
      </c>
      <c r="X285" s="192">
        <v>57260</v>
      </c>
      <c r="Y285" s="193">
        <v>0</v>
      </c>
      <c r="Z285" s="191" t="s">
        <v>427</v>
      </c>
      <c r="AA285" s="191">
        <v>0</v>
      </c>
      <c r="AB285" s="191">
        <v>173110311</v>
      </c>
      <c r="AC285" s="191"/>
      <c r="AD285" s="191" t="s">
        <v>426</v>
      </c>
      <c r="AE285" s="191" t="s">
        <v>425</v>
      </c>
      <c r="AF285" s="192" t="s">
        <v>92</v>
      </c>
      <c r="AG285" s="191"/>
      <c r="AH285" s="192" t="s">
        <v>424</v>
      </c>
      <c r="AI285" s="191">
        <v>0</v>
      </c>
      <c r="AJ285" s="191">
        <v>0</v>
      </c>
    </row>
    <row r="286" spans="2:36">
      <c r="B286" s="192">
        <v>2120</v>
      </c>
      <c r="C286" s="196">
        <v>27746</v>
      </c>
      <c r="D286" s="192"/>
      <c r="E286" s="191" t="s">
        <v>959</v>
      </c>
      <c r="F286" s="192">
        <v>0</v>
      </c>
      <c r="G286" s="191"/>
      <c r="H286" s="191"/>
      <c r="I286" s="191"/>
      <c r="J286" s="191">
        <v>0</v>
      </c>
      <c r="K286" s="191" t="s">
        <v>958</v>
      </c>
      <c r="L286" s="191"/>
      <c r="M286" s="191"/>
      <c r="N286" s="195">
        <v>38201</v>
      </c>
      <c r="O286" s="195">
        <v>38201</v>
      </c>
      <c r="P286" s="191" t="s">
        <v>957</v>
      </c>
      <c r="Q286" s="192">
        <v>300</v>
      </c>
      <c r="R286" s="192">
        <v>14080</v>
      </c>
      <c r="S286" s="193">
        <v>383.32</v>
      </c>
      <c r="T286" s="192">
        <v>14086</v>
      </c>
      <c r="U286" s="193">
        <v>383.32</v>
      </c>
      <c r="V286" s="193">
        <f t="shared" si="16"/>
        <v>0</v>
      </c>
      <c r="W286" s="194">
        <v>0</v>
      </c>
      <c r="X286" s="192">
        <v>57260</v>
      </c>
      <c r="Y286" s="193">
        <v>0</v>
      </c>
      <c r="Z286" s="191" t="s">
        <v>427</v>
      </c>
      <c r="AA286" s="191">
        <v>0</v>
      </c>
      <c r="AB286" s="191">
        <v>19464</v>
      </c>
      <c r="AC286" s="191"/>
      <c r="AD286" s="191" t="s">
        <v>426</v>
      </c>
      <c r="AE286" s="191" t="s">
        <v>425</v>
      </c>
      <c r="AF286" s="192" t="s">
        <v>92</v>
      </c>
      <c r="AG286" s="191"/>
      <c r="AH286" s="192" t="s">
        <v>424</v>
      </c>
      <c r="AI286" s="191">
        <v>0</v>
      </c>
      <c r="AJ286" s="191">
        <v>0</v>
      </c>
    </row>
    <row r="287" spans="2:36">
      <c r="B287" s="192">
        <v>2120</v>
      </c>
      <c r="C287" s="196">
        <v>27265</v>
      </c>
      <c r="D287" s="192"/>
      <c r="E287" s="191" t="s">
        <v>976</v>
      </c>
      <c r="F287" s="192">
        <v>0</v>
      </c>
      <c r="G287" s="191"/>
      <c r="H287" s="191"/>
      <c r="I287" s="191"/>
      <c r="J287" s="191">
        <v>0</v>
      </c>
      <c r="K287" s="191" t="s">
        <v>975</v>
      </c>
      <c r="L287" s="191"/>
      <c r="M287" s="191"/>
      <c r="N287" s="195">
        <v>38198</v>
      </c>
      <c r="O287" s="195">
        <v>38198</v>
      </c>
      <c r="P287" s="191" t="s">
        <v>957</v>
      </c>
      <c r="Q287" s="192">
        <v>300</v>
      </c>
      <c r="R287" s="192">
        <v>14080</v>
      </c>
      <c r="S287" s="193">
        <v>1917.04</v>
      </c>
      <c r="T287" s="192">
        <v>14086</v>
      </c>
      <c r="U287" s="193">
        <v>1917.04</v>
      </c>
      <c r="V287" s="193">
        <f t="shared" si="16"/>
        <v>0</v>
      </c>
      <c r="W287" s="194">
        <v>0</v>
      </c>
      <c r="X287" s="192">
        <v>57260</v>
      </c>
      <c r="Y287" s="193">
        <v>0</v>
      </c>
      <c r="Z287" s="191" t="s">
        <v>427</v>
      </c>
      <c r="AA287" s="191">
        <v>0</v>
      </c>
      <c r="AB287" s="191">
        <v>8374</v>
      </c>
      <c r="AC287" s="191"/>
      <c r="AD287" s="191" t="s">
        <v>426</v>
      </c>
      <c r="AE287" s="191" t="s">
        <v>425</v>
      </c>
      <c r="AF287" s="192" t="s">
        <v>92</v>
      </c>
      <c r="AG287" s="191"/>
      <c r="AH287" s="192" t="s">
        <v>424</v>
      </c>
      <c r="AI287" s="191">
        <v>0</v>
      </c>
      <c r="AJ287" s="191">
        <v>0</v>
      </c>
    </row>
    <row r="288" spans="2:36">
      <c r="B288" s="192">
        <v>2120</v>
      </c>
      <c r="C288" s="196">
        <v>27472</v>
      </c>
      <c r="D288" s="192" t="s">
        <v>427</v>
      </c>
      <c r="E288" s="191" t="s">
        <v>971</v>
      </c>
      <c r="F288" s="192">
        <v>1</v>
      </c>
      <c r="G288" s="191"/>
      <c r="H288" s="191"/>
      <c r="I288" s="191"/>
      <c r="J288" s="191">
        <v>2004</v>
      </c>
      <c r="K288" s="191" t="s">
        <v>752</v>
      </c>
      <c r="L288" s="191" t="s">
        <v>734</v>
      </c>
      <c r="M288" s="191" t="s">
        <v>538</v>
      </c>
      <c r="N288" s="195">
        <v>38194</v>
      </c>
      <c r="O288" s="195">
        <v>38194</v>
      </c>
      <c r="P288" s="191" t="s">
        <v>970</v>
      </c>
      <c r="Q288" s="192">
        <v>1200</v>
      </c>
      <c r="R288" s="192">
        <v>14050</v>
      </c>
      <c r="S288" s="193">
        <v>5500</v>
      </c>
      <c r="T288" s="192">
        <v>14056</v>
      </c>
      <c r="U288" s="193">
        <v>5500</v>
      </c>
      <c r="V288" s="193">
        <f t="shared" si="16"/>
        <v>0</v>
      </c>
      <c r="W288" s="194">
        <v>0</v>
      </c>
      <c r="X288" s="192">
        <v>54260</v>
      </c>
      <c r="Y288" s="193">
        <v>0</v>
      </c>
      <c r="Z288" s="191" t="s">
        <v>427</v>
      </c>
      <c r="AA288" s="191">
        <v>0</v>
      </c>
      <c r="AB288" s="191" t="s">
        <v>969</v>
      </c>
      <c r="AC288" s="191"/>
      <c r="AD288" s="191" t="s">
        <v>426</v>
      </c>
      <c r="AE288" s="191" t="s">
        <v>425</v>
      </c>
      <c r="AF288" s="192" t="s">
        <v>92</v>
      </c>
      <c r="AG288" s="191"/>
      <c r="AH288" s="192" t="s">
        <v>424</v>
      </c>
      <c r="AI288" s="191">
        <v>0</v>
      </c>
      <c r="AJ288" s="191">
        <v>0</v>
      </c>
    </row>
    <row r="289" spans="2:36">
      <c r="B289" s="192">
        <v>2120</v>
      </c>
      <c r="C289" s="196">
        <v>27471</v>
      </c>
      <c r="D289" s="192" t="s">
        <v>427</v>
      </c>
      <c r="E289" s="191" t="s">
        <v>972</v>
      </c>
      <c r="F289" s="192">
        <v>3</v>
      </c>
      <c r="G289" s="191"/>
      <c r="H289" s="191"/>
      <c r="I289" s="191"/>
      <c r="J289" s="191">
        <v>0</v>
      </c>
      <c r="K289" s="191" t="s">
        <v>752</v>
      </c>
      <c r="L289" s="191"/>
      <c r="M289" s="191" t="s">
        <v>507</v>
      </c>
      <c r="N289" s="195">
        <v>38194</v>
      </c>
      <c r="O289" s="195">
        <v>38194</v>
      </c>
      <c r="P289" s="191" t="s">
        <v>970</v>
      </c>
      <c r="Q289" s="192">
        <v>1200</v>
      </c>
      <c r="R289" s="192">
        <v>14050</v>
      </c>
      <c r="S289" s="193">
        <v>2745</v>
      </c>
      <c r="T289" s="192">
        <v>14056</v>
      </c>
      <c r="U289" s="193">
        <v>2745</v>
      </c>
      <c r="V289" s="193">
        <f t="shared" si="16"/>
        <v>0</v>
      </c>
      <c r="W289" s="194">
        <v>0</v>
      </c>
      <c r="X289" s="192">
        <v>54260</v>
      </c>
      <c r="Y289" s="193">
        <v>0</v>
      </c>
      <c r="Z289" s="191" t="s">
        <v>427</v>
      </c>
      <c r="AA289" s="191">
        <v>0</v>
      </c>
      <c r="AB289" s="191" t="s">
        <v>969</v>
      </c>
      <c r="AC289" s="191"/>
      <c r="AD289" s="191" t="s">
        <v>426</v>
      </c>
      <c r="AE289" s="191" t="s">
        <v>425</v>
      </c>
      <c r="AF289" s="192" t="s">
        <v>92</v>
      </c>
      <c r="AG289" s="191"/>
      <c r="AH289" s="192" t="s">
        <v>424</v>
      </c>
      <c r="AI289" s="191">
        <v>0</v>
      </c>
      <c r="AJ289" s="191">
        <v>0</v>
      </c>
    </row>
    <row r="290" spans="2:36">
      <c r="B290" s="192">
        <v>2120</v>
      </c>
      <c r="C290" s="196">
        <v>27470</v>
      </c>
      <c r="D290" s="192" t="s">
        <v>427</v>
      </c>
      <c r="E290" s="191" t="s">
        <v>974</v>
      </c>
      <c r="F290" s="192">
        <v>1</v>
      </c>
      <c r="G290" s="191"/>
      <c r="H290" s="191"/>
      <c r="I290" s="191"/>
      <c r="J290" s="191">
        <v>0</v>
      </c>
      <c r="K290" s="191" t="s">
        <v>752</v>
      </c>
      <c r="L290" s="191"/>
      <c r="M290" s="191" t="s">
        <v>973</v>
      </c>
      <c r="N290" s="195">
        <v>38194</v>
      </c>
      <c r="O290" s="195">
        <v>38194</v>
      </c>
      <c r="P290" s="191" t="s">
        <v>970</v>
      </c>
      <c r="Q290" s="192">
        <v>1200</v>
      </c>
      <c r="R290" s="192">
        <v>14050</v>
      </c>
      <c r="S290" s="193">
        <v>1055</v>
      </c>
      <c r="T290" s="192">
        <v>14056</v>
      </c>
      <c r="U290" s="193">
        <v>1055</v>
      </c>
      <c r="V290" s="193">
        <f t="shared" si="16"/>
        <v>0</v>
      </c>
      <c r="W290" s="194">
        <v>0</v>
      </c>
      <c r="X290" s="192">
        <v>54260</v>
      </c>
      <c r="Y290" s="193">
        <v>0</v>
      </c>
      <c r="Z290" s="191" t="s">
        <v>427</v>
      </c>
      <c r="AA290" s="191">
        <v>0</v>
      </c>
      <c r="AB290" s="191" t="s">
        <v>969</v>
      </c>
      <c r="AC290" s="191"/>
      <c r="AD290" s="191" t="s">
        <v>426</v>
      </c>
      <c r="AE290" s="191" t="s">
        <v>425</v>
      </c>
      <c r="AF290" s="192" t="s">
        <v>92</v>
      </c>
      <c r="AG290" s="191"/>
      <c r="AH290" s="192" t="s">
        <v>424</v>
      </c>
      <c r="AI290" s="191">
        <v>0</v>
      </c>
      <c r="AJ290" s="191">
        <v>0</v>
      </c>
    </row>
    <row r="291" spans="2:36">
      <c r="B291" s="192">
        <v>2120</v>
      </c>
      <c r="C291" s="196">
        <v>27744</v>
      </c>
      <c r="D291" s="192"/>
      <c r="E291" s="191" t="s">
        <v>963</v>
      </c>
      <c r="F291" s="192">
        <v>0</v>
      </c>
      <c r="G291" s="191"/>
      <c r="H291" s="191"/>
      <c r="I291" s="191"/>
      <c r="J291" s="191">
        <v>0</v>
      </c>
      <c r="K291" s="191" t="s">
        <v>962</v>
      </c>
      <c r="L291" s="191"/>
      <c r="M291" s="191"/>
      <c r="N291" s="195">
        <v>38191</v>
      </c>
      <c r="O291" s="195">
        <v>38191</v>
      </c>
      <c r="P291" s="191" t="s">
        <v>957</v>
      </c>
      <c r="Q291" s="192">
        <v>300</v>
      </c>
      <c r="R291" s="192">
        <v>14080</v>
      </c>
      <c r="S291" s="193">
        <v>935.78</v>
      </c>
      <c r="T291" s="192">
        <v>14086</v>
      </c>
      <c r="U291" s="193">
        <v>935.78</v>
      </c>
      <c r="V291" s="193">
        <f t="shared" si="16"/>
        <v>0</v>
      </c>
      <c r="W291" s="194">
        <v>0</v>
      </c>
      <c r="X291" s="192">
        <v>57260</v>
      </c>
      <c r="Y291" s="193">
        <v>0</v>
      </c>
      <c r="Z291" s="191" t="s">
        <v>427</v>
      </c>
      <c r="AA291" s="191">
        <v>0</v>
      </c>
      <c r="AB291" s="191" t="s">
        <v>961</v>
      </c>
      <c r="AC291" s="191"/>
      <c r="AD291" s="191" t="s">
        <v>426</v>
      </c>
      <c r="AE291" s="191" t="s">
        <v>425</v>
      </c>
      <c r="AF291" s="192" t="s">
        <v>92</v>
      </c>
      <c r="AG291" s="191"/>
      <c r="AH291" s="192" t="s">
        <v>424</v>
      </c>
      <c r="AI291" s="191">
        <v>0</v>
      </c>
      <c r="AJ291" s="191">
        <v>0</v>
      </c>
    </row>
    <row r="292" spans="2:36">
      <c r="B292" s="192">
        <v>2120</v>
      </c>
      <c r="C292" s="196">
        <v>26813</v>
      </c>
      <c r="D292" s="192" t="s">
        <v>427</v>
      </c>
      <c r="E292" s="191" t="s">
        <v>997</v>
      </c>
      <c r="F292" s="192">
        <v>10</v>
      </c>
      <c r="G292" s="191"/>
      <c r="H292" s="191"/>
      <c r="I292" s="191"/>
      <c r="J292" s="191">
        <v>0</v>
      </c>
      <c r="K292" s="191" t="s">
        <v>752</v>
      </c>
      <c r="L292" s="191"/>
      <c r="M292" s="191" t="s">
        <v>464</v>
      </c>
      <c r="N292" s="195">
        <v>38184</v>
      </c>
      <c r="O292" s="195">
        <v>38184</v>
      </c>
      <c r="P292" s="191" t="s">
        <v>970</v>
      </c>
      <c r="Q292" s="192">
        <v>1200</v>
      </c>
      <c r="R292" s="192">
        <v>14050</v>
      </c>
      <c r="S292" s="193">
        <v>3950</v>
      </c>
      <c r="T292" s="192">
        <v>14056</v>
      </c>
      <c r="U292" s="193">
        <v>3950</v>
      </c>
      <c r="V292" s="193">
        <f t="shared" si="16"/>
        <v>0</v>
      </c>
      <c r="W292" s="194">
        <v>0</v>
      </c>
      <c r="X292" s="192">
        <v>54260</v>
      </c>
      <c r="Y292" s="193">
        <v>0</v>
      </c>
      <c r="Z292" s="191" t="s">
        <v>427</v>
      </c>
      <c r="AA292" s="191">
        <v>0</v>
      </c>
      <c r="AB292" s="191" t="s">
        <v>996</v>
      </c>
      <c r="AC292" s="191"/>
      <c r="AD292" s="191" t="s">
        <v>426</v>
      </c>
      <c r="AE292" s="191" t="s">
        <v>425</v>
      </c>
      <c r="AF292" s="192" t="s">
        <v>92</v>
      </c>
      <c r="AG292" s="191"/>
      <c r="AH292" s="192" t="s">
        <v>424</v>
      </c>
      <c r="AI292" s="191">
        <v>0</v>
      </c>
      <c r="AJ292" s="191">
        <v>0</v>
      </c>
    </row>
    <row r="293" spans="2:36">
      <c r="B293" s="192">
        <v>2120</v>
      </c>
      <c r="C293" s="196">
        <v>26310</v>
      </c>
      <c r="D293" s="192" t="s">
        <v>427</v>
      </c>
      <c r="E293" s="191" t="s">
        <v>1007</v>
      </c>
      <c r="F293" s="192">
        <v>1</v>
      </c>
      <c r="G293" s="191"/>
      <c r="H293" s="191"/>
      <c r="I293" s="191"/>
      <c r="J293" s="191">
        <v>2004</v>
      </c>
      <c r="K293" s="191" t="s">
        <v>752</v>
      </c>
      <c r="L293" s="191" t="s">
        <v>734</v>
      </c>
      <c r="M293" s="191" t="s">
        <v>443</v>
      </c>
      <c r="N293" s="195">
        <v>38183</v>
      </c>
      <c r="O293" s="195">
        <v>38183</v>
      </c>
      <c r="P293" s="191" t="s">
        <v>970</v>
      </c>
      <c r="Q293" s="192">
        <v>1200</v>
      </c>
      <c r="R293" s="192">
        <v>14050</v>
      </c>
      <c r="S293" s="193">
        <v>6750</v>
      </c>
      <c r="T293" s="192">
        <v>14056</v>
      </c>
      <c r="U293" s="193">
        <v>6750</v>
      </c>
      <c r="V293" s="193">
        <f t="shared" si="16"/>
        <v>0</v>
      </c>
      <c r="W293" s="194">
        <v>0</v>
      </c>
      <c r="X293" s="192">
        <v>54260</v>
      </c>
      <c r="Y293" s="193">
        <v>0</v>
      </c>
      <c r="Z293" s="191" t="s">
        <v>427</v>
      </c>
      <c r="AA293" s="191">
        <v>0</v>
      </c>
      <c r="AB293" s="191" t="s">
        <v>1006</v>
      </c>
      <c r="AC293" s="191"/>
      <c r="AD293" s="191" t="s">
        <v>426</v>
      </c>
      <c r="AE293" s="191" t="s">
        <v>425</v>
      </c>
      <c r="AF293" s="192" t="s">
        <v>92</v>
      </c>
      <c r="AG293" s="191"/>
      <c r="AH293" s="192" t="s">
        <v>424</v>
      </c>
      <c r="AI293" s="191">
        <v>0</v>
      </c>
      <c r="AJ293" s="191">
        <v>0</v>
      </c>
    </row>
    <row r="294" spans="2:36">
      <c r="B294" s="192">
        <v>2120</v>
      </c>
      <c r="C294" s="196">
        <v>26309</v>
      </c>
      <c r="D294" s="192" t="s">
        <v>427</v>
      </c>
      <c r="E294" s="191" t="s">
        <v>1008</v>
      </c>
      <c r="F294" s="192">
        <v>6</v>
      </c>
      <c r="G294" s="191"/>
      <c r="H294" s="191"/>
      <c r="I294" s="191"/>
      <c r="J294" s="191">
        <v>0</v>
      </c>
      <c r="K294" s="191" t="s">
        <v>752</v>
      </c>
      <c r="L294" s="191"/>
      <c r="M294" s="191" t="s">
        <v>443</v>
      </c>
      <c r="N294" s="195">
        <v>38183</v>
      </c>
      <c r="O294" s="195">
        <v>38183</v>
      </c>
      <c r="P294" s="191" t="s">
        <v>970</v>
      </c>
      <c r="Q294" s="192">
        <v>1200</v>
      </c>
      <c r="R294" s="192">
        <v>14050</v>
      </c>
      <c r="S294" s="193">
        <v>4590</v>
      </c>
      <c r="T294" s="192">
        <v>14056</v>
      </c>
      <c r="U294" s="193">
        <v>4590</v>
      </c>
      <c r="V294" s="193">
        <f t="shared" si="16"/>
        <v>0</v>
      </c>
      <c r="W294" s="194">
        <v>0</v>
      </c>
      <c r="X294" s="192">
        <v>54260</v>
      </c>
      <c r="Y294" s="193">
        <v>0</v>
      </c>
      <c r="Z294" s="191" t="s">
        <v>427</v>
      </c>
      <c r="AA294" s="191">
        <v>0</v>
      </c>
      <c r="AB294" s="191" t="s">
        <v>1006</v>
      </c>
      <c r="AC294" s="191"/>
      <c r="AD294" s="191" t="s">
        <v>426</v>
      </c>
      <c r="AE294" s="191" t="s">
        <v>425</v>
      </c>
      <c r="AF294" s="192" t="s">
        <v>92</v>
      </c>
      <c r="AG294" s="191"/>
      <c r="AH294" s="192" t="s">
        <v>424</v>
      </c>
      <c r="AI294" s="191">
        <v>0</v>
      </c>
      <c r="AJ294" s="191">
        <v>0</v>
      </c>
    </row>
    <row r="295" spans="2:36">
      <c r="B295" s="192">
        <v>2120</v>
      </c>
      <c r="C295" s="196">
        <v>26308</v>
      </c>
      <c r="D295" s="192" t="s">
        <v>427</v>
      </c>
      <c r="E295" s="191" t="s">
        <v>1009</v>
      </c>
      <c r="F295" s="192">
        <v>4</v>
      </c>
      <c r="G295" s="191"/>
      <c r="H295" s="191"/>
      <c r="I295" s="191"/>
      <c r="J295" s="191">
        <v>0</v>
      </c>
      <c r="K295" s="191" t="s">
        <v>752</v>
      </c>
      <c r="L295" s="191"/>
      <c r="M295" s="191" t="s">
        <v>543</v>
      </c>
      <c r="N295" s="195">
        <v>38183</v>
      </c>
      <c r="O295" s="195">
        <v>38183</v>
      </c>
      <c r="P295" s="191" t="s">
        <v>970</v>
      </c>
      <c r="Q295" s="192">
        <v>1200</v>
      </c>
      <c r="R295" s="192">
        <v>14050</v>
      </c>
      <c r="S295" s="193">
        <v>3040</v>
      </c>
      <c r="T295" s="192">
        <v>14056</v>
      </c>
      <c r="U295" s="193">
        <v>3040</v>
      </c>
      <c r="V295" s="193">
        <f t="shared" si="16"/>
        <v>0</v>
      </c>
      <c r="W295" s="194">
        <v>0</v>
      </c>
      <c r="X295" s="192">
        <v>54260</v>
      </c>
      <c r="Y295" s="193">
        <v>0</v>
      </c>
      <c r="Z295" s="191" t="s">
        <v>427</v>
      </c>
      <c r="AA295" s="191">
        <v>0</v>
      </c>
      <c r="AB295" s="191" t="s">
        <v>1006</v>
      </c>
      <c r="AC295" s="191"/>
      <c r="AD295" s="191" t="s">
        <v>426</v>
      </c>
      <c r="AE295" s="191" t="s">
        <v>425</v>
      </c>
      <c r="AF295" s="192" t="s">
        <v>92</v>
      </c>
      <c r="AG295" s="191"/>
      <c r="AH295" s="192" t="s">
        <v>424</v>
      </c>
      <c r="AI295" s="191">
        <v>0</v>
      </c>
      <c r="AJ295" s="191">
        <v>0</v>
      </c>
    </row>
    <row r="296" spans="2:36">
      <c r="B296" s="192">
        <v>2120</v>
      </c>
      <c r="C296" s="196">
        <v>27473</v>
      </c>
      <c r="D296" s="192" t="s">
        <v>427</v>
      </c>
      <c r="E296" s="191" t="s">
        <v>968</v>
      </c>
      <c r="F296" s="192">
        <v>67</v>
      </c>
      <c r="G296" s="191"/>
      <c r="H296" s="191"/>
      <c r="I296" s="191"/>
      <c r="J296" s="191">
        <v>0</v>
      </c>
      <c r="K296" s="191" t="s">
        <v>752</v>
      </c>
      <c r="L296" s="191"/>
      <c r="M296" s="191"/>
      <c r="N296" s="195">
        <v>38180</v>
      </c>
      <c r="O296" s="195">
        <v>38180</v>
      </c>
      <c r="P296" s="191" t="s">
        <v>967</v>
      </c>
      <c r="Q296" s="192">
        <v>700</v>
      </c>
      <c r="R296" s="192">
        <v>14050</v>
      </c>
      <c r="S296" s="193">
        <v>3209.3</v>
      </c>
      <c r="T296" s="192">
        <v>14056</v>
      </c>
      <c r="U296" s="193">
        <v>3209.3</v>
      </c>
      <c r="V296" s="193">
        <f t="shared" si="16"/>
        <v>0</v>
      </c>
      <c r="W296" s="194">
        <v>0</v>
      </c>
      <c r="X296" s="192">
        <v>54260</v>
      </c>
      <c r="Y296" s="193">
        <v>0</v>
      </c>
      <c r="Z296" s="191" t="s">
        <v>427</v>
      </c>
      <c r="AA296" s="191">
        <v>0</v>
      </c>
      <c r="AB296" s="191" t="s">
        <v>966</v>
      </c>
      <c r="AC296" s="191"/>
      <c r="AD296" s="191" t="s">
        <v>426</v>
      </c>
      <c r="AE296" s="191" t="s">
        <v>425</v>
      </c>
      <c r="AF296" s="192" t="s">
        <v>92</v>
      </c>
      <c r="AG296" s="191"/>
      <c r="AH296" s="192" t="s">
        <v>424</v>
      </c>
      <c r="AI296" s="191">
        <v>2</v>
      </c>
      <c r="AJ296" s="191">
        <v>0</v>
      </c>
    </row>
    <row r="297" spans="2:36">
      <c r="B297" s="192">
        <v>2120</v>
      </c>
      <c r="C297" s="196">
        <v>26878</v>
      </c>
      <c r="D297" s="192" t="s">
        <v>427</v>
      </c>
      <c r="E297" s="191" t="s">
        <v>995</v>
      </c>
      <c r="F297" s="192">
        <v>0</v>
      </c>
      <c r="G297" s="191"/>
      <c r="H297" s="191" t="s">
        <v>987</v>
      </c>
      <c r="I297" s="191"/>
      <c r="J297" s="191">
        <v>2004</v>
      </c>
      <c r="K297" s="191" t="s">
        <v>994</v>
      </c>
      <c r="L297" s="191" t="s">
        <v>734</v>
      </c>
      <c r="M297" s="191" t="s">
        <v>93</v>
      </c>
      <c r="N297" s="195">
        <v>38180</v>
      </c>
      <c r="O297" s="195">
        <v>38180</v>
      </c>
      <c r="P297" s="191" t="s">
        <v>957</v>
      </c>
      <c r="Q297" s="192">
        <v>300</v>
      </c>
      <c r="R297" s="192">
        <v>14070</v>
      </c>
      <c r="S297" s="193">
        <v>54.63</v>
      </c>
      <c r="T297" s="192">
        <v>14076</v>
      </c>
      <c r="U297" s="193">
        <v>54.63</v>
      </c>
      <c r="V297" s="193">
        <f t="shared" si="16"/>
        <v>0</v>
      </c>
      <c r="W297" s="194">
        <v>0</v>
      </c>
      <c r="X297" s="192">
        <v>51260</v>
      </c>
      <c r="Y297" s="193">
        <v>0</v>
      </c>
      <c r="Z297" s="191" t="s">
        <v>427</v>
      </c>
      <c r="AA297" s="191">
        <v>0</v>
      </c>
      <c r="AB297" s="191" t="s">
        <v>993</v>
      </c>
      <c r="AC297" s="191"/>
      <c r="AD297" s="191" t="s">
        <v>426</v>
      </c>
      <c r="AE297" s="191" t="s">
        <v>425</v>
      </c>
      <c r="AF297" s="192" t="s">
        <v>92</v>
      </c>
      <c r="AG297" s="191"/>
      <c r="AH297" s="192" t="s">
        <v>424</v>
      </c>
      <c r="AI297" s="191">
        <v>0</v>
      </c>
      <c r="AJ297" s="191">
        <v>0</v>
      </c>
    </row>
    <row r="298" spans="2:36">
      <c r="B298" s="192">
        <v>2120</v>
      </c>
      <c r="C298" s="196">
        <v>26381</v>
      </c>
      <c r="D298" s="192"/>
      <c r="E298" s="191" t="s">
        <v>999</v>
      </c>
      <c r="F298" s="192">
        <v>0</v>
      </c>
      <c r="G298" s="191"/>
      <c r="H298" s="191"/>
      <c r="I298" s="191"/>
      <c r="J298" s="191">
        <v>0</v>
      </c>
      <c r="K298" s="191" t="s">
        <v>986</v>
      </c>
      <c r="L298" s="191"/>
      <c r="M298" s="191"/>
      <c r="N298" s="195">
        <v>38175</v>
      </c>
      <c r="O298" s="195">
        <v>38175</v>
      </c>
      <c r="P298" s="191" t="s">
        <v>957</v>
      </c>
      <c r="Q298" s="192">
        <v>300</v>
      </c>
      <c r="R298" s="192">
        <v>14080</v>
      </c>
      <c r="S298" s="193">
        <v>335.29</v>
      </c>
      <c r="T298" s="192">
        <v>14086</v>
      </c>
      <c r="U298" s="193">
        <v>335.29</v>
      </c>
      <c r="V298" s="193">
        <f t="shared" si="16"/>
        <v>0</v>
      </c>
      <c r="W298" s="194">
        <v>0</v>
      </c>
      <c r="X298" s="192">
        <v>57260</v>
      </c>
      <c r="Y298" s="193">
        <v>0</v>
      </c>
      <c r="Z298" s="191" t="s">
        <v>427</v>
      </c>
      <c r="AA298" s="191">
        <v>0</v>
      </c>
      <c r="AB298" s="191" t="s">
        <v>998</v>
      </c>
      <c r="AC298" s="191"/>
      <c r="AD298" s="191" t="s">
        <v>426</v>
      </c>
      <c r="AE298" s="191" t="s">
        <v>425</v>
      </c>
      <c r="AF298" s="192" t="s">
        <v>92</v>
      </c>
      <c r="AG298" s="191"/>
      <c r="AH298" s="192" t="s">
        <v>424</v>
      </c>
      <c r="AI298" s="191">
        <v>0</v>
      </c>
      <c r="AJ298" s="191">
        <v>0</v>
      </c>
    </row>
    <row r="299" spans="2:36">
      <c r="B299" s="192">
        <v>2120</v>
      </c>
      <c r="C299" s="196">
        <v>26380</v>
      </c>
      <c r="D299" s="192"/>
      <c r="E299" s="191" t="s">
        <v>1001</v>
      </c>
      <c r="F299" s="192">
        <v>0</v>
      </c>
      <c r="G299" s="191"/>
      <c r="H299" s="191"/>
      <c r="I299" s="191"/>
      <c r="J299" s="191">
        <v>0</v>
      </c>
      <c r="K299" s="191" t="s">
        <v>986</v>
      </c>
      <c r="L299" s="191"/>
      <c r="M299" s="191"/>
      <c r="N299" s="195">
        <v>38168</v>
      </c>
      <c r="O299" s="195">
        <v>38168</v>
      </c>
      <c r="P299" s="191" t="s">
        <v>957</v>
      </c>
      <c r="Q299" s="192">
        <v>300</v>
      </c>
      <c r="R299" s="192">
        <v>14080</v>
      </c>
      <c r="S299" s="193">
        <v>784.61</v>
      </c>
      <c r="T299" s="192">
        <v>14086</v>
      </c>
      <c r="U299" s="193">
        <v>784.61</v>
      </c>
      <c r="V299" s="193">
        <f t="shared" si="16"/>
        <v>0</v>
      </c>
      <c r="W299" s="194">
        <v>0</v>
      </c>
      <c r="X299" s="192">
        <v>57260</v>
      </c>
      <c r="Y299" s="193">
        <v>0</v>
      </c>
      <c r="Z299" s="191" t="s">
        <v>427</v>
      </c>
      <c r="AA299" s="191">
        <v>0</v>
      </c>
      <c r="AB299" s="191" t="s">
        <v>1000</v>
      </c>
      <c r="AC299" s="191"/>
      <c r="AD299" s="191" t="s">
        <v>426</v>
      </c>
      <c r="AE299" s="191" t="s">
        <v>425</v>
      </c>
      <c r="AF299" s="192" t="s">
        <v>92</v>
      </c>
      <c r="AG299" s="191"/>
      <c r="AH299" s="192" t="s">
        <v>424</v>
      </c>
      <c r="AI299" s="191">
        <v>0</v>
      </c>
      <c r="AJ299" s="191">
        <v>0</v>
      </c>
    </row>
    <row r="300" spans="2:36">
      <c r="B300" s="192">
        <v>2120</v>
      </c>
      <c r="C300" s="196">
        <v>26881</v>
      </c>
      <c r="D300" s="192" t="s">
        <v>427</v>
      </c>
      <c r="E300" s="191" t="s">
        <v>988</v>
      </c>
      <c r="F300" s="192">
        <v>0</v>
      </c>
      <c r="G300" s="191"/>
      <c r="H300" s="191" t="s">
        <v>987</v>
      </c>
      <c r="I300" s="191"/>
      <c r="J300" s="191">
        <v>2004</v>
      </c>
      <c r="K300" s="191" t="s">
        <v>986</v>
      </c>
      <c r="L300" s="191" t="s">
        <v>734</v>
      </c>
      <c r="M300" s="191" t="s">
        <v>93</v>
      </c>
      <c r="N300" s="195">
        <v>38167</v>
      </c>
      <c r="O300" s="195">
        <v>38167</v>
      </c>
      <c r="P300" s="191" t="s">
        <v>957</v>
      </c>
      <c r="Q300" s="192">
        <v>300</v>
      </c>
      <c r="R300" s="192">
        <v>14070</v>
      </c>
      <c r="S300" s="193">
        <v>572.01</v>
      </c>
      <c r="T300" s="192">
        <v>14076</v>
      </c>
      <c r="U300" s="193">
        <v>572.01</v>
      </c>
      <c r="V300" s="193">
        <f t="shared" si="16"/>
        <v>0</v>
      </c>
      <c r="W300" s="194">
        <v>0</v>
      </c>
      <c r="X300" s="192">
        <v>51260</v>
      </c>
      <c r="Y300" s="193">
        <v>0</v>
      </c>
      <c r="Z300" s="191" t="s">
        <v>427</v>
      </c>
      <c r="AA300" s="191">
        <v>0</v>
      </c>
      <c r="AB300" s="191" t="s">
        <v>985</v>
      </c>
      <c r="AC300" s="191"/>
      <c r="AD300" s="191" t="s">
        <v>426</v>
      </c>
      <c r="AE300" s="191" t="s">
        <v>425</v>
      </c>
      <c r="AF300" s="192" t="s">
        <v>92</v>
      </c>
      <c r="AG300" s="191"/>
      <c r="AH300" s="192" t="s">
        <v>424</v>
      </c>
      <c r="AI300" s="191">
        <v>0</v>
      </c>
      <c r="AJ300" s="191">
        <v>0</v>
      </c>
    </row>
    <row r="301" spans="2:36">
      <c r="B301" s="192">
        <v>2120</v>
      </c>
      <c r="C301" s="196">
        <v>26879</v>
      </c>
      <c r="D301" s="192" t="s">
        <v>427</v>
      </c>
      <c r="E301" s="191" t="s">
        <v>992</v>
      </c>
      <c r="F301" s="192">
        <v>0</v>
      </c>
      <c r="G301" s="191"/>
      <c r="H301" s="191" t="s">
        <v>987</v>
      </c>
      <c r="I301" s="191"/>
      <c r="J301" s="191">
        <v>2004</v>
      </c>
      <c r="K301" s="191" t="s">
        <v>986</v>
      </c>
      <c r="L301" s="191" t="s">
        <v>734</v>
      </c>
      <c r="M301" s="191" t="s">
        <v>93</v>
      </c>
      <c r="N301" s="195">
        <v>38162</v>
      </c>
      <c r="O301" s="195">
        <v>38162</v>
      </c>
      <c r="P301" s="191" t="s">
        <v>957</v>
      </c>
      <c r="Q301" s="192">
        <v>300</v>
      </c>
      <c r="R301" s="192">
        <v>14070</v>
      </c>
      <c r="S301" s="193">
        <v>318.3</v>
      </c>
      <c r="T301" s="192">
        <v>14076</v>
      </c>
      <c r="U301" s="193">
        <v>318.3</v>
      </c>
      <c r="V301" s="193">
        <f t="shared" si="16"/>
        <v>0</v>
      </c>
      <c r="W301" s="194">
        <v>0</v>
      </c>
      <c r="X301" s="192">
        <v>51260</v>
      </c>
      <c r="Y301" s="193">
        <v>0</v>
      </c>
      <c r="Z301" s="191" t="s">
        <v>427</v>
      </c>
      <c r="AA301" s="191">
        <v>0</v>
      </c>
      <c r="AB301" s="191" t="s">
        <v>991</v>
      </c>
      <c r="AC301" s="191"/>
      <c r="AD301" s="191" t="s">
        <v>426</v>
      </c>
      <c r="AE301" s="191" t="s">
        <v>425</v>
      </c>
      <c r="AF301" s="192" t="s">
        <v>92</v>
      </c>
      <c r="AG301" s="191"/>
      <c r="AH301" s="192" t="s">
        <v>424</v>
      </c>
      <c r="AI301" s="191">
        <v>0</v>
      </c>
      <c r="AJ301" s="191">
        <v>0</v>
      </c>
    </row>
    <row r="302" spans="2:36">
      <c r="B302" s="192">
        <v>2120</v>
      </c>
      <c r="C302" s="196">
        <v>26880</v>
      </c>
      <c r="D302" s="192" t="s">
        <v>427</v>
      </c>
      <c r="E302" s="191" t="s">
        <v>990</v>
      </c>
      <c r="F302" s="192">
        <v>0</v>
      </c>
      <c r="G302" s="191"/>
      <c r="H302" s="191" t="s">
        <v>987</v>
      </c>
      <c r="I302" s="191"/>
      <c r="J302" s="191">
        <v>2004</v>
      </c>
      <c r="K302" s="191" t="s">
        <v>986</v>
      </c>
      <c r="L302" s="191" t="s">
        <v>734</v>
      </c>
      <c r="M302" s="191" t="s">
        <v>93</v>
      </c>
      <c r="N302" s="195">
        <v>38161</v>
      </c>
      <c r="O302" s="195">
        <v>38161</v>
      </c>
      <c r="P302" s="191" t="s">
        <v>957</v>
      </c>
      <c r="Q302" s="192">
        <v>300</v>
      </c>
      <c r="R302" s="192">
        <v>14070</v>
      </c>
      <c r="S302" s="193">
        <v>229.2</v>
      </c>
      <c r="T302" s="192">
        <v>14076</v>
      </c>
      <c r="U302" s="193">
        <v>229.2</v>
      </c>
      <c r="V302" s="193">
        <f t="shared" si="16"/>
        <v>0</v>
      </c>
      <c r="W302" s="194">
        <v>0</v>
      </c>
      <c r="X302" s="192">
        <v>51260</v>
      </c>
      <c r="Y302" s="193">
        <v>0</v>
      </c>
      <c r="Z302" s="191" t="s">
        <v>427</v>
      </c>
      <c r="AA302" s="191">
        <v>0</v>
      </c>
      <c r="AB302" s="191" t="s">
        <v>989</v>
      </c>
      <c r="AC302" s="191"/>
      <c r="AD302" s="191" t="s">
        <v>426</v>
      </c>
      <c r="AE302" s="191" t="s">
        <v>425</v>
      </c>
      <c r="AF302" s="192" t="s">
        <v>92</v>
      </c>
      <c r="AG302" s="191"/>
      <c r="AH302" s="192" t="s">
        <v>424</v>
      </c>
      <c r="AI302" s="191">
        <v>0</v>
      </c>
      <c r="AJ302" s="191">
        <v>0</v>
      </c>
    </row>
    <row r="303" spans="2:36">
      <c r="B303" s="192">
        <v>2120</v>
      </c>
      <c r="C303" s="196">
        <v>26379</v>
      </c>
      <c r="D303" s="192"/>
      <c r="E303" s="191" t="s">
        <v>1003</v>
      </c>
      <c r="F303" s="192">
        <v>0</v>
      </c>
      <c r="G303" s="191"/>
      <c r="H303" s="191"/>
      <c r="I303" s="191"/>
      <c r="J303" s="191">
        <v>0</v>
      </c>
      <c r="K303" s="191" t="s">
        <v>986</v>
      </c>
      <c r="L303" s="191"/>
      <c r="M303" s="191"/>
      <c r="N303" s="195">
        <v>38161</v>
      </c>
      <c r="O303" s="195">
        <v>38161</v>
      </c>
      <c r="P303" s="191" t="s">
        <v>957</v>
      </c>
      <c r="Q303" s="192">
        <v>300</v>
      </c>
      <c r="R303" s="192">
        <v>14080</v>
      </c>
      <c r="S303" s="193">
        <v>186.43</v>
      </c>
      <c r="T303" s="192">
        <v>14086</v>
      </c>
      <c r="U303" s="193">
        <v>186.43</v>
      </c>
      <c r="V303" s="193">
        <f t="shared" si="16"/>
        <v>0</v>
      </c>
      <c r="W303" s="194">
        <v>0</v>
      </c>
      <c r="X303" s="192">
        <v>57260</v>
      </c>
      <c r="Y303" s="193">
        <v>0</v>
      </c>
      <c r="Z303" s="191" t="s">
        <v>427</v>
      </c>
      <c r="AA303" s="191">
        <v>0</v>
      </c>
      <c r="AB303" s="191" t="s">
        <v>1002</v>
      </c>
      <c r="AC303" s="191"/>
      <c r="AD303" s="191" t="s">
        <v>426</v>
      </c>
      <c r="AE303" s="191" t="s">
        <v>425</v>
      </c>
      <c r="AF303" s="192" t="s">
        <v>92</v>
      </c>
      <c r="AG303" s="191"/>
      <c r="AH303" s="192" t="s">
        <v>424</v>
      </c>
      <c r="AI303" s="191">
        <v>0</v>
      </c>
      <c r="AJ303" s="191">
        <v>0</v>
      </c>
    </row>
    <row r="304" spans="2:36">
      <c r="B304" s="192">
        <v>2120</v>
      </c>
      <c r="C304" s="196">
        <v>26378</v>
      </c>
      <c r="D304" s="192"/>
      <c r="E304" s="191" t="s">
        <v>1005</v>
      </c>
      <c r="F304" s="192">
        <v>0</v>
      </c>
      <c r="G304" s="191"/>
      <c r="H304" s="191"/>
      <c r="I304" s="191"/>
      <c r="J304" s="191">
        <v>0</v>
      </c>
      <c r="K304" s="191" t="s">
        <v>986</v>
      </c>
      <c r="L304" s="191"/>
      <c r="M304" s="191"/>
      <c r="N304" s="195">
        <v>38161</v>
      </c>
      <c r="O304" s="195">
        <v>38161</v>
      </c>
      <c r="P304" s="191" t="s">
        <v>957</v>
      </c>
      <c r="Q304" s="192">
        <v>300</v>
      </c>
      <c r="R304" s="192">
        <v>14080</v>
      </c>
      <c r="S304" s="193">
        <v>59.25</v>
      </c>
      <c r="T304" s="192">
        <v>14086</v>
      </c>
      <c r="U304" s="193">
        <v>59.25</v>
      </c>
      <c r="V304" s="193">
        <f t="shared" si="16"/>
        <v>0</v>
      </c>
      <c r="W304" s="194">
        <v>0</v>
      </c>
      <c r="X304" s="192">
        <v>57260</v>
      </c>
      <c r="Y304" s="193">
        <v>0</v>
      </c>
      <c r="Z304" s="191" t="s">
        <v>427</v>
      </c>
      <c r="AA304" s="191">
        <v>0</v>
      </c>
      <c r="AB304" s="191" t="s">
        <v>1004</v>
      </c>
      <c r="AC304" s="191"/>
      <c r="AD304" s="191" t="s">
        <v>426</v>
      </c>
      <c r="AE304" s="191" t="s">
        <v>425</v>
      </c>
      <c r="AF304" s="192" t="s">
        <v>92</v>
      </c>
      <c r="AG304" s="191"/>
      <c r="AH304" s="192" t="s">
        <v>424</v>
      </c>
      <c r="AI304" s="191">
        <v>0</v>
      </c>
      <c r="AJ304" s="191">
        <v>0</v>
      </c>
    </row>
    <row r="305" spans="2:36">
      <c r="B305" s="192">
        <v>2120</v>
      </c>
      <c r="C305" s="196">
        <v>30289</v>
      </c>
      <c r="D305" s="192"/>
      <c r="E305" s="191" t="s">
        <v>952</v>
      </c>
      <c r="F305" s="192">
        <v>0</v>
      </c>
      <c r="G305" s="191"/>
      <c r="H305" s="191" t="s">
        <v>949</v>
      </c>
      <c r="I305" s="191"/>
      <c r="J305" s="191">
        <v>0</v>
      </c>
      <c r="K305" s="191" t="s">
        <v>951</v>
      </c>
      <c r="L305" s="191"/>
      <c r="M305" s="191"/>
      <c r="N305" s="195">
        <v>38146</v>
      </c>
      <c r="O305" s="195">
        <v>38146</v>
      </c>
      <c r="P305" s="191" t="s">
        <v>947</v>
      </c>
      <c r="Q305" s="192">
        <v>300</v>
      </c>
      <c r="R305" s="192">
        <v>14110</v>
      </c>
      <c r="S305" s="193">
        <v>2792.97</v>
      </c>
      <c r="T305" s="192">
        <v>14116</v>
      </c>
      <c r="U305" s="193">
        <v>2792.97</v>
      </c>
      <c r="V305" s="193">
        <f t="shared" si="16"/>
        <v>0</v>
      </c>
      <c r="W305" s="194">
        <v>0</v>
      </c>
      <c r="X305" s="192">
        <v>70260</v>
      </c>
      <c r="Y305" s="193">
        <v>0</v>
      </c>
      <c r="Z305" s="191" t="s">
        <v>427</v>
      </c>
      <c r="AA305" s="191">
        <v>0</v>
      </c>
      <c r="AB305" s="191">
        <v>321137</v>
      </c>
      <c r="AC305" s="191"/>
      <c r="AD305" s="191" t="s">
        <v>426</v>
      </c>
      <c r="AE305" s="191" t="s">
        <v>425</v>
      </c>
      <c r="AF305" s="192" t="s">
        <v>92</v>
      </c>
      <c r="AG305" s="191"/>
      <c r="AH305" s="192" t="s">
        <v>424</v>
      </c>
      <c r="AI305" s="191">
        <v>0</v>
      </c>
      <c r="AJ305" s="191">
        <v>0</v>
      </c>
    </row>
    <row r="306" spans="2:36">
      <c r="B306" s="192">
        <v>2120</v>
      </c>
      <c r="C306" s="196">
        <v>26027</v>
      </c>
      <c r="D306" s="192"/>
      <c r="E306" s="191" t="s">
        <v>952</v>
      </c>
      <c r="F306" s="192">
        <v>0</v>
      </c>
      <c r="G306" s="191"/>
      <c r="H306" s="191" t="s">
        <v>949</v>
      </c>
      <c r="I306" s="191"/>
      <c r="J306" s="191">
        <v>0</v>
      </c>
      <c r="K306" s="191" t="s">
        <v>951</v>
      </c>
      <c r="L306" s="191"/>
      <c r="M306" s="191"/>
      <c r="N306" s="195">
        <v>38146</v>
      </c>
      <c r="O306" s="195">
        <v>38146</v>
      </c>
      <c r="P306" s="191" t="s">
        <v>947</v>
      </c>
      <c r="Q306" s="192">
        <v>300</v>
      </c>
      <c r="R306" s="192">
        <v>14110</v>
      </c>
      <c r="S306" s="193">
        <v>2792.97</v>
      </c>
      <c r="T306" s="192">
        <v>14116</v>
      </c>
      <c r="U306" s="193">
        <v>2792.97</v>
      </c>
      <c r="V306" s="193">
        <f t="shared" si="16"/>
        <v>0</v>
      </c>
      <c r="W306" s="194">
        <v>0</v>
      </c>
      <c r="X306" s="192">
        <v>70260</v>
      </c>
      <c r="Y306" s="193">
        <v>0</v>
      </c>
      <c r="Z306" s="191" t="s">
        <v>427</v>
      </c>
      <c r="AA306" s="191">
        <v>0</v>
      </c>
      <c r="AB306" s="191">
        <v>321137</v>
      </c>
      <c r="AC306" s="191"/>
      <c r="AD306" s="191" t="s">
        <v>426</v>
      </c>
      <c r="AE306" s="191" t="s">
        <v>425</v>
      </c>
      <c r="AF306" s="192" t="s">
        <v>92</v>
      </c>
      <c r="AG306" s="191"/>
      <c r="AH306" s="192" t="s">
        <v>424</v>
      </c>
      <c r="AI306" s="191">
        <v>0</v>
      </c>
      <c r="AJ306" s="191">
        <v>0</v>
      </c>
    </row>
    <row r="307" spans="2:36">
      <c r="B307" s="192">
        <v>2120</v>
      </c>
      <c r="C307" s="196">
        <v>219447</v>
      </c>
      <c r="D307" s="192" t="s">
        <v>427</v>
      </c>
      <c r="E307" s="191" t="s">
        <v>552</v>
      </c>
      <c r="F307" s="192">
        <v>2</v>
      </c>
      <c r="G307" s="191"/>
      <c r="H307" s="191"/>
      <c r="I307" s="191"/>
      <c r="J307" s="191">
        <v>0</v>
      </c>
      <c r="K307" s="191" t="s">
        <v>551</v>
      </c>
      <c r="L307" s="191"/>
      <c r="M307" s="191" t="s">
        <v>543</v>
      </c>
      <c r="N307" s="195">
        <v>38124</v>
      </c>
      <c r="O307" s="195">
        <v>38124</v>
      </c>
      <c r="P307" s="191" t="s">
        <v>550</v>
      </c>
      <c r="Q307" s="192">
        <v>1200</v>
      </c>
      <c r="R307" s="192">
        <v>14050</v>
      </c>
      <c r="S307" s="193">
        <v>129.96</v>
      </c>
      <c r="T307" s="192">
        <v>14056</v>
      </c>
      <c r="U307" s="193">
        <v>129.96</v>
      </c>
      <c r="V307" s="193">
        <f t="shared" si="16"/>
        <v>0</v>
      </c>
      <c r="W307" s="194">
        <v>0</v>
      </c>
      <c r="X307" s="192">
        <v>54260</v>
      </c>
      <c r="Y307" s="193">
        <v>0</v>
      </c>
      <c r="Z307" s="191" t="s">
        <v>427</v>
      </c>
      <c r="AA307" s="191">
        <v>0</v>
      </c>
      <c r="AB307" s="191" t="s">
        <v>549</v>
      </c>
      <c r="AC307" s="191"/>
      <c r="AD307" s="191" t="s">
        <v>426</v>
      </c>
      <c r="AE307" s="191" t="s">
        <v>425</v>
      </c>
      <c r="AF307" s="192" t="s">
        <v>92</v>
      </c>
      <c r="AG307" s="197">
        <v>43708</v>
      </c>
      <c r="AH307" s="192" t="s">
        <v>424</v>
      </c>
      <c r="AI307" s="191">
        <v>0</v>
      </c>
      <c r="AJ307" s="191">
        <v>129.96</v>
      </c>
    </row>
    <row r="308" spans="2:36">
      <c r="B308" s="192">
        <v>2120</v>
      </c>
      <c r="C308" s="196">
        <v>105643</v>
      </c>
      <c r="D308" s="192" t="s">
        <v>427</v>
      </c>
      <c r="E308" s="191" t="s">
        <v>753</v>
      </c>
      <c r="F308" s="192">
        <v>3</v>
      </c>
      <c r="G308" s="191"/>
      <c r="H308" s="191"/>
      <c r="I308" s="191"/>
      <c r="J308" s="191">
        <v>0</v>
      </c>
      <c r="K308" s="191" t="s">
        <v>752</v>
      </c>
      <c r="L308" s="191"/>
      <c r="M308" s="191" t="s">
        <v>507</v>
      </c>
      <c r="N308" s="195">
        <v>38106</v>
      </c>
      <c r="O308" s="195">
        <v>38106</v>
      </c>
      <c r="P308" s="191">
        <v>42146003</v>
      </c>
      <c r="Q308" s="192">
        <v>1200</v>
      </c>
      <c r="R308" s="192">
        <v>14050</v>
      </c>
      <c r="S308" s="193">
        <v>2589</v>
      </c>
      <c r="T308" s="192">
        <v>14056</v>
      </c>
      <c r="U308" s="193">
        <v>2589</v>
      </c>
      <c r="V308" s="193">
        <f t="shared" si="16"/>
        <v>0</v>
      </c>
      <c r="W308" s="194">
        <v>0</v>
      </c>
      <c r="X308" s="192">
        <v>54260</v>
      </c>
      <c r="Y308" s="193">
        <v>0</v>
      </c>
      <c r="Z308" s="191" t="s">
        <v>427</v>
      </c>
      <c r="AA308" s="191">
        <v>0</v>
      </c>
      <c r="AB308" s="191" t="s">
        <v>751</v>
      </c>
      <c r="AC308" s="191"/>
      <c r="AD308" s="191" t="s">
        <v>426</v>
      </c>
      <c r="AE308" s="191" t="s">
        <v>425</v>
      </c>
      <c r="AF308" s="192" t="s">
        <v>92</v>
      </c>
      <c r="AG308" s="197">
        <v>41455</v>
      </c>
      <c r="AH308" s="192" t="s">
        <v>424</v>
      </c>
      <c r="AI308" s="191">
        <v>0</v>
      </c>
      <c r="AJ308" s="191">
        <v>1977.77</v>
      </c>
    </row>
    <row r="309" spans="2:36">
      <c r="B309" s="192">
        <v>2120</v>
      </c>
      <c r="C309" s="196">
        <v>186756</v>
      </c>
      <c r="D309" s="192"/>
      <c r="E309" s="191" t="s">
        <v>640</v>
      </c>
      <c r="F309" s="192">
        <v>0</v>
      </c>
      <c r="G309" s="191"/>
      <c r="H309" s="191"/>
      <c r="I309" s="191"/>
      <c r="J309" s="191">
        <v>0</v>
      </c>
      <c r="K309" s="191"/>
      <c r="L309" s="191"/>
      <c r="M309" s="191"/>
      <c r="N309" s="195">
        <v>38100</v>
      </c>
      <c r="O309" s="195">
        <v>38100</v>
      </c>
      <c r="P309" s="191"/>
      <c r="Q309" s="192">
        <v>1500</v>
      </c>
      <c r="R309" s="192">
        <v>15250</v>
      </c>
      <c r="S309" s="193">
        <v>11549.44</v>
      </c>
      <c r="T309" s="192">
        <v>15256</v>
      </c>
      <c r="U309" s="193">
        <v>11549.44</v>
      </c>
      <c r="V309" s="193">
        <f t="shared" si="16"/>
        <v>0</v>
      </c>
      <c r="W309" s="194">
        <v>0</v>
      </c>
      <c r="X309" s="192">
        <v>70269</v>
      </c>
      <c r="Y309" s="193">
        <v>0</v>
      </c>
      <c r="Z309" s="191" t="s">
        <v>425</v>
      </c>
      <c r="AA309" s="191" t="s">
        <v>639</v>
      </c>
      <c r="AB309" s="191"/>
      <c r="AC309" s="191"/>
      <c r="AD309" s="191" t="s">
        <v>426</v>
      </c>
      <c r="AE309" s="191" t="s">
        <v>425</v>
      </c>
      <c r="AF309" s="192" t="s">
        <v>92</v>
      </c>
      <c r="AG309" s="191"/>
      <c r="AH309" s="192" t="s">
        <v>424</v>
      </c>
      <c r="AI309" s="191">
        <v>2</v>
      </c>
      <c r="AJ309" s="191">
        <v>0</v>
      </c>
    </row>
    <row r="310" spans="2:36">
      <c r="B310" s="192">
        <v>2120</v>
      </c>
      <c r="C310" s="196">
        <v>110464</v>
      </c>
      <c r="D310" s="192" t="s">
        <v>737</v>
      </c>
      <c r="E310" s="191" t="s">
        <v>736</v>
      </c>
      <c r="F310" s="192">
        <v>0</v>
      </c>
      <c r="G310" s="191"/>
      <c r="H310" s="191" t="s">
        <v>735</v>
      </c>
      <c r="I310" s="191"/>
      <c r="J310" s="191">
        <v>1994</v>
      </c>
      <c r="K310" s="191" t="s">
        <v>734</v>
      </c>
      <c r="L310" s="191" t="s">
        <v>734</v>
      </c>
      <c r="M310" s="191" t="s">
        <v>733</v>
      </c>
      <c r="N310" s="195">
        <v>38100</v>
      </c>
      <c r="O310" s="195">
        <v>38100</v>
      </c>
      <c r="P310" s="191"/>
      <c r="Q310" s="192">
        <v>0</v>
      </c>
      <c r="R310" s="192">
        <v>14030</v>
      </c>
      <c r="S310" s="193">
        <v>0</v>
      </c>
      <c r="T310" s="192">
        <v>14036</v>
      </c>
      <c r="U310" s="193">
        <v>0</v>
      </c>
      <c r="V310" s="193">
        <f t="shared" si="16"/>
        <v>0</v>
      </c>
      <c r="W310" s="194">
        <v>0</v>
      </c>
      <c r="X310" s="192">
        <v>51260</v>
      </c>
      <c r="Y310" s="193">
        <v>0</v>
      </c>
      <c r="Z310" s="191" t="s">
        <v>425</v>
      </c>
      <c r="AA310" s="191" t="s">
        <v>1</v>
      </c>
      <c r="AB310" s="191"/>
      <c r="AC310" s="191">
        <v>5</v>
      </c>
      <c r="AD310" s="191" t="s">
        <v>426</v>
      </c>
      <c r="AE310" s="191" t="s">
        <v>425</v>
      </c>
      <c r="AF310" s="192" t="s">
        <v>732</v>
      </c>
      <c r="AG310" s="197">
        <v>41639</v>
      </c>
      <c r="AH310" s="192" t="s">
        <v>424</v>
      </c>
      <c r="AI310" s="191">
        <v>0</v>
      </c>
      <c r="AJ310" s="191">
        <v>0</v>
      </c>
    </row>
    <row r="311" spans="2:36">
      <c r="B311" s="192">
        <v>2120</v>
      </c>
      <c r="C311" s="196">
        <v>81872</v>
      </c>
      <c r="D311" s="192" t="s">
        <v>737</v>
      </c>
      <c r="E311" s="191" t="s">
        <v>824</v>
      </c>
      <c r="F311" s="192">
        <v>0</v>
      </c>
      <c r="G311" s="191"/>
      <c r="H311" s="191" t="s">
        <v>823</v>
      </c>
      <c r="I311" s="191" t="s">
        <v>822</v>
      </c>
      <c r="J311" s="191">
        <v>1984</v>
      </c>
      <c r="K311" s="191" t="s">
        <v>821</v>
      </c>
      <c r="L311" s="191" t="s">
        <v>734</v>
      </c>
      <c r="M311" s="191" t="s">
        <v>574</v>
      </c>
      <c r="N311" s="195">
        <v>38100</v>
      </c>
      <c r="O311" s="195">
        <v>38100</v>
      </c>
      <c r="P311" s="191"/>
      <c r="Q311" s="192">
        <v>0</v>
      </c>
      <c r="R311" s="192">
        <v>14040</v>
      </c>
      <c r="S311" s="193">
        <v>0</v>
      </c>
      <c r="T311" s="192">
        <v>14046</v>
      </c>
      <c r="U311" s="193">
        <v>0</v>
      </c>
      <c r="V311" s="193">
        <f t="shared" si="16"/>
        <v>0</v>
      </c>
      <c r="W311" s="194">
        <v>0</v>
      </c>
      <c r="X311" s="192">
        <v>51260</v>
      </c>
      <c r="Y311" s="193">
        <v>0</v>
      </c>
      <c r="Z311" s="191" t="s">
        <v>425</v>
      </c>
      <c r="AA311" s="191" t="s">
        <v>1</v>
      </c>
      <c r="AB311" s="191"/>
      <c r="AC311" s="191">
        <v>84</v>
      </c>
      <c r="AD311" s="191" t="s">
        <v>426</v>
      </c>
      <c r="AE311" s="191" t="s">
        <v>425</v>
      </c>
      <c r="AF311" s="192" t="s">
        <v>732</v>
      </c>
      <c r="AG311" s="197">
        <v>40663</v>
      </c>
      <c r="AH311" s="192" t="s">
        <v>424</v>
      </c>
      <c r="AI311" s="191">
        <v>0</v>
      </c>
      <c r="AJ311" s="191">
        <v>0</v>
      </c>
    </row>
    <row r="312" spans="2:36">
      <c r="B312" s="192">
        <v>2120</v>
      </c>
      <c r="C312" s="196">
        <v>29364</v>
      </c>
      <c r="D312" s="192"/>
      <c r="E312" s="191" t="s">
        <v>956</v>
      </c>
      <c r="F312" s="192">
        <v>0</v>
      </c>
      <c r="G312" s="191"/>
      <c r="H312" s="191"/>
      <c r="I312" s="191"/>
      <c r="J312" s="191">
        <v>0</v>
      </c>
      <c r="K312" s="191"/>
      <c r="L312" s="191"/>
      <c r="M312" s="191"/>
      <c r="N312" s="195">
        <v>38100</v>
      </c>
      <c r="O312" s="195">
        <v>38100</v>
      </c>
      <c r="P312" s="191"/>
      <c r="Q312" s="192">
        <v>0</v>
      </c>
      <c r="R312" s="192">
        <v>15110</v>
      </c>
      <c r="S312" s="193">
        <v>65000</v>
      </c>
      <c r="T312" s="192">
        <v>15120</v>
      </c>
      <c r="U312" s="193">
        <v>0</v>
      </c>
      <c r="V312" s="193">
        <f t="shared" si="16"/>
        <v>65000</v>
      </c>
      <c r="W312" s="194">
        <v>0</v>
      </c>
      <c r="X312" s="192">
        <v>0</v>
      </c>
      <c r="Y312" s="193">
        <v>0</v>
      </c>
      <c r="Z312" s="191" t="s">
        <v>425</v>
      </c>
      <c r="AA312" s="191" t="s">
        <v>1</v>
      </c>
      <c r="AB312" s="191"/>
      <c r="AC312" s="191"/>
      <c r="AD312" s="191" t="s">
        <v>426</v>
      </c>
      <c r="AE312" s="191" t="s">
        <v>425</v>
      </c>
      <c r="AF312" s="192" t="s">
        <v>732</v>
      </c>
      <c r="AG312" s="191"/>
      <c r="AH312" s="192" t="s">
        <v>424</v>
      </c>
      <c r="AI312" s="191">
        <v>0</v>
      </c>
      <c r="AJ312" s="191">
        <v>0</v>
      </c>
    </row>
    <row r="313" spans="2:36">
      <c r="B313" s="192">
        <v>2120</v>
      </c>
      <c r="C313" s="196">
        <v>27206</v>
      </c>
      <c r="D313" s="192" t="s">
        <v>427</v>
      </c>
      <c r="E313" s="191" t="s">
        <v>983</v>
      </c>
      <c r="F313" s="192">
        <v>0</v>
      </c>
      <c r="G313" s="191"/>
      <c r="H313" s="191" t="s">
        <v>980</v>
      </c>
      <c r="I313" s="191" t="s">
        <v>982</v>
      </c>
      <c r="J313" s="191">
        <v>2004</v>
      </c>
      <c r="K313" s="191" t="s">
        <v>575</v>
      </c>
      <c r="L313" s="191" t="s">
        <v>734</v>
      </c>
      <c r="M313" s="191" t="s">
        <v>574</v>
      </c>
      <c r="N313" s="195">
        <v>38100</v>
      </c>
      <c r="O313" s="195">
        <v>38100</v>
      </c>
      <c r="P313" s="191"/>
      <c r="Q313" s="192">
        <v>500</v>
      </c>
      <c r="R313" s="192">
        <v>14040</v>
      </c>
      <c r="S313" s="193">
        <v>33940</v>
      </c>
      <c r="T313" s="192">
        <v>14046</v>
      </c>
      <c r="U313" s="193">
        <v>33940</v>
      </c>
      <c r="V313" s="193">
        <f t="shared" si="16"/>
        <v>0</v>
      </c>
      <c r="W313" s="194">
        <v>0</v>
      </c>
      <c r="X313" s="192">
        <v>51260</v>
      </c>
      <c r="Y313" s="193">
        <v>0</v>
      </c>
      <c r="Z313" s="191" t="s">
        <v>425</v>
      </c>
      <c r="AA313" s="191" t="s">
        <v>1</v>
      </c>
      <c r="AB313" s="191"/>
      <c r="AC313" s="191">
        <v>4</v>
      </c>
      <c r="AD313" s="191" t="s">
        <v>426</v>
      </c>
      <c r="AE313" s="191" t="s">
        <v>425</v>
      </c>
      <c r="AF313" s="192" t="s">
        <v>92</v>
      </c>
      <c r="AG313" s="191"/>
      <c r="AH313" s="192" t="s">
        <v>424</v>
      </c>
      <c r="AI313" s="191">
        <v>0</v>
      </c>
      <c r="AJ313" s="191">
        <v>0</v>
      </c>
    </row>
    <row r="314" spans="2:36">
      <c r="B314" s="192">
        <v>2120</v>
      </c>
      <c r="C314" s="196">
        <v>26957</v>
      </c>
      <c r="D314" s="192"/>
      <c r="E314" s="191" t="s">
        <v>984</v>
      </c>
      <c r="F314" s="192">
        <v>0</v>
      </c>
      <c r="G314" s="191"/>
      <c r="H314" s="191"/>
      <c r="I314" s="191"/>
      <c r="J314" s="191">
        <v>0</v>
      </c>
      <c r="K314" s="191"/>
      <c r="L314" s="191"/>
      <c r="M314" s="191"/>
      <c r="N314" s="195">
        <v>38100</v>
      </c>
      <c r="O314" s="195">
        <v>38100</v>
      </c>
      <c r="P314" s="191"/>
      <c r="Q314" s="192">
        <v>0</v>
      </c>
      <c r="R314" s="192">
        <v>15110</v>
      </c>
      <c r="S314" s="193">
        <v>91781.75</v>
      </c>
      <c r="T314" s="192">
        <v>0</v>
      </c>
      <c r="U314" s="193">
        <v>0</v>
      </c>
      <c r="V314" s="193">
        <f t="shared" si="16"/>
        <v>91781.75</v>
      </c>
      <c r="W314" s="194">
        <v>0</v>
      </c>
      <c r="X314" s="192">
        <v>0</v>
      </c>
      <c r="Y314" s="193">
        <v>0</v>
      </c>
      <c r="Z314" s="191" t="s">
        <v>425</v>
      </c>
      <c r="AA314" s="191" t="s">
        <v>1</v>
      </c>
      <c r="AB314" s="191"/>
      <c r="AC314" s="191"/>
      <c r="AD314" s="191" t="s">
        <v>426</v>
      </c>
      <c r="AE314" s="191" t="s">
        <v>425</v>
      </c>
      <c r="AF314" s="192" t="s">
        <v>732</v>
      </c>
      <c r="AG314" s="191"/>
      <c r="AH314" s="192" t="s">
        <v>424</v>
      </c>
      <c r="AI314" s="191">
        <v>0</v>
      </c>
      <c r="AJ314" s="191">
        <v>0</v>
      </c>
    </row>
    <row r="315" spans="2:36">
      <c r="B315" s="192">
        <v>2120</v>
      </c>
      <c r="C315" s="196">
        <v>25826</v>
      </c>
      <c r="D315" s="192"/>
      <c r="E315" s="191" t="s">
        <v>1010</v>
      </c>
      <c r="F315" s="192">
        <v>0</v>
      </c>
      <c r="G315" s="191"/>
      <c r="H315" s="191"/>
      <c r="I315" s="191"/>
      <c r="J315" s="191">
        <v>0</v>
      </c>
      <c r="K315" s="191"/>
      <c r="L315" s="191"/>
      <c r="M315" s="191"/>
      <c r="N315" s="195">
        <v>38100</v>
      </c>
      <c r="O315" s="195">
        <v>38100</v>
      </c>
      <c r="P315" s="191"/>
      <c r="Q315" s="192">
        <v>2000</v>
      </c>
      <c r="R315" s="192">
        <v>14080</v>
      </c>
      <c r="S315" s="193">
        <v>50000</v>
      </c>
      <c r="T315" s="192">
        <v>14086</v>
      </c>
      <c r="U315" s="193">
        <v>46875.06</v>
      </c>
      <c r="V315" s="193">
        <f t="shared" si="16"/>
        <v>3124.9400000000023</v>
      </c>
      <c r="W315" s="194">
        <v>208.33</v>
      </c>
      <c r="X315" s="192">
        <v>57260</v>
      </c>
      <c r="Y315" s="193">
        <v>208.33</v>
      </c>
      <c r="Z315" s="191" t="s">
        <v>425</v>
      </c>
      <c r="AA315" s="191" t="s">
        <v>1</v>
      </c>
      <c r="AB315" s="191"/>
      <c r="AC315" s="191"/>
      <c r="AD315" s="191" t="s">
        <v>426</v>
      </c>
      <c r="AE315" s="191" t="s">
        <v>425</v>
      </c>
      <c r="AF315" s="192" t="s">
        <v>92</v>
      </c>
      <c r="AG315" s="191"/>
      <c r="AH315" s="192" t="s">
        <v>424</v>
      </c>
      <c r="AI315" s="191">
        <v>0</v>
      </c>
      <c r="AJ315" s="191">
        <v>0</v>
      </c>
    </row>
    <row r="316" spans="2:36">
      <c r="B316" s="192">
        <v>2120</v>
      </c>
      <c r="C316" s="196">
        <v>25825</v>
      </c>
      <c r="D316" s="192"/>
      <c r="E316" s="191" t="s">
        <v>1011</v>
      </c>
      <c r="F316" s="192">
        <v>0</v>
      </c>
      <c r="G316" s="191"/>
      <c r="H316" s="191"/>
      <c r="I316" s="191"/>
      <c r="J316" s="191">
        <v>0</v>
      </c>
      <c r="K316" s="191"/>
      <c r="L316" s="191"/>
      <c r="M316" s="191"/>
      <c r="N316" s="195">
        <v>38100</v>
      </c>
      <c r="O316" s="195">
        <v>38100</v>
      </c>
      <c r="P316" s="191"/>
      <c r="Q316" s="192">
        <v>2000</v>
      </c>
      <c r="R316" s="192">
        <v>14080</v>
      </c>
      <c r="S316" s="193">
        <v>150000</v>
      </c>
      <c r="T316" s="192">
        <v>14086</v>
      </c>
      <c r="U316" s="193">
        <v>140625.04999999999</v>
      </c>
      <c r="V316" s="193">
        <f t="shared" si="16"/>
        <v>9374.9500000000116</v>
      </c>
      <c r="W316" s="194">
        <v>625</v>
      </c>
      <c r="X316" s="192">
        <v>57260</v>
      </c>
      <c r="Y316" s="193">
        <v>625</v>
      </c>
      <c r="Z316" s="191" t="s">
        <v>425</v>
      </c>
      <c r="AA316" s="191" t="s">
        <v>1</v>
      </c>
      <c r="AB316" s="191"/>
      <c r="AC316" s="191"/>
      <c r="AD316" s="191" t="s">
        <v>426</v>
      </c>
      <c r="AE316" s="191" t="s">
        <v>425</v>
      </c>
      <c r="AF316" s="192" t="s">
        <v>92</v>
      </c>
      <c r="AG316" s="191"/>
      <c r="AH316" s="192" t="s">
        <v>424</v>
      </c>
      <c r="AI316" s="191">
        <v>0</v>
      </c>
      <c r="AJ316" s="191">
        <v>0</v>
      </c>
    </row>
    <row r="317" spans="2:36">
      <c r="B317" s="192">
        <v>2120</v>
      </c>
      <c r="C317" s="196">
        <v>25824</v>
      </c>
      <c r="D317" s="192"/>
      <c r="E317" s="191" t="s">
        <v>1012</v>
      </c>
      <c r="F317" s="192">
        <v>0</v>
      </c>
      <c r="G317" s="191"/>
      <c r="H317" s="191"/>
      <c r="I317" s="191"/>
      <c r="J317" s="191">
        <v>0</v>
      </c>
      <c r="K317" s="191"/>
      <c r="L317" s="191"/>
      <c r="M317" s="191"/>
      <c r="N317" s="195">
        <v>38100</v>
      </c>
      <c r="O317" s="195">
        <v>38100</v>
      </c>
      <c r="P317" s="191"/>
      <c r="Q317" s="192">
        <v>0</v>
      </c>
      <c r="R317" s="192">
        <v>14000</v>
      </c>
      <c r="S317" s="193">
        <v>5000</v>
      </c>
      <c r="T317" s="192">
        <v>0</v>
      </c>
      <c r="U317" s="193">
        <v>0</v>
      </c>
      <c r="V317" s="193">
        <f t="shared" si="16"/>
        <v>5000</v>
      </c>
      <c r="W317" s="194">
        <v>0</v>
      </c>
      <c r="X317" s="192">
        <v>0</v>
      </c>
      <c r="Y317" s="193">
        <v>0</v>
      </c>
      <c r="Z317" s="191" t="s">
        <v>425</v>
      </c>
      <c r="AA317" s="191" t="s">
        <v>1</v>
      </c>
      <c r="AB317" s="191"/>
      <c r="AC317" s="191"/>
      <c r="AD317" s="191" t="s">
        <v>426</v>
      </c>
      <c r="AE317" s="191" t="s">
        <v>425</v>
      </c>
      <c r="AF317" s="192" t="s">
        <v>732</v>
      </c>
      <c r="AG317" s="191"/>
      <c r="AH317" s="192" t="s">
        <v>424</v>
      </c>
      <c r="AI317" s="191">
        <v>0</v>
      </c>
      <c r="AJ317" s="191">
        <v>0</v>
      </c>
    </row>
    <row r="318" spans="2:36">
      <c r="B318" s="192">
        <v>2120</v>
      </c>
      <c r="C318" s="196">
        <v>25823</v>
      </c>
      <c r="D318" s="192"/>
      <c r="E318" s="191" t="s">
        <v>1013</v>
      </c>
      <c r="F318" s="192">
        <v>0</v>
      </c>
      <c r="G318" s="191"/>
      <c r="H318" s="191"/>
      <c r="I318" s="191"/>
      <c r="J318" s="191">
        <v>0</v>
      </c>
      <c r="K318" s="191"/>
      <c r="L318" s="191"/>
      <c r="M318" s="191"/>
      <c r="N318" s="195">
        <v>38100</v>
      </c>
      <c r="O318" s="195">
        <v>38100</v>
      </c>
      <c r="P318" s="191"/>
      <c r="Q318" s="192">
        <v>0</v>
      </c>
      <c r="R318" s="192">
        <v>14000</v>
      </c>
      <c r="S318" s="193">
        <v>5000</v>
      </c>
      <c r="T318" s="192">
        <v>0</v>
      </c>
      <c r="U318" s="193">
        <v>0</v>
      </c>
      <c r="V318" s="193">
        <f t="shared" si="16"/>
        <v>5000</v>
      </c>
      <c r="W318" s="194">
        <v>0</v>
      </c>
      <c r="X318" s="192">
        <v>0</v>
      </c>
      <c r="Y318" s="193">
        <v>0</v>
      </c>
      <c r="Z318" s="191" t="s">
        <v>425</v>
      </c>
      <c r="AA318" s="191" t="s">
        <v>1</v>
      </c>
      <c r="AB318" s="191"/>
      <c r="AC318" s="191"/>
      <c r="AD318" s="191" t="s">
        <v>426</v>
      </c>
      <c r="AE318" s="191" t="s">
        <v>425</v>
      </c>
      <c r="AF318" s="192" t="s">
        <v>732</v>
      </c>
      <c r="AG318" s="191"/>
      <c r="AH318" s="192" t="s">
        <v>424</v>
      </c>
      <c r="AI318" s="191">
        <v>0</v>
      </c>
      <c r="AJ318" s="191">
        <v>0</v>
      </c>
    </row>
    <row r="319" spans="2:36">
      <c r="B319" s="192">
        <v>2120</v>
      </c>
      <c r="C319" s="196">
        <v>25822</v>
      </c>
      <c r="D319" s="192"/>
      <c r="E319" s="191" t="s">
        <v>1014</v>
      </c>
      <c r="F319" s="192">
        <v>0</v>
      </c>
      <c r="G319" s="191"/>
      <c r="H319" s="191"/>
      <c r="I319" s="191"/>
      <c r="J319" s="191">
        <v>0</v>
      </c>
      <c r="K319" s="191"/>
      <c r="L319" s="191"/>
      <c r="M319" s="191"/>
      <c r="N319" s="195">
        <v>38100</v>
      </c>
      <c r="O319" s="195">
        <v>38100</v>
      </c>
      <c r="P319" s="191"/>
      <c r="Q319" s="192">
        <v>0</v>
      </c>
      <c r="R319" s="192">
        <v>14000</v>
      </c>
      <c r="S319" s="193">
        <v>34000</v>
      </c>
      <c r="T319" s="192">
        <v>0</v>
      </c>
      <c r="U319" s="193">
        <v>0</v>
      </c>
      <c r="V319" s="193">
        <f t="shared" si="16"/>
        <v>34000</v>
      </c>
      <c r="W319" s="194">
        <v>0</v>
      </c>
      <c r="X319" s="192">
        <v>0</v>
      </c>
      <c r="Y319" s="193">
        <v>0</v>
      </c>
      <c r="Z319" s="191" t="s">
        <v>425</v>
      </c>
      <c r="AA319" s="191" t="s">
        <v>1</v>
      </c>
      <c r="AB319" s="191"/>
      <c r="AC319" s="191"/>
      <c r="AD319" s="191" t="s">
        <v>426</v>
      </c>
      <c r="AE319" s="191" t="s">
        <v>425</v>
      </c>
      <c r="AF319" s="192" t="s">
        <v>732</v>
      </c>
      <c r="AG319" s="191"/>
      <c r="AH319" s="192" t="s">
        <v>424</v>
      </c>
      <c r="AI319" s="191">
        <v>0</v>
      </c>
      <c r="AJ319" s="191">
        <v>0</v>
      </c>
    </row>
    <row r="320" spans="2:36">
      <c r="B320" s="192">
        <v>2120</v>
      </c>
      <c r="C320" s="196">
        <v>25821</v>
      </c>
      <c r="D320" s="192"/>
      <c r="E320" s="191" t="s">
        <v>1015</v>
      </c>
      <c r="F320" s="192">
        <v>0</v>
      </c>
      <c r="G320" s="191"/>
      <c r="H320" s="191"/>
      <c r="I320" s="191"/>
      <c r="J320" s="191">
        <v>0</v>
      </c>
      <c r="K320" s="191"/>
      <c r="L320" s="191"/>
      <c r="M320" s="191"/>
      <c r="N320" s="195">
        <v>38100</v>
      </c>
      <c r="O320" s="195">
        <v>38100</v>
      </c>
      <c r="P320" s="191"/>
      <c r="Q320" s="192">
        <v>0</v>
      </c>
      <c r="R320" s="192">
        <v>14000</v>
      </c>
      <c r="S320" s="193">
        <v>50000</v>
      </c>
      <c r="T320" s="192">
        <v>0</v>
      </c>
      <c r="U320" s="193">
        <v>0</v>
      </c>
      <c r="V320" s="193">
        <f t="shared" si="16"/>
        <v>50000</v>
      </c>
      <c r="W320" s="194">
        <v>0</v>
      </c>
      <c r="X320" s="192">
        <v>0</v>
      </c>
      <c r="Y320" s="193">
        <v>0</v>
      </c>
      <c r="Z320" s="191" t="s">
        <v>425</v>
      </c>
      <c r="AA320" s="191" t="s">
        <v>1</v>
      </c>
      <c r="AB320" s="191"/>
      <c r="AC320" s="191"/>
      <c r="AD320" s="191" t="s">
        <v>426</v>
      </c>
      <c r="AE320" s="191" t="s">
        <v>425</v>
      </c>
      <c r="AF320" s="192" t="s">
        <v>732</v>
      </c>
      <c r="AG320" s="191"/>
      <c r="AH320" s="192" t="s">
        <v>424</v>
      </c>
      <c r="AI320" s="191">
        <v>0</v>
      </c>
      <c r="AJ320" s="191">
        <v>0</v>
      </c>
    </row>
    <row r="321" spans="2:36">
      <c r="B321" s="192">
        <v>2120</v>
      </c>
      <c r="C321" s="196">
        <v>25820</v>
      </c>
      <c r="D321" s="192" t="s">
        <v>427</v>
      </c>
      <c r="E321" s="191" t="s">
        <v>1016</v>
      </c>
      <c r="F321" s="192">
        <v>5</v>
      </c>
      <c r="G321" s="191"/>
      <c r="H321" s="191"/>
      <c r="I321" s="191"/>
      <c r="J321" s="191">
        <v>2004</v>
      </c>
      <c r="K321" s="191" t="s">
        <v>734</v>
      </c>
      <c r="L321" s="191" t="s">
        <v>734</v>
      </c>
      <c r="M321" s="191" t="s">
        <v>443</v>
      </c>
      <c r="N321" s="195">
        <v>38100</v>
      </c>
      <c r="O321" s="195">
        <v>38100</v>
      </c>
      <c r="P321" s="191"/>
      <c r="Q321" s="192">
        <v>702</v>
      </c>
      <c r="R321" s="192">
        <v>14050</v>
      </c>
      <c r="S321" s="193">
        <v>2530</v>
      </c>
      <c r="T321" s="192">
        <v>14056</v>
      </c>
      <c r="U321" s="193">
        <v>2530</v>
      </c>
      <c r="V321" s="193">
        <f t="shared" si="16"/>
        <v>0</v>
      </c>
      <c r="W321" s="194">
        <v>0</v>
      </c>
      <c r="X321" s="192">
        <v>54260</v>
      </c>
      <c r="Y321" s="193">
        <v>0</v>
      </c>
      <c r="Z321" s="191" t="s">
        <v>425</v>
      </c>
      <c r="AA321" s="191" t="s">
        <v>1</v>
      </c>
      <c r="AB321" s="191"/>
      <c r="AC321" s="191"/>
      <c r="AD321" s="191" t="s">
        <v>426</v>
      </c>
      <c r="AE321" s="191" t="s">
        <v>425</v>
      </c>
      <c r="AF321" s="192" t="s">
        <v>92</v>
      </c>
      <c r="AG321" s="191"/>
      <c r="AH321" s="192" t="s">
        <v>424</v>
      </c>
      <c r="AI321" s="191">
        <v>0</v>
      </c>
      <c r="AJ321" s="191">
        <v>0</v>
      </c>
    </row>
    <row r="322" spans="2:36">
      <c r="B322" s="192">
        <v>2120</v>
      </c>
      <c r="C322" s="196">
        <v>25819</v>
      </c>
      <c r="D322" s="192" t="s">
        <v>427</v>
      </c>
      <c r="E322" s="191" t="s">
        <v>1017</v>
      </c>
      <c r="F322" s="192">
        <v>10</v>
      </c>
      <c r="G322" s="191"/>
      <c r="H322" s="191"/>
      <c r="I322" s="191"/>
      <c r="J322" s="191">
        <v>2004</v>
      </c>
      <c r="K322" s="191" t="s">
        <v>734</v>
      </c>
      <c r="L322" s="191" t="s">
        <v>734</v>
      </c>
      <c r="M322" s="191" t="s">
        <v>538</v>
      </c>
      <c r="N322" s="195">
        <v>38100</v>
      </c>
      <c r="O322" s="195">
        <v>38100</v>
      </c>
      <c r="P322" s="191"/>
      <c r="Q322" s="192">
        <v>702</v>
      </c>
      <c r="R322" s="192">
        <v>14050</v>
      </c>
      <c r="S322" s="193">
        <v>4000</v>
      </c>
      <c r="T322" s="192">
        <v>14056</v>
      </c>
      <c r="U322" s="193">
        <v>4000</v>
      </c>
      <c r="V322" s="193">
        <f t="shared" si="16"/>
        <v>0</v>
      </c>
      <c r="W322" s="194">
        <v>0</v>
      </c>
      <c r="X322" s="192">
        <v>54260</v>
      </c>
      <c r="Y322" s="193">
        <v>0</v>
      </c>
      <c r="Z322" s="191" t="s">
        <v>425</v>
      </c>
      <c r="AA322" s="191" t="s">
        <v>1</v>
      </c>
      <c r="AB322" s="191"/>
      <c r="AC322" s="191"/>
      <c r="AD322" s="191" t="s">
        <v>426</v>
      </c>
      <c r="AE322" s="191" t="s">
        <v>425</v>
      </c>
      <c r="AF322" s="192" t="s">
        <v>92</v>
      </c>
      <c r="AG322" s="191"/>
      <c r="AH322" s="192" t="s">
        <v>424</v>
      </c>
      <c r="AI322" s="191">
        <v>0</v>
      </c>
      <c r="AJ322" s="191">
        <v>0</v>
      </c>
    </row>
    <row r="323" spans="2:36">
      <c r="B323" s="192">
        <v>2120</v>
      </c>
      <c r="C323" s="196">
        <v>25818</v>
      </c>
      <c r="D323" s="192" t="s">
        <v>427</v>
      </c>
      <c r="E323" s="191" t="s">
        <v>1020</v>
      </c>
      <c r="F323" s="192">
        <v>1</v>
      </c>
      <c r="G323" s="191"/>
      <c r="H323" s="191"/>
      <c r="I323" s="191"/>
      <c r="J323" s="191">
        <v>2004</v>
      </c>
      <c r="K323" s="191" t="s">
        <v>1019</v>
      </c>
      <c r="L323" s="191" t="s">
        <v>734</v>
      </c>
      <c r="M323" s="191" t="s">
        <v>1018</v>
      </c>
      <c r="N323" s="195">
        <v>38100</v>
      </c>
      <c r="O323" s="195">
        <v>38100</v>
      </c>
      <c r="P323" s="191"/>
      <c r="Q323" s="192">
        <v>702</v>
      </c>
      <c r="R323" s="192">
        <v>14050</v>
      </c>
      <c r="S323" s="193">
        <v>375</v>
      </c>
      <c r="T323" s="192">
        <v>14056</v>
      </c>
      <c r="U323" s="193">
        <v>375</v>
      </c>
      <c r="V323" s="193">
        <f t="shared" si="16"/>
        <v>0</v>
      </c>
      <c r="W323" s="194">
        <v>0</v>
      </c>
      <c r="X323" s="192">
        <v>54260</v>
      </c>
      <c r="Y323" s="193">
        <v>0</v>
      </c>
      <c r="Z323" s="191" t="s">
        <v>425</v>
      </c>
      <c r="AA323" s="191" t="s">
        <v>1</v>
      </c>
      <c r="AB323" s="191"/>
      <c r="AC323" s="191"/>
      <c r="AD323" s="191" t="s">
        <v>426</v>
      </c>
      <c r="AE323" s="191" t="s">
        <v>425</v>
      </c>
      <c r="AF323" s="192" t="s">
        <v>92</v>
      </c>
      <c r="AG323" s="191"/>
      <c r="AH323" s="192" t="s">
        <v>424</v>
      </c>
      <c r="AI323" s="191">
        <v>0</v>
      </c>
      <c r="AJ323" s="191">
        <v>0</v>
      </c>
    </row>
    <row r="324" spans="2:36">
      <c r="B324" s="192">
        <v>2120</v>
      </c>
      <c r="C324" s="196">
        <v>25817</v>
      </c>
      <c r="D324" s="192" t="s">
        <v>427</v>
      </c>
      <c r="E324" s="191" t="s">
        <v>1021</v>
      </c>
      <c r="F324" s="192">
        <v>3</v>
      </c>
      <c r="G324" s="191"/>
      <c r="H324" s="191"/>
      <c r="I324" s="191"/>
      <c r="J324" s="191">
        <v>0</v>
      </c>
      <c r="K324" s="191"/>
      <c r="L324" s="191"/>
      <c r="M324" s="191" t="s">
        <v>624</v>
      </c>
      <c r="N324" s="195">
        <v>38100</v>
      </c>
      <c r="O324" s="195">
        <v>38100</v>
      </c>
      <c r="P324" s="191"/>
      <c r="Q324" s="192">
        <v>702</v>
      </c>
      <c r="R324" s="192">
        <v>14050</v>
      </c>
      <c r="S324" s="193">
        <v>246</v>
      </c>
      <c r="T324" s="192">
        <v>14056</v>
      </c>
      <c r="U324" s="193">
        <v>246</v>
      </c>
      <c r="V324" s="193">
        <f t="shared" si="16"/>
        <v>0</v>
      </c>
      <c r="W324" s="194">
        <v>0</v>
      </c>
      <c r="X324" s="192">
        <v>54260</v>
      </c>
      <c r="Y324" s="193">
        <v>0</v>
      </c>
      <c r="Z324" s="191" t="s">
        <v>425</v>
      </c>
      <c r="AA324" s="191" t="s">
        <v>1</v>
      </c>
      <c r="AB324" s="191"/>
      <c r="AC324" s="191"/>
      <c r="AD324" s="191" t="s">
        <v>426</v>
      </c>
      <c r="AE324" s="191" t="s">
        <v>425</v>
      </c>
      <c r="AF324" s="192" t="s">
        <v>92</v>
      </c>
      <c r="AG324" s="191"/>
      <c r="AH324" s="192" t="s">
        <v>424</v>
      </c>
      <c r="AI324" s="191">
        <v>4</v>
      </c>
      <c r="AJ324" s="191">
        <v>0</v>
      </c>
    </row>
    <row r="325" spans="2:36">
      <c r="B325" s="192">
        <v>2120</v>
      </c>
      <c r="C325" s="196">
        <v>25816</v>
      </c>
      <c r="D325" s="192" t="s">
        <v>427</v>
      </c>
      <c r="E325" s="191" t="s">
        <v>1022</v>
      </c>
      <c r="F325" s="192">
        <v>37</v>
      </c>
      <c r="G325" s="191"/>
      <c r="H325" s="191"/>
      <c r="I325" s="191"/>
      <c r="J325" s="191">
        <v>0</v>
      </c>
      <c r="K325" s="191"/>
      <c r="L325" s="191"/>
      <c r="M325" s="191" t="s">
        <v>540</v>
      </c>
      <c r="N325" s="195">
        <v>38100</v>
      </c>
      <c r="O325" s="195">
        <v>38100</v>
      </c>
      <c r="P325" s="191"/>
      <c r="Q325" s="192">
        <v>702</v>
      </c>
      <c r="R325" s="192">
        <v>14050</v>
      </c>
      <c r="S325" s="193">
        <v>2791.74</v>
      </c>
      <c r="T325" s="192">
        <v>14056</v>
      </c>
      <c r="U325" s="193">
        <v>2791.74</v>
      </c>
      <c r="V325" s="193">
        <f t="shared" si="16"/>
        <v>0</v>
      </c>
      <c r="W325" s="194">
        <v>0</v>
      </c>
      <c r="X325" s="192">
        <v>54260</v>
      </c>
      <c r="Y325" s="193">
        <v>0</v>
      </c>
      <c r="Z325" s="191" t="s">
        <v>425</v>
      </c>
      <c r="AA325" s="191" t="s">
        <v>1</v>
      </c>
      <c r="AB325" s="191"/>
      <c r="AC325" s="191"/>
      <c r="AD325" s="191" t="s">
        <v>426</v>
      </c>
      <c r="AE325" s="191" t="s">
        <v>425</v>
      </c>
      <c r="AF325" s="192" t="s">
        <v>92</v>
      </c>
      <c r="AG325" s="191"/>
      <c r="AH325" s="192" t="s">
        <v>424</v>
      </c>
      <c r="AI325" s="191">
        <v>4</v>
      </c>
      <c r="AJ325" s="191">
        <v>0</v>
      </c>
    </row>
    <row r="326" spans="2:36">
      <c r="B326" s="192">
        <v>2120</v>
      </c>
      <c r="C326" s="196">
        <v>25815</v>
      </c>
      <c r="D326" s="192" t="s">
        <v>427</v>
      </c>
      <c r="E326" s="191" t="s">
        <v>1023</v>
      </c>
      <c r="F326" s="192">
        <v>43</v>
      </c>
      <c r="G326" s="191"/>
      <c r="H326" s="191"/>
      <c r="I326" s="191"/>
      <c r="J326" s="191">
        <v>0</v>
      </c>
      <c r="K326" s="191"/>
      <c r="L326" s="191"/>
      <c r="M326" s="191" t="s">
        <v>507</v>
      </c>
      <c r="N326" s="195">
        <v>38100</v>
      </c>
      <c r="O326" s="195">
        <v>38100</v>
      </c>
      <c r="P326" s="191"/>
      <c r="Q326" s="192">
        <v>702</v>
      </c>
      <c r="R326" s="192">
        <v>14050</v>
      </c>
      <c r="S326" s="193">
        <v>4803.1000000000004</v>
      </c>
      <c r="T326" s="192">
        <v>14056</v>
      </c>
      <c r="U326" s="193">
        <v>4803.1000000000004</v>
      </c>
      <c r="V326" s="193">
        <f t="shared" si="16"/>
        <v>0</v>
      </c>
      <c r="W326" s="194">
        <v>0</v>
      </c>
      <c r="X326" s="192">
        <v>54260</v>
      </c>
      <c r="Y326" s="193">
        <v>0</v>
      </c>
      <c r="Z326" s="191" t="s">
        <v>425</v>
      </c>
      <c r="AA326" s="191" t="s">
        <v>1</v>
      </c>
      <c r="AB326" s="191"/>
      <c r="AC326" s="191"/>
      <c r="AD326" s="191" t="s">
        <v>426</v>
      </c>
      <c r="AE326" s="191" t="s">
        <v>425</v>
      </c>
      <c r="AF326" s="192" t="s">
        <v>92</v>
      </c>
      <c r="AG326" s="191"/>
      <c r="AH326" s="192" t="s">
        <v>424</v>
      </c>
      <c r="AI326" s="191">
        <v>8</v>
      </c>
      <c r="AJ326" s="191">
        <v>0</v>
      </c>
    </row>
    <row r="327" spans="2:36">
      <c r="B327" s="192">
        <v>2120</v>
      </c>
      <c r="C327" s="196">
        <v>25814</v>
      </c>
      <c r="D327" s="192" t="s">
        <v>427</v>
      </c>
      <c r="E327" s="191" t="s">
        <v>410</v>
      </c>
      <c r="F327" s="192">
        <v>66</v>
      </c>
      <c r="G327" s="191"/>
      <c r="H327" s="191"/>
      <c r="I327" s="191"/>
      <c r="J327" s="191">
        <v>0</v>
      </c>
      <c r="K327" s="191"/>
      <c r="L327" s="191"/>
      <c r="M327" s="191" t="s">
        <v>543</v>
      </c>
      <c r="N327" s="195">
        <v>38100</v>
      </c>
      <c r="O327" s="195">
        <v>38100</v>
      </c>
      <c r="P327" s="191"/>
      <c r="Q327" s="192">
        <v>702</v>
      </c>
      <c r="R327" s="192">
        <v>14050</v>
      </c>
      <c r="S327" s="193">
        <v>4367.34</v>
      </c>
      <c r="T327" s="192">
        <v>14056</v>
      </c>
      <c r="U327" s="193">
        <v>4367.34</v>
      </c>
      <c r="V327" s="193">
        <f t="shared" si="16"/>
        <v>0</v>
      </c>
      <c r="W327" s="194">
        <v>0</v>
      </c>
      <c r="X327" s="192">
        <v>54260</v>
      </c>
      <c r="Y327" s="193">
        <v>0</v>
      </c>
      <c r="Z327" s="191" t="s">
        <v>425</v>
      </c>
      <c r="AA327" s="191" t="s">
        <v>1</v>
      </c>
      <c r="AB327" s="191"/>
      <c r="AC327" s="191"/>
      <c r="AD327" s="191" t="s">
        <v>426</v>
      </c>
      <c r="AE327" s="191" t="s">
        <v>425</v>
      </c>
      <c r="AF327" s="192" t="s">
        <v>92</v>
      </c>
      <c r="AG327" s="191"/>
      <c r="AH327" s="192" t="s">
        <v>424</v>
      </c>
      <c r="AI327" s="191">
        <v>8</v>
      </c>
      <c r="AJ327" s="191">
        <v>0</v>
      </c>
    </row>
    <row r="328" spans="2:36">
      <c r="B328" s="192">
        <v>2120</v>
      </c>
      <c r="C328" s="196">
        <v>25813</v>
      </c>
      <c r="D328" s="192" t="s">
        <v>427</v>
      </c>
      <c r="E328" s="191" t="s">
        <v>1024</v>
      </c>
      <c r="F328" s="192">
        <v>76</v>
      </c>
      <c r="G328" s="191"/>
      <c r="H328" s="191"/>
      <c r="I328" s="191"/>
      <c r="J328" s="191">
        <v>0</v>
      </c>
      <c r="K328" s="191"/>
      <c r="L328" s="191"/>
      <c r="M328" s="191" t="s">
        <v>469</v>
      </c>
      <c r="N328" s="195">
        <v>38100</v>
      </c>
      <c r="O328" s="195">
        <v>38100</v>
      </c>
      <c r="P328" s="191"/>
      <c r="Q328" s="192">
        <v>702</v>
      </c>
      <c r="R328" s="192">
        <v>14050</v>
      </c>
      <c r="S328" s="193">
        <v>4722.1899999999996</v>
      </c>
      <c r="T328" s="192">
        <v>14056</v>
      </c>
      <c r="U328" s="193">
        <v>4722.1899999999996</v>
      </c>
      <c r="V328" s="193">
        <f t="shared" si="16"/>
        <v>0</v>
      </c>
      <c r="W328" s="194">
        <v>0</v>
      </c>
      <c r="X328" s="192">
        <v>54260</v>
      </c>
      <c r="Y328" s="193">
        <v>0</v>
      </c>
      <c r="Z328" s="191" t="s">
        <v>425</v>
      </c>
      <c r="AA328" s="191" t="s">
        <v>1</v>
      </c>
      <c r="AB328" s="191"/>
      <c r="AC328" s="191"/>
      <c r="AD328" s="191" t="s">
        <v>426</v>
      </c>
      <c r="AE328" s="191" t="s">
        <v>425</v>
      </c>
      <c r="AF328" s="192" t="s">
        <v>92</v>
      </c>
      <c r="AG328" s="191"/>
      <c r="AH328" s="192" t="s">
        <v>424</v>
      </c>
      <c r="AI328" s="191">
        <v>6</v>
      </c>
      <c r="AJ328" s="191">
        <v>0</v>
      </c>
    </row>
    <row r="329" spans="2:36">
      <c r="B329" s="192">
        <v>2120</v>
      </c>
      <c r="C329" s="196">
        <v>25812</v>
      </c>
      <c r="D329" s="192" t="s">
        <v>427</v>
      </c>
      <c r="E329" s="191" t="s">
        <v>411</v>
      </c>
      <c r="F329" s="192">
        <v>96</v>
      </c>
      <c r="G329" s="191"/>
      <c r="H329" s="191"/>
      <c r="I329" s="191"/>
      <c r="J329" s="191">
        <v>0</v>
      </c>
      <c r="K329" s="191"/>
      <c r="L329" s="191"/>
      <c r="M329" s="191" t="s">
        <v>464</v>
      </c>
      <c r="N329" s="195">
        <v>38100</v>
      </c>
      <c r="O329" s="195">
        <v>38100</v>
      </c>
      <c r="P329" s="191"/>
      <c r="Q329" s="192">
        <v>702</v>
      </c>
      <c r="R329" s="192">
        <v>14050</v>
      </c>
      <c r="S329" s="193">
        <v>5308.39</v>
      </c>
      <c r="T329" s="192">
        <v>14056</v>
      </c>
      <c r="U329" s="193">
        <v>5308.39</v>
      </c>
      <c r="V329" s="193">
        <f t="shared" si="16"/>
        <v>0</v>
      </c>
      <c r="W329" s="194">
        <v>0</v>
      </c>
      <c r="X329" s="192">
        <v>54260</v>
      </c>
      <c r="Y329" s="193">
        <v>0</v>
      </c>
      <c r="Z329" s="191" t="s">
        <v>425</v>
      </c>
      <c r="AA329" s="191" t="s">
        <v>1</v>
      </c>
      <c r="AB329" s="191"/>
      <c r="AC329" s="191"/>
      <c r="AD329" s="191" t="s">
        <v>426</v>
      </c>
      <c r="AE329" s="191" t="s">
        <v>425</v>
      </c>
      <c r="AF329" s="192" t="s">
        <v>92</v>
      </c>
      <c r="AG329" s="191"/>
      <c r="AH329" s="192" t="s">
        <v>424</v>
      </c>
      <c r="AI329" s="191">
        <v>8</v>
      </c>
      <c r="AJ329" s="191">
        <v>0</v>
      </c>
    </row>
    <row r="330" spans="2:36">
      <c r="B330" s="192">
        <v>2120</v>
      </c>
      <c r="C330" s="196">
        <v>25811</v>
      </c>
      <c r="D330" s="192" t="s">
        <v>427</v>
      </c>
      <c r="E330" s="191" t="s">
        <v>1025</v>
      </c>
      <c r="F330" s="192">
        <v>116</v>
      </c>
      <c r="G330" s="191"/>
      <c r="H330" s="191"/>
      <c r="I330" s="191"/>
      <c r="J330" s="191">
        <v>0</v>
      </c>
      <c r="K330" s="191"/>
      <c r="L330" s="191"/>
      <c r="M330" s="191" t="s">
        <v>461</v>
      </c>
      <c r="N330" s="195">
        <v>38100</v>
      </c>
      <c r="O330" s="195">
        <v>38100</v>
      </c>
      <c r="P330" s="191"/>
      <c r="Q330" s="192">
        <v>702</v>
      </c>
      <c r="R330" s="192">
        <v>14050</v>
      </c>
      <c r="S330" s="193">
        <v>5701.32</v>
      </c>
      <c r="T330" s="192">
        <v>14056</v>
      </c>
      <c r="U330" s="193">
        <v>5701.32</v>
      </c>
      <c r="V330" s="193">
        <f t="shared" si="16"/>
        <v>0</v>
      </c>
      <c r="W330" s="194">
        <v>0</v>
      </c>
      <c r="X330" s="192">
        <v>54260</v>
      </c>
      <c r="Y330" s="193">
        <v>0</v>
      </c>
      <c r="Z330" s="191" t="s">
        <v>425</v>
      </c>
      <c r="AA330" s="191" t="s">
        <v>1</v>
      </c>
      <c r="AB330" s="191"/>
      <c r="AC330" s="191"/>
      <c r="AD330" s="191" t="s">
        <v>426</v>
      </c>
      <c r="AE330" s="191" t="s">
        <v>425</v>
      </c>
      <c r="AF330" s="192" t="s">
        <v>92</v>
      </c>
      <c r="AG330" s="191"/>
      <c r="AH330" s="192" t="s">
        <v>424</v>
      </c>
      <c r="AI330" s="191">
        <v>4</v>
      </c>
      <c r="AJ330" s="191">
        <v>0</v>
      </c>
    </row>
    <row r="331" spans="2:36">
      <c r="B331" s="192">
        <v>2120</v>
      </c>
      <c r="C331" s="196">
        <v>25810</v>
      </c>
      <c r="D331" s="192" t="s">
        <v>427</v>
      </c>
      <c r="E331" s="191" t="s">
        <v>1026</v>
      </c>
      <c r="F331" s="192">
        <v>2571</v>
      </c>
      <c r="G331" s="191"/>
      <c r="H331" s="191"/>
      <c r="I331" s="191"/>
      <c r="J331" s="191">
        <v>0</v>
      </c>
      <c r="K331" s="191"/>
      <c r="L331" s="191"/>
      <c r="M331" s="191"/>
      <c r="N331" s="195">
        <v>38100</v>
      </c>
      <c r="O331" s="195">
        <v>38100</v>
      </c>
      <c r="P331" s="191"/>
      <c r="Q331" s="192">
        <v>500</v>
      </c>
      <c r="R331" s="192">
        <v>14050</v>
      </c>
      <c r="S331" s="193">
        <v>25040</v>
      </c>
      <c r="T331" s="192">
        <v>14056</v>
      </c>
      <c r="U331" s="193">
        <v>25040</v>
      </c>
      <c r="V331" s="193">
        <f t="shared" si="16"/>
        <v>0</v>
      </c>
      <c r="W331" s="194">
        <v>0</v>
      </c>
      <c r="X331" s="192">
        <v>54260</v>
      </c>
      <c r="Y331" s="193">
        <v>0</v>
      </c>
      <c r="Z331" s="191" t="s">
        <v>425</v>
      </c>
      <c r="AA331" s="191" t="s">
        <v>1</v>
      </c>
      <c r="AB331" s="191"/>
      <c r="AC331" s="191"/>
      <c r="AD331" s="191" t="s">
        <v>426</v>
      </c>
      <c r="AE331" s="191" t="s">
        <v>425</v>
      </c>
      <c r="AF331" s="192" t="s">
        <v>92</v>
      </c>
      <c r="AG331" s="191"/>
      <c r="AH331" s="192" t="s">
        <v>424</v>
      </c>
      <c r="AI331" s="191">
        <v>0</v>
      </c>
      <c r="AJ331" s="191">
        <v>0</v>
      </c>
    </row>
    <row r="332" spans="2:36">
      <c r="B332" s="192">
        <v>2120</v>
      </c>
      <c r="C332" s="196">
        <v>25787</v>
      </c>
      <c r="D332" s="192" t="s">
        <v>427</v>
      </c>
      <c r="E332" s="191" t="s">
        <v>1039</v>
      </c>
      <c r="F332" s="192">
        <v>0</v>
      </c>
      <c r="G332" s="191"/>
      <c r="H332" s="191" t="s">
        <v>1038</v>
      </c>
      <c r="I332" s="191" t="s">
        <v>1037</v>
      </c>
      <c r="J332" s="191">
        <v>1988</v>
      </c>
      <c r="K332" s="191" t="s">
        <v>1036</v>
      </c>
      <c r="L332" s="191" t="s">
        <v>1035</v>
      </c>
      <c r="M332" s="191" t="s">
        <v>564</v>
      </c>
      <c r="N332" s="195">
        <v>38100</v>
      </c>
      <c r="O332" s="195">
        <v>38100</v>
      </c>
      <c r="P332" s="191"/>
      <c r="Q332" s="192">
        <v>0</v>
      </c>
      <c r="R332" s="192">
        <v>14040</v>
      </c>
      <c r="S332" s="193">
        <v>0</v>
      </c>
      <c r="T332" s="192">
        <v>14046</v>
      </c>
      <c r="U332" s="193">
        <v>0</v>
      </c>
      <c r="V332" s="193">
        <f t="shared" si="16"/>
        <v>0</v>
      </c>
      <c r="W332" s="194">
        <v>0</v>
      </c>
      <c r="X332" s="192">
        <v>51260</v>
      </c>
      <c r="Y332" s="193">
        <v>0</v>
      </c>
      <c r="Z332" s="191" t="s">
        <v>425</v>
      </c>
      <c r="AA332" s="191" t="s">
        <v>1</v>
      </c>
      <c r="AB332" s="191"/>
      <c r="AC332" s="191">
        <v>7</v>
      </c>
      <c r="AD332" s="191" t="s">
        <v>426</v>
      </c>
      <c r="AE332" s="191" t="s">
        <v>425</v>
      </c>
      <c r="AF332" s="192" t="s">
        <v>732</v>
      </c>
      <c r="AG332" s="191"/>
      <c r="AH332" s="192" t="s">
        <v>424</v>
      </c>
      <c r="AI332" s="191">
        <v>0</v>
      </c>
      <c r="AJ332" s="191">
        <v>0</v>
      </c>
    </row>
    <row r="333" spans="2:36">
      <c r="B333" s="192">
        <v>2120</v>
      </c>
      <c r="C333" s="196">
        <v>25782</v>
      </c>
      <c r="D333" s="192">
        <v>27206</v>
      </c>
      <c r="E333" s="191" t="s">
        <v>981</v>
      </c>
      <c r="F333" s="192">
        <v>0</v>
      </c>
      <c r="G333" s="191"/>
      <c r="H333" s="191" t="s">
        <v>980</v>
      </c>
      <c r="I333" s="191"/>
      <c r="J333" s="191">
        <v>2004</v>
      </c>
      <c r="K333" s="191" t="s">
        <v>979</v>
      </c>
      <c r="L333" s="191" t="s">
        <v>734</v>
      </c>
      <c r="M333" s="191" t="s">
        <v>574</v>
      </c>
      <c r="N333" s="195">
        <v>38100</v>
      </c>
      <c r="O333" s="195">
        <v>38100</v>
      </c>
      <c r="P333" s="191"/>
      <c r="Q333" s="192">
        <v>500</v>
      </c>
      <c r="R333" s="192">
        <v>14040</v>
      </c>
      <c r="S333" s="193">
        <v>25000</v>
      </c>
      <c r="T333" s="192">
        <v>14046</v>
      </c>
      <c r="U333" s="193">
        <v>25000</v>
      </c>
      <c r="V333" s="193">
        <f t="shared" si="16"/>
        <v>0</v>
      </c>
      <c r="W333" s="194">
        <v>0</v>
      </c>
      <c r="X333" s="192">
        <v>51260</v>
      </c>
      <c r="Y333" s="193">
        <v>0</v>
      </c>
      <c r="Z333" s="191" t="s">
        <v>425</v>
      </c>
      <c r="AA333" s="191" t="s">
        <v>1</v>
      </c>
      <c r="AB333" s="191"/>
      <c r="AC333" s="191">
        <v>4</v>
      </c>
      <c r="AD333" s="191" t="s">
        <v>426</v>
      </c>
      <c r="AE333" s="191" t="s">
        <v>425</v>
      </c>
      <c r="AF333" s="192" t="s">
        <v>92</v>
      </c>
      <c r="AG333" s="191"/>
      <c r="AH333" s="192" t="s">
        <v>424</v>
      </c>
      <c r="AI333" s="191">
        <v>0</v>
      </c>
      <c r="AJ333" s="191">
        <v>0</v>
      </c>
    </row>
    <row r="334" spans="2:36">
      <c r="B334" s="192">
        <v>2120</v>
      </c>
      <c r="C334" s="196">
        <v>25779</v>
      </c>
      <c r="D334" s="192" t="s">
        <v>427</v>
      </c>
      <c r="E334" s="191" t="s">
        <v>242</v>
      </c>
      <c r="F334" s="192">
        <v>0</v>
      </c>
      <c r="G334" s="191"/>
      <c r="H334" s="191" t="s">
        <v>1040</v>
      </c>
      <c r="I334" s="191"/>
      <c r="J334" s="191">
        <v>1984</v>
      </c>
      <c r="K334" s="191" t="s">
        <v>734</v>
      </c>
      <c r="L334" s="191" t="s">
        <v>734</v>
      </c>
      <c r="M334" s="191" t="s">
        <v>733</v>
      </c>
      <c r="N334" s="195">
        <v>38100</v>
      </c>
      <c r="O334" s="195">
        <v>38100</v>
      </c>
      <c r="P334" s="191"/>
      <c r="Q334" s="192">
        <v>0</v>
      </c>
      <c r="R334" s="192">
        <v>14030</v>
      </c>
      <c r="S334" s="193">
        <v>0</v>
      </c>
      <c r="T334" s="192">
        <v>14036</v>
      </c>
      <c r="U334" s="193">
        <v>0</v>
      </c>
      <c r="V334" s="193">
        <f t="shared" ref="V334:V346" si="17">S334-U334</f>
        <v>0</v>
      </c>
      <c r="W334" s="194">
        <v>0</v>
      </c>
      <c r="X334" s="192">
        <v>51260</v>
      </c>
      <c r="Y334" s="193">
        <v>0</v>
      </c>
      <c r="Z334" s="191" t="s">
        <v>425</v>
      </c>
      <c r="AA334" s="191" t="s">
        <v>1</v>
      </c>
      <c r="AB334" s="191"/>
      <c r="AC334" s="191">
        <v>6</v>
      </c>
      <c r="AD334" s="191" t="s">
        <v>426</v>
      </c>
      <c r="AE334" s="191" t="s">
        <v>425</v>
      </c>
      <c r="AF334" s="192" t="s">
        <v>732</v>
      </c>
      <c r="AG334" s="191"/>
      <c r="AH334" s="192" t="s">
        <v>424</v>
      </c>
      <c r="AI334" s="191">
        <v>0</v>
      </c>
      <c r="AJ334" s="191">
        <v>0</v>
      </c>
    </row>
    <row r="335" spans="2:36">
      <c r="B335" s="192">
        <v>2120</v>
      </c>
      <c r="C335" s="196">
        <v>24925</v>
      </c>
      <c r="D335" s="192"/>
      <c r="E335" s="191" t="s">
        <v>640</v>
      </c>
      <c r="F335" s="192">
        <v>0</v>
      </c>
      <c r="G335" s="191"/>
      <c r="H335" s="191"/>
      <c r="I335" s="191"/>
      <c r="J335" s="191">
        <v>0</v>
      </c>
      <c r="K335" s="191"/>
      <c r="L335" s="191"/>
      <c r="M335" s="191"/>
      <c r="N335" s="195">
        <v>38100</v>
      </c>
      <c r="O335" s="195">
        <v>38100</v>
      </c>
      <c r="P335" s="191"/>
      <c r="Q335" s="192">
        <v>0</v>
      </c>
      <c r="R335" s="192">
        <v>15260</v>
      </c>
      <c r="S335" s="193">
        <v>167101.01999999999</v>
      </c>
      <c r="T335" s="192">
        <v>15266</v>
      </c>
      <c r="U335" s="193">
        <v>0</v>
      </c>
      <c r="V335" s="193">
        <f t="shared" si="17"/>
        <v>167101.01999999999</v>
      </c>
      <c r="W335" s="194">
        <v>0</v>
      </c>
      <c r="X335" s="192">
        <v>70264</v>
      </c>
      <c r="Y335" s="193">
        <v>0</v>
      </c>
      <c r="Z335" s="191" t="s">
        <v>425</v>
      </c>
      <c r="AA335" s="191" t="s">
        <v>639</v>
      </c>
      <c r="AB335" s="191"/>
      <c r="AC335" s="191"/>
      <c r="AD335" s="191" t="s">
        <v>426</v>
      </c>
      <c r="AE335" s="191" t="s">
        <v>425</v>
      </c>
      <c r="AF335" s="192" t="s">
        <v>732</v>
      </c>
      <c r="AG335" s="191"/>
      <c r="AH335" s="192" t="s">
        <v>424</v>
      </c>
      <c r="AI335" s="191">
        <v>0</v>
      </c>
      <c r="AJ335" s="191">
        <v>0</v>
      </c>
    </row>
    <row r="336" spans="2:36">
      <c r="B336" s="192">
        <v>2120</v>
      </c>
      <c r="C336" s="196">
        <v>24924</v>
      </c>
      <c r="D336" s="192"/>
      <c r="E336" s="191" t="s">
        <v>640</v>
      </c>
      <c r="F336" s="192">
        <v>0</v>
      </c>
      <c r="G336" s="191"/>
      <c r="H336" s="191"/>
      <c r="I336" s="191"/>
      <c r="J336" s="191">
        <v>0</v>
      </c>
      <c r="K336" s="191"/>
      <c r="L336" s="191"/>
      <c r="M336" s="191"/>
      <c r="N336" s="195">
        <v>38100</v>
      </c>
      <c r="O336" s="195">
        <v>38100</v>
      </c>
      <c r="P336" s="191"/>
      <c r="Q336" s="192">
        <v>0</v>
      </c>
      <c r="R336" s="192">
        <v>15250</v>
      </c>
      <c r="S336" s="193">
        <v>0</v>
      </c>
      <c r="T336" s="192">
        <v>15256</v>
      </c>
      <c r="U336" s="193">
        <v>0</v>
      </c>
      <c r="V336" s="193">
        <f t="shared" si="17"/>
        <v>0</v>
      </c>
      <c r="W336" s="194">
        <v>0</v>
      </c>
      <c r="X336" s="192">
        <v>70269</v>
      </c>
      <c r="Y336" s="193">
        <v>0</v>
      </c>
      <c r="Z336" s="191" t="s">
        <v>425</v>
      </c>
      <c r="AA336" s="191" t="s">
        <v>639</v>
      </c>
      <c r="AB336" s="191"/>
      <c r="AC336" s="191"/>
      <c r="AD336" s="191" t="s">
        <v>426</v>
      </c>
      <c r="AE336" s="191" t="s">
        <v>425</v>
      </c>
      <c r="AF336" s="192" t="s">
        <v>732</v>
      </c>
      <c r="AG336" s="191"/>
      <c r="AH336" s="192" t="s">
        <v>424</v>
      </c>
      <c r="AI336" s="191">
        <v>0</v>
      </c>
      <c r="AJ336" s="191">
        <v>0</v>
      </c>
    </row>
    <row r="337" spans="2:49">
      <c r="B337" s="192">
        <v>2120</v>
      </c>
      <c r="C337" s="196">
        <v>24923</v>
      </c>
      <c r="D337" s="192"/>
      <c r="E337" s="191" t="s">
        <v>640</v>
      </c>
      <c r="F337" s="192">
        <v>0</v>
      </c>
      <c r="G337" s="191"/>
      <c r="H337" s="191"/>
      <c r="I337" s="191"/>
      <c r="J337" s="191">
        <v>0</v>
      </c>
      <c r="K337" s="191"/>
      <c r="L337" s="191"/>
      <c r="M337" s="191"/>
      <c r="N337" s="195">
        <v>38100</v>
      </c>
      <c r="O337" s="195">
        <v>38100</v>
      </c>
      <c r="P337" s="191"/>
      <c r="Q337" s="192">
        <v>500</v>
      </c>
      <c r="R337" s="192">
        <v>15210</v>
      </c>
      <c r="S337" s="193">
        <v>31000</v>
      </c>
      <c r="T337" s="192">
        <v>15216</v>
      </c>
      <c r="U337" s="193">
        <v>31000</v>
      </c>
      <c r="V337" s="193">
        <f t="shared" si="17"/>
        <v>0</v>
      </c>
      <c r="W337" s="194">
        <v>0</v>
      </c>
      <c r="X337" s="192">
        <v>70266</v>
      </c>
      <c r="Y337" s="193">
        <v>0</v>
      </c>
      <c r="Z337" s="191" t="s">
        <v>425</v>
      </c>
      <c r="AA337" s="191" t="s">
        <v>639</v>
      </c>
      <c r="AB337" s="191"/>
      <c r="AC337" s="191"/>
      <c r="AD337" s="191" t="s">
        <v>426</v>
      </c>
      <c r="AE337" s="191" t="s">
        <v>425</v>
      </c>
      <c r="AF337" s="192" t="s">
        <v>92</v>
      </c>
      <c r="AG337" s="197">
        <v>38291</v>
      </c>
      <c r="AH337" s="192" t="s">
        <v>424</v>
      </c>
      <c r="AI337" s="191">
        <v>0</v>
      </c>
      <c r="AJ337" s="191">
        <v>3100.01</v>
      </c>
    </row>
    <row r="338" spans="2:49">
      <c r="B338" s="192">
        <v>2120</v>
      </c>
      <c r="C338" s="196">
        <v>24922</v>
      </c>
      <c r="D338" s="192"/>
      <c r="E338" s="191" t="s">
        <v>640</v>
      </c>
      <c r="F338" s="192">
        <v>0</v>
      </c>
      <c r="G338" s="191"/>
      <c r="H338" s="191"/>
      <c r="I338" s="191"/>
      <c r="J338" s="191">
        <v>0</v>
      </c>
      <c r="K338" s="191"/>
      <c r="L338" s="191"/>
      <c r="M338" s="191"/>
      <c r="N338" s="195">
        <v>38100</v>
      </c>
      <c r="O338" s="195">
        <v>38100</v>
      </c>
      <c r="P338" s="191"/>
      <c r="Q338" s="192">
        <v>0</v>
      </c>
      <c r="R338" s="192">
        <v>15110</v>
      </c>
      <c r="S338" s="193">
        <v>2391918.46</v>
      </c>
      <c r="T338" s="192">
        <v>15120</v>
      </c>
      <c r="U338" s="193">
        <v>0</v>
      </c>
      <c r="V338" s="193">
        <f t="shared" si="17"/>
        <v>2391918.46</v>
      </c>
      <c r="W338" s="194">
        <v>0</v>
      </c>
      <c r="X338" s="192">
        <v>70268</v>
      </c>
      <c r="Y338" s="193">
        <v>0</v>
      </c>
      <c r="Z338" s="191" t="s">
        <v>425</v>
      </c>
      <c r="AA338" s="191" t="s">
        <v>639</v>
      </c>
      <c r="AB338" s="191"/>
      <c r="AC338" s="191"/>
      <c r="AD338" s="191" t="s">
        <v>426</v>
      </c>
      <c r="AE338" s="191" t="s">
        <v>425</v>
      </c>
      <c r="AF338" s="192" t="s">
        <v>732</v>
      </c>
      <c r="AG338" s="191"/>
      <c r="AH338" s="192" t="s">
        <v>424</v>
      </c>
      <c r="AI338" s="191">
        <v>0</v>
      </c>
      <c r="AJ338" s="191">
        <v>0</v>
      </c>
    </row>
    <row r="339" spans="2:49">
      <c r="B339" s="192">
        <v>2120</v>
      </c>
      <c r="C339" s="196">
        <v>235383</v>
      </c>
      <c r="D339" s="192" t="s">
        <v>427</v>
      </c>
      <c r="E339" s="191" t="s">
        <v>392</v>
      </c>
      <c r="F339" s="192">
        <v>35</v>
      </c>
      <c r="G339" s="191"/>
      <c r="H339" s="191" t="s">
        <v>513</v>
      </c>
      <c r="I339" s="191"/>
      <c r="J339" s="191">
        <v>0</v>
      </c>
      <c r="K339" s="191" t="s">
        <v>512</v>
      </c>
      <c r="L339" s="191"/>
      <c r="M339" s="191"/>
      <c r="N339" s="195">
        <v>36987</v>
      </c>
      <c r="O339" s="195"/>
      <c r="P339" s="191" t="s">
        <v>511</v>
      </c>
      <c r="Q339" s="192">
        <v>1000</v>
      </c>
      <c r="R339" s="192">
        <v>14050</v>
      </c>
      <c r="S339" s="193">
        <v>1225</v>
      </c>
      <c r="T339" s="192">
        <v>14056</v>
      </c>
      <c r="U339" s="193">
        <v>1225</v>
      </c>
      <c r="V339" s="193">
        <f t="shared" si="17"/>
        <v>0</v>
      </c>
      <c r="W339" s="194">
        <v>0</v>
      </c>
      <c r="X339" s="192">
        <v>54260</v>
      </c>
      <c r="Y339" s="193">
        <v>0</v>
      </c>
      <c r="Z339" s="191" t="s">
        <v>427</v>
      </c>
      <c r="AA339" s="191"/>
      <c r="AB339" s="191">
        <v>45304</v>
      </c>
      <c r="AC339" s="191"/>
      <c r="AD339" s="191" t="s">
        <v>426</v>
      </c>
      <c r="AE339" s="191" t="s">
        <v>425</v>
      </c>
      <c r="AF339" s="192" t="s">
        <v>92</v>
      </c>
      <c r="AG339" s="197">
        <v>44012</v>
      </c>
      <c r="AH339" s="192" t="s">
        <v>424</v>
      </c>
      <c r="AI339" s="191">
        <v>0</v>
      </c>
      <c r="AJ339" s="191">
        <v>1225</v>
      </c>
      <c r="AM339" s="256"/>
      <c r="AN339" s="256"/>
      <c r="AO339" s="257"/>
      <c r="AP339" s="258"/>
      <c r="AQ339" s="259"/>
      <c r="AR339" s="260"/>
      <c r="AS339" s="261"/>
      <c r="AT339" s="261"/>
      <c r="AU339" s="260"/>
      <c r="AV339" s="262"/>
    </row>
    <row r="340" spans="2:49">
      <c r="B340" s="192">
        <v>2120</v>
      </c>
      <c r="C340" s="196">
        <v>202894</v>
      </c>
      <c r="D340" s="192">
        <v>202893</v>
      </c>
      <c r="E340" s="191" t="s">
        <v>594</v>
      </c>
      <c r="F340" s="192">
        <v>210</v>
      </c>
      <c r="G340" s="191"/>
      <c r="H340" s="191"/>
      <c r="I340" s="191"/>
      <c r="J340" s="191">
        <v>0</v>
      </c>
      <c r="K340" s="191"/>
      <c r="L340" s="191"/>
      <c r="M340" s="191" t="s">
        <v>448</v>
      </c>
      <c r="N340" s="195">
        <v>36707</v>
      </c>
      <c r="O340" s="195">
        <v>36707</v>
      </c>
      <c r="P340" s="191" t="s">
        <v>593</v>
      </c>
      <c r="Q340" s="192">
        <v>1000</v>
      </c>
      <c r="R340" s="192">
        <v>14040</v>
      </c>
      <c r="S340" s="193">
        <v>46599</v>
      </c>
      <c r="T340" s="192">
        <v>14046</v>
      </c>
      <c r="U340" s="193">
        <v>46599</v>
      </c>
      <c r="V340" s="193">
        <f t="shared" si="17"/>
        <v>0</v>
      </c>
      <c r="W340" s="194">
        <v>0</v>
      </c>
      <c r="X340" s="192">
        <v>51260</v>
      </c>
      <c r="Y340" s="193">
        <v>0</v>
      </c>
      <c r="Z340" s="191" t="s">
        <v>427</v>
      </c>
      <c r="AA340" s="191"/>
      <c r="AB340" s="191"/>
      <c r="AC340" s="191">
        <v>245</v>
      </c>
      <c r="AD340" s="191" t="s">
        <v>426</v>
      </c>
      <c r="AE340" s="191" t="s">
        <v>425</v>
      </c>
      <c r="AF340" s="192" t="s">
        <v>92</v>
      </c>
      <c r="AG340" s="197">
        <v>43343</v>
      </c>
      <c r="AH340" s="192" t="s">
        <v>424</v>
      </c>
      <c r="AI340" s="191">
        <v>0</v>
      </c>
      <c r="AJ340" s="191">
        <v>46599</v>
      </c>
    </row>
    <row r="341" spans="2:49">
      <c r="B341" s="192">
        <v>2120</v>
      </c>
      <c r="C341" s="196">
        <v>202893</v>
      </c>
      <c r="D341" s="192" t="s">
        <v>427</v>
      </c>
      <c r="E341" s="191" t="s">
        <v>601</v>
      </c>
      <c r="F341" s="192">
        <v>200</v>
      </c>
      <c r="G341" s="191"/>
      <c r="H341" s="191" t="s">
        <v>600</v>
      </c>
      <c r="I341" s="191" t="s">
        <v>599</v>
      </c>
      <c r="J341" s="191">
        <v>2000</v>
      </c>
      <c r="K341" s="191" t="s">
        <v>598</v>
      </c>
      <c r="L341" s="191" t="s">
        <v>597</v>
      </c>
      <c r="M341" s="191" t="s">
        <v>596</v>
      </c>
      <c r="N341" s="195">
        <v>36678</v>
      </c>
      <c r="O341" s="195">
        <v>36678</v>
      </c>
      <c r="P341" s="191" t="s">
        <v>595</v>
      </c>
      <c r="Q341" s="192">
        <v>1000</v>
      </c>
      <c r="R341" s="192">
        <v>14040</v>
      </c>
      <c r="S341" s="193">
        <v>71878.98</v>
      </c>
      <c r="T341" s="192">
        <v>14046</v>
      </c>
      <c r="U341" s="193">
        <v>71878.98</v>
      </c>
      <c r="V341" s="193">
        <f t="shared" si="17"/>
        <v>0</v>
      </c>
      <c r="W341" s="194">
        <v>0</v>
      </c>
      <c r="X341" s="192">
        <v>51260</v>
      </c>
      <c r="Y341" s="193">
        <v>0</v>
      </c>
      <c r="Z341" s="191" t="s">
        <v>427</v>
      </c>
      <c r="AA341" s="191"/>
      <c r="AB341" s="191"/>
      <c r="AC341" s="191">
        <v>25</v>
      </c>
      <c r="AD341" s="191" t="s">
        <v>426</v>
      </c>
      <c r="AE341" s="191" t="s">
        <v>425</v>
      </c>
      <c r="AF341" s="192" t="s">
        <v>92</v>
      </c>
      <c r="AG341" s="197">
        <v>43343</v>
      </c>
      <c r="AH341" s="192" t="s">
        <v>424</v>
      </c>
      <c r="AI341" s="191">
        <v>0</v>
      </c>
      <c r="AJ341" s="191">
        <v>71878.98</v>
      </c>
    </row>
    <row r="342" spans="2:49">
      <c r="B342" s="192">
        <v>2120</v>
      </c>
      <c r="C342" s="196">
        <v>254641</v>
      </c>
      <c r="D342" s="192" t="s">
        <v>427</v>
      </c>
      <c r="E342" s="191" t="s">
        <v>407</v>
      </c>
      <c r="F342" s="192">
        <v>2</v>
      </c>
      <c r="G342" s="191"/>
      <c r="H342" s="191"/>
      <c r="I342" s="191"/>
      <c r="J342" s="191">
        <v>0</v>
      </c>
      <c r="K342" s="191"/>
      <c r="L342" s="191"/>
      <c r="M342" s="191" t="s">
        <v>469</v>
      </c>
      <c r="N342" s="195">
        <v>36557</v>
      </c>
      <c r="O342" s="195">
        <v>36557</v>
      </c>
      <c r="P342" s="191"/>
      <c r="Q342" s="192">
        <v>700</v>
      </c>
      <c r="R342" s="192">
        <v>14050</v>
      </c>
      <c r="S342" s="193">
        <v>72.12</v>
      </c>
      <c r="T342" s="192">
        <v>14056</v>
      </c>
      <c r="U342" s="193">
        <v>72.12</v>
      </c>
      <c r="V342" s="193">
        <f t="shared" si="17"/>
        <v>0</v>
      </c>
      <c r="W342" s="194">
        <v>0</v>
      </c>
      <c r="X342" s="192">
        <v>54260</v>
      </c>
      <c r="Y342" s="193">
        <v>0</v>
      </c>
      <c r="Z342" s="191" t="s">
        <v>425</v>
      </c>
      <c r="AA342" s="191" t="s">
        <v>468</v>
      </c>
      <c r="AB342" s="191"/>
      <c r="AC342" s="191"/>
      <c r="AD342" s="191" t="s">
        <v>426</v>
      </c>
      <c r="AE342" s="191" t="s">
        <v>425</v>
      </c>
      <c r="AF342" s="192" t="s">
        <v>92</v>
      </c>
      <c r="AG342" s="197">
        <v>44347</v>
      </c>
      <c r="AH342" s="192" t="s">
        <v>424</v>
      </c>
      <c r="AI342" s="191">
        <v>0</v>
      </c>
      <c r="AJ342" s="191">
        <v>72.12</v>
      </c>
      <c r="AM342" s="256"/>
      <c r="AN342" s="256"/>
      <c r="AO342" s="257"/>
      <c r="AP342" s="258"/>
      <c r="AQ342" s="259"/>
      <c r="AR342" s="260"/>
      <c r="AS342" s="261"/>
      <c r="AT342" s="261"/>
      <c r="AU342" s="260"/>
      <c r="AV342" s="262"/>
    </row>
    <row r="343" spans="2:49">
      <c r="B343" s="192">
        <v>2120</v>
      </c>
      <c r="C343" s="196">
        <v>219444</v>
      </c>
      <c r="D343" s="192" t="s">
        <v>427</v>
      </c>
      <c r="E343" s="191" t="s">
        <v>407</v>
      </c>
      <c r="F343" s="192">
        <v>10</v>
      </c>
      <c r="G343" s="191"/>
      <c r="H343" s="191"/>
      <c r="I343" s="191"/>
      <c r="J343" s="191">
        <v>0</v>
      </c>
      <c r="K343" s="191"/>
      <c r="L343" s="191"/>
      <c r="M343" s="191" t="s">
        <v>469</v>
      </c>
      <c r="N343" s="195">
        <v>36557</v>
      </c>
      <c r="O343" s="195">
        <v>36557</v>
      </c>
      <c r="P343" s="191"/>
      <c r="Q343" s="192">
        <v>700</v>
      </c>
      <c r="R343" s="192">
        <v>14050</v>
      </c>
      <c r="S343" s="193">
        <v>360.6</v>
      </c>
      <c r="T343" s="192">
        <v>14056</v>
      </c>
      <c r="U343" s="193">
        <v>360.6</v>
      </c>
      <c r="V343" s="193">
        <f t="shared" si="17"/>
        <v>0</v>
      </c>
      <c r="W343" s="194">
        <v>0</v>
      </c>
      <c r="X343" s="192">
        <v>54260</v>
      </c>
      <c r="Y343" s="193">
        <v>0</v>
      </c>
      <c r="Z343" s="191" t="s">
        <v>425</v>
      </c>
      <c r="AA343" s="191" t="s">
        <v>468</v>
      </c>
      <c r="AB343" s="191"/>
      <c r="AC343" s="191"/>
      <c r="AD343" s="191" t="s">
        <v>426</v>
      </c>
      <c r="AE343" s="191" t="s">
        <v>425</v>
      </c>
      <c r="AF343" s="192" t="s">
        <v>92</v>
      </c>
      <c r="AG343" s="197">
        <v>43708</v>
      </c>
      <c r="AH343" s="192" t="s">
        <v>424</v>
      </c>
      <c r="AI343" s="191">
        <v>0</v>
      </c>
      <c r="AJ343" s="191">
        <v>360.6</v>
      </c>
    </row>
    <row r="344" spans="2:49">
      <c r="B344" s="192">
        <v>2120</v>
      </c>
      <c r="C344" s="196">
        <v>109473</v>
      </c>
      <c r="D344" s="192" t="s">
        <v>427</v>
      </c>
      <c r="E344" s="191" t="s">
        <v>407</v>
      </c>
      <c r="F344" s="192">
        <v>5</v>
      </c>
      <c r="G344" s="191"/>
      <c r="H344" s="191"/>
      <c r="I344" s="191"/>
      <c r="J344" s="191">
        <v>0</v>
      </c>
      <c r="K344" s="191"/>
      <c r="L344" s="191"/>
      <c r="M344" s="191" t="s">
        <v>469</v>
      </c>
      <c r="N344" s="195">
        <v>36557</v>
      </c>
      <c r="O344" s="195">
        <v>36557</v>
      </c>
      <c r="P344" s="191"/>
      <c r="Q344" s="192">
        <v>700</v>
      </c>
      <c r="R344" s="192">
        <v>14050</v>
      </c>
      <c r="S344" s="193">
        <v>180.3</v>
      </c>
      <c r="T344" s="192">
        <v>14056</v>
      </c>
      <c r="U344" s="193">
        <v>180.3</v>
      </c>
      <c r="V344" s="193">
        <f t="shared" si="17"/>
        <v>0</v>
      </c>
      <c r="W344" s="194">
        <v>0</v>
      </c>
      <c r="X344" s="192">
        <v>54260</v>
      </c>
      <c r="Y344" s="193">
        <v>0</v>
      </c>
      <c r="Z344" s="191" t="s">
        <v>425</v>
      </c>
      <c r="AA344" s="191" t="s">
        <v>468</v>
      </c>
      <c r="AB344" s="191"/>
      <c r="AC344" s="191"/>
      <c r="AD344" s="191" t="s">
        <v>426</v>
      </c>
      <c r="AE344" s="191" t="s">
        <v>425</v>
      </c>
      <c r="AF344" s="192" t="s">
        <v>92</v>
      </c>
      <c r="AG344" s="197">
        <v>41608</v>
      </c>
      <c r="AH344" s="192" t="s">
        <v>424</v>
      </c>
      <c r="AI344" s="191">
        <v>0</v>
      </c>
      <c r="AJ344" s="191">
        <v>180.3</v>
      </c>
    </row>
    <row r="345" spans="2:49">
      <c r="B345" s="192">
        <v>2120</v>
      </c>
      <c r="C345" s="196">
        <v>105610</v>
      </c>
      <c r="D345" s="192" t="s">
        <v>427</v>
      </c>
      <c r="E345" s="191" t="s">
        <v>757</v>
      </c>
      <c r="F345" s="192">
        <v>9</v>
      </c>
      <c r="G345" s="191"/>
      <c r="H345" s="191"/>
      <c r="I345" s="191"/>
      <c r="J345" s="191">
        <v>0</v>
      </c>
      <c r="K345" s="191"/>
      <c r="L345" s="191"/>
      <c r="M345" s="191" t="s">
        <v>469</v>
      </c>
      <c r="N345" s="195">
        <v>36557</v>
      </c>
      <c r="O345" s="195">
        <v>36557</v>
      </c>
      <c r="P345" s="191"/>
      <c r="Q345" s="192">
        <v>700</v>
      </c>
      <c r="R345" s="192">
        <v>14050</v>
      </c>
      <c r="S345" s="193">
        <v>324.54000000000002</v>
      </c>
      <c r="T345" s="192">
        <v>14056</v>
      </c>
      <c r="U345" s="193">
        <v>324.54000000000002</v>
      </c>
      <c r="V345" s="193">
        <f t="shared" si="17"/>
        <v>0</v>
      </c>
      <c r="W345" s="194">
        <v>0</v>
      </c>
      <c r="X345" s="192">
        <v>54260</v>
      </c>
      <c r="Y345" s="193">
        <v>0</v>
      </c>
      <c r="Z345" s="191" t="s">
        <v>425</v>
      </c>
      <c r="AA345" s="191" t="s">
        <v>468</v>
      </c>
      <c r="AB345" s="191"/>
      <c r="AC345" s="191"/>
      <c r="AD345" s="191" t="s">
        <v>426</v>
      </c>
      <c r="AE345" s="191" t="s">
        <v>425</v>
      </c>
      <c r="AF345" s="192" t="s">
        <v>92</v>
      </c>
      <c r="AG345" s="197">
        <v>41455</v>
      </c>
      <c r="AH345" s="192" t="s">
        <v>424</v>
      </c>
      <c r="AI345" s="191">
        <v>0</v>
      </c>
      <c r="AJ345" s="191">
        <v>324.54000000000002</v>
      </c>
    </row>
    <row r="346" spans="2:49">
      <c r="B346" s="192">
        <v>2120</v>
      </c>
      <c r="C346" s="196">
        <v>254644</v>
      </c>
      <c r="D346" s="192" t="s">
        <v>427</v>
      </c>
      <c r="E346" s="191" t="s">
        <v>405</v>
      </c>
      <c r="F346" s="192">
        <v>8</v>
      </c>
      <c r="G346" s="191"/>
      <c r="H346" s="191"/>
      <c r="I346" s="191"/>
      <c r="J346" s="191">
        <v>0</v>
      </c>
      <c r="K346" s="191"/>
      <c r="L346" s="191"/>
      <c r="M346" s="191" t="s">
        <v>461</v>
      </c>
      <c r="N346" s="195">
        <v>36039</v>
      </c>
      <c r="O346" s="195">
        <v>36039</v>
      </c>
      <c r="P346" s="191"/>
      <c r="Q346" s="192">
        <v>700</v>
      </c>
      <c r="R346" s="192">
        <v>14050</v>
      </c>
      <c r="S346" s="193">
        <v>600</v>
      </c>
      <c r="T346" s="192">
        <v>14056</v>
      </c>
      <c r="U346" s="193">
        <v>600</v>
      </c>
      <c r="V346" s="193">
        <f t="shared" si="17"/>
        <v>0</v>
      </c>
      <c r="W346" s="194">
        <v>0</v>
      </c>
      <c r="X346" s="192">
        <v>54260</v>
      </c>
      <c r="Y346" s="193">
        <v>0</v>
      </c>
      <c r="Z346" s="191" t="s">
        <v>460</v>
      </c>
      <c r="AA346" s="191" t="s">
        <v>459</v>
      </c>
      <c r="AB346" s="191"/>
      <c r="AC346" s="191"/>
      <c r="AD346" s="191" t="s">
        <v>426</v>
      </c>
      <c r="AE346" s="191" t="s">
        <v>425</v>
      </c>
      <c r="AF346" s="192" t="s">
        <v>92</v>
      </c>
      <c r="AG346" s="197">
        <v>44347</v>
      </c>
      <c r="AH346" s="192" t="s">
        <v>424</v>
      </c>
      <c r="AI346" s="191">
        <v>0</v>
      </c>
      <c r="AJ346" s="191">
        <v>600</v>
      </c>
      <c r="AM346" s="256"/>
      <c r="AN346" s="256"/>
      <c r="AO346" s="257"/>
      <c r="AP346" s="258"/>
      <c r="AQ346" s="259"/>
      <c r="AR346" s="260"/>
      <c r="AS346" s="261"/>
      <c r="AT346" s="261"/>
      <c r="AU346" s="260"/>
      <c r="AV346" s="262"/>
    </row>
    <row r="347" spans="2:49">
      <c r="AW347" s="222"/>
    </row>
  </sheetData>
  <autoFilter ref="A13:AW346" xr:uid="{649EB336-26F6-4ED6-8C69-EBAE88C94AAD}"/>
  <mergeCells count="5">
    <mergeCell ref="M9:N9"/>
    <mergeCell ref="M10:N10"/>
    <mergeCell ref="M11:N11"/>
    <mergeCell ref="C10:D10"/>
    <mergeCell ref="F9:J10"/>
  </mergeCells>
  <dataValidations count="1">
    <dataValidation type="list" allowBlank="1" showInputMessage="1" showErrorMessage="1" sqref="S9" xr:uid="{00000000-0002-0000-0100-000000000000}">
      <formula1>"P,C,All"</formula1>
    </dataValidation>
  </dataValidations>
  <pageMargins left="0.7" right="0.7" top="0.75" bottom="0.75" header="0.3" footer="0.3"/>
  <pageSetup scale="50" fitToHeight="5" pageOrder="overThenDown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FDFE9-D77C-4F7A-BE94-86B2B6CB44F1}">
  <sheetPr codeName="Sheet3">
    <tabColor theme="8" tint="0.59999389629810485"/>
    <pageSetUpPr fitToPage="1"/>
  </sheetPr>
  <dimension ref="A1:J30"/>
  <sheetViews>
    <sheetView view="pageBreakPreview" zoomScale="60" zoomScaleNormal="100" workbookViewId="0">
      <selection activeCell="C20" sqref="C20"/>
    </sheetView>
  </sheetViews>
  <sheetFormatPr defaultRowHeight="15"/>
  <cols>
    <col min="1" max="1" width="30" bestFit="1" customWidth="1"/>
    <col min="2" max="2" width="11.42578125" bestFit="1" customWidth="1"/>
    <col min="3" max="3" width="20" bestFit="1" customWidth="1"/>
    <col min="4" max="4" width="17.85546875" bestFit="1" customWidth="1"/>
    <col min="5" max="5" width="17.7109375" bestFit="1" customWidth="1"/>
    <col min="6" max="6" width="30.140625" bestFit="1" customWidth="1"/>
  </cols>
  <sheetData>
    <row r="1" spans="1:10">
      <c r="A1" s="405" t="s">
        <v>1157</v>
      </c>
      <c r="B1" s="405"/>
      <c r="C1" s="405"/>
      <c r="D1" s="405"/>
      <c r="E1" s="405"/>
      <c r="F1" s="405"/>
    </row>
    <row r="2" spans="1:10">
      <c r="A2" s="223" t="s">
        <v>1149</v>
      </c>
      <c r="B2" t="s">
        <v>1222</v>
      </c>
    </row>
    <row r="4" spans="1:10">
      <c r="A4" s="223" t="s">
        <v>1150</v>
      </c>
      <c r="B4" t="s">
        <v>1152</v>
      </c>
      <c r="C4" t="s">
        <v>1153</v>
      </c>
      <c r="D4" t="s">
        <v>1154</v>
      </c>
      <c r="E4" t="s">
        <v>1155</v>
      </c>
      <c r="F4" t="s">
        <v>1156</v>
      </c>
    </row>
    <row r="5" spans="1:10">
      <c r="A5" s="224" t="s">
        <v>25</v>
      </c>
      <c r="B5" s="225">
        <v>3187.33</v>
      </c>
      <c r="C5" s="225">
        <v>1062.4433333333334</v>
      </c>
      <c r="D5" s="225">
        <v>25.922222222216362</v>
      </c>
      <c r="E5" s="225">
        <v>1088.3655555555497</v>
      </c>
      <c r="F5" s="225">
        <v>2098.9644444444502</v>
      </c>
    </row>
    <row r="6" spans="1:10">
      <c r="A6" s="224" t="s">
        <v>24</v>
      </c>
      <c r="B6" s="225">
        <v>67368.160000000003</v>
      </c>
      <c r="C6" s="225">
        <v>14089.192999999999</v>
      </c>
      <c r="D6" s="225">
        <v>0</v>
      </c>
      <c r="E6" s="225">
        <v>14089.192999999999</v>
      </c>
      <c r="F6" s="225">
        <v>53278.966999999997</v>
      </c>
      <c r="J6" s="225"/>
    </row>
    <row r="7" spans="1:10">
      <c r="A7" s="224" t="s">
        <v>1161</v>
      </c>
      <c r="B7" s="225">
        <v>44204.959999999999</v>
      </c>
      <c r="C7" s="225">
        <v>4477.2950000000001</v>
      </c>
      <c r="D7" s="225">
        <v>0</v>
      </c>
      <c r="E7" s="225">
        <v>4477.2950000000001</v>
      </c>
      <c r="F7" s="225">
        <v>39727.665000000001</v>
      </c>
    </row>
    <row r="8" spans="1:10">
      <c r="A8" s="224" t="s">
        <v>19</v>
      </c>
      <c r="B8" s="225">
        <v>27681.93</v>
      </c>
      <c r="C8" s="225">
        <v>3954.5614285714282</v>
      </c>
      <c r="D8" s="225">
        <v>0</v>
      </c>
      <c r="E8" s="225">
        <v>3954.5614285714282</v>
      </c>
      <c r="F8" s="225">
        <v>23727.368571428575</v>
      </c>
    </row>
    <row r="9" spans="1:10">
      <c r="A9" s="224" t="s">
        <v>313</v>
      </c>
      <c r="B9" s="225">
        <v>31451.360000000001</v>
      </c>
      <c r="C9" s="225">
        <v>10483.786666666665</v>
      </c>
      <c r="D9" s="225">
        <v>0</v>
      </c>
      <c r="E9" s="225">
        <v>10483.786666666665</v>
      </c>
      <c r="F9" s="225">
        <v>20967.573333333334</v>
      </c>
    </row>
    <row r="10" spans="1:10">
      <c r="A10" s="224" t="s">
        <v>13</v>
      </c>
      <c r="B10" s="225">
        <v>329251.27</v>
      </c>
      <c r="C10" s="225">
        <v>33008.867000000006</v>
      </c>
      <c r="D10" s="225">
        <v>0</v>
      </c>
      <c r="E10" s="225">
        <v>33008.867000000006</v>
      </c>
      <c r="F10" s="225">
        <v>296242.40299999999</v>
      </c>
    </row>
    <row r="11" spans="1:10">
      <c r="A11" s="224" t="s">
        <v>21</v>
      </c>
      <c r="B11" s="225">
        <v>65926.040000000008</v>
      </c>
      <c r="C11" s="225">
        <v>5493.8366666666661</v>
      </c>
      <c r="D11" s="225">
        <v>896.05555555535102</v>
      </c>
      <c r="E11" s="225">
        <v>6389.8922222220172</v>
      </c>
      <c r="F11" s="225">
        <v>59536.14777777798</v>
      </c>
    </row>
    <row r="12" spans="1:10">
      <c r="A12" s="224" t="s">
        <v>23</v>
      </c>
      <c r="B12" s="225">
        <v>2722</v>
      </c>
      <c r="C12" s="225">
        <v>907.33333333333337</v>
      </c>
      <c r="D12" s="225">
        <v>0</v>
      </c>
      <c r="E12" s="225">
        <v>907.33333333333337</v>
      </c>
      <c r="F12" s="225">
        <v>1814.6666666666665</v>
      </c>
    </row>
    <row r="13" spans="1:10">
      <c r="A13" s="224" t="s">
        <v>94</v>
      </c>
      <c r="B13" s="225">
        <v>79178.52</v>
      </c>
      <c r="C13" s="225">
        <v>6598.21</v>
      </c>
      <c r="D13" s="225">
        <v>505.55201388865771</v>
      </c>
      <c r="E13" s="225">
        <v>7103.7620138886577</v>
      </c>
      <c r="F13" s="225">
        <v>72074.757986111334</v>
      </c>
    </row>
    <row r="14" spans="1:10">
      <c r="A14" s="224" t="s">
        <v>1151</v>
      </c>
      <c r="B14" s="225">
        <v>650971.57000000007</v>
      </c>
      <c r="C14" s="225">
        <v>80075.526428571437</v>
      </c>
      <c r="D14" s="225">
        <v>1427.529791666225</v>
      </c>
      <c r="E14" s="225">
        <v>81503.056220237646</v>
      </c>
      <c r="F14" s="225">
        <v>569468.51377976243</v>
      </c>
    </row>
    <row r="19" spans="1:6">
      <c r="A19" s="255" t="s">
        <v>1158</v>
      </c>
      <c r="B19" s="255"/>
      <c r="C19" s="255"/>
      <c r="D19" s="255"/>
      <c r="E19" s="255"/>
      <c r="F19" s="255"/>
    </row>
    <row r="20" spans="1:6">
      <c r="A20" s="255" t="s">
        <v>1150</v>
      </c>
      <c r="B20" s="255" t="s">
        <v>1152</v>
      </c>
      <c r="C20" s="255" t="s">
        <v>1153</v>
      </c>
      <c r="D20" s="255" t="s">
        <v>1154</v>
      </c>
      <c r="E20" s="255" t="s">
        <v>1155</v>
      </c>
      <c r="F20" s="255" t="s">
        <v>1156</v>
      </c>
    </row>
    <row r="21" spans="1:6">
      <c r="A21" s="224" t="s">
        <v>25</v>
      </c>
      <c r="B21" s="225">
        <v>3187.33</v>
      </c>
      <c r="C21" s="225">
        <v>1062.4433333333334</v>
      </c>
      <c r="D21" s="225">
        <v>25.922222222216362</v>
      </c>
      <c r="E21" s="225">
        <v>1088.3655555555497</v>
      </c>
      <c r="F21" s="225">
        <v>2098.9644444444502</v>
      </c>
    </row>
    <row r="22" spans="1:6">
      <c r="A22" s="224" t="s">
        <v>24</v>
      </c>
      <c r="B22" s="225">
        <v>67368.160000000003</v>
      </c>
      <c r="C22" s="225">
        <v>14089.192999999999</v>
      </c>
      <c r="D22" s="225">
        <v>0</v>
      </c>
      <c r="E22" s="225">
        <v>14089.192999999999</v>
      </c>
      <c r="F22" s="225">
        <v>53278.966999999997</v>
      </c>
    </row>
    <row r="23" spans="1:6">
      <c r="A23" s="224" t="s">
        <v>1161</v>
      </c>
      <c r="B23" s="225">
        <v>44204.959999999999</v>
      </c>
      <c r="C23" s="225">
        <v>4477.2950000000001</v>
      </c>
      <c r="D23" s="225">
        <v>0</v>
      </c>
      <c r="E23" s="225">
        <v>4477.2950000000001</v>
      </c>
      <c r="F23" s="225">
        <v>39727.665000000001</v>
      </c>
    </row>
    <row r="24" spans="1:6">
      <c r="A24" s="224" t="s">
        <v>19</v>
      </c>
      <c r="B24" s="225">
        <v>27681.93</v>
      </c>
      <c r="C24" s="225">
        <v>3954.5614285714282</v>
      </c>
      <c r="D24" s="225">
        <v>0</v>
      </c>
      <c r="E24" s="225">
        <v>3954.5614285714282</v>
      </c>
      <c r="F24" s="225">
        <v>23727.368571428575</v>
      </c>
    </row>
    <row r="25" spans="1:6">
      <c r="A25" s="224" t="s">
        <v>313</v>
      </c>
      <c r="B25" s="225">
        <v>31451.360000000001</v>
      </c>
      <c r="C25" s="225">
        <v>10483.786666666665</v>
      </c>
      <c r="D25" s="225">
        <v>0</v>
      </c>
      <c r="E25" s="225">
        <v>10483.786666666665</v>
      </c>
      <c r="F25" s="225">
        <v>20967.573333333334</v>
      </c>
    </row>
    <row r="26" spans="1:6">
      <c r="A26" s="224" t="s">
        <v>13</v>
      </c>
      <c r="B26" s="225">
        <v>329251.27</v>
      </c>
      <c r="C26" s="225">
        <v>33008.867000000006</v>
      </c>
      <c r="D26" s="225">
        <v>0</v>
      </c>
      <c r="E26" s="225">
        <v>33008.867000000006</v>
      </c>
      <c r="F26" s="225">
        <v>296242.40299999999</v>
      </c>
    </row>
    <row r="27" spans="1:6">
      <c r="A27" s="224" t="s">
        <v>21</v>
      </c>
      <c r="B27" s="225">
        <v>65926.040000000008</v>
      </c>
      <c r="C27" s="225">
        <v>5493.8366666666661</v>
      </c>
      <c r="D27" s="225">
        <v>896.05555555535102</v>
      </c>
      <c r="E27" s="225">
        <v>6389.8922222220172</v>
      </c>
      <c r="F27" s="225">
        <v>59536.14777777798</v>
      </c>
    </row>
    <row r="28" spans="1:6">
      <c r="A28" s="224" t="s">
        <v>23</v>
      </c>
      <c r="B28" s="225">
        <v>2722</v>
      </c>
      <c r="C28" s="225">
        <v>907.33333333333337</v>
      </c>
      <c r="D28" s="225">
        <v>0</v>
      </c>
      <c r="E28" s="225">
        <v>907.33333333333337</v>
      </c>
      <c r="F28" s="225">
        <v>1814.6666666666665</v>
      </c>
    </row>
    <row r="29" spans="1:6">
      <c r="A29" s="224" t="s">
        <v>94</v>
      </c>
      <c r="B29" s="225">
        <v>79178.52</v>
      </c>
      <c r="C29" s="225">
        <v>6598.21</v>
      </c>
      <c r="D29" s="225">
        <v>505.55201388865771</v>
      </c>
      <c r="E29" s="225">
        <v>7103.7620138886577</v>
      </c>
      <c r="F29" s="225">
        <v>72074.757986111334</v>
      </c>
    </row>
    <row r="30" spans="1:6">
      <c r="A30" s="263" t="s">
        <v>1151</v>
      </c>
      <c r="B30" s="264">
        <v>650971.57000000007</v>
      </c>
      <c r="C30" s="264">
        <v>80075.526428571437</v>
      </c>
      <c r="D30" s="264">
        <v>1427.529791666225</v>
      </c>
      <c r="E30" s="264">
        <v>81503.056220237646</v>
      </c>
      <c r="F30" s="264">
        <v>569468.51377976243</v>
      </c>
    </row>
  </sheetData>
  <mergeCells count="1">
    <mergeCell ref="A1:F1"/>
  </mergeCells>
  <pageMargins left="0.7" right="0.7" top="0.75" bottom="0.75" header="0.3" footer="0.3"/>
  <pageSetup scale="9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4">
    <tabColor theme="7" tint="0.59999389629810485"/>
    <pageSetUpPr fitToPage="1"/>
  </sheetPr>
  <dimension ref="A1:HS134"/>
  <sheetViews>
    <sheetView showGridLines="0" view="pageBreakPreview" topLeftCell="A61" zoomScaleNormal="100" zoomScaleSheetLayoutView="100" workbookViewId="0">
      <selection activeCell="C20" sqref="C20"/>
    </sheetView>
  </sheetViews>
  <sheetFormatPr defaultColWidth="10.7109375" defaultRowHeight="11.25" outlineLevelRow="1" outlineLevelCol="1"/>
  <cols>
    <col min="1" max="1" width="11.7109375" style="95" customWidth="1" outlineLevel="1"/>
    <col min="2" max="3" width="10.28515625" style="95" customWidth="1"/>
    <col min="4" max="4" width="26.85546875" style="95" customWidth="1"/>
    <col min="5" max="5" width="7.7109375" style="95" bestFit="1" customWidth="1"/>
    <col min="6" max="6" width="8.7109375" style="95" customWidth="1"/>
    <col min="7" max="7" width="6.28515625" style="100" customWidth="1"/>
    <col min="8" max="8" width="6.28515625" style="95" customWidth="1"/>
    <col min="9" max="9" width="4.42578125" style="95" customWidth="1"/>
    <col min="10" max="10" width="5" style="97" customWidth="1"/>
    <col min="11" max="11" width="7.42578125" style="97" bestFit="1" customWidth="1"/>
    <col min="12" max="16" width="9" style="98" bestFit="1" customWidth="1"/>
    <col min="17" max="17" width="2.140625" style="98" customWidth="1"/>
    <col min="18" max="20" width="9" style="98" bestFit="1" customWidth="1"/>
    <col min="21" max="44" width="10.7109375" style="95" customWidth="1"/>
    <col min="45" max="45" width="1.85546875" style="95" bestFit="1" customWidth="1"/>
    <col min="46" max="46" width="35.7109375" style="95" bestFit="1" customWidth="1"/>
    <col min="47" max="48" width="10.7109375" style="95" customWidth="1"/>
    <col min="49" max="49" width="2.7109375" style="95" bestFit="1" customWidth="1"/>
    <col min="50" max="50" width="12.140625" style="95" bestFit="1" customWidth="1"/>
    <col min="51" max="226" width="10.7109375" style="95"/>
    <col min="227" max="227" width="7.85546875" style="95" bestFit="1" customWidth="1"/>
    <col min="228" max="228" width="5.28515625" style="95" customWidth="1"/>
    <col min="229" max="229" width="6.42578125" style="95" customWidth="1"/>
    <col min="230" max="230" width="22" style="95" customWidth="1"/>
    <col min="231" max="231" width="7.5703125" style="95" bestFit="1" customWidth="1"/>
    <col min="232" max="232" width="4.42578125" style="95" customWidth="1"/>
    <col min="233" max="233" width="7.42578125" style="95" bestFit="1" customWidth="1"/>
    <col min="234" max="234" width="2.85546875" style="95" bestFit="1" customWidth="1"/>
    <col min="235" max="235" width="7" style="95" bestFit="1" customWidth="1"/>
    <col min="236" max="236" width="5.7109375" style="95" bestFit="1" customWidth="1"/>
    <col min="237" max="237" width="7.85546875" style="95" bestFit="1" customWidth="1"/>
    <col min="238" max="239" width="0" style="95" hidden="1" customWidth="1"/>
    <col min="240" max="240" width="12.5703125" style="95" customWidth="1"/>
    <col min="241" max="241" width="0" style="95" hidden="1" customWidth="1"/>
    <col min="242" max="242" width="11" style="95" customWidth="1"/>
    <col min="243" max="243" width="9.140625" style="95" customWidth="1"/>
    <col min="244" max="244" width="9.85546875" style="95" customWidth="1"/>
    <col min="245" max="248" width="0" style="95" hidden="1" customWidth="1"/>
    <col min="249" max="249" width="1.5703125" style="95" customWidth="1"/>
    <col min="250" max="252" width="0" style="95" hidden="1" customWidth="1"/>
    <col min="253" max="253" width="10.42578125" style="95" customWidth="1"/>
    <col min="254" max="255" width="11" style="95" customWidth="1"/>
    <col min="256" max="256" width="9.42578125" style="95" customWidth="1"/>
    <col min="257" max="257" width="10" style="95" customWidth="1"/>
    <col min="258" max="258" width="11" style="95" customWidth="1"/>
    <col min="259" max="259" width="9.5703125" style="95" customWidth="1"/>
    <col min="260" max="260" width="10.140625" style="95" customWidth="1"/>
    <col min="261" max="300" width="10.7109375" style="95" customWidth="1"/>
    <col min="301" max="301" width="1.85546875" style="95" bestFit="1" customWidth="1"/>
    <col min="302" max="302" width="34.5703125" style="95" bestFit="1" customWidth="1"/>
    <col min="303" max="304" width="10.7109375" style="95" customWidth="1"/>
    <col min="305" max="305" width="2.7109375" style="95" bestFit="1" customWidth="1"/>
    <col min="306" max="306" width="11.5703125" style="95" bestFit="1" customWidth="1"/>
    <col min="307" max="483" width="10.7109375" style="95"/>
    <col min="484" max="484" width="5.28515625" style="95" customWidth="1"/>
    <col min="485" max="485" width="6.42578125" style="95" customWidth="1"/>
    <col min="486" max="486" width="22" style="95" customWidth="1"/>
    <col min="487" max="487" width="7.5703125" style="95" bestFit="1" customWidth="1"/>
    <col min="488" max="488" width="4.42578125" style="95" customWidth="1"/>
    <col min="489" max="489" width="7.42578125" style="95" bestFit="1" customWidth="1"/>
    <col min="490" max="490" width="2.85546875" style="95" bestFit="1" customWidth="1"/>
    <col min="491" max="491" width="7" style="95" bestFit="1" customWidth="1"/>
    <col min="492" max="492" width="5.7109375" style="95" bestFit="1" customWidth="1"/>
    <col min="493" max="493" width="7.85546875" style="95" bestFit="1" customWidth="1"/>
    <col min="494" max="495" width="0" style="95" hidden="1" customWidth="1"/>
    <col min="496" max="496" width="12.5703125" style="95" customWidth="1"/>
    <col min="497" max="497" width="0" style="95" hidden="1" customWidth="1"/>
    <col min="498" max="498" width="11" style="95" customWidth="1"/>
    <col min="499" max="499" width="9.140625" style="95" customWidth="1"/>
    <col min="500" max="500" width="9.85546875" style="95" customWidth="1"/>
    <col min="501" max="504" width="0" style="95" hidden="1" customWidth="1"/>
    <col min="505" max="505" width="1.5703125" style="95" customWidth="1"/>
    <col min="506" max="508" width="0" style="95" hidden="1" customWidth="1"/>
    <col min="509" max="509" width="10.42578125" style="95" customWidth="1"/>
    <col min="510" max="511" width="11" style="95" customWidth="1"/>
    <col min="512" max="512" width="9.42578125" style="95" customWidth="1"/>
    <col min="513" max="513" width="10" style="95" customWidth="1"/>
    <col min="514" max="514" width="11" style="95" customWidth="1"/>
    <col min="515" max="515" width="9.5703125" style="95" customWidth="1"/>
    <col min="516" max="516" width="10.140625" style="95" customWidth="1"/>
    <col min="517" max="556" width="10.7109375" style="95" customWidth="1"/>
    <col min="557" max="557" width="1.85546875" style="95" bestFit="1" customWidth="1"/>
    <col min="558" max="558" width="34.5703125" style="95" bestFit="1" customWidth="1"/>
    <col min="559" max="560" width="10.7109375" style="95" customWidth="1"/>
    <col min="561" max="561" width="2.7109375" style="95" bestFit="1" customWidth="1"/>
    <col min="562" max="562" width="11.5703125" style="95" bestFit="1" customWidth="1"/>
    <col min="563" max="739" width="10.7109375" style="95"/>
    <col min="740" max="740" width="5.28515625" style="95" customWidth="1"/>
    <col min="741" max="741" width="6.42578125" style="95" customWidth="1"/>
    <col min="742" max="742" width="22" style="95" customWidth="1"/>
    <col min="743" max="743" width="7.5703125" style="95" bestFit="1" customWidth="1"/>
    <col min="744" max="744" width="4.42578125" style="95" customWidth="1"/>
    <col min="745" max="745" width="7.42578125" style="95" bestFit="1" customWidth="1"/>
    <col min="746" max="746" width="2.85546875" style="95" bestFit="1" customWidth="1"/>
    <col min="747" max="747" width="7" style="95" bestFit="1" customWidth="1"/>
    <col min="748" max="748" width="5.7109375" style="95" bestFit="1" customWidth="1"/>
    <col min="749" max="749" width="7.85546875" style="95" bestFit="1" customWidth="1"/>
    <col min="750" max="751" width="0" style="95" hidden="1" customWidth="1"/>
    <col min="752" max="752" width="12.5703125" style="95" customWidth="1"/>
    <col min="753" max="753" width="0" style="95" hidden="1" customWidth="1"/>
    <col min="754" max="754" width="11" style="95" customWidth="1"/>
    <col min="755" max="755" width="9.140625" style="95" customWidth="1"/>
    <col min="756" max="756" width="9.85546875" style="95" customWidth="1"/>
    <col min="757" max="760" width="0" style="95" hidden="1" customWidth="1"/>
    <col min="761" max="761" width="1.5703125" style="95" customWidth="1"/>
    <col min="762" max="764" width="0" style="95" hidden="1" customWidth="1"/>
    <col min="765" max="765" width="10.42578125" style="95" customWidth="1"/>
    <col min="766" max="767" width="11" style="95" customWidth="1"/>
    <col min="768" max="768" width="9.42578125" style="95" customWidth="1"/>
    <col min="769" max="769" width="10" style="95" customWidth="1"/>
    <col min="770" max="770" width="11" style="95" customWidth="1"/>
    <col min="771" max="771" width="9.5703125" style="95" customWidth="1"/>
    <col min="772" max="772" width="10.140625" style="95" customWidth="1"/>
    <col min="773" max="812" width="10.7109375" style="95" customWidth="1"/>
    <col min="813" max="813" width="1.85546875" style="95" bestFit="1" customWidth="1"/>
    <col min="814" max="814" width="34.5703125" style="95" bestFit="1" customWidth="1"/>
    <col min="815" max="816" width="10.7109375" style="95" customWidth="1"/>
    <col min="817" max="817" width="2.7109375" style="95" bestFit="1" customWidth="1"/>
    <col min="818" max="818" width="11.5703125" style="95" bestFit="1" customWidth="1"/>
    <col min="819" max="995" width="10.7109375" style="95"/>
    <col min="996" max="996" width="5.28515625" style="95" customWidth="1"/>
    <col min="997" max="997" width="6.42578125" style="95" customWidth="1"/>
    <col min="998" max="998" width="22" style="95" customWidth="1"/>
    <col min="999" max="999" width="7.5703125" style="95" bestFit="1" customWidth="1"/>
    <col min="1000" max="1000" width="4.42578125" style="95" customWidth="1"/>
    <col min="1001" max="1001" width="7.42578125" style="95" bestFit="1" customWidth="1"/>
    <col min="1002" max="1002" width="2.85546875" style="95" bestFit="1" customWidth="1"/>
    <col min="1003" max="1003" width="7" style="95" bestFit="1" customWidth="1"/>
    <col min="1004" max="1004" width="5.7109375" style="95" bestFit="1" customWidth="1"/>
    <col min="1005" max="1005" width="7.85546875" style="95" bestFit="1" customWidth="1"/>
    <col min="1006" max="1007" width="0" style="95" hidden="1" customWidth="1"/>
    <col min="1008" max="1008" width="12.5703125" style="95" customWidth="1"/>
    <col min="1009" max="1009" width="0" style="95" hidden="1" customWidth="1"/>
    <col min="1010" max="1010" width="11" style="95" customWidth="1"/>
    <col min="1011" max="1011" width="9.140625" style="95" customWidth="1"/>
    <col min="1012" max="1012" width="9.85546875" style="95" customWidth="1"/>
    <col min="1013" max="1016" width="0" style="95" hidden="1" customWidth="1"/>
    <col min="1017" max="1017" width="1.5703125" style="95" customWidth="1"/>
    <col min="1018" max="1020" width="0" style="95" hidden="1" customWidth="1"/>
    <col min="1021" max="1021" width="10.42578125" style="95" customWidth="1"/>
    <col min="1022" max="1023" width="11" style="95" customWidth="1"/>
    <col min="1024" max="1024" width="9.42578125" style="95" customWidth="1"/>
    <col min="1025" max="1025" width="10" style="95" customWidth="1"/>
    <col min="1026" max="1026" width="11" style="95" customWidth="1"/>
    <col min="1027" max="1027" width="9.5703125" style="95" customWidth="1"/>
    <col min="1028" max="1028" width="10.140625" style="95" customWidth="1"/>
    <col min="1029" max="1068" width="10.7109375" style="95" customWidth="1"/>
    <col min="1069" max="1069" width="1.85546875" style="95" bestFit="1" customWidth="1"/>
    <col min="1070" max="1070" width="34.5703125" style="95" bestFit="1" customWidth="1"/>
    <col min="1071" max="1072" width="10.7109375" style="95" customWidth="1"/>
    <col min="1073" max="1073" width="2.7109375" style="95" bestFit="1" customWidth="1"/>
    <col min="1074" max="1074" width="11.5703125" style="95" bestFit="1" customWidth="1"/>
    <col min="1075" max="1251" width="10.7109375" style="95"/>
    <col min="1252" max="1252" width="5.28515625" style="95" customWidth="1"/>
    <col min="1253" max="1253" width="6.42578125" style="95" customWidth="1"/>
    <col min="1254" max="1254" width="22" style="95" customWidth="1"/>
    <col min="1255" max="1255" width="7.5703125" style="95" bestFit="1" customWidth="1"/>
    <col min="1256" max="1256" width="4.42578125" style="95" customWidth="1"/>
    <col min="1257" max="1257" width="7.42578125" style="95" bestFit="1" customWidth="1"/>
    <col min="1258" max="1258" width="2.85546875" style="95" bestFit="1" customWidth="1"/>
    <col min="1259" max="1259" width="7" style="95" bestFit="1" customWidth="1"/>
    <col min="1260" max="1260" width="5.7109375" style="95" bestFit="1" customWidth="1"/>
    <col min="1261" max="1261" width="7.85546875" style="95" bestFit="1" customWidth="1"/>
    <col min="1262" max="1263" width="0" style="95" hidden="1" customWidth="1"/>
    <col min="1264" max="1264" width="12.5703125" style="95" customWidth="1"/>
    <col min="1265" max="1265" width="0" style="95" hidden="1" customWidth="1"/>
    <col min="1266" max="1266" width="11" style="95" customWidth="1"/>
    <col min="1267" max="1267" width="9.140625" style="95" customWidth="1"/>
    <col min="1268" max="1268" width="9.85546875" style="95" customWidth="1"/>
    <col min="1269" max="1272" width="0" style="95" hidden="1" customWidth="1"/>
    <col min="1273" max="1273" width="1.5703125" style="95" customWidth="1"/>
    <col min="1274" max="1276" width="0" style="95" hidden="1" customWidth="1"/>
    <col min="1277" max="1277" width="10.42578125" style="95" customWidth="1"/>
    <col min="1278" max="1279" width="11" style="95" customWidth="1"/>
    <col min="1280" max="1280" width="9.42578125" style="95" customWidth="1"/>
    <col min="1281" max="1281" width="10" style="95" customWidth="1"/>
    <col min="1282" max="1282" width="11" style="95" customWidth="1"/>
    <col min="1283" max="1283" width="9.5703125" style="95" customWidth="1"/>
    <col min="1284" max="1284" width="10.140625" style="95" customWidth="1"/>
    <col min="1285" max="1324" width="10.7109375" style="95" customWidth="1"/>
    <col min="1325" max="1325" width="1.85546875" style="95" bestFit="1" customWidth="1"/>
    <col min="1326" max="1326" width="34.5703125" style="95" bestFit="1" customWidth="1"/>
    <col min="1327" max="1328" width="10.7109375" style="95" customWidth="1"/>
    <col min="1329" max="1329" width="2.7109375" style="95" bestFit="1" customWidth="1"/>
    <col min="1330" max="1330" width="11.5703125" style="95" bestFit="1" customWidth="1"/>
    <col min="1331" max="1507" width="10.7109375" style="95"/>
    <col min="1508" max="1508" width="5.28515625" style="95" customWidth="1"/>
    <col min="1509" max="1509" width="6.42578125" style="95" customWidth="1"/>
    <col min="1510" max="1510" width="22" style="95" customWidth="1"/>
    <col min="1511" max="1511" width="7.5703125" style="95" bestFit="1" customWidth="1"/>
    <col min="1512" max="1512" width="4.42578125" style="95" customWidth="1"/>
    <col min="1513" max="1513" width="7.42578125" style="95" bestFit="1" customWidth="1"/>
    <col min="1514" max="1514" width="2.85546875" style="95" bestFit="1" customWidth="1"/>
    <col min="1515" max="1515" width="7" style="95" bestFit="1" customWidth="1"/>
    <col min="1516" max="1516" width="5.7109375" style="95" bestFit="1" customWidth="1"/>
    <col min="1517" max="1517" width="7.85546875" style="95" bestFit="1" customWidth="1"/>
    <col min="1518" max="1519" width="0" style="95" hidden="1" customWidth="1"/>
    <col min="1520" max="1520" width="12.5703125" style="95" customWidth="1"/>
    <col min="1521" max="1521" width="0" style="95" hidden="1" customWidth="1"/>
    <col min="1522" max="1522" width="11" style="95" customWidth="1"/>
    <col min="1523" max="1523" width="9.140625" style="95" customWidth="1"/>
    <col min="1524" max="1524" width="9.85546875" style="95" customWidth="1"/>
    <col min="1525" max="1528" width="0" style="95" hidden="1" customWidth="1"/>
    <col min="1529" max="1529" width="1.5703125" style="95" customWidth="1"/>
    <col min="1530" max="1532" width="0" style="95" hidden="1" customWidth="1"/>
    <col min="1533" max="1533" width="10.42578125" style="95" customWidth="1"/>
    <col min="1534" max="1535" width="11" style="95" customWidth="1"/>
    <col min="1536" max="1536" width="9.42578125" style="95" customWidth="1"/>
    <col min="1537" max="1537" width="10" style="95" customWidth="1"/>
    <col min="1538" max="1538" width="11" style="95" customWidth="1"/>
    <col min="1539" max="1539" width="9.5703125" style="95" customWidth="1"/>
    <col min="1540" max="1540" width="10.140625" style="95" customWidth="1"/>
    <col min="1541" max="1580" width="10.7109375" style="95" customWidth="1"/>
    <col min="1581" max="1581" width="1.85546875" style="95" bestFit="1" customWidth="1"/>
    <col min="1582" max="1582" width="34.5703125" style="95" bestFit="1" customWidth="1"/>
    <col min="1583" max="1584" width="10.7109375" style="95" customWidth="1"/>
    <col min="1585" max="1585" width="2.7109375" style="95" bestFit="1" customWidth="1"/>
    <col min="1586" max="1586" width="11.5703125" style="95" bestFit="1" customWidth="1"/>
    <col min="1587" max="1763" width="10.7109375" style="95"/>
    <col min="1764" max="1764" width="5.28515625" style="95" customWidth="1"/>
    <col min="1765" max="1765" width="6.42578125" style="95" customWidth="1"/>
    <col min="1766" max="1766" width="22" style="95" customWidth="1"/>
    <col min="1767" max="1767" width="7.5703125" style="95" bestFit="1" customWidth="1"/>
    <col min="1768" max="1768" width="4.42578125" style="95" customWidth="1"/>
    <col min="1769" max="1769" width="7.42578125" style="95" bestFit="1" customWidth="1"/>
    <col min="1770" max="1770" width="2.85546875" style="95" bestFit="1" customWidth="1"/>
    <col min="1771" max="1771" width="7" style="95" bestFit="1" customWidth="1"/>
    <col min="1772" max="1772" width="5.7109375" style="95" bestFit="1" customWidth="1"/>
    <col min="1773" max="1773" width="7.85546875" style="95" bestFit="1" customWidth="1"/>
    <col min="1774" max="1775" width="0" style="95" hidden="1" customWidth="1"/>
    <col min="1776" max="1776" width="12.5703125" style="95" customWidth="1"/>
    <col min="1777" max="1777" width="0" style="95" hidden="1" customWidth="1"/>
    <col min="1778" max="1778" width="11" style="95" customWidth="1"/>
    <col min="1779" max="1779" width="9.140625" style="95" customWidth="1"/>
    <col min="1780" max="1780" width="9.85546875" style="95" customWidth="1"/>
    <col min="1781" max="1784" width="0" style="95" hidden="1" customWidth="1"/>
    <col min="1785" max="1785" width="1.5703125" style="95" customWidth="1"/>
    <col min="1786" max="1788" width="0" style="95" hidden="1" customWidth="1"/>
    <col min="1789" max="1789" width="10.42578125" style="95" customWidth="1"/>
    <col min="1790" max="1791" width="11" style="95" customWidth="1"/>
    <col min="1792" max="1792" width="9.42578125" style="95" customWidth="1"/>
    <col min="1793" max="1793" width="10" style="95" customWidth="1"/>
    <col min="1794" max="1794" width="11" style="95" customWidth="1"/>
    <col min="1795" max="1795" width="9.5703125" style="95" customWidth="1"/>
    <col min="1796" max="1796" width="10.140625" style="95" customWidth="1"/>
    <col min="1797" max="1836" width="10.7109375" style="95" customWidth="1"/>
    <col min="1837" max="1837" width="1.85546875" style="95" bestFit="1" customWidth="1"/>
    <col min="1838" max="1838" width="34.5703125" style="95" bestFit="1" customWidth="1"/>
    <col min="1839" max="1840" width="10.7109375" style="95" customWidth="1"/>
    <col min="1841" max="1841" width="2.7109375" style="95" bestFit="1" customWidth="1"/>
    <col min="1842" max="1842" width="11.5703125" style="95" bestFit="1" customWidth="1"/>
    <col min="1843" max="2019" width="10.7109375" style="95"/>
    <col min="2020" max="2020" width="5.28515625" style="95" customWidth="1"/>
    <col min="2021" max="2021" width="6.42578125" style="95" customWidth="1"/>
    <col min="2022" max="2022" width="22" style="95" customWidth="1"/>
    <col min="2023" max="2023" width="7.5703125" style="95" bestFit="1" customWidth="1"/>
    <col min="2024" max="2024" width="4.42578125" style="95" customWidth="1"/>
    <col min="2025" max="2025" width="7.42578125" style="95" bestFit="1" customWidth="1"/>
    <col min="2026" max="2026" width="2.85546875" style="95" bestFit="1" customWidth="1"/>
    <col min="2027" max="2027" width="7" style="95" bestFit="1" customWidth="1"/>
    <col min="2028" max="2028" width="5.7109375" style="95" bestFit="1" customWidth="1"/>
    <col min="2029" max="2029" width="7.85546875" style="95" bestFit="1" customWidth="1"/>
    <col min="2030" max="2031" width="0" style="95" hidden="1" customWidth="1"/>
    <col min="2032" max="2032" width="12.5703125" style="95" customWidth="1"/>
    <col min="2033" max="2033" width="0" style="95" hidden="1" customWidth="1"/>
    <col min="2034" max="2034" width="11" style="95" customWidth="1"/>
    <col min="2035" max="2035" width="9.140625" style="95" customWidth="1"/>
    <col min="2036" max="2036" width="9.85546875" style="95" customWidth="1"/>
    <col min="2037" max="2040" width="0" style="95" hidden="1" customWidth="1"/>
    <col min="2041" max="2041" width="1.5703125" style="95" customWidth="1"/>
    <col min="2042" max="2044" width="0" style="95" hidden="1" customWidth="1"/>
    <col min="2045" max="2045" width="10.42578125" style="95" customWidth="1"/>
    <col min="2046" max="2047" width="11" style="95" customWidth="1"/>
    <col min="2048" max="2048" width="9.42578125" style="95" customWidth="1"/>
    <col min="2049" max="2049" width="10" style="95" customWidth="1"/>
    <col min="2050" max="2050" width="11" style="95" customWidth="1"/>
    <col min="2051" max="2051" width="9.5703125" style="95" customWidth="1"/>
    <col min="2052" max="2052" width="10.140625" style="95" customWidth="1"/>
    <col min="2053" max="2092" width="10.7109375" style="95" customWidth="1"/>
    <col min="2093" max="2093" width="1.85546875" style="95" bestFit="1" customWidth="1"/>
    <col min="2094" max="2094" width="34.5703125" style="95" bestFit="1" customWidth="1"/>
    <col min="2095" max="2096" width="10.7109375" style="95" customWidth="1"/>
    <col min="2097" max="2097" width="2.7109375" style="95" bestFit="1" customWidth="1"/>
    <col min="2098" max="2098" width="11.5703125" style="95" bestFit="1" customWidth="1"/>
    <col min="2099" max="2275" width="10.7109375" style="95"/>
    <col min="2276" max="2276" width="5.28515625" style="95" customWidth="1"/>
    <col min="2277" max="2277" width="6.42578125" style="95" customWidth="1"/>
    <col min="2278" max="2278" width="22" style="95" customWidth="1"/>
    <col min="2279" max="2279" width="7.5703125" style="95" bestFit="1" customWidth="1"/>
    <col min="2280" max="2280" width="4.42578125" style="95" customWidth="1"/>
    <col min="2281" max="2281" width="7.42578125" style="95" bestFit="1" customWidth="1"/>
    <col min="2282" max="2282" width="2.85546875" style="95" bestFit="1" customWidth="1"/>
    <col min="2283" max="2283" width="7" style="95" bestFit="1" customWidth="1"/>
    <col min="2284" max="2284" width="5.7109375" style="95" bestFit="1" customWidth="1"/>
    <col min="2285" max="2285" width="7.85546875" style="95" bestFit="1" customWidth="1"/>
    <col min="2286" max="2287" width="0" style="95" hidden="1" customWidth="1"/>
    <col min="2288" max="2288" width="12.5703125" style="95" customWidth="1"/>
    <col min="2289" max="2289" width="0" style="95" hidden="1" customWidth="1"/>
    <col min="2290" max="2290" width="11" style="95" customWidth="1"/>
    <col min="2291" max="2291" width="9.140625" style="95" customWidth="1"/>
    <col min="2292" max="2292" width="9.85546875" style="95" customWidth="1"/>
    <col min="2293" max="2296" width="0" style="95" hidden="1" customWidth="1"/>
    <col min="2297" max="2297" width="1.5703125" style="95" customWidth="1"/>
    <col min="2298" max="2300" width="0" style="95" hidden="1" customWidth="1"/>
    <col min="2301" max="2301" width="10.42578125" style="95" customWidth="1"/>
    <col min="2302" max="2303" width="11" style="95" customWidth="1"/>
    <col min="2304" max="2304" width="9.42578125" style="95" customWidth="1"/>
    <col min="2305" max="2305" width="10" style="95" customWidth="1"/>
    <col min="2306" max="2306" width="11" style="95" customWidth="1"/>
    <col min="2307" max="2307" width="9.5703125" style="95" customWidth="1"/>
    <col min="2308" max="2308" width="10.140625" style="95" customWidth="1"/>
    <col min="2309" max="2348" width="10.7109375" style="95" customWidth="1"/>
    <col min="2349" max="2349" width="1.85546875" style="95" bestFit="1" customWidth="1"/>
    <col min="2350" max="2350" width="34.5703125" style="95" bestFit="1" customWidth="1"/>
    <col min="2351" max="2352" width="10.7109375" style="95" customWidth="1"/>
    <col min="2353" max="2353" width="2.7109375" style="95" bestFit="1" customWidth="1"/>
    <col min="2354" max="2354" width="11.5703125" style="95" bestFit="1" customWidth="1"/>
    <col min="2355" max="2531" width="10.7109375" style="95"/>
    <col min="2532" max="2532" width="5.28515625" style="95" customWidth="1"/>
    <col min="2533" max="2533" width="6.42578125" style="95" customWidth="1"/>
    <col min="2534" max="2534" width="22" style="95" customWidth="1"/>
    <col min="2535" max="2535" width="7.5703125" style="95" bestFit="1" customWidth="1"/>
    <col min="2536" max="2536" width="4.42578125" style="95" customWidth="1"/>
    <col min="2537" max="2537" width="7.42578125" style="95" bestFit="1" customWidth="1"/>
    <col min="2538" max="2538" width="2.85546875" style="95" bestFit="1" customWidth="1"/>
    <col min="2539" max="2539" width="7" style="95" bestFit="1" customWidth="1"/>
    <col min="2540" max="2540" width="5.7109375" style="95" bestFit="1" customWidth="1"/>
    <col min="2541" max="2541" width="7.85546875" style="95" bestFit="1" customWidth="1"/>
    <col min="2542" max="2543" width="0" style="95" hidden="1" customWidth="1"/>
    <col min="2544" max="2544" width="12.5703125" style="95" customWidth="1"/>
    <col min="2545" max="2545" width="0" style="95" hidden="1" customWidth="1"/>
    <col min="2546" max="2546" width="11" style="95" customWidth="1"/>
    <col min="2547" max="2547" width="9.140625" style="95" customWidth="1"/>
    <col min="2548" max="2548" width="9.85546875" style="95" customWidth="1"/>
    <col min="2549" max="2552" width="0" style="95" hidden="1" customWidth="1"/>
    <col min="2553" max="2553" width="1.5703125" style="95" customWidth="1"/>
    <col min="2554" max="2556" width="0" style="95" hidden="1" customWidth="1"/>
    <col min="2557" max="2557" width="10.42578125" style="95" customWidth="1"/>
    <col min="2558" max="2559" width="11" style="95" customWidth="1"/>
    <col min="2560" max="2560" width="9.42578125" style="95" customWidth="1"/>
    <col min="2561" max="2561" width="10" style="95" customWidth="1"/>
    <col min="2562" max="2562" width="11" style="95" customWidth="1"/>
    <col min="2563" max="2563" width="9.5703125" style="95" customWidth="1"/>
    <col min="2564" max="2564" width="10.140625" style="95" customWidth="1"/>
    <col min="2565" max="2604" width="10.7109375" style="95" customWidth="1"/>
    <col min="2605" max="2605" width="1.85546875" style="95" bestFit="1" customWidth="1"/>
    <col min="2606" max="2606" width="34.5703125" style="95" bestFit="1" customWidth="1"/>
    <col min="2607" max="2608" width="10.7109375" style="95" customWidth="1"/>
    <col min="2609" max="2609" width="2.7109375" style="95" bestFit="1" customWidth="1"/>
    <col min="2610" max="2610" width="11.5703125" style="95" bestFit="1" customWidth="1"/>
    <col min="2611" max="2787" width="10.7109375" style="95"/>
    <col min="2788" max="2788" width="5.28515625" style="95" customWidth="1"/>
    <col min="2789" max="2789" width="6.42578125" style="95" customWidth="1"/>
    <col min="2790" max="2790" width="22" style="95" customWidth="1"/>
    <col min="2791" max="2791" width="7.5703125" style="95" bestFit="1" customWidth="1"/>
    <col min="2792" max="2792" width="4.42578125" style="95" customWidth="1"/>
    <col min="2793" max="2793" width="7.42578125" style="95" bestFit="1" customWidth="1"/>
    <col min="2794" max="2794" width="2.85546875" style="95" bestFit="1" customWidth="1"/>
    <col min="2795" max="2795" width="7" style="95" bestFit="1" customWidth="1"/>
    <col min="2796" max="2796" width="5.7109375" style="95" bestFit="1" customWidth="1"/>
    <col min="2797" max="2797" width="7.85546875" style="95" bestFit="1" customWidth="1"/>
    <col min="2798" max="2799" width="0" style="95" hidden="1" customWidth="1"/>
    <col min="2800" max="2800" width="12.5703125" style="95" customWidth="1"/>
    <col min="2801" max="2801" width="0" style="95" hidden="1" customWidth="1"/>
    <col min="2802" max="2802" width="11" style="95" customWidth="1"/>
    <col min="2803" max="2803" width="9.140625" style="95" customWidth="1"/>
    <col min="2804" max="2804" width="9.85546875" style="95" customWidth="1"/>
    <col min="2805" max="2808" width="0" style="95" hidden="1" customWidth="1"/>
    <col min="2809" max="2809" width="1.5703125" style="95" customWidth="1"/>
    <col min="2810" max="2812" width="0" style="95" hidden="1" customWidth="1"/>
    <col min="2813" max="2813" width="10.42578125" style="95" customWidth="1"/>
    <col min="2814" max="2815" width="11" style="95" customWidth="1"/>
    <col min="2816" max="2816" width="9.42578125" style="95" customWidth="1"/>
    <col min="2817" max="2817" width="10" style="95" customWidth="1"/>
    <col min="2818" max="2818" width="11" style="95" customWidth="1"/>
    <col min="2819" max="2819" width="9.5703125" style="95" customWidth="1"/>
    <col min="2820" max="2820" width="10.140625" style="95" customWidth="1"/>
    <col min="2821" max="2860" width="10.7109375" style="95" customWidth="1"/>
    <col min="2861" max="2861" width="1.85546875" style="95" bestFit="1" customWidth="1"/>
    <col min="2862" max="2862" width="34.5703125" style="95" bestFit="1" customWidth="1"/>
    <col min="2863" max="2864" width="10.7109375" style="95" customWidth="1"/>
    <col min="2865" max="2865" width="2.7109375" style="95" bestFit="1" customWidth="1"/>
    <col min="2866" max="2866" width="11.5703125" style="95" bestFit="1" customWidth="1"/>
    <col min="2867" max="3043" width="10.7109375" style="95"/>
    <col min="3044" max="3044" width="5.28515625" style="95" customWidth="1"/>
    <col min="3045" max="3045" width="6.42578125" style="95" customWidth="1"/>
    <col min="3046" max="3046" width="22" style="95" customWidth="1"/>
    <col min="3047" max="3047" width="7.5703125" style="95" bestFit="1" customWidth="1"/>
    <col min="3048" max="3048" width="4.42578125" style="95" customWidth="1"/>
    <col min="3049" max="3049" width="7.42578125" style="95" bestFit="1" customWidth="1"/>
    <col min="3050" max="3050" width="2.85546875" style="95" bestFit="1" customWidth="1"/>
    <col min="3051" max="3051" width="7" style="95" bestFit="1" customWidth="1"/>
    <col min="3052" max="3052" width="5.7109375" style="95" bestFit="1" customWidth="1"/>
    <col min="3053" max="3053" width="7.85546875" style="95" bestFit="1" customWidth="1"/>
    <col min="3054" max="3055" width="0" style="95" hidden="1" customWidth="1"/>
    <col min="3056" max="3056" width="12.5703125" style="95" customWidth="1"/>
    <col min="3057" max="3057" width="0" style="95" hidden="1" customWidth="1"/>
    <col min="3058" max="3058" width="11" style="95" customWidth="1"/>
    <col min="3059" max="3059" width="9.140625" style="95" customWidth="1"/>
    <col min="3060" max="3060" width="9.85546875" style="95" customWidth="1"/>
    <col min="3061" max="3064" width="0" style="95" hidden="1" customWidth="1"/>
    <col min="3065" max="3065" width="1.5703125" style="95" customWidth="1"/>
    <col min="3066" max="3068" width="0" style="95" hidden="1" customWidth="1"/>
    <col min="3069" max="3069" width="10.42578125" style="95" customWidth="1"/>
    <col min="3070" max="3071" width="11" style="95" customWidth="1"/>
    <col min="3072" max="3072" width="9.42578125" style="95" customWidth="1"/>
    <col min="3073" max="3073" width="10" style="95" customWidth="1"/>
    <col min="3074" max="3074" width="11" style="95" customWidth="1"/>
    <col min="3075" max="3075" width="9.5703125" style="95" customWidth="1"/>
    <col min="3076" max="3076" width="10.140625" style="95" customWidth="1"/>
    <col min="3077" max="3116" width="10.7109375" style="95" customWidth="1"/>
    <col min="3117" max="3117" width="1.85546875" style="95" bestFit="1" customWidth="1"/>
    <col min="3118" max="3118" width="34.5703125" style="95" bestFit="1" customWidth="1"/>
    <col min="3119" max="3120" width="10.7109375" style="95" customWidth="1"/>
    <col min="3121" max="3121" width="2.7109375" style="95" bestFit="1" customWidth="1"/>
    <col min="3122" max="3122" width="11.5703125" style="95" bestFit="1" customWidth="1"/>
    <col min="3123" max="3299" width="10.7109375" style="95"/>
    <col min="3300" max="3300" width="5.28515625" style="95" customWidth="1"/>
    <col min="3301" max="3301" width="6.42578125" style="95" customWidth="1"/>
    <col min="3302" max="3302" width="22" style="95" customWidth="1"/>
    <col min="3303" max="3303" width="7.5703125" style="95" bestFit="1" customWidth="1"/>
    <col min="3304" max="3304" width="4.42578125" style="95" customWidth="1"/>
    <col min="3305" max="3305" width="7.42578125" style="95" bestFit="1" customWidth="1"/>
    <col min="3306" max="3306" width="2.85546875" style="95" bestFit="1" customWidth="1"/>
    <col min="3307" max="3307" width="7" style="95" bestFit="1" customWidth="1"/>
    <col min="3308" max="3308" width="5.7109375" style="95" bestFit="1" customWidth="1"/>
    <col min="3309" max="3309" width="7.85546875" style="95" bestFit="1" customWidth="1"/>
    <col min="3310" max="3311" width="0" style="95" hidden="1" customWidth="1"/>
    <col min="3312" max="3312" width="12.5703125" style="95" customWidth="1"/>
    <col min="3313" max="3313" width="0" style="95" hidden="1" customWidth="1"/>
    <col min="3314" max="3314" width="11" style="95" customWidth="1"/>
    <col min="3315" max="3315" width="9.140625" style="95" customWidth="1"/>
    <col min="3316" max="3316" width="9.85546875" style="95" customWidth="1"/>
    <col min="3317" max="3320" width="0" style="95" hidden="1" customWidth="1"/>
    <col min="3321" max="3321" width="1.5703125" style="95" customWidth="1"/>
    <col min="3322" max="3324" width="0" style="95" hidden="1" customWidth="1"/>
    <col min="3325" max="3325" width="10.42578125" style="95" customWidth="1"/>
    <col min="3326" max="3327" width="11" style="95" customWidth="1"/>
    <col min="3328" max="3328" width="9.42578125" style="95" customWidth="1"/>
    <col min="3329" max="3329" width="10" style="95" customWidth="1"/>
    <col min="3330" max="3330" width="11" style="95" customWidth="1"/>
    <col min="3331" max="3331" width="9.5703125" style="95" customWidth="1"/>
    <col min="3332" max="3332" width="10.140625" style="95" customWidth="1"/>
    <col min="3333" max="3372" width="10.7109375" style="95" customWidth="1"/>
    <col min="3373" max="3373" width="1.85546875" style="95" bestFit="1" customWidth="1"/>
    <col min="3374" max="3374" width="34.5703125" style="95" bestFit="1" customWidth="1"/>
    <col min="3375" max="3376" width="10.7109375" style="95" customWidth="1"/>
    <col min="3377" max="3377" width="2.7109375" style="95" bestFit="1" customWidth="1"/>
    <col min="3378" max="3378" width="11.5703125" style="95" bestFit="1" customWidth="1"/>
    <col min="3379" max="3555" width="10.7109375" style="95"/>
    <col min="3556" max="3556" width="5.28515625" style="95" customWidth="1"/>
    <col min="3557" max="3557" width="6.42578125" style="95" customWidth="1"/>
    <col min="3558" max="3558" width="22" style="95" customWidth="1"/>
    <col min="3559" max="3559" width="7.5703125" style="95" bestFit="1" customWidth="1"/>
    <col min="3560" max="3560" width="4.42578125" style="95" customWidth="1"/>
    <col min="3561" max="3561" width="7.42578125" style="95" bestFit="1" customWidth="1"/>
    <col min="3562" max="3562" width="2.85546875" style="95" bestFit="1" customWidth="1"/>
    <col min="3563" max="3563" width="7" style="95" bestFit="1" customWidth="1"/>
    <col min="3564" max="3564" width="5.7109375" style="95" bestFit="1" customWidth="1"/>
    <col min="3565" max="3565" width="7.85546875" style="95" bestFit="1" customWidth="1"/>
    <col min="3566" max="3567" width="0" style="95" hidden="1" customWidth="1"/>
    <col min="3568" max="3568" width="12.5703125" style="95" customWidth="1"/>
    <col min="3569" max="3569" width="0" style="95" hidden="1" customWidth="1"/>
    <col min="3570" max="3570" width="11" style="95" customWidth="1"/>
    <col min="3571" max="3571" width="9.140625" style="95" customWidth="1"/>
    <col min="3572" max="3572" width="9.85546875" style="95" customWidth="1"/>
    <col min="3573" max="3576" width="0" style="95" hidden="1" customWidth="1"/>
    <col min="3577" max="3577" width="1.5703125" style="95" customWidth="1"/>
    <col min="3578" max="3580" width="0" style="95" hidden="1" customWidth="1"/>
    <col min="3581" max="3581" width="10.42578125" style="95" customWidth="1"/>
    <col min="3582" max="3583" width="11" style="95" customWidth="1"/>
    <col min="3584" max="3584" width="9.42578125" style="95" customWidth="1"/>
    <col min="3585" max="3585" width="10" style="95" customWidth="1"/>
    <col min="3586" max="3586" width="11" style="95" customWidth="1"/>
    <col min="3587" max="3587" width="9.5703125" style="95" customWidth="1"/>
    <col min="3588" max="3588" width="10.140625" style="95" customWidth="1"/>
    <col min="3589" max="3628" width="10.7109375" style="95" customWidth="1"/>
    <col min="3629" max="3629" width="1.85546875" style="95" bestFit="1" customWidth="1"/>
    <col min="3630" max="3630" width="34.5703125" style="95" bestFit="1" customWidth="1"/>
    <col min="3631" max="3632" width="10.7109375" style="95" customWidth="1"/>
    <col min="3633" max="3633" width="2.7109375" style="95" bestFit="1" customWidth="1"/>
    <col min="3634" max="3634" width="11.5703125" style="95" bestFit="1" customWidth="1"/>
    <col min="3635" max="3811" width="10.7109375" style="95"/>
    <col min="3812" max="3812" width="5.28515625" style="95" customWidth="1"/>
    <col min="3813" max="3813" width="6.42578125" style="95" customWidth="1"/>
    <col min="3814" max="3814" width="22" style="95" customWidth="1"/>
    <col min="3815" max="3815" width="7.5703125" style="95" bestFit="1" customWidth="1"/>
    <col min="3816" max="3816" width="4.42578125" style="95" customWidth="1"/>
    <col min="3817" max="3817" width="7.42578125" style="95" bestFit="1" customWidth="1"/>
    <col min="3818" max="3818" width="2.85546875" style="95" bestFit="1" customWidth="1"/>
    <col min="3819" max="3819" width="7" style="95" bestFit="1" customWidth="1"/>
    <col min="3820" max="3820" width="5.7109375" style="95" bestFit="1" customWidth="1"/>
    <col min="3821" max="3821" width="7.85546875" style="95" bestFit="1" customWidth="1"/>
    <col min="3822" max="3823" width="0" style="95" hidden="1" customWidth="1"/>
    <col min="3824" max="3824" width="12.5703125" style="95" customWidth="1"/>
    <col min="3825" max="3825" width="0" style="95" hidden="1" customWidth="1"/>
    <col min="3826" max="3826" width="11" style="95" customWidth="1"/>
    <col min="3827" max="3827" width="9.140625" style="95" customWidth="1"/>
    <col min="3828" max="3828" width="9.85546875" style="95" customWidth="1"/>
    <col min="3829" max="3832" width="0" style="95" hidden="1" customWidth="1"/>
    <col min="3833" max="3833" width="1.5703125" style="95" customWidth="1"/>
    <col min="3834" max="3836" width="0" style="95" hidden="1" customWidth="1"/>
    <col min="3837" max="3837" width="10.42578125" style="95" customWidth="1"/>
    <col min="3838" max="3839" width="11" style="95" customWidth="1"/>
    <col min="3840" max="3840" width="9.42578125" style="95" customWidth="1"/>
    <col min="3841" max="3841" width="10" style="95" customWidth="1"/>
    <col min="3842" max="3842" width="11" style="95" customWidth="1"/>
    <col min="3843" max="3843" width="9.5703125" style="95" customWidth="1"/>
    <col min="3844" max="3844" width="10.140625" style="95" customWidth="1"/>
    <col min="3845" max="3884" width="10.7109375" style="95" customWidth="1"/>
    <col min="3885" max="3885" width="1.85546875" style="95" bestFit="1" customWidth="1"/>
    <col min="3886" max="3886" width="34.5703125" style="95" bestFit="1" customWidth="1"/>
    <col min="3887" max="3888" width="10.7109375" style="95" customWidth="1"/>
    <col min="3889" max="3889" width="2.7109375" style="95" bestFit="1" customWidth="1"/>
    <col min="3890" max="3890" width="11.5703125" style="95" bestFit="1" customWidth="1"/>
    <col min="3891" max="4067" width="10.7109375" style="95"/>
    <col min="4068" max="4068" width="5.28515625" style="95" customWidth="1"/>
    <col min="4069" max="4069" width="6.42578125" style="95" customWidth="1"/>
    <col min="4070" max="4070" width="22" style="95" customWidth="1"/>
    <col min="4071" max="4071" width="7.5703125" style="95" bestFit="1" customWidth="1"/>
    <col min="4072" max="4072" width="4.42578125" style="95" customWidth="1"/>
    <col min="4073" max="4073" width="7.42578125" style="95" bestFit="1" customWidth="1"/>
    <col min="4074" max="4074" width="2.85546875" style="95" bestFit="1" customWidth="1"/>
    <col min="4075" max="4075" width="7" style="95" bestFit="1" customWidth="1"/>
    <col min="4076" max="4076" width="5.7109375" style="95" bestFit="1" customWidth="1"/>
    <col min="4077" max="4077" width="7.85546875" style="95" bestFit="1" customWidth="1"/>
    <col min="4078" max="4079" width="0" style="95" hidden="1" customWidth="1"/>
    <col min="4080" max="4080" width="12.5703125" style="95" customWidth="1"/>
    <col min="4081" max="4081" width="0" style="95" hidden="1" customWidth="1"/>
    <col min="4082" max="4082" width="11" style="95" customWidth="1"/>
    <col min="4083" max="4083" width="9.140625" style="95" customWidth="1"/>
    <col min="4084" max="4084" width="9.85546875" style="95" customWidth="1"/>
    <col min="4085" max="4088" width="0" style="95" hidden="1" customWidth="1"/>
    <col min="4089" max="4089" width="1.5703125" style="95" customWidth="1"/>
    <col min="4090" max="4092" width="0" style="95" hidden="1" customWidth="1"/>
    <col min="4093" max="4093" width="10.42578125" style="95" customWidth="1"/>
    <col min="4094" max="4095" width="11" style="95" customWidth="1"/>
    <col min="4096" max="4096" width="9.42578125" style="95" customWidth="1"/>
    <col min="4097" max="4097" width="10" style="95" customWidth="1"/>
    <col min="4098" max="4098" width="11" style="95" customWidth="1"/>
    <col min="4099" max="4099" width="9.5703125" style="95" customWidth="1"/>
    <col min="4100" max="4100" width="10.140625" style="95" customWidth="1"/>
    <col min="4101" max="4140" width="10.7109375" style="95" customWidth="1"/>
    <col min="4141" max="4141" width="1.85546875" style="95" bestFit="1" customWidth="1"/>
    <col min="4142" max="4142" width="34.5703125" style="95" bestFit="1" customWidth="1"/>
    <col min="4143" max="4144" width="10.7109375" style="95" customWidth="1"/>
    <col min="4145" max="4145" width="2.7109375" style="95" bestFit="1" customWidth="1"/>
    <col min="4146" max="4146" width="11.5703125" style="95" bestFit="1" customWidth="1"/>
    <col min="4147" max="4323" width="10.7109375" style="95"/>
    <col min="4324" max="4324" width="5.28515625" style="95" customWidth="1"/>
    <col min="4325" max="4325" width="6.42578125" style="95" customWidth="1"/>
    <col min="4326" max="4326" width="22" style="95" customWidth="1"/>
    <col min="4327" max="4327" width="7.5703125" style="95" bestFit="1" customWidth="1"/>
    <col min="4328" max="4328" width="4.42578125" style="95" customWidth="1"/>
    <col min="4329" max="4329" width="7.42578125" style="95" bestFit="1" customWidth="1"/>
    <col min="4330" max="4330" width="2.85546875" style="95" bestFit="1" customWidth="1"/>
    <col min="4331" max="4331" width="7" style="95" bestFit="1" customWidth="1"/>
    <col min="4332" max="4332" width="5.7109375" style="95" bestFit="1" customWidth="1"/>
    <col min="4333" max="4333" width="7.85546875" style="95" bestFit="1" customWidth="1"/>
    <col min="4334" max="4335" width="0" style="95" hidden="1" customWidth="1"/>
    <col min="4336" max="4336" width="12.5703125" style="95" customWidth="1"/>
    <col min="4337" max="4337" width="0" style="95" hidden="1" customWidth="1"/>
    <col min="4338" max="4338" width="11" style="95" customWidth="1"/>
    <col min="4339" max="4339" width="9.140625" style="95" customWidth="1"/>
    <col min="4340" max="4340" width="9.85546875" style="95" customWidth="1"/>
    <col min="4341" max="4344" width="0" style="95" hidden="1" customWidth="1"/>
    <col min="4345" max="4345" width="1.5703125" style="95" customWidth="1"/>
    <col min="4346" max="4348" width="0" style="95" hidden="1" customWidth="1"/>
    <col min="4349" max="4349" width="10.42578125" style="95" customWidth="1"/>
    <col min="4350" max="4351" width="11" style="95" customWidth="1"/>
    <col min="4352" max="4352" width="9.42578125" style="95" customWidth="1"/>
    <col min="4353" max="4353" width="10" style="95" customWidth="1"/>
    <col min="4354" max="4354" width="11" style="95" customWidth="1"/>
    <col min="4355" max="4355" width="9.5703125" style="95" customWidth="1"/>
    <col min="4356" max="4356" width="10.140625" style="95" customWidth="1"/>
    <col min="4357" max="4396" width="10.7109375" style="95" customWidth="1"/>
    <col min="4397" max="4397" width="1.85546875" style="95" bestFit="1" customWidth="1"/>
    <col min="4398" max="4398" width="34.5703125" style="95" bestFit="1" customWidth="1"/>
    <col min="4399" max="4400" width="10.7109375" style="95" customWidth="1"/>
    <col min="4401" max="4401" width="2.7109375" style="95" bestFit="1" customWidth="1"/>
    <col min="4402" max="4402" width="11.5703125" style="95" bestFit="1" customWidth="1"/>
    <col min="4403" max="4579" width="10.7109375" style="95"/>
    <col min="4580" max="4580" width="5.28515625" style="95" customWidth="1"/>
    <col min="4581" max="4581" width="6.42578125" style="95" customWidth="1"/>
    <col min="4582" max="4582" width="22" style="95" customWidth="1"/>
    <col min="4583" max="4583" width="7.5703125" style="95" bestFit="1" customWidth="1"/>
    <col min="4584" max="4584" width="4.42578125" style="95" customWidth="1"/>
    <col min="4585" max="4585" width="7.42578125" style="95" bestFit="1" customWidth="1"/>
    <col min="4586" max="4586" width="2.85546875" style="95" bestFit="1" customWidth="1"/>
    <col min="4587" max="4587" width="7" style="95" bestFit="1" customWidth="1"/>
    <col min="4588" max="4588" width="5.7109375" style="95" bestFit="1" customWidth="1"/>
    <col min="4589" max="4589" width="7.85546875" style="95" bestFit="1" customWidth="1"/>
    <col min="4590" max="4591" width="0" style="95" hidden="1" customWidth="1"/>
    <col min="4592" max="4592" width="12.5703125" style="95" customWidth="1"/>
    <col min="4593" max="4593" width="0" style="95" hidden="1" customWidth="1"/>
    <col min="4594" max="4594" width="11" style="95" customWidth="1"/>
    <col min="4595" max="4595" width="9.140625" style="95" customWidth="1"/>
    <col min="4596" max="4596" width="9.85546875" style="95" customWidth="1"/>
    <col min="4597" max="4600" width="0" style="95" hidden="1" customWidth="1"/>
    <col min="4601" max="4601" width="1.5703125" style="95" customWidth="1"/>
    <col min="4602" max="4604" width="0" style="95" hidden="1" customWidth="1"/>
    <col min="4605" max="4605" width="10.42578125" style="95" customWidth="1"/>
    <col min="4606" max="4607" width="11" style="95" customWidth="1"/>
    <col min="4608" max="4608" width="9.42578125" style="95" customWidth="1"/>
    <col min="4609" max="4609" width="10" style="95" customWidth="1"/>
    <col min="4610" max="4610" width="11" style="95" customWidth="1"/>
    <col min="4611" max="4611" width="9.5703125" style="95" customWidth="1"/>
    <col min="4612" max="4612" width="10.140625" style="95" customWidth="1"/>
    <col min="4613" max="4652" width="10.7109375" style="95" customWidth="1"/>
    <col min="4653" max="4653" width="1.85546875" style="95" bestFit="1" customWidth="1"/>
    <col min="4654" max="4654" width="34.5703125" style="95" bestFit="1" customWidth="1"/>
    <col min="4655" max="4656" width="10.7109375" style="95" customWidth="1"/>
    <col min="4657" max="4657" width="2.7109375" style="95" bestFit="1" customWidth="1"/>
    <col min="4658" max="4658" width="11.5703125" style="95" bestFit="1" customWidth="1"/>
    <col min="4659" max="4835" width="10.7109375" style="95"/>
    <col min="4836" max="4836" width="5.28515625" style="95" customWidth="1"/>
    <col min="4837" max="4837" width="6.42578125" style="95" customWidth="1"/>
    <col min="4838" max="4838" width="22" style="95" customWidth="1"/>
    <col min="4839" max="4839" width="7.5703125" style="95" bestFit="1" customWidth="1"/>
    <col min="4840" max="4840" width="4.42578125" style="95" customWidth="1"/>
    <col min="4841" max="4841" width="7.42578125" style="95" bestFit="1" customWidth="1"/>
    <col min="4842" max="4842" width="2.85546875" style="95" bestFit="1" customWidth="1"/>
    <col min="4843" max="4843" width="7" style="95" bestFit="1" customWidth="1"/>
    <col min="4844" max="4844" width="5.7109375" style="95" bestFit="1" customWidth="1"/>
    <col min="4845" max="4845" width="7.85546875" style="95" bestFit="1" customWidth="1"/>
    <col min="4846" max="4847" width="0" style="95" hidden="1" customWidth="1"/>
    <col min="4848" max="4848" width="12.5703125" style="95" customWidth="1"/>
    <col min="4849" max="4849" width="0" style="95" hidden="1" customWidth="1"/>
    <col min="4850" max="4850" width="11" style="95" customWidth="1"/>
    <col min="4851" max="4851" width="9.140625" style="95" customWidth="1"/>
    <col min="4852" max="4852" width="9.85546875" style="95" customWidth="1"/>
    <col min="4853" max="4856" width="0" style="95" hidden="1" customWidth="1"/>
    <col min="4857" max="4857" width="1.5703125" style="95" customWidth="1"/>
    <col min="4858" max="4860" width="0" style="95" hidden="1" customWidth="1"/>
    <col min="4861" max="4861" width="10.42578125" style="95" customWidth="1"/>
    <col min="4862" max="4863" width="11" style="95" customWidth="1"/>
    <col min="4864" max="4864" width="9.42578125" style="95" customWidth="1"/>
    <col min="4865" max="4865" width="10" style="95" customWidth="1"/>
    <col min="4866" max="4866" width="11" style="95" customWidth="1"/>
    <col min="4867" max="4867" width="9.5703125" style="95" customWidth="1"/>
    <col min="4868" max="4868" width="10.140625" style="95" customWidth="1"/>
    <col min="4869" max="4908" width="10.7109375" style="95" customWidth="1"/>
    <col min="4909" max="4909" width="1.85546875" style="95" bestFit="1" customWidth="1"/>
    <col min="4910" max="4910" width="34.5703125" style="95" bestFit="1" customWidth="1"/>
    <col min="4911" max="4912" width="10.7109375" style="95" customWidth="1"/>
    <col min="4913" max="4913" width="2.7109375" style="95" bestFit="1" customWidth="1"/>
    <col min="4914" max="4914" width="11.5703125" style="95" bestFit="1" customWidth="1"/>
    <col min="4915" max="5091" width="10.7109375" style="95"/>
    <col min="5092" max="5092" width="5.28515625" style="95" customWidth="1"/>
    <col min="5093" max="5093" width="6.42578125" style="95" customWidth="1"/>
    <col min="5094" max="5094" width="22" style="95" customWidth="1"/>
    <col min="5095" max="5095" width="7.5703125" style="95" bestFit="1" customWidth="1"/>
    <col min="5096" max="5096" width="4.42578125" style="95" customWidth="1"/>
    <col min="5097" max="5097" width="7.42578125" style="95" bestFit="1" customWidth="1"/>
    <col min="5098" max="5098" width="2.85546875" style="95" bestFit="1" customWidth="1"/>
    <col min="5099" max="5099" width="7" style="95" bestFit="1" customWidth="1"/>
    <col min="5100" max="5100" width="5.7109375" style="95" bestFit="1" customWidth="1"/>
    <col min="5101" max="5101" width="7.85546875" style="95" bestFit="1" customWidth="1"/>
    <col min="5102" max="5103" width="0" style="95" hidden="1" customWidth="1"/>
    <col min="5104" max="5104" width="12.5703125" style="95" customWidth="1"/>
    <col min="5105" max="5105" width="0" style="95" hidden="1" customWidth="1"/>
    <col min="5106" max="5106" width="11" style="95" customWidth="1"/>
    <col min="5107" max="5107" width="9.140625" style="95" customWidth="1"/>
    <col min="5108" max="5108" width="9.85546875" style="95" customWidth="1"/>
    <col min="5109" max="5112" width="0" style="95" hidden="1" customWidth="1"/>
    <col min="5113" max="5113" width="1.5703125" style="95" customWidth="1"/>
    <col min="5114" max="5116" width="0" style="95" hidden="1" customWidth="1"/>
    <col min="5117" max="5117" width="10.42578125" style="95" customWidth="1"/>
    <col min="5118" max="5119" width="11" style="95" customWidth="1"/>
    <col min="5120" max="5120" width="9.42578125" style="95" customWidth="1"/>
    <col min="5121" max="5121" width="10" style="95" customWidth="1"/>
    <col min="5122" max="5122" width="11" style="95" customWidth="1"/>
    <col min="5123" max="5123" width="9.5703125" style="95" customWidth="1"/>
    <col min="5124" max="5124" width="10.140625" style="95" customWidth="1"/>
    <col min="5125" max="5164" width="10.7109375" style="95" customWidth="1"/>
    <col min="5165" max="5165" width="1.85546875" style="95" bestFit="1" customWidth="1"/>
    <col min="5166" max="5166" width="34.5703125" style="95" bestFit="1" customWidth="1"/>
    <col min="5167" max="5168" width="10.7109375" style="95" customWidth="1"/>
    <col min="5169" max="5169" width="2.7109375" style="95" bestFit="1" customWidth="1"/>
    <col min="5170" max="5170" width="11.5703125" style="95" bestFit="1" customWidth="1"/>
    <col min="5171" max="5347" width="10.7109375" style="95"/>
    <col min="5348" max="5348" width="5.28515625" style="95" customWidth="1"/>
    <col min="5349" max="5349" width="6.42578125" style="95" customWidth="1"/>
    <col min="5350" max="5350" width="22" style="95" customWidth="1"/>
    <col min="5351" max="5351" width="7.5703125" style="95" bestFit="1" customWidth="1"/>
    <col min="5352" max="5352" width="4.42578125" style="95" customWidth="1"/>
    <col min="5353" max="5353" width="7.42578125" style="95" bestFit="1" customWidth="1"/>
    <col min="5354" max="5354" width="2.85546875" style="95" bestFit="1" customWidth="1"/>
    <col min="5355" max="5355" width="7" style="95" bestFit="1" customWidth="1"/>
    <col min="5356" max="5356" width="5.7109375" style="95" bestFit="1" customWidth="1"/>
    <col min="5357" max="5357" width="7.85546875" style="95" bestFit="1" customWidth="1"/>
    <col min="5358" max="5359" width="0" style="95" hidden="1" customWidth="1"/>
    <col min="5360" max="5360" width="12.5703125" style="95" customWidth="1"/>
    <col min="5361" max="5361" width="0" style="95" hidden="1" customWidth="1"/>
    <col min="5362" max="5362" width="11" style="95" customWidth="1"/>
    <col min="5363" max="5363" width="9.140625" style="95" customWidth="1"/>
    <col min="5364" max="5364" width="9.85546875" style="95" customWidth="1"/>
    <col min="5365" max="5368" width="0" style="95" hidden="1" customWidth="1"/>
    <col min="5369" max="5369" width="1.5703125" style="95" customWidth="1"/>
    <col min="5370" max="5372" width="0" style="95" hidden="1" customWidth="1"/>
    <col min="5373" max="5373" width="10.42578125" style="95" customWidth="1"/>
    <col min="5374" max="5375" width="11" style="95" customWidth="1"/>
    <col min="5376" max="5376" width="9.42578125" style="95" customWidth="1"/>
    <col min="5377" max="5377" width="10" style="95" customWidth="1"/>
    <col min="5378" max="5378" width="11" style="95" customWidth="1"/>
    <col min="5379" max="5379" width="9.5703125" style="95" customWidth="1"/>
    <col min="5380" max="5380" width="10.140625" style="95" customWidth="1"/>
    <col min="5381" max="5420" width="10.7109375" style="95" customWidth="1"/>
    <col min="5421" max="5421" width="1.85546875" style="95" bestFit="1" customWidth="1"/>
    <col min="5422" max="5422" width="34.5703125" style="95" bestFit="1" customWidth="1"/>
    <col min="5423" max="5424" width="10.7109375" style="95" customWidth="1"/>
    <col min="5425" max="5425" width="2.7109375" style="95" bestFit="1" customWidth="1"/>
    <col min="5426" max="5426" width="11.5703125" style="95" bestFit="1" customWidth="1"/>
    <col min="5427" max="5603" width="10.7109375" style="95"/>
    <col min="5604" max="5604" width="5.28515625" style="95" customWidth="1"/>
    <col min="5605" max="5605" width="6.42578125" style="95" customWidth="1"/>
    <col min="5606" max="5606" width="22" style="95" customWidth="1"/>
    <col min="5607" max="5607" width="7.5703125" style="95" bestFit="1" customWidth="1"/>
    <col min="5608" max="5608" width="4.42578125" style="95" customWidth="1"/>
    <col min="5609" max="5609" width="7.42578125" style="95" bestFit="1" customWidth="1"/>
    <col min="5610" max="5610" width="2.85546875" style="95" bestFit="1" customWidth="1"/>
    <col min="5611" max="5611" width="7" style="95" bestFit="1" customWidth="1"/>
    <col min="5612" max="5612" width="5.7109375" style="95" bestFit="1" customWidth="1"/>
    <col min="5613" max="5613" width="7.85546875" style="95" bestFit="1" customWidth="1"/>
    <col min="5614" max="5615" width="0" style="95" hidden="1" customWidth="1"/>
    <col min="5616" max="5616" width="12.5703125" style="95" customWidth="1"/>
    <col min="5617" max="5617" width="0" style="95" hidden="1" customWidth="1"/>
    <col min="5618" max="5618" width="11" style="95" customWidth="1"/>
    <col min="5619" max="5619" width="9.140625" style="95" customWidth="1"/>
    <col min="5620" max="5620" width="9.85546875" style="95" customWidth="1"/>
    <col min="5621" max="5624" width="0" style="95" hidden="1" customWidth="1"/>
    <col min="5625" max="5625" width="1.5703125" style="95" customWidth="1"/>
    <col min="5626" max="5628" width="0" style="95" hidden="1" customWidth="1"/>
    <col min="5629" max="5629" width="10.42578125" style="95" customWidth="1"/>
    <col min="5630" max="5631" width="11" style="95" customWidth="1"/>
    <col min="5632" max="5632" width="9.42578125" style="95" customWidth="1"/>
    <col min="5633" max="5633" width="10" style="95" customWidth="1"/>
    <col min="5634" max="5634" width="11" style="95" customWidth="1"/>
    <col min="5635" max="5635" width="9.5703125" style="95" customWidth="1"/>
    <col min="5636" max="5636" width="10.140625" style="95" customWidth="1"/>
    <col min="5637" max="5676" width="10.7109375" style="95" customWidth="1"/>
    <col min="5677" max="5677" width="1.85546875" style="95" bestFit="1" customWidth="1"/>
    <col min="5678" max="5678" width="34.5703125" style="95" bestFit="1" customWidth="1"/>
    <col min="5679" max="5680" width="10.7109375" style="95" customWidth="1"/>
    <col min="5681" max="5681" width="2.7109375" style="95" bestFit="1" customWidth="1"/>
    <col min="5682" max="5682" width="11.5703125" style="95" bestFit="1" customWidth="1"/>
    <col min="5683" max="5859" width="10.7109375" style="95"/>
    <col min="5860" max="5860" width="5.28515625" style="95" customWidth="1"/>
    <col min="5861" max="5861" width="6.42578125" style="95" customWidth="1"/>
    <col min="5862" max="5862" width="22" style="95" customWidth="1"/>
    <col min="5863" max="5863" width="7.5703125" style="95" bestFit="1" customWidth="1"/>
    <col min="5864" max="5864" width="4.42578125" style="95" customWidth="1"/>
    <col min="5865" max="5865" width="7.42578125" style="95" bestFit="1" customWidth="1"/>
    <col min="5866" max="5866" width="2.85546875" style="95" bestFit="1" customWidth="1"/>
    <col min="5867" max="5867" width="7" style="95" bestFit="1" customWidth="1"/>
    <col min="5868" max="5868" width="5.7109375" style="95" bestFit="1" customWidth="1"/>
    <col min="5869" max="5869" width="7.85546875" style="95" bestFit="1" customWidth="1"/>
    <col min="5870" max="5871" width="0" style="95" hidden="1" customWidth="1"/>
    <col min="5872" max="5872" width="12.5703125" style="95" customWidth="1"/>
    <col min="5873" max="5873" width="0" style="95" hidden="1" customWidth="1"/>
    <col min="5874" max="5874" width="11" style="95" customWidth="1"/>
    <col min="5875" max="5875" width="9.140625" style="95" customWidth="1"/>
    <col min="5876" max="5876" width="9.85546875" style="95" customWidth="1"/>
    <col min="5877" max="5880" width="0" style="95" hidden="1" customWidth="1"/>
    <col min="5881" max="5881" width="1.5703125" style="95" customWidth="1"/>
    <col min="5882" max="5884" width="0" style="95" hidden="1" customWidth="1"/>
    <col min="5885" max="5885" width="10.42578125" style="95" customWidth="1"/>
    <col min="5886" max="5887" width="11" style="95" customWidth="1"/>
    <col min="5888" max="5888" width="9.42578125" style="95" customWidth="1"/>
    <col min="5889" max="5889" width="10" style="95" customWidth="1"/>
    <col min="5890" max="5890" width="11" style="95" customWidth="1"/>
    <col min="5891" max="5891" width="9.5703125" style="95" customWidth="1"/>
    <col min="5892" max="5892" width="10.140625" style="95" customWidth="1"/>
    <col min="5893" max="5932" width="10.7109375" style="95" customWidth="1"/>
    <col min="5933" max="5933" width="1.85546875" style="95" bestFit="1" customWidth="1"/>
    <col min="5934" max="5934" width="34.5703125" style="95" bestFit="1" customWidth="1"/>
    <col min="5935" max="5936" width="10.7109375" style="95" customWidth="1"/>
    <col min="5937" max="5937" width="2.7109375" style="95" bestFit="1" customWidth="1"/>
    <col min="5938" max="5938" width="11.5703125" style="95" bestFit="1" customWidth="1"/>
    <col min="5939" max="6115" width="10.7109375" style="95"/>
    <col min="6116" max="6116" width="5.28515625" style="95" customWidth="1"/>
    <col min="6117" max="6117" width="6.42578125" style="95" customWidth="1"/>
    <col min="6118" max="6118" width="22" style="95" customWidth="1"/>
    <col min="6119" max="6119" width="7.5703125" style="95" bestFit="1" customWidth="1"/>
    <col min="6120" max="6120" width="4.42578125" style="95" customWidth="1"/>
    <col min="6121" max="6121" width="7.42578125" style="95" bestFit="1" customWidth="1"/>
    <col min="6122" max="6122" width="2.85546875" style="95" bestFit="1" customWidth="1"/>
    <col min="6123" max="6123" width="7" style="95" bestFit="1" customWidth="1"/>
    <col min="6124" max="6124" width="5.7109375" style="95" bestFit="1" customWidth="1"/>
    <col min="6125" max="6125" width="7.85546875" style="95" bestFit="1" customWidth="1"/>
    <col min="6126" max="6127" width="0" style="95" hidden="1" customWidth="1"/>
    <col min="6128" max="6128" width="12.5703125" style="95" customWidth="1"/>
    <col min="6129" max="6129" width="0" style="95" hidden="1" customWidth="1"/>
    <col min="6130" max="6130" width="11" style="95" customWidth="1"/>
    <col min="6131" max="6131" width="9.140625" style="95" customWidth="1"/>
    <col min="6132" max="6132" width="9.85546875" style="95" customWidth="1"/>
    <col min="6133" max="6136" width="0" style="95" hidden="1" customWidth="1"/>
    <col min="6137" max="6137" width="1.5703125" style="95" customWidth="1"/>
    <col min="6138" max="6140" width="0" style="95" hidden="1" customWidth="1"/>
    <col min="6141" max="6141" width="10.42578125" style="95" customWidth="1"/>
    <col min="6142" max="6143" width="11" style="95" customWidth="1"/>
    <col min="6144" max="6144" width="9.42578125" style="95" customWidth="1"/>
    <col min="6145" max="6145" width="10" style="95" customWidth="1"/>
    <col min="6146" max="6146" width="11" style="95" customWidth="1"/>
    <col min="6147" max="6147" width="9.5703125" style="95" customWidth="1"/>
    <col min="6148" max="6148" width="10.140625" style="95" customWidth="1"/>
    <col min="6149" max="6188" width="10.7109375" style="95" customWidth="1"/>
    <col min="6189" max="6189" width="1.85546875" style="95" bestFit="1" customWidth="1"/>
    <col min="6190" max="6190" width="34.5703125" style="95" bestFit="1" customWidth="1"/>
    <col min="6191" max="6192" width="10.7109375" style="95" customWidth="1"/>
    <col min="6193" max="6193" width="2.7109375" style="95" bestFit="1" customWidth="1"/>
    <col min="6194" max="6194" width="11.5703125" style="95" bestFit="1" customWidth="1"/>
    <col min="6195" max="6371" width="10.7109375" style="95"/>
    <col min="6372" max="6372" width="5.28515625" style="95" customWidth="1"/>
    <col min="6373" max="6373" width="6.42578125" style="95" customWidth="1"/>
    <col min="6374" max="6374" width="22" style="95" customWidth="1"/>
    <col min="6375" max="6375" width="7.5703125" style="95" bestFit="1" customWidth="1"/>
    <col min="6376" max="6376" width="4.42578125" style="95" customWidth="1"/>
    <col min="6377" max="6377" width="7.42578125" style="95" bestFit="1" customWidth="1"/>
    <col min="6378" max="6378" width="2.85546875" style="95" bestFit="1" customWidth="1"/>
    <col min="6379" max="6379" width="7" style="95" bestFit="1" customWidth="1"/>
    <col min="6380" max="6380" width="5.7109375" style="95" bestFit="1" customWidth="1"/>
    <col min="6381" max="6381" width="7.85546875" style="95" bestFit="1" customWidth="1"/>
    <col min="6382" max="6383" width="0" style="95" hidden="1" customWidth="1"/>
    <col min="6384" max="6384" width="12.5703125" style="95" customWidth="1"/>
    <col min="6385" max="6385" width="0" style="95" hidden="1" customWidth="1"/>
    <col min="6386" max="6386" width="11" style="95" customWidth="1"/>
    <col min="6387" max="6387" width="9.140625" style="95" customWidth="1"/>
    <col min="6388" max="6388" width="9.85546875" style="95" customWidth="1"/>
    <col min="6389" max="6392" width="0" style="95" hidden="1" customWidth="1"/>
    <col min="6393" max="6393" width="1.5703125" style="95" customWidth="1"/>
    <col min="6394" max="6396" width="0" style="95" hidden="1" customWidth="1"/>
    <col min="6397" max="6397" width="10.42578125" style="95" customWidth="1"/>
    <col min="6398" max="6399" width="11" style="95" customWidth="1"/>
    <col min="6400" max="6400" width="9.42578125" style="95" customWidth="1"/>
    <col min="6401" max="6401" width="10" style="95" customWidth="1"/>
    <col min="6402" max="6402" width="11" style="95" customWidth="1"/>
    <col min="6403" max="6403" width="9.5703125" style="95" customWidth="1"/>
    <col min="6404" max="6404" width="10.140625" style="95" customWidth="1"/>
    <col min="6405" max="6444" width="10.7109375" style="95" customWidth="1"/>
    <col min="6445" max="6445" width="1.85546875" style="95" bestFit="1" customWidth="1"/>
    <col min="6446" max="6446" width="34.5703125" style="95" bestFit="1" customWidth="1"/>
    <col min="6447" max="6448" width="10.7109375" style="95" customWidth="1"/>
    <col min="6449" max="6449" width="2.7109375" style="95" bestFit="1" customWidth="1"/>
    <col min="6450" max="6450" width="11.5703125" style="95" bestFit="1" customWidth="1"/>
    <col min="6451" max="6627" width="10.7109375" style="95"/>
    <col min="6628" max="6628" width="5.28515625" style="95" customWidth="1"/>
    <col min="6629" max="6629" width="6.42578125" style="95" customWidth="1"/>
    <col min="6630" max="6630" width="22" style="95" customWidth="1"/>
    <col min="6631" max="6631" width="7.5703125" style="95" bestFit="1" customWidth="1"/>
    <col min="6632" max="6632" width="4.42578125" style="95" customWidth="1"/>
    <col min="6633" max="6633" width="7.42578125" style="95" bestFit="1" customWidth="1"/>
    <col min="6634" max="6634" width="2.85546875" style="95" bestFit="1" customWidth="1"/>
    <col min="6635" max="6635" width="7" style="95" bestFit="1" customWidth="1"/>
    <col min="6636" max="6636" width="5.7109375" style="95" bestFit="1" customWidth="1"/>
    <col min="6637" max="6637" width="7.85546875" style="95" bestFit="1" customWidth="1"/>
    <col min="6638" max="6639" width="0" style="95" hidden="1" customWidth="1"/>
    <col min="6640" max="6640" width="12.5703125" style="95" customWidth="1"/>
    <col min="6641" max="6641" width="0" style="95" hidden="1" customWidth="1"/>
    <col min="6642" max="6642" width="11" style="95" customWidth="1"/>
    <col min="6643" max="6643" width="9.140625" style="95" customWidth="1"/>
    <col min="6644" max="6644" width="9.85546875" style="95" customWidth="1"/>
    <col min="6645" max="6648" width="0" style="95" hidden="1" customWidth="1"/>
    <col min="6649" max="6649" width="1.5703125" style="95" customWidth="1"/>
    <col min="6650" max="6652" width="0" style="95" hidden="1" customWidth="1"/>
    <col min="6653" max="6653" width="10.42578125" style="95" customWidth="1"/>
    <col min="6654" max="6655" width="11" style="95" customWidth="1"/>
    <col min="6656" max="6656" width="9.42578125" style="95" customWidth="1"/>
    <col min="6657" max="6657" width="10" style="95" customWidth="1"/>
    <col min="6658" max="6658" width="11" style="95" customWidth="1"/>
    <col min="6659" max="6659" width="9.5703125" style="95" customWidth="1"/>
    <col min="6660" max="6660" width="10.140625" style="95" customWidth="1"/>
    <col min="6661" max="6700" width="10.7109375" style="95" customWidth="1"/>
    <col min="6701" max="6701" width="1.85546875" style="95" bestFit="1" customWidth="1"/>
    <col min="6702" max="6702" width="34.5703125" style="95" bestFit="1" customWidth="1"/>
    <col min="6703" max="6704" width="10.7109375" style="95" customWidth="1"/>
    <col min="6705" max="6705" width="2.7109375" style="95" bestFit="1" customWidth="1"/>
    <col min="6706" max="6706" width="11.5703125" style="95" bestFit="1" customWidth="1"/>
    <col min="6707" max="6883" width="10.7109375" style="95"/>
    <col min="6884" max="6884" width="5.28515625" style="95" customWidth="1"/>
    <col min="6885" max="6885" width="6.42578125" style="95" customWidth="1"/>
    <col min="6886" max="6886" width="22" style="95" customWidth="1"/>
    <col min="6887" max="6887" width="7.5703125" style="95" bestFit="1" customWidth="1"/>
    <col min="6888" max="6888" width="4.42578125" style="95" customWidth="1"/>
    <col min="6889" max="6889" width="7.42578125" style="95" bestFit="1" customWidth="1"/>
    <col min="6890" max="6890" width="2.85546875" style="95" bestFit="1" customWidth="1"/>
    <col min="6891" max="6891" width="7" style="95" bestFit="1" customWidth="1"/>
    <col min="6892" max="6892" width="5.7109375" style="95" bestFit="1" customWidth="1"/>
    <col min="6893" max="6893" width="7.85546875" style="95" bestFit="1" customWidth="1"/>
    <col min="6894" max="6895" width="0" style="95" hidden="1" customWidth="1"/>
    <col min="6896" max="6896" width="12.5703125" style="95" customWidth="1"/>
    <col min="6897" max="6897" width="0" style="95" hidden="1" customWidth="1"/>
    <col min="6898" max="6898" width="11" style="95" customWidth="1"/>
    <col min="6899" max="6899" width="9.140625" style="95" customWidth="1"/>
    <col min="6900" max="6900" width="9.85546875" style="95" customWidth="1"/>
    <col min="6901" max="6904" width="0" style="95" hidden="1" customWidth="1"/>
    <col min="6905" max="6905" width="1.5703125" style="95" customWidth="1"/>
    <col min="6906" max="6908" width="0" style="95" hidden="1" customWidth="1"/>
    <col min="6909" max="6909" width="10.42578125" style="95" customWidth="1"/>
    <col min="6910" max="6911" width="11" style="95" customWidth="1"/>
    <col min="6912" max="6912" width="9.42578125" style="95" customWidth="1"/>
    <col min="6913" max="6913" width="10" style="95" customWidth="1"/>
    <col min="6914" max="6914" width="11" style="95" customWidth="1"/>
    <col min="6915" max="6915" width="9.5703125" style="95" customWidth="1"/>
    <col min="6916" max="6916" width="10.140625" style="95" customWidth="1"/>
    <col min="6917" max="6956" width="10.7109375" style="95" customWidth="1"/>
    <col min="6957" max="6957" width="1.85546875" style="95" bestFit="1" customWidth="1"/>
    <col min="6958" max="6958" width="34.5703125" style="95" bestFit="1" customWidth="1"/>
    <col min="6959" max="6960" width="10.7109375" style="95" customWidth="1"/>
    <col min="6961" max="6961" width="2.7109375" style="95" bestFit="1" customWidth="1"/>
    <col min="6962" max="6962" width="11.5703125" style="95" bestFit="1" customWidth="1"/>
    <col min="6963" max="7139" width="10.7109375" style="95"/>
    <col min="7140" max="7140" width="5.28515625" style="95" customWidth="1"/>
    <col min="7141" max="7141" width="6.42578125" style="95" customWidth="1"/>
    <col min="7142" max="7142" width="22" style="95" customWidth="1"/>
    <col min="7143" max="7143" width="7.5703125" style="95" bestFit="1" customWidth="1"/>
    <col min="7144" max="7144" width="4.42578125" style="95" customWidth="1"/>
    <col min="7145" max="7145" width="7.42578125" style="95" bestFit="1" customWidth="1"/>
    <col min="7146" max="7146" width="2.85546875" style="95" bestFit="1" customWidth="1"/>
    <col min="7147" max="7147" width="7" style="95" bestFit="1" customWidth="1"/>
    <col min="7148" max="7148" width="5.7109375" style="95" bestFit="1" customWidth="1"/>
    <col min="7149" max="7149" width="7.85546875" style="95" bestFit="1" customWidth="1"/>
    <col min="7150" max="7151" width="0" style="95" hidden="1" customWidth="1"/>
    <col min="7152" max="7152" width="12.5703125" style="95" customWidth="1"/>
    <col min="7153" max="7153" width="0" style="95" hidden="1" customWidth="1"/>
    <col min="7154" max="7154" width="11" style="95" customWidth="1"/>
    <col min="7155" max="7155" width="9.140625" style="95" customWidth="1"/>
    <col min="7156" max="7156" width="9.85546875" style="95" customWidth="1"/>
    <col min="7157" max="7160" width="0" style="95" hidden="1" customWidth="1"/>
    <col min="7161" max="7161" width="1.5703125" style="95" customWidth="1"/>
    <col min="7162" max="7164" width="0" style="95" hidden="1" customWidth="1"/>
    <col min="7165" max="7165" width="10.42578125" style="95" customWidth="1"/>
    <col min="7166" max="7167" width="11" style="95" customWidth="1"/>
    <col min="7168" max="7168" width="9.42578125" style="95" customWidth="1"/>
    <col min="7169" max="7169" width="10" style="95" customWidth="1"/>
    <col min="7170" max="7170" width="11" style="95" customWidth="1"/>
    <col min="7171" max="7171" width="9.5703125" style="95" customWidth="1"/>
    <col min="7172" max="7172" width="10.140625" style="95" customWidth="1"/>
    <col min="7173" max="7212" width="10.7109375" style="95" customWidth="1"/>
    <col min="7213" max="7213" width="1.85546875" style="95" bestFit="1" customWidth="1"/>
    <col min="7214" max="7214" width="34.5703125" style="95" bestFit="1" customWidth="1"/>
    <col min="7215" max="7216" width="10.7109375" style="95" customWidth="1"/>
    <col min="7217" max="7217" width="2.7109375" style="95" bestFit="1" customWidth="1"/>
    <col min="7218" max="7218" width="11.5703125" style="95" bestFit="1" customWidth="1"/>
    <col min="7219" max="7395" width="10.7109375" style="95"/>
    <col min="7396" max="7396" width="5.28515625" style="95" customWidth="1"/>
    <col min="7397" max="7397" width="6.42578125" style="95" customWidth="1"/>
    <col min="7398" max="7398" width="22" style="95" customWidth="1"/>
    <col min="7399" max="7399" width="7.5703125" style="95" bestFit="1" customWidth="1"/>
    <col min="7400" max="7400" width="4.42578125" style="95" customWidth="1"/>
    <col min="7401" max="7401" width="7.42578125" style="95" bestFit="1" customWidth="1"/>
    <col min="7402" max="7402" width="2.85546875" style="95" bestFit="1" customWidth="1"/>
    <col min="7403" max="7403" width="7" style="95" bestFit="1" customWidth="1"/>
    <col min="7404" max="7404" width="5.7109375" style="95" bestFit="1" customWidth="1"/>
    <col min="7405" max="7405" width="7.85546875" style="95" bestFit="1" customWidth="1"/>
    <col min="7406" max="7407" width="0" style="95" hidden="1" customWidth="1"/>
    <col min="7408" max="7408" width="12.5703125" style="95" customWidth="1"/>
    <col min="7409" max="7409" width="0" style="95" hidden="1" customWidth="1"/>
    <col min="7410" max="7410" width="11" style="95" customWidth="1"/>
    <col min="7411" max="7411" width="9.140625" style="95" customWidth="1"/>
    <col min="7412" max="7412" width="9.85546875" style="95" customWidth="1"/>
    <col min="7413" max="7416" width="0" style="95" hidden="1" customWidth="1"/>
    <col min="7417" max="7417" width="1.5703125" style="95" customWidth="1"/>
    <col min="7418" max="7420" width="0" style="95" hidden="1" customWidth="1"/>
    <col min="7421" max="7421" width="10.42578125" style="95" customWidth="1"/>
    <col min="7422" max="7423" width="11" style="95" customWidth="1"/>
    <col min="7424" max="7424" width="9.42578125" style="95" customWidth="1"/>
    <col min="7425" max="7425" width="10" style="95" customWidth="1"/>
    <col min="7426" max="7426" width="11" style="95" customWidth="1"/>
    <col min="7427" max="7427" width="9.5703125" style="95" customWidth="1"/>
    <col min="7428" max="7428" width="10.140625" style="95" customWidth="1"/>
    <col min="7429" max="7468" width="10.7109375" style="95" customWidth="1"/>
    <col min="7469" max="7469" width="1.85546875" style="95" bestFit="1" customWidth="1"/>
    <col min="7470" max="7470" width="34.5703125" style="95" bestFit="1" customWidth="1"/>
    <col min="7471" max="7472" width="10.7109375" style="95" customWidth="1"/>
    <col min="7473" max="7473" width="2.7109375" style="95" bestFit="1" customWidth="1"/>
    <col min="7474" max="7474" width="11.5703125" style="95" bestFit="1" customWidth="1"/>
    <col min="7475" max="7651" width="10.7109375" style="95"/>
    <col min="7652" max="7652" width="5.28515625" style="95" customWidth="1"/>
    <col min="7653" max="7653" width="6.42578125" style="95" customWidth="1"/>
    <col min="7654" max="7654" width="22" style="95" customWidth="1"/>
    <col min="7655" max="7655" width="7.5703125" style="95" bestFit="1" customWidth="1"/>
    <col min="7656" max="7656" width="4.42578125" style="95" customWidth="1"/>
    <col min="7657" max="7657" width="7.42578125" style="95" bestFit="1" customWidth="1"/>
    <col min="7658" max="7658" width="2.85546875" style="95" bestFit="1" customWidth="1"/>
    <col min="7659" max="7659" width="7" style="95" bestFit="1" customWidth="1"/>
    <col min="7660" max="7660" width="5.7109375" style="95" bestFit="1" customWidth="1"/>
    <col min="7661" max="7661" width="7.85546875" style="95" bestFit="1" customWidth="1"/>
    <col min="7662" max="7663" width="0" style="95" hidden="1" customWidth="1"/>
    <col min="7664" max="7664" width="12.5703125" style="95" customWidth="1"/>
    <col min="7665" max="7665" width="0" style="95" hidden="1" customWidth="1"/>
    <col min="7666" max="7666" width="11" style="95" customWidth="1"/>
    <col min="7667" max="7667" width="9.140625" style="95" customWidth="1"/>
    <col min="7668" max="7668" width="9.85546875" style="95" customWidth="1"/>
    <col min="7669" max="7672" width="0" style="95" hidden="1" customWidth="1"/>
    <col min="7673" max="7673" width="1.5703125" style="95" customWidth="1"/>
    <col min="7674" max="7676" width="0" style="95" hidden="1" customWidth="1"/>
    <col min="7677" max="7677" width="10.42578125" style="95" customWidth="1"/>
    <col min="7678" max="7679" width="11" style="95" customWidth="1"/>
    <col min="7680" max="7680" width="9.42578125" style="95" customWidth="1"/>
    <col min="7681" max="7681" width="10" style="95" customWidth="1"/>
    <col min="7682" max="7682" width="11" style="95" customWidth="1"/>
    <col min="7683" max="7683" width="9.5703125" style="95" customWidth="1"/>
    <col min="7684" max="7684" width="10.140625" style="95" customWidth="1"/>
    <col min="7685" max="7724" width="10.7109375" style="95" customWidth="1"/>
    <col min="7725" max="7725" width="1.85546875" style="95" bestFit="1" customWidth="1"/>
    <col min="7726" max="7726" width="34.5703125" style="95" bestFit="1" customWidth="1"/>
    <col min="7727" max="7728" width="10.7109375" style="95" customWidth="1"/>
    <col min="7729" max="7729" width="2.7109375" style="95" bestFit="1" customWidth="1"/>
    <col min="7730" max="7730" width="11.5703125" style="95" bestFit="1" customWidth="1"/>
    <col min="7731" max="7907" width="10.7109375" style="95"/>
    <col min="7908" max="7908" width="5.28515625" style="95" customWidth="1"/>
    <col min="7909" max="7909" width="6.42578125" style="95" customWidth="1"/>
    <col min="7910" max="7910" width="22" style="95" customWidth="1"/>
    <col min="7911" max="7911" width="7.5703125" style="95" bestFit="1" customWidth="1"/>
    <col min="7912" max="7912" width="4.42578125" style="95" customWidth="1"/>
    <col min="7913" max="7913" width="7.42578125" style="95" bestFit="1" customWidth="1"/>
    <col min="7914" max="7914" width="2.85546875" style="95" bestFit="1" customWidth="1"/>
    <col min="7915" max="7915" width="7" style="95" bestFit="1" customWidth="1"/>
    <col min="7916" max="7916" width="5.7109375" style="95" bestFit="1" customWidth="1"/>
    <col min="7917" max="7917" width="7.85546875" style="95" bestFit="1" customWidth="1"/>
    <col min="7918" max="7919" width="0" style="95" hidden="1" customWidth="1"/>
    <col min="7920" max="7920" width="12.5703125" style="95" customWidth="1"/>
    <col min="7921" max="7921" width="0" style="95" hidden="1" customWidth="1"/>
    <col min="7922" max="7922" width="11" style="95" customWidth="1"/>
    <col min="7923" max="7923" width="9.140625" style="95" customWidth="1"/>
    <col min="7924" max="7924" width="9.85546875" style="95" customWidth="1"/>
    <col min="7925" max="7928" width="0" style="95" hidden="1" customWidth="1"/>
    <col min="7929" max="7929" width="1.5703125" style="95" customWidth="1"/>
    <col min="7930" max="7932" width="0" style="95" hidden="1" customWidth="1"/>
    <col min="7933" max="7933" width="10.42578125" style="95" customWidth="1"/>
    <col min="7934" max="7935" width="11" style="95" customWidth="1"/>
    <col min="7936" max="7936" width="9.42578125" style="95" customWidth="1"/>
    <col min="7937" max="7937" width="10" style="95" customWidth="1"/>
    <col min="7938" max="7938" width="11" style="95" customWidth="1"/>
    <col min="7939" max="7939" width="9.5703125" style="95" customWidth="1"/>
    <col min="7940" max="7940" width="10.140625" style="95" customWidth="1"/>
    <col min="7941" max="7980" width="10.7109375" style="95" customWidth="1"/>
    <col min="7981" max="7981" width="1.85546875" style="95" bestFit="1" customWidth="1"/>
    <col min="7982" max="7982" width="34.5703125" style="95" bestFit="1" customWidth="1"/>
    <col min="7983" max="7984" width="10.7109375" style="95" customWidth="1"/>
    <col min="7985" max="7985" width="2.7109375" style="95" bestFit="1" customWidth="1"/>
    <col min="7986" max="7986" width="11.5703125" style="95" bestFit="1" customWidth="1"/>
    <col min="7987" max="8163" width="10.7109375" style="95"/>
    <col min="8164" max="8164" width="5.28515625" style="95" customWidth="1"/>
    <col min="8165" max="8165" width="6.42578125" style="95" customWidth="1"/>
    <col min="8166" max="8166" width="22" style="95" customWidth="1"/>
    <col min="8167" max="8167" width="7.5703125" style="95" bestFit="1" customWidth="1"/>
    <col min="8168" max="8168" width="4.42578125" style="95" customWidth="1"/>
    <col min="8169" max="8169" width="7.42578125" style="95" bestFit="1" customWidth="1"/>
    <col min="8170" max="8170" width="2.85546875" style="95" bestFit="1" customWidth="1"/>
    <col min="8171" max="8171" width="7" style="95" bestFit="1" customWidth="1"/>
    <col min="8172" max="8172" width="5.7109375" style="95" bestFit="1" customWidth="1"/>
    <col min="8173" max="8173" width="7.85546875" style="95" bestFit="1" customWidth="1"/>
    <col min="8174" max="8175" width="0" style="95" hidden="1" customWidth="1"/>
    <col min="8176" max="8176" width="12.5703125" style="95" customWidth="1"/>
    <col min="8177" max="8177" width="0" style="95" hidden="1" customWidth="1"/>
    <col min="8178" max="8178" width="11" style="95" customWidth="1"/>
    <col min="8179" max="8179" width="9.140625" style="95" customWidth="1"/>
    <col min="8180" max="8180" width="9.85546875" style="95" customWidth="1"/>
    <col min="8181" max="8184" width="0" style="95" hidden="1" customWidth="1"/>
    <col min="8185" max="8185" width="1.5703125" style="95" customWidth="1"/>
    <col min="8186" max="8188" width="0" style="95" hidden="1" customWidth="1"/>
    <col min="8189" max="8189" width="10.42578125" style="95" customWidth="1"/>
    <col min="8190" max="8191" width="11" style="95" customWidth="1"/>
    <col min="8192" max="8192" width="9.42578125" style="95" customWidth="1"/>
    <col min="8193" max="8193" width="10" style="95" customWidth="1"/>
    <col min="8194" max="8194" width="11" style="95" customWidth="1"/>
    <col min="8195" max="8195" width="9.5703125" style="95" customWidth="1"/>
    <col min="8196" max="8196" width="10.140625" style="95" customWidth="1"/>
    <col min="8197" max="8236" width="10.7109375" style="95" customWidth="1"/>
    <col min="8237" max="8237" width="1.85546875" style="95" bestFit="1" customWidth="1"/>
    <col min="8238" max="8238" width="34.5703125" style="95" bestFit="1" customWidth="1"/>
    <col min="8239" max="8240" width="10.7109375" style="95" customWidth="1"/>
    <col min="8241" max="8241" width="2.7109375" style="95" bestFit="1" customWidth="1"/>
    <col min="8242" max="8242" width="11.5703125" style="95" bestFit="1" customWidth="1"/>
    <col min="8243" max="8419" width="10.7109375" style="95"/>
    <col min="8420" max="8420" width="5.28515625" style="95" customWidth="1"/>
    <col min="8421" max="8421" width="6.42578125" style="95" customWidth="1"/>
    <col min="8422" max="8422" width="22" style="95" customWidth="1"/>
    <col min="8423" max="8423" width="7.5703125" style="95" bestFit="1" customWidth="1"/>
    <col min="8424" max="8424" width="4.42578125" style="95" customWidth="1"/>
    <col min="8425" max="8425" width="7.42578125" style="95" bestFit="1" customWidth="1"/>
    <col min="8426" max="8426" width="2.85546875" style="95" bestFit="1" customWidth="1"/>
    <col min="8427" max="8427" width="7" style="95" bestFit="1" customWidth="1"/>
    <col min="8428" max="8428" width="5.7109375" style="95" bestFit="1" customWidth="1"/>
    <col min="8429" max="8429" width="7.85546875" style="95" bestFit="1" customWidth="1"/>
    <col min="8430" max="8431" width="0" style="95" hidden="1" customWidth="1"/>
    <col min="8432" max="8432" width="12.5703125" style="95" customWidth="1"/>
    <col min="8433" max="8433" width="0" style="95" hidden="1" customWidth="1"/>
    <col min="8434" max="8434" width="11" style="95" customWidth="1"/>
    <col min="8435" max="8435" width="9.140625" style="95" customWidth="1"/>
    <col min="8436" max="8436" width="9.85546875" style="95" customWidth="1"/>
    <col min="8437" max="8440" width="0" style="95" hidden="1" customWidth="1"/>
    <col min="8441" max="8441" width="1.5703125" style="95" customWidth="1"/>
    <col min="8442" max="8444" width="0" style="95" hidden="1" customWidth="1"/>
    <col min="8445" max="8445" width="10.42578125" style="95" customWidth="1"/>
    <col min="8446" max="8447" width="11" style="95" customWidth="1"/>
    <col min="8448" max="8448" width="9.42578125" style="95" customWidth="1"/>
    <col min="8449" max="8449" width="10" style="95" customWidth="1"/>
    <col min="8450" max="8450" width="11" style="95" customWidth="1"/>
    <col min="8451" max="8451" width="9.5703125" style="95" customWidth="1"/>
    <col min="8452" max="8452" width="10.140625" style="95" customWidth="1"/>
    <col min="8453" max="8492" width="10.7109375" style="95" customWidth="1"/>
    <col min="8493" max="8493" width="1.85546875" style="95" bestFit="1" customWidth="1"/>
    <col min="8494" max="8494" width="34.5703125" style="95" bestFit="1" customWidth="1"/>
    <col min="8495" max="8496" width="10.7109375" style="95" customWidth="1"/>
    <col min="8497" max="8497" width="2.7109375" style="95" bestFit="1" customWidth="1"/>
    <col min="8498" max="8498" width="11.5703125" style="95" bestFit="1" customWidth="1"/>
    <col min="8499" max="8675" width="10.7109375" style="95"/>
    <col min="8676" max="8676" width="5.28515625" style="95" customWidth="1"/>
    <col min="8677" max="8677" width="6.42578125" style="95" customWidth="1"/>
    <col min="8678" max="8678" width="22" style="95" customWidth="1"/>
    <col min="8679" max="8679" width="7.5703125" style="95" bestFit="1" customWidth="1"/>
    <col min="8680" max="8680" width="4.42578125" style="95" customWidth="1"/>
    <col min="8681" max="8681" width="7.42578125" style="95" bestFit="1" customWidth="1"/>
    <col min="8682" max="8682" width="2.85546875" style="95" bestFit="1" customWidth="1"/>
    <col min="8683" max="8683" width="7" style="95" bestFit="1" customWidth="1"/>
    <col min="8684" max="8684" width="5.7109375" style="95" bestFit="1" customWidth="1"/>
    <col min="8685" max="8685" width="7.85546875" style="95" bestFit="1" customWidth="1"/>
    <col min="8686" max="8687" width="0" style="95" hidden="1" customWidth="1"/>
    <col min="8688" max="8688" width="12.5703125" style="95" customWidth="1"/>
    <col min="8689" max="8689" width="0" style="95" hidden="1" customWidth="1"/>
    <col min="8690" max="8690" width="11" style="95" customWidth="1"/>
    <col min="8691" max="8691" width="9.140625" style="95" customWidth="1"/>
    <col min="8692" max="8692" width="9.85546875" style="95" customWidth="1"/>
    <col min="8693" max="8696" width="0" style="95" hidden="1" customWidth="1"/>
    <col min="8697" max="8697" width="1.5703125" style="95" customWidth="1"/>
    <col min="8698" max="8700" width="0" style="95" hidden="1" customWidth="1"/>
    <col min="8701" max="8701" width="10.42578125" style="95" customWidth="1"/>
    <col min="8702" max="8703" width="11" style="95" customWidth="1"/>
    <col min="8704" max="8704" width="9.42578125" style="95" customWidth="1"/>
    <col min="8705" max="8705" width="10" style="95" customWidth="1"/>
    <col min="8706" max="8706" width="11" style="95" customWidth="1"/>
    <col min="8707" max="8707" width="9.5703125" style="95" customWidth="1"/>
    <col min="8708" max="8708" width="10.140625" style="95" customWidth="1"/>
    <col min="8709" max="8748" width="10.7109375" style="95" customWidth="1"/>
    <col min="8749" max="8749" width="1.85546875" style="95" bestFit="1" customWidth="1"/>
    <col min="8750" max="8750" width="34.5703125" style="95" bestFit="1" customWidth="1"/>
    <col min="8751" max="8752" width="10.7109375" style="95" customWidth="1"/>
    <col min="8753" max="8753" width="2.7109375" style="95" bestFit="1" customWidth="1"/>
    <col min="8754" max="8754" width="11.5703125" style="95" bestFit="1" customWidth="1"/>
    <col min="8755" max="8931" width="10.7109375" style="95"/>
    <col min="8932" max="8932" width="5.28515625" style="95" customWidth="1"/>
    <col min="8933" max="8933" width="6.42578125" style="95" customWidth="1"/>
    <col min="8934" max="8934" width="22" style="95" customWidth="1"/>
    <col min="8935" max="8935" width="7.5703125" style="95" bestFit="1" customWidth="1"/>
    <col min="8936" max="8936" width="4.42578125" style="95" customWidth="1"/>
    <col min="8937" max="8937" width="7.42578125" style="95" bestFit="1" customWidth="1"/>
    <col min="8938" max="8938" width="2.85546875" style="95" bestFit="1" customWidth="1"/>
    <col min="8939" max="8939" width="7" style="95" bestFit="1" customWidth="1"/>
    <col min="8940" max="8940" width="5.7109375" style="95" bestFit="1" customWidth="1"/>
    <col min="8941" max="8941" width="7.85546875" style="95" bestFit="1" customWidth="1"/>
    <col min="8942" max="8943" width="0" style="95" hidden="1" customWidth="1"/>
    <col min="8944" max="8944" width="12.5703125" style="95" customWidth="1"/>
    <col min="8945" max="8945" width="0" style="95" hidden="1" customWidth="1"/>
    <col min="8946" max="8946" width="11" style="95" customWidth="1"/>
    <col min="8947" max="8947" width="9.140625" style="95" customWidth="1"/>
    <col min="8948" max="8948" width="9.85546875" style="95" customWidth="1"/>
    <col min="8949" max="8952" width="0" style="95" hidden="1" customWidth="1"/>
    <col min="8953" max="8953" width="1.5703125" style="95" customWidth="1"/>
    <col min="8954" max="8956" width="0" style="95" hidden="1" customWidth="1"/>
    <col min="8957" max="8957" width="10.42578125" style="95" customWidth="1"/>
    <col min="8958" max="8959" width="11" style="95" customWidth="1"/>
    <col min="8960" max="8960" width="9.42578125" style="95" customWidth="1"/>
    <col min="8961" max="8961" width="10" style="95" customWidth="1"/>
    <col min="8962" max="8962" width="11" style="95" customWidth="1"/>
    <col min="8963" max="8963" width="9.5703125" style="95" customWidth="1"/>
    <col min="8964" max="8964" width="10.140625" style="95" customWidth="1"/>
    <col min="8965" max="9004" width="10.7109375" style="95" customWidth="1"/>
    <col min="9005" max="9005" width="1.85546875" style="95" bestFit="1" customWidth="1"/>
    <col min="9006" max="9006" width="34.5703125" style="95" bestFit="1" customWidth="1"/>
    <col min="9007" max="9008" width="10.7109375" style="95" customWidth="1"/>
    <col min="9009" max="9009" width="2.7109375" style="95" bestFit="1" customWidth="1"/>
    <col min="9010" max="9010" width="11.5703125" style="95" bestFit="1" customWidth="1"/>
    <col min="9011" max="9187" width="10.7109375" style="95"/>
    <col min="9188" max="9188" width="5.28515625" style="95" customWidth="1"/>
    <col min="9189" max="9189" width="6.42578125" style="95" customWidth="1"/>
    <col min="9190" max="9190" width="22" style="95" customWidth="1"/>
    <col min="9191" max="9191" width="7.5703125" style="95" bestFit="1" customWidth="1"/>
    <col min="9192" max="9192" width="4.42578125" style="95" customWidth="1"/>
    <col min="9193" max="9193" width="7.42578125" style="95" bestFit="1" customWidth="1"/>
    <col min="9194" max="9194" width="2.85546875" style="95" bestFit="1" customWidth="1"/>
    <col min="9195" max="9195" width="7" style="95" bestFit="1" customWidth="1"/>
    <col min="9196" max="9196" width="5.7109375" style="95" bestFit="1" customWidth="1"/>
    <col min="9197" max="9197" width="7.85546875" style="95" bestFit="1" customWidth="1"/>
    <col min="9198" max="9199" width="0" style="95" hidden="1" customWidth="1"/>
    <col min="9200" max="9200" width="12.5703125" style="95" customWidth="1"/>
    <col min="9201" max="9201" width="0" style="95" hidden="1" customWidth="1"/>
    <col min="9202" max="9202" width="11" style="95" customWidth="1"/>
    <col min="9203" max="9203" width="9.140625" style="95" customWidth="1"/>
    <col min="9204" max="9204" width="9.85546875" style="95" customWidth="1"/>
    <col min="9205" max="9208" width="0" style="95" hidden="1" customWidth="1"/>
    <col min="9209" max="9209" width="1.5703125" style="95" customWidth="1"/>
    <col min="9210" max="9212" width="0" style="95" hidden="1" customWidth="1"/>
    <col min="9213" max="9213" width="10.42578125" style="95" customWidth="1"/>
    <col min="9214" max="9215" width="11" style="95" customWidth="1"/>
    <col min="9216" max="9216" width="9.42578125" style="95" customWidth="1"/>
    <col min="9217" max="9217" width="10" style="95" customWidth="1"/>
    <col min="9218" max="9218" width="11" style="95" customWidth="1"/>
    <col min="9219" max="9219" width="9.5703125" style="95" customWidth="1"/>
    <col min="9220" max="9220" width="10.140625" style="95" customWidth="1"/>
    <col min="9221" max="9260" width="10.7109375" style="95" customWidth="1"/>
    <col min="9261" max="9261" width="1.85546875" style="95" bestFit="1" customWidth="1"/>
    <col min="9262" max="9262" width="34.5703125" style="95" bestFit="1" customWidth="1"/>
    <col min="9263" max="9264" width="10.7109375" style="95" customWidth="1"/>
    <col min="9265" max="9265" width="2.7109375" style="95" bestFit="1" customWidth="1"/>
    <col min="9266" max="9266" width="11.5703125" style="95" bestFit="1" customWidth="1"/>
    <col min="9267" max="9443" width="10.7109375" style="95"/>
    <col min="9444" max="9444" width="5.28515625" style="95" customWidth="1"/>
    <col min="9445" max="9445" width="6.42578125" style="95" customWidth="1"/>
    <col min="9446" max="9446" width="22" style="95" customWidth="1"/>
    <col min="9447" max="9447" width="7.5703125" style="95" bestFit="1" customWidth="1"/>
    <col min="9448" max="9448" width="4.42578125" style="95" customWidth="1"/>
    <col min="9449" max="9449" width="7.42578125" style="95" bestFit="1" customWidth="1"/>
    <col min="9450" max="9450" width="2.85546875" style="95" bestFit="1" customWidth="1"/>
    <col min="9451" max="9451" width="7" style="95" bestFit="1" customWidth="1"/>
    <col min="9452" max="9452" width="5.7109375" style="95" bestFit="1" customWidth="1"/>
    <col min="9453" max="9453" width="7.85546875" style="95" bestFit="1" customWidth="1"/>
    <col min="9454" max="9455" width="0" style="95" hidden="1" customWidth="1"/>
    <col min="9456" max="9456" width="12.5703125" style="95" customWidth="1"/>
    <col min="9457" max="9457" width="0" style="95" hidden="1" customWidth="1"/>
    <col min="9458" max="9458" width="11" style="95" customWidth="1"/>
    <col min="9459" max="9459" width="9.140625" style="95" customWidth="1"/>
    <col min="9460" max="9460" width="9.85546875" style="95" customWidth="1"/>
    <col min="9461" max="9464" width="0" style="95" hidden="1" customWidth="1"/>
    <col min="9465" max="9465" width="1.5703125" style="95" customWidth="1"/>
    <col min="9466" max="9468" width="0" style="95" hidden="1" customWidth="1"/>
    <col min="9469" max="9469" width="10.42578125" style="95" customWidth="1"/>
    <col min="9470" max="9471" width="11" style="95" customWidth="1"/>
    <col min="9472" max="9472" width="9.42578125" style="95" customWidth="1"/>
    <col min="9473" max="9473" width="10" style="95" customWidth="1"/>
    <col min="9474" max="9474" width="11" style="95" customWidth="1"/>
    <col min="9475" max="9475" width="9.5703125" style="95" customWidth="1"/>
    <col min="9476" max="9476" width="10.140625" style="95" customWidth="1"/>
    <col min="9477" max="9516" width="10.7109375" style="95" customWidth="1"/>
    <col min="9517" max="9517" width="1.85546875" style="95" bestFit="1" customWidth="1"/>
    <col min="9518" max="9518" width="34.5703125" style="95" bestFit="1" customWidth="1"/>
    <col min="9519" max="9520" width="10.7109375" style="95" customWidth="1"/>
    <col min="9521" max="9521" width="2.7109375" style="95" bestFit="1" customWidth="1"/>
    <col min="9522" max="9522" width="11.5703125" style="95" bestFit="1" customWidth="1"/>
    <col min="9523" max="9699" width="10.7109375" style="95"/>
    <col min="9700" max="9700" width="5.28515625" style="95" customWidth="1"/>
    <col min="9701" max="9701" width="6.42578125" style="95" customWidth="1"/>
    <col min="9702" max="9702" width="22" style="95" customWidth="1"/>
    <col min="9703" max="9703" width="7.5703125" style="95" bestFit="1" customWidth="1"/>
    <col min="9704" max="9704" width="4.42578125" style="95" customWidth="1"/>
    <col min="9705" max="9705" width="7.42578125" style="95" bestFit="1" customWidth="1"/>
    <col min="9706" max="9706" width="2.85546875" style="95" bestFit="1" customWidth="1"/>
    <col min="9707" max="9707" width="7" style="95" bestFit="1" customWidth="1"/>
    <col min="9708" max="9708" width="5.7109375" style="95" bestFit="1" customWidth="1"/>
    <col min="9709" max="9709" width="7.85546875" style="95" bestFit="1" customWidth="1"/>
    <col min="9710" max="9711" width="0" style="95" hidden="1" customWidth="1"/>
    <col min="9712" max="9712" width="12.5703125" style="95" customWidth="1"/>
    <col min="9713" max="9713" width="0" style="95" hidden="1" customWidth="1"/>
    <col min="9714" max="9714" width="11" style="95" customWidth="1"/>
    <col min="9715" max="9715" width="9.140625" style="95" customWidth="1"/>
    <col min="9716" max="9716" width="9.85546875" style="95" customWidth="1"/>
    <col min="9717" max="9720" width="0" style="95" hidden="1" customWidth="1"/>
    <col min="9721" max="9721" width="1.5703125" style="95" customWidth="1"/>
    <col min="9722" max="9724" width="0" style="95" hidden="1" customWidth="1"/>
    <col min="9725" max="9725" width="10.42578125" style="95" customWidth="1"/>
    <col min="9726" max="9727" width="11" style="95" customWidth="1"/>
    <col min="9728" max="9728" width="9.42578125" style="95" customWidth="1"/>
    <col min="9729" max="9729" width="10" style="95" customWidth="1"/>
    <col min="9730" max="9730" width="11" style="95" customWidth="1"/>
    <col min="9731" max="9731" width="9.5703125" style="95" customWidth="1"/>
    <col min="9732" max="9732" width="10.140625" style="95" customWidth="1"/>
    <col min="9733" max="9772" width="10.7109375" style="95" customWidth="1"/>
    <col min="9773" max="9773" width="1.85546875" style="95" bestFit="1" customWidth="1"/>
    <col min="9774" max="9774" width="34.5703125" style="95" bestFit="1" customWidth="1"/>
    <col min="9775" max="9776" width="10.7109375" style="95" customWidth="1"/>
    <col min="9777" max="9777" width="2.7109375" style="95" bestFit="1" customWidth="1"/>
    <col min="9778" max="9778" width="11.5703125" style="95" bestFit="1" customWidth="1"/>
    <col min="9779" max="9955" width="10.7109375" style="95"/>
    <col min="9956" max="9956" width="5.28515625" style="95" customWidth="1"/>
    <col min="9957" max="9957" width="6.42578125" style="95" customWidth="1"/>
    <col min="9958" max="9958" width="22" style="95" customWidth="1"/>
    <col min="9959" max="9959" width="7.5703125" style="95" bestFit="1" customWidth="1"/>
    <col min="9960" max="9960" width="4.42578125" style="95" customWidth="1"/>
    <col min="9961" max="9961" width="7.42578125" style="95" bestFit="1" customWidth="1"/>
    <col min="9962" max="9962" width="2.85546875" style="95" bestFit="1" customWidth="1"/>
    <col min="9963" max="9963" width="7" style="95" bestFit="1" customWidth="1"/>
    <col min="9964" max="9964" width="5.7109375" style="95" bestFit="1" customWidth="1"/>
    <col min="9965" max="9965" width="7.85546875" style="95" bestFit="1" customWidth="1"/>
    <col min="9966" max="9967" width="0" style="95" hidden="1" customWidth="1"/>
    <col min="9968" max="9968" width="12.5703125" style="95" customWidth="1"/>
    <col min="9969" max="9969" width="0" style="95" hidden="1" customWidth="1"/>
    <col min="9970" max="9970" width="11" style="95" customWidth="1"/>
    <col min="9971" max="9971" width="9.140625" style="95" customWidth="1"/>
    <col min="9972" max="9972" width="9.85546875" style="95" customWidth="1"/>
    <col min="9973" max="9976" width="0" style="95" hidden="1" customWidth="1"/>
    <col min="9977" max="9977" width="1.5703125" style="95" customWidth="1"/>
    <col min="9978" max="9980" width="0" style="95" hidden="1" customWidth="1"/>
    <col min="9981" max="9981" width="10.42578125" style="95" customWidth="1"/>
    <col min="9982" max="9983" width="11" style="95" customWidth="1"/>
    <col min="9984" max="9984" width="9.42578125" style="95" customWidth="1"/>
    <col min="9985" max="9985" width="10" style="95" customWidth="1"/>
    <col min="9986" max="9986" width="11" style="95" customWidth="1"/>
    <col min="9987" max="9987" width="9.5703125" style="95" customWidth="1"/>
    <col min="9988" max="9988" width="10.140625" style="95" customWidth="1"/>
    <col min="9989" max="10028" width="10.7109375" style="95" customWidth="1"/>
    <col min="10029" max="10029" width="1.85546875" style="95" bestFit="1" customWidth="1"/>
    <col min="10030" max="10030" width="34.5703125" style="95" bestFit="1" customWidth="1"/>
    <col min="10031" max="10032" width="10.7109375" style="95" customWidth="1"/>
    <col min="10033" max="10033" width="2.7109375" style="95" bestFit="1" customWidth="1"/>
    <col min="10034" max="10034" width="11.5703125" style="95" bestFit="1" customWidth="1"/>
    <col min="10035" max="10211" width="10.7109375" style="95"/>
    <col min="10212" max="10212" width="5.28515625" style="95" customWidth="1"/>
    <col min="10213" max="10213" width="6.42578125" style="95" customWidth="1"/>
    <col min="10214" max="10214" width="22" style="95" customWidth="1"/>
    <col min="10215" max="10215" width="7.5703125" style="95" bestFit="1" customWidth="1"/>
    <col min="10216" max="10216" width="4.42578125" style="95" customWidth="1"/>
    <col min="10217" max="10217" width="7.42578125" style="95" bestFit="1" customWidth="1"/>
    <col min="10218" max="10218" width="2.85546875" style="95" bestFit="1" customWidth="1"/>
    <col min="10219" max="10219" width="7" style="95" bestFit="1" customWidth="1"/>
    <col min="10220" max="10220" width="5.7109375" style="95" bestFit="1" customWidth="1"/>
    <col min="10221" max="10221" width="7.85546875" style="95" bestFit="1" customWidth="1"/>
    <col min="10222" max="10223" width="0" style="95" hidden="1" customWidth="1"/>
    <col min="10224" max="10224" width="12.5703125" style="95" customWidth="1"/>
    <col min="10225" max="10225" width="0" style="95" hidden="1" customWidth="1"/>
    <col min="10226" max="10226" width="11" style="95" customWidth="1"/>
    <col min="10227" max="10227" width="9.140625" style="95" customWidth="1"/>
    <col min="10228" max="10228" width="9.85546875" style="95" customWidth="1"/>
    <col min="10229" max="10232" width="0" style="95" hidden="1" customWidth="1"/>
    <col min="10233" max="10233" width="1.5703125" style="95" customWidth="1"/>
    <col min="10234" max="10236" width="0" style="95" hidden="1" customWidth="1"/>
    <col min="10237" max="10237" width="10.42578125" style="95" customWidth="1"/>
    <col min="10238" max="10239" width="11" style="95" customWidth="1"/>
    <col min="10240" max="10240" width="9.42578125" style="95" customWidth="1"/>
    <col min="10241" max="10241" width="10" style="95" customWidth="1"/>
    <col min="10242" max="10242" width="11" style="95" customWidth="1"/>
    <col min="10243" max="10243" width="9.5703125" style="95" customWidth="1"/>
    <col min="10244" max="10244" width="10.140625" style="95" customWidth="1"/>
    <col min="10245" max="10284" width="10.7109375" style="95" customWidth="1"/>
    <col min="10285" max="10285" width="1.85546875" style="95" bestFit="1" customWidth="1"/>
    <col min="10286" max="10286" width="34.5703125" style="95" bestFit="1" customWidth="1"/>
    <col min="10287" max="10288" width="10.7109375" style="95" customWidth="1"/>
    <col min="10289" max="10289" width="2.7109375" style="95" bestFit="1" customWidth="1"/>
    <col min="10290" max="10290" width="11.5703125" style="95" bestFit="1" customWidth="1"/>
    <col min="10291" max="10467" width="10.7109375" style="95"/>
    <col min="10468" max="10468" width="5.28515625" style="95" customWidth="1"/>
    <col min="10469" max="10469" width="6.42578125" style="95" customWidth="1"/>
    <col min="10470" max="10470" width="22" style="95" customWidth="1"/>
    <col min="10471" max="10471" width="7.5703125" style="95" bestFit="1" customWidth="1"/>
    <col min="10472" max="10472" width="4.42578125" style="95" customWidth="1"/>
    <col min="10473" max="10473" width="7.42578125" style="95" bestFit="1" customWidth="1"/>
    <col min="10474" max="10474" width="2.85546875" style="95" bestFit="1" customWidth="1"/>
    <col min="10475" max="10475" width="7" style="95" bestFit="1" customWidth="1"/>
    <col min="10476" max="10476" width="5.7109375" style="95" bestFit="1" customWidth="1"/>
    <col min="10477" max="10477" width="7.85546875" style="95" bestFit="1" customWidth="1"/>
    <col min="10478" max="10479" width="0" style="95" hidden="1" customWidth="1"/>
    <col min="10480" max="10480" width="12.5703125" style="95" customWidth="1"/>
    <col min="10481" max="10481" width="0" style="95" hidden="1" customWidth="1"/>
    <col min="10482" max="10482" width="11" style="95" customWidth="1"/>
    <col min="10483" max="10483" width="9.140625" style="95" customWidth="1"/>
    <col min="10484" max="10484" width="9.85546875" style="95" customWidth="1"/>
    <col min="10485" max="10488" width="0" style="95" hidden="1" customWidth="1"/>
    <col min="10489" max="10489" width="1.5703125" style="95" customWidth="1"/>
    <col min="10490" max="10492" width="0" style="95" hidden="1" customWidth="1"/>
    <col min="10493" max="10493" width="10.42578125" style="95" customWidth="1"/>
    <col min="10494" max="10495" width="11" style="95" customWidth="1"/>
    <col min="10496" max="10496" width="9.42578125" style="95" customWidth="1"/>
    <col min="10497" max="10497" width="10" style="95" customWidth="1"/>
    <col min="10498" max="10498" width="11" style="95" customWidth="1"/>
    <col min="10499" max="10499" width="9.5703125" style="95" customWidth="1"/>
    <col min="10500" max="10500" width="10.140625" style="95" customWidth="1"/>
    <col min="10501" max="10540" width="10.7109375" style="95" customWidth="1"/>
    <col min="10541" max="10541" width="1.85546875" style="95" bestFit="1" customWidth="1"/>
    <col min="10542" max="10542" width="34.5703125" style="95" bestFit="1" customWidth="1"/>
    <col min="10543" max="10544" width="10.7109375" style="95" customWidth="1"/>
    <col min="10545" max="10545" width="2.7109375" style="95" bestFit="1" customWidth="1"/>
    <col min="10546" max="10546" width="11.5703125" style="95" bestFit="1" customWidth="1"/>
    <col min="10547" max="10723" width="10.7109375" style="95"/>
    <col min="10724" max="10724" width="5.28515625" style="95" customWidth="1"/>
    <col min="10725" max="10725" width="6.42578125" style="95" customWidth="1"/>
    <col min="10726" max="10726" width="22" style="95" customWidth="1"/>
    <col min="10727" max="10727" width="7.5703125" style="95" bestFit="1" customWidth="1"/>
    <col min="10728" max="10728" width="4.42578125" style="95" customWidth="1"/>
    <col min="10729" max="10729" width="7.42578125" style="95" bestFit="1" customWidth="1"/>
    <col min="10730" max="10730" width="2.85546875" style="95" bestFit="1" customWidth="1"/>
    <col min="10731" max="10731" width="7" style="95" bestFit="1" customWidth="1"/>
    <col min="10732" max="10732" width="5.7109375" style="95" bestFit="1" customWidth="1"/>
    <col min="10733" max="10733" width="7.85546875" style="95" bestFit="1" customWidth="1"/>
    <col min="10734" max="10735" width="0" style="95" hidden="1" customWidth="1"/>
    <col min="10736" max="10736" width="12.5703125" style="95" customWidth="1"/>
    <col min="10737" max="10737" width="0" style="95" hidden="1" customWidth="1"/>
    <col min="10738" max="10738" width="11" style="95" customWidth="1"/>
    <col min="10739" max="10739" width="9.140625" style="95" customWidth="1"/>
    <col min="10740" max="10740" width="9.85546875" style="95" customWidth="1"/>
    <col min="10741" max="10744" width="0" style="95" hidden="1" customWidth="1"/>
    <col min="10745" max="10745" width="1.5703125" style="95" customWidth="1"/>
    <col min="10746" max="10748" width="0" style="95" hidden="1" customWidth="1"/>
    <col min="10749" max="10749" width="10.42578125" style="95" customWidth="1"/>
    <col min="10750" max="10751" width="11" style="95" customWidth="1"/>
    <col min="10752" max="10752" width="9.42578125" style="95" customWidth="1"/>
    <col min="10753" max="10753" width="10" style="95" customWidth="1"/>
    <col min="10754" max="10754" width="11" style="95" customWidth="1"/>
    <col min="10755" max="10755" width="9.5703125" style="95" customWidth="1"/>
    <col min="10756" max="10756" width="10.140625" style="95" customWidth="1"/>
    <col min="10757" max="10796" width="10.7109375" style="95" customWidth="1"/>
    <col min="10797" max="10797" width="1.85546875" style="95" bestFit="1" customWidth="1"/>
    <col min="10798" max="10798" width="34.5703125" style="95" bestFit="1" customWidth="1"/>
    <col min="10799" max="10800" width="10.7109375" style="95" customWidth="1"/>
    <col min="10801" max="10801" width="2.7109375" style="95" bestFit="1" customWidth="1"/>
    <col min="10802" max="10802" width="11.5703125" style="95" bestFit="1" customWidth="1"/>
    <col min="10803" max="10979" width="10.7109375" style="95"/>
    <col min="10980" max="10980" width="5.28515625" style="95" customWidth="1"/>
    <col min="10981" max="10981" width="6.42578125" style="95" customWidth="1"/>
    <col min="10982" max="10982" width="22" style="95" customWidth="1"/>
    <col min="10983" max="10983" width="7.5703125" style="95" bestFit="1" customWidth="1"/>
    <col min="10984" max="10984" width="4.42578125" style="95" customWidth="1"/>
    <col min="10985" max="10985" width="7.42578125" style="95" bestFit="1" customWidth="1"/>
    <col min="10986" max="10986" width="2.85546875" style="95" bestFit="1" customWidth="1"/>
    <col min="10987" max="10987" width="7" style="95" bestFit="1" customWidth="1"/>
    <col min="10988" max="10988" width="5.7109375" style="95" bestFit="1" customWidth="1"/>
    <col min="10989" max="10989" width="7.85546875" style="95" bestFit="1" customWidth="1"/>
    <col min="10990" max="10991" width="0" style="95" hidden="1" customWidth="1"/>
    <col min="10992" max="10992" width="12.5703125" style="95" customWidth="1"/>
    <col min="10993" max="10993" width="0" style="95" hidden="1" customWidth="1"/>
    <col min="10994" max="10994" width="11" style="95" customWidth="1"/>
    <col min="10995" max="10995" width="9.140625" style="95" customWidth="1"/>
    <col min="10996" max="10996" width="9.85546875" style="95" customWidth="1"/>
    <col min="10997" max="11000" width="0" style="95" hidden="1" customWidth="1"/>
    <col min="11001" max="11001" width="1.5703125" style="95" customWidth="1"/>
    <col min="11002" max="11004" width="0" style="95" hidden="1" customWidth="1"/>
    <col min="11005" max="11005" width="10.42578125" style="95" customWidth="1"/>
    <col min="11006" max="11007" width="11" style="95" customWidth="1"/>
    <col min="11008" max="11008" width="9.42578125" style="95" customWidth="1"/>
    <col min="11009" max="11009" width="10" style="95" customWidth="1"/>
    <col min="11010" max="11010" width="11" style="95" customWidth="1"/>
    <col min="11011" max="11011" width="9.5703125" style="95" customWidth="1"/>
    <col min="11012" max="11012" width="10.140625" style="95" customWidth="1"/>
    <col min="11013" max="11052" width="10.7109375" style="95" customWidth="1"/>
    <col min="11053" max="11053" width="1.85546875" style="95" bestFit="1" customWidth="1"/>
    <col min="11054" max="11054" width="34.5703125" style="95" bestFit="1" customWidth="1"/>
    <col min="11055" max="11056" width="10.7109375" style="95" customWidth="1"/>
    <col min="11057" max="11057" width="2.7109375" style="95" bestFit="1" customWidth="1"/>
    <col min="11058" max="11058" width="11.5703125" style="95" bestFit="1" customWidth="1"/>
    <col min="11059" max="11235" width="10.7109375" style="95"/>
    <col min="11236" max="11236" width="5.28515625" style="95" customWidth="1"/>
    <col min="11237" max="11237" width="6.42578125" style="95" customWidth="1"/>
    <col min="11238" max="11238" width="22" style="95" customWidth="1"/>
    <col min="11239" max="11239" width="7.5703125" style="95" bestFit="1" customWidth="1"/>
    <col min="11240" max="11240" width="4.42578125" style="95" customWidth="1"/>
    <col min="11241" max="11241" width="7.42578125" style="95" bestFit="1" customWidth="1"/>
    <col min="11242" max="11242" width="2.85546875" style="95" bestFit="1" customWidth="1"/>
    <col min="11243" max="11243" width="7" style="95" bestFit="1" customWidth="1"/>
    <col min="11244" max="11244" width="5.7109375" style="95" bestFit="1" customWidth="1"/>
    <col min="11245" max="11245" width="7.85546875" style="95" bestFit="1" customWidth="1"/>
    <col min="11246" max="11247" width="0" style="95" hidden="1" customWidth="1"/>
    <col min="11248" max="11248" width="12.5703125" style="95" customWidth="1"/>
    <col min="11249" max="11249" width="0" style="95" hidden="1" customWidth="1"/>
    <col min="11250" max="11250" width="11" style="95" customWidth="1"/>
    <col min="11251" max="11251" width="9.140625" style="95" customWidth="1"/>
    <col min="11252" max="11252" width="9.85546875" style="95" customWidth="1"/>
    <col min="11253" max="11256" width="0" style="95" hidden="1" customWidth="1"/>
    <col min="11257" max="11257" width="1.5703125" style="95" customWidth="1"/>
    <col min="11258" max="11260" width="0" style="95" hidden="1" customWidth="1"/>
    <col min="11261" max="11261" width="10.42578125" style="95" customWidth="1"/>
    <col min="11262" max="11263" width="11" style="95" customWidth="1"/>
    <col min="11264" max="11264" width="9.42578125" style="95" customWidth="1"/>
    <col min="11265" max="11265" width="10" style="95" customWidth="1"/>
    <col min="11266" max="11266" width="11" style="95" customWidth="1"/>
    <col min="11267" max="11267" width="9.5703125" style="95" customWidth="1"/>
    <col min="11268" max="11268" width="10.140625" style="95" customWidth="1"/>
    <col min="11269" max="11308" width="10.7109375" style="95" customWidth="1"/>
    <col min="11309" max="11309" width="1.85546875" style="95" bestFit="1" customWidth="1"/>
    <col min="11310" max="11310" width="34.5703125" style="95" bestFit="1" customWidth="1"/>
    <col min="11311" max="11312" width="10.7109375" style="95" customWidth="1"/>
    <col min="11313" max="11313" width="2.7109375" style="95" bestFit="1" customWidth="1"/>
    <col min="11314" max="11314" width="11.5703125" style="95" bestFit="1" customWidth="1"/>
    <col min="11315" max="11491" width="10.7109375" style="95"/>
    <col min="11492" max="11492" width="5.28515625" style="95" customWidth="1"/>
    <col min="11493" max="11493" width="6.42578125" style="95" customWidth="1"/>
    <col min="11494" max="11494" width="22" style="95" customWidth="1"/>
    <col min="11495" max="11495" width="7.5703125" style="95" bestFit="1" customWidth="1"/>
    <col min="11496" max="11496" width="4.42578125" style="95" customWidth="1"/>
    <col min="11497" max="11497" width="7.42578125" style="95" bestFit="1" customWidth="1"/>
    <col min="11498" max="11498" width="2.85546875" style="95" bestFit="1" customWidth="1"/>
    <col min="11499" max="11499" width="7" style="95" bestFit="1" customWidth="1"/>
    <col min="11500" max="11500" width="5.7109375" style="95" bestFit="1" customWidth="1"/>
    <col min="11501" max="11501" width="7.85546875" style="95" bestFit="1" customWidth="1"/>
    <col min="11502" max="11503" width="0" style="95" hidden="1" customWidth="1"/>
    <col min="11504" max="11504" width="12.5703125" style="95" customWidth="1"/>
    <col min="11505" max="11505" width="0" style="95" hidden="1" customWidth="1"/>
    <col min="11506" max="11506" width="11" style="95" customWidth="1"/>
    <col min="11507" max="11507" width="9.140625" style="95" customWidth="1"/>
    <col min="11508" max="11508" width="9.85546875" style="95" customWidth="1"/>
    <col min="11509" max="11512" width="0" style="95" hidden="1" customWidth="1"/>
    <col min="11513" max="11513" width="1.5703125" style="95" customWidth="1"/>
    <col min="11514" max="11516" width="0" style="95" hidden="1" customWidth="1"/>
    <col min="11517" max="11517" width="10.42578125" style="95" customWidth="1"/>
    <col min="11518" max="11519" width="11" style="95" customWidth="1"/>
    <col min="11520" max="11520" width="9.42578125" style="95" customWidth="1"/>
    <col min="11521" max="11521" width="10" style="95" customWidth="1"/>
    <col min="11522" max="11522" width="11" style="95" customWidth="1"/>
    <col min="11523" max="11523" width="9.5703125" style="95" customWidth="1"/>
    <col min="11524" max="11524" width="10.140625" style="95" customWidth="1"/>
    <col min="11525" max="11564" width="10.7109375" style="95" customWidth="1"/>
    <col min="11565" max="11565" width="1.85546875" style="95" bestFit="1" customWidth="1"/>
    <col min="11566" max="11566" width="34.5703125" style="95" bestFit="1" customWidth="1"/>
    <col min="11567" max="11568" width="10.7109375" style="95" customWidth="1"/>
    <col min="11569" max="11569" width="2.7109375" style="95" bestFit="1" customWidth="1"/>
    <col min="11570" max="11570" width="11.5703125" style="95" bestFit="1" customWidth="1"/>
    <col min="11571" max="11747" width="10.7109375" style="95"/>
    <col min="11748" max="11748" width="5.28515625" style="95" customWidth="1"/>
    <col min="11749" max="11749" width="6.42578125" style="95" customWidth="1"/>
    <col min="11750" max="11750" width="22" style="95" customWidth="1"/>
    <col min="11751" max="11751" width="7.5703125" style="95" bestFit="1" customWidth="1"/>
    <col min="11752" max="11752" width="4.42578125" style="95" customWidth="1"/>
    <col min="11753" max="11753" width="7.42578125" style="95" bestFit="1" customWidth="1"/>
    <col min="11754" max="11754" width="2.85546875" style="95" bestFit="1" customWidth="1"/>
    <col min="11755" max="11755" width="7" style="95" bestFit="1" customWidth="1"/>
    <col min="11756" max="11756" width="5.7109375" style="95" bestFit="1" customWidth="1"/>
    <col min="11757" max="11757" width="7.85546875" style="95" bestFit="1" customWidth="1"/>
    <col min="11758" max="11759" width="0" style="95" hidden="1" customWidth="1"/>
    <col min="11760" max="11760" width="12.5703125" style="95" customWidth="1"/>
    <col min="11761" max="11761" width="0" style="95" hidden="1" customWidth="1"/>
    <col min="11762" max="11762" width="11" style="95" customWidth="1"/>
    <col min="11763" max="11763" width="9.140625" style="95" customWidth="1"/>
    <col min="11764" max="11764" width="9.85546875" style="95" customWidth="1"/>
    <col min="11765" max="11768" width="0" style="95" hidden="1" customWidth="1"/>
    <col min="11769" max="11769" width="1.5703125" style="95" customWidth="1"/>
    <col min="11770" max="11772" width="0" style="95" hidden="1" customWidth="1"/>
    <col min="11773" max="11773" width="10.42578125" style="95" customWidth="1"/>
    <col min="11774" max="11775" width="11" style="95" customWidth="1"/>
    <col min="11776" max="11776" width="9.42578125" style="95" customWidth="1"/>
    <col min="11777" max="11777" width="10" style="95" customWidth="1"/>
    <col min="11778" max="11778" width="11" style="95" customWidth="1"/>
    <col min="11779" max="11779" width="9.5703125" style="95" customWidth="1"/>
    <col min="11780" max="11780" width="10.140625" style="95" customWidth="1"/>
    <col min="11781" max="11820" width="10.7109375" style="95" customWidth="1"/>
    <col min="11821" max="11821" width="1.85546875" style="95" bestFit="1" customWidth="1"/>
    <col min="11822" max="11822" width="34.5703125" style="95" bestFit="1" customWidth="1"/>
    <col min="11823" max="11824" width="10.7109375" style="95" customWidth="1"/>
    <col min="11825" max="11825" width="2.7109375" style="95" bestFit="1" customWidth="1"/>
    <col min="11826" max="11826" width="11.5703125" style="95" bestFit="1" customWidth="1"/>
    <col min="11827" max="12003" width="10.7109375" style="95"/>
    <col min="12004" max="12004" width="5.28515625" style="95" customWidth="1"/>
    <col min="12005" max="12005" width="6.42578125" style="95" customWidth="1"/>
    <col min="12006" max="12006" width="22" style="95" customWidth="1"/>
    <col min="12007" max="12007" width="7.5703125" style="95" bestFit="1" customWidth="1"/>
    <col min="12008" max="12008" width="4.42578125" style="95" customWidth="1"/>
    <col min="12009" max="12009" width="7.42578125" style="95" bestFit="1" customWidth="1"/>
    <col min="12010" max="12010" width="2.85546875" style="95" bestFit="1" customWidth="1"/>
    <col min="12011" max="12011" width="7" style="95" bestFit="1" customWidth="1"/>
    <col min="12012" max="12012" width="5.7109375" style="95" bestFit="1" customWidth="1"/>
    <col min="12013" max="12013" width="7.85546875" style="95" bestFit="1" customWidth="1"/>
    <col min="12014" max="12015" width="0" style="95" hidden="1" customWidth="1"/>
    <col min="12016" max="12016" width="12.5703125" style="95" customWidth="1"/>
    <col min="12017" max="12017" width="0" style="95" hidden="1" customWidth="1"/>
    <col min="12018" max="12018" width="11" style="95" customWidth="1"/>
    <col min="12019" max="12019" width="9.140625" style="95" customWidth="1"/>
    <col min="12020" max="12020" width="9.85546875" style="95" customWidth="1"/>
    <col min="12021" max="12024" width="0" style="95" hidden="1" customWidth="1"/>
    <col min="12025" max="12025" width="1.5703125" style="95" customWidth="1"/>
    <col min="12026" max="12028" width="0" style="95" hidden="1" customWidth="1"/>
    <col min="12029" max="12029" width="10.42578125" style="95" customWidth="1"/>
    <col min="12030" max="12031" width="11" style="95" customWidth="1"/>
    <col min="12032" max="12032" width="9.42578125" style="95" customWidth="1"/>
    <col min="12033" max="12033" width="10" style="95" customWidth="1"/>
    <col min="12034" max="12034" width="11" style="95" customWidth="1"/>
    <col min="12035" max="12035" width="9.5703125" style="95" customWidth="1"/>
    <col min="12036" max="12036" width="10.140625" style="95" customWidth="1"/>
    <col min="12037" max="12076" width="10.7109375" style="95" customWidth="1"/>
    <col min="12077" max="12077" width="1.85546875" style="95" bestFit="1" customWidth="1"/>
    <col min="12078" max="12078" width="34.5703125" style="95" bestFit="1" customWidth="1"/>
    <col min="12079" max="12080" width="10.7109375" style="95" customWidth="1"/>
    <col min="12081" max="12081" width="2.7109375" style="95" bestFit="1" customWidth="1"/>
    <col min="12082" max="12082" width="11.5703125" style="95" bestFit="1" customWidth="1"/>
    <col min="12083" max="12259" width="10.7109375" style="95"/>
    <col min="12260" max="12260" width="5.28515625" style="95" customWidth="1"/>
    <col min="12261" max="12261" width="6.42578125" style="95" customWidth="1"/>
    <col min="12262" max="12262" width="22" style="95" customWidth="1"/>
    <col min="12263" max="12263" width="7.5703125" style="95" bestFit="1" customWidth="1"/>
    <col min="12264" max="12264" width="4.42578125" style="95" customWidth="1"/>
    <col min="12265" max="12265" width="7.42578125" style="95" bestFit="1" customWidth="1"/>
    <col min="12266" max="12266" width="2.85546875" style="95" bestFit="1" customWidth="1"/>
    <col min="12267" max="12267" width="7" style="95" bestFit="1" customWidth="1"/>
    <col min="12268" max="12268" width="5.7109375" style="95" bestFit="1" customWidth="1"/>
    <col min="12269" max="12269" width="7.85546875" style="95" bestFit="1" customWidth="1"/>
    <col min="12270" max="12271" width="0" style="95" hidden="1" customWidth="1"/>
    <col min="12272" max="12272" width="12.5703125" style="95" customWidth="1"/>
    <col min="12273" max="12273" width="0" style="95" hidden="1" customWidth="1"/>
    <col min="12274" max="12274" width="11" style="95" customWidth="1"/>
    <col min="12275" max="12275" width="9.140625" style="95" customWidth="1"/>
    <col min="12276" max="12276" width="9.85546875" style="95" customWidth="1"/>
    <col min="12277" max="12280" width="0" style="95" hidden="1" customWidth="1"/>
    <col min="12281" max="12281" width="1.5703125" style="95" customWidth="1"/>
    <col min="12282" max="12284" width="0" style="95" hidden="1" customWidth="1"/>
    <col min="12285" max="12285" width="10.42578125" style="95" customWidth="1"/>
    <col min="12286" max="12287" width="11" style="95" customWidth="1"/>
    <col min="12288" max="12288" width="9.42578125" style="95" customWidth="1"/>
    <col min="12289" max="12289" width="10" style="95" customWidth="1"/>
    <col min="12290" max="12290" width="11" style="95" customWidth="1"/>
    <col min="12291" max="12291" width="9.5703125" style="95" customWidth="1"/>
    <col min="12292" max="12292" width="10.140625" style="95" customWidth="1"/>
    <col min="12293" max="12332" width="10.7109375" style="95" customWidth="1"/>
    <col min="12333" max="12333" width="1.85546875" style="95" bestFit="1" customWidth="1"/>
    <col min="12334" max="12334" width="34.5703125" style="95" bestFit="1" customWidth="1"/>
    <col min="12335" max="12336" width="10.7109375" style="95" customWidth="1"/>
    <col min="12337" max="12337" width="2.7109375" style="95" bestFit="1" customWidth="1"/>
    <col min="12338" max="12338" width="11.5703125" style="95" bestFit="1" customWidth="1"/>
    <col min="12339" max="12515" width="10.7109375" style="95"/>
    <col min="12516" max="12516" width="5.28515625" style="95" customWidth="1"/>
    <col min="12517" max="12517" width="6.42578125" style="95" customWidth="1"/>
    <col min="12518" max="12518" width="22" style="95" customWidth="1"/>
    <col min="12519" max="12519" width="7.5703125" style="95" bestFit="1" customWidth="1"/>
    <col min="12520" max="12520" width="4.42578125" style="95" customWidth="1"/>
    <col min="12521" max="12521" width="7.42578125" style="95" bestFit="1" customWidth="1"/>
    <col min="12522" max="12522" width="2.85546875" style="95" bestFit="1" customWidth="1"/>
    <col min="12523" max="12523" width="7" style="95" bestFit="1" customWidth="1"/>
    <col min="12524" max="12524" width="5.7109375" style="95" bestFit="1" customWidth="1"/>
    <col min="12525" max="12525" width="7.85546875" style="95" bestFit="1" customWidth="1"/>
    <col min="12526" max="12527" width="0" style="95" hidden="1" customWidth="1"/>
    <col min="12528" max="12528" width="12.5703125" style="95" customWidth="1"/>
    <col min="12529" max="12529" width="0" style="95" hidden="1" customWidth="1"/>
    <col min="12530" max="12530" width="11" style="95" customWidth="1"/>
    <col min="12531" max="12531" width="9.140625" style="95" customWidth="1"/>
    <col min="12532" max="12532" width="9.85546875" style="95" customWidth="1"/>
    <col min="12533" max="12536" width="0" style="95" hidden="1" customWidth="1"/>
    <col min="12537" max="12537" width="1.5703125" style="95" customWidth="1"/>
    <col min="12538" max="12540" width="0" style="95" hidden="1" customWidth="1"/>
    <col min="12541" max="12541" width="10.42578125" style="95" customWidth="1"/>
    <col min="12542" max="12543" width="11" style="95" customWidth="1"/>
    <col min="12544" max="12544" width="9.42578125" style="95" customWidth="1"/>
    <col min="12545" max="12545" width="10" style="95" customWidth="1"/>
    <col min="12546" max="12546" width="11" style="95" customWidth="1"/>
    <col min="12547" max="12547" width="9.5703125" style="95" customWidth="1"/>
    <col min="12548" max="12548" width="10.140625" style="95" customWidth="1"/>
    <col min="12549" max="12588" width="10.7109375" style="95" customWidth="1"/>
    <col min="12589" max="12589" width="1.85546875" style="95" bestFit="1" customWidth="1"/>
    <col min="12590" max="12590" width="34.5703125" style="95" bestFit="1" customWidth="1"/>
    <col min="12591" max="12592" width="10.7109375" style="95" customWidth="1"/>
    <col min="12593" max="12593" width="2.7109375" style="95" bestFit="1" customWidth="1"/>
    <col min="12594" max="12594" width="11.5703125" style="95" bestFit="1" customWidth="1"/>
    <col min="12595" max="12771" width="10.7109375" style="95"/>
    <col min="12772" max="12772" width="5.28515625" style="95" customWidth="1"/>
    <col min="12773" max="12773" width="6.42578125" style="95" customWidth="1"/>
    <col min="12774" max="12774" width="22" style="95" customWidth="1"/>
    <col min="12775" max="12775" width="7.5703125" style="95" bestFit="1" customWidth="1"/>
    <col min="12776" max="12776" width="4.42578125" style="95" customWidth="1"/>
    <col min="12777" max="12777" width="7.42578125" style="95" bestFit="1" customWidth="1"/>
    <col min="12778" max="12778" width="2.85546875" style="95" bestFit="1" customWidth="1"/>
    <col min="12779" max="12779" width="7" style="95" bestFit="1" customWidth="1"/>
    <col min="12780" max="12780" width="5.7109375" style="95" bestFit="1" customWidth="1"/>
    <col min="12781" max="12781" width="7.85546875" style="95" bestFit="1" customWidth="1"/>
    <col min="12782" max="12783" width="0" style="95" hidden="1" customWidth="1"/>
    <col min="12784" max="12784" width="12.5703125" style="95" customWidth="1"/>
    <col min="12785" max="12785" width="0" style="95" hidden="1" customWidth="1"/>
    <col min="12786" max="12786" width="11" style="95" customWidth="1"/>
    <col min="12787" max="12787" width="9.140625" style="95" customWidth="1"/>
    <col min="12788" max="12788" width="9.85546875" style="95" customWidth="1"/>
    <col min="12789" max="12792" width="0" style="95" hidden="1" customWidth="1"/>
    <col min="12793" max="12793" width="1.5703125" style="95" customWidth="1"/>
    <col min="12794" max="12796" width="0" style="95" hidden="1" customWidth="1"/>
    <col min="12797" max="12797" width="10.42578125" style="95" customWidth="1"/>
    <col min="12798" max="12799" width="11" style="95" customWidth="1"/>
    <col min="12800" max="12800" width="9.42578125" style="95" customWidth="1"/>
    <col min="12801" max="12801" width="10" style="95" customWidth="1"/>
    <col min="12802" max="12802" width="11" style="95" customWidth="1"/>
    <col min="12803" max="12803" width="9.5703125" style="95" customWidth="1"/>
    <col min="12804" max="12804" width="10.140625" style="95" customWidth="1"/>
    <col min="12805" max="12844" width="10.7109375" style="95" customWidth="1"/>
    <col min="12845" max="12845" width="1.85546875" style="95" bestFit="1" customWidth="1"/>
    <col min="12846" max="12846" width="34.5703125" style="95" bestFit="1" customWidth="1"/>
    <col min="12847" max="12848" width="10.7109375" style="95" customWidth="1"/>
    <col min="12849" max="12849" width="2.7109375" style="95" bestFit="1" customWidth="1"/>
    <col min="12850" max="12850" width="11.5703125" style="95" bestFit="1" customWidth="1"/>
    <col min="12851" max="13027" width="10.7109375" style="95"/>
    <col min="13028" max="13028" width="5.28515625" style="95" customWidth="1"/>
    <col min="13029" max="13029" width="6.42578125" style="95" customWidth="1"/>
    <col min="13030" max="13030" width="22" style="95" customWidth="1"/>
    <col min="13031" max="13031" width="7.5703125" style="95" bestFit="1" customWidth="1"/>
    <col min="13032" max="13032" width="4.42578125" style="95" customWidth="1"/>
    <col min="13033" max="13033" width="7.42578125" style="95" bestFit="1" customWidth="1"/>
    <col min="13034" max="13034" width="2.85546875" style="95" bestFit="1" customWidth="1"/>
    <col min="13035" max="13035" width="7" style="95" bestFit="1" customWidth="1"/>
    <col min="13036" max="13036" width="5.7109375" style="95" bestFit="1" customWidth="1"/>
    <col min="13037" max="13037" width="7.85546875" style="95" bestFit="1" customWidth="1"/>
    <col min="13038" max="13039" width="0" style="95" hidden="1" customWidth="1"/>
    <col min="13040" max="13040" width="12.5703125" style="95" customWidth="1"/>
    <col min="13041" max="13041" width="0" style="95" hidden="1" customWidth="1"/>
    <col min="13042" max="13042" width="11" style="95" customWidth="1"/>
    <col min="13043" max="13043" width="9.140625" style="95" customWidth="1"/>
    <col min="13044" max="13044" width="9.85546875" style="95" customWidth="1"/>
    <col min="13045" max="13048" width="0" style="95" hidden="1" customWidth="1"/>
    <col min="13049" max="13049" width="1.5703125" style="95" customWidth="1"/>
    <col min="13050" max="13052" width="0" style="95" hidden="1" customWidth="1"/>
    <col min="13053" max="13053" width="10.42578125" style="95" customWidth="1"/>
    <col min="13054" max="13055" width="11" style="95" customWidth="1"/>
    <col min="13056" max="13056" width="9.42578125" style="95" customWidth="1"/>
    <col min="13057" max="13057" width="10" style="95" customWidth="1"/>
    <col min="13058" max="13058" width="11" style="95" customWidth="1"/>
    <col min="13059" max="13059" width="9.5703125" style="95" customWidth="1"/>
    <col min="13060" max="13060" width="10.140625" style="95" customWidth="1"/>
    <col min="13061" max="13100" width="10.7109375" style="95" customWidth="1"/>
    <col min="13101" max="13101" width="1.85546875" style="95" bestFit="1" customWidth="1"/>
    <col min="13102" max="13102" width="34.5703125" style="95" bestFit="1" customWidth="1"/>
    <col min="13103" max="13104" width="10.7109375" style="95" customWidth="1"/>
    <col min="13105" max="13105" width="2.7109375" style="95" bestFit="1" customWidth="1"/>
    <col min="13106" max="13106" width="11.5703125" style="95" bestFit="1" customWidth="1"/>
    <col min="13107" max="13283" width="10.7109375" style="95"/>
    <col min="13284" max="13284" width="5.28515625" style="95" customWidth="1"/>
    <col min="13285" max="13285" width="6.42578125" style="95" customWidth="1"/>
    <col min="13286" max="13286" width="22" style="95" customWidth="1"/>
    <col min="13287" max="13287" width="7.5703125" style="95" bestFit="1" customWidth="1"/>
    <col min="13288" max="13288" width="4.42578125" style="95" customWidth="1"/>
    <col min="13289" max="13289" width="7.42578125" style="95" bestFit="1" customWidth="1"/>
    <col min="13290" max="13290" width="2.85546875" style="95" bestFit="1" customWidth="1"/>
    <col min="13291" max="13291" width="7" style="95" bestFit="1" customWidth="1"/>
    <col min="13292" max="13292" width="5.7109375" style="95" bestFit="1" customWidth="1"/>
    <col min="13293" max="13293" width="7.85546875" style="95" bestFit="1" customWidth="1"/>
    <col min="13294" max="13295" width="0" style="95" hidden="1" customWidth="1"/>
    <col min="13296" max="13296" width="12.5703125" style="95" customWidth="1"/>
    <col min="13297" max="13297" width="0" style="95" hidden="1" customWidth="1"/>
    <col min="13298" max="13298" width="11" style="95" customWidth="1"/>
    <col min="13299" max="13299" width="9.140625" style="95" customWidth="1"/>
    <col min="13300" max="13300" width="9.85546875" style="95" customWidth="1"/>
    <col min="13301" max="13304" width="0" style="95" hidden="1" customWidth="1"/>
    <col min="13305" max="13305" width="1.5703125" style="95" customWidth="1"/>
    <col min="13306" max="13308" width="0" style="95" hidden="1" customWidth="1"/>
    <col min="13309" max="13309" width="10.42578125" style="95" customWidth="1"/>
    <col min="13310" max="13311" width="11" style="95" customWidth="1"/>
    <col min="13312" max="13312" width="9.42578125" style="95" customWidth="1"/>
    <col min="13313" max="13313" width="10" style="95" customWidth="1"/>
    <col min="13314" max="13314" width="11" style="95" customWidth="1"/>
    <col min="13315" max="13315" width="9.5703125" style="95" customWidth="1"/>
    <col min="13316" max="13316" width="10.140625" style="95" customWidth="1"/>
    <col min="13317" max="13356" width="10.7109375" style="95" customWidth="1"/>
    <col min="13357" max="13357" width="1.85546875" style="95" bestFit="1" customWidth="1"/>
    <col min="13358" max="13358" width="34.5703125" style="95" bestFit="1" customWidth="1"/>
    <col min="13359" max="13360" width="10.7109375" style="95" customWidth="1"/>
    <col min="13361" max="13361" width="2.7109375" style="95" bestFit="1" customWidth="1"/>
    <col min="13362" max="13362" width="11.5703125" style="95" bestFit="1" customWidth="1"/>
    <col min="13363" max="13539" width="10.7109375" style="95"/>
    <col min="13540" max="13540" width="5.28515625" style="95" customWidth="1"/>
    <col min="13541" max="13541" width="6.42578125" style="95" customWidth="1"/>
    <col min="13542" max="13542" width="22" style="95" customWidth="1"/>
    <col min="13543" max="13543" width="7.5703125" style="95" bestFit="1" customWidth="1"/>
    <col min="13544" max="13544" width="4.42578125" style="95" customWidth="1"/>
    <col min="13545" max="13545" width="7.42578125" style="95" bestFit="1" customWidth="1"/>
    <col min="13546" max="13546" width="2.85546875" style="95" bestFit="1" customWidth="1"/>
    <col min="13547" max="13547" width="7" style="95" bestFit="1" customWidth="1"/>
    <col min="13548" max="13548" width="5.7109375" style="95" bestFit="1" customWidth="1"/>
    <col min="13549" max="13549" width="7.85546875" style="95" bestFit="1" customWidth="1"/>
    <col min="13550" max="13551" width="0" style="95" hidden="1" customWidth="1"/>
    <col min="13552" max="13552" width="12.5703125" style="95" customWidth="1"/>
    <col min="13553" max="13553" width="0" style="95" hidden="1" customWidth="1"/>
    <col min="13554" max="13554" width="11" style="95" customWidth="1"/>
    <col min="13555" max="13555" width="9.140625" style="95" customWidth="1"/>
    <col min="13556" max="13556" width="9.85546875" style="95" customWidth="1"/>
    <col min="13557" max="13560" width="0" style="95" hidden="1" customWidth="1"/>
    <col min="13561" max="13561" width="1.5703125" style="95" customWidth="1"/>
    <col min="13562" max="13564" width="0" style="95" hidden="1" customWidth="1"/>
    <col min="13565" max="13565" width="10.42578125" style="95" customWidth="1"/>
    <col min="13566" max="13567" width="11" style="95" customWidth="1"/>
    <col min="13568" max="13568" width="9.42578125" style="95" customWidth="1"/>
    <col min="13569" max="13569" width="10" style="95" customWidth="1"/>
    <col min="13570" max="13570" width="11" style="95" customWidth="1"/>
    <col min="13571" max="13571" width="9.5703125" style="95" customWidth="1"/>
    <col min="13572" max="13572" width="10.140625" style="95" customWidth="1"/>
    <col min="13573" max="13612" width="10.7109375" style="95" customWidth="1"/>
    <col min="13613" max="13613" width="1.85546875" style="95" bestFit="1" customWidth="1"/>
    <col min="13614" max="13614" width="34.5703125" style="95" bestFit="1" customWidth="1"/>
    <col min="13615" max="13616" width="10.7109375" style="95" customWidth="1"/>
    <col min="13617" max="13617" width="2.7109375" style="95" bestFit="1" customWidth="1"/>
    <col min="13618" max="13618" width="11.5703125" style="95" bestFit="1" customWidth="1"/>
    <col min="13619" max="13795" width="10.7109375" style="95"/>
    <col min="13796" max="13796" width="5.28515625" style="95" customWidth="1"/>
    <col min="13797" max="13797" width="6.42578125" style="95" customWidth="1"/>
    <col min="13798" max="13798" width="22" style="95" customWidth="1"/>
    <col min="13799" max="13799" width="7.5703125" style="95" bestFit="1" customWidth="1"/>
    <col min="13800" max="13800" width="4.42578125" style="95" customWidth="1"/>
    <col min="13801" max="13801" width="7.42578125" style="95" bestFit="1" customWidth="1"/>
    <col min="13802" max="13802" width="2.85546875" style="95" bestFit="1" customWidth="1"/>
    <col min="13803" max="13803" width="7" style="95" bestFit="1" customWidth="1"/>
    <col min="13804" max="13804" width="5.7109375" style="95" bestFit="1" customWidth="1"/>
    <col min="13805" max="13805" width="7.85546875" style="95" bestFit="1" customWidth="1"/>
    <col min="13806" max="13807" width="0" style="95" hidden="1" customWidth="1"/>
    <col min="13808" max="13808" width="12.5703125" style="95" customWidth="1"/>
    <col min="13809" max="13809" width="0" style="95" hidden="1" customWidth="1"/>
    <col min="13810" max="13810" width="11" style="95" customWidth="1"/>
    <col min="13811" max="13811" width="9.140625" style="95" customWidth="1"/>
    <col min="13812" max="13812" width="9.85546875" style="95" customWidth="1"/>
    <col min="13813" max="13816" width="0" style="95" hidden="1" customWidth="1"/>
    <col min="13817" max="13817" width="1.5703125" style="95" customWidth="1"/>
    <col min="13818" max="13820" width="0" style="95" hidden="1" customWidth="1"/>
    <col min="13821" max="13821" width="10.42578125" style="95" customWidth="1"/>
    <col min="13822" max="13823" width="11" style="95" customWidth="1"/>
    <col min="13824" max="13824" width="9.42578125" style="95" customWidth="1"/>
    <col min="13825" max="13825" width="10" style="95" customWidth="1"/>
    <col min="13826" max="13826" width="11" style="95" customWidth="1"/>
    <col min="13827" max="13827" width="9.5703125" style="95" customWidth="1"/>
    <col min="13828" max="13828" width="10.140625" style="95" customWidth="1"/>
    <col min="13829" max="13868" width="10.7109375" style="95" customWidth="1"/>
    <col min="13869" max="13869" width="1.85546875" style="95" bestFit="1" customWidth="1"/>
    <col min="13870" max="13870" width="34.5703125" style="95" bestFit="1" customWidth="1"/>
    <col min="13871" max="13872" width="10.7109375" style="95" customWidth="1"/>
    <col min="13873" max="13873" width="2.7109375" style="95" bestFit="1" customWidth="1"/>
    <col min="13874" max="13874" width="11.5703125" style="95" bestFit="1" customWidth="1"/>
    <col min="13875" max="14051" width="10.7109375" style="95"/>
    <col min="14052" max="14052" width="5.28515625" style="95" customWidth="1"/>
    <col min="14053" max="14053" width="6.42578125" style="95" customWidth="1"/>
    <col min="14054" max="14054" width="22" style="95" customWidth="1"/>
    <col min="14055" max="14055" width="7.5703125" style="95" bestFit="1" customWidth="1"/>
    <col min="14056" max="14056" width="4.42578125" style="95" customWidth="1"/>
    <col min="14057" max="14057" width="7.42578125" style="95" bestFit="1" customWidth="1"/>
    <col min="14058" max="14058" width="2.85546875" style="95" bestFit="1" customWidth="1"/>
    <col min="14059" max="14059" width="7" style="95" bestFit="1" customWidth="1"/>
    <col min="14060" max="14060" width="5.7109375" style="95" bestFit="1" customWidth="1"/>
    <col min="14061" max="14061" width="7.85546875" style="95" bestFit="1" customWidth="1"/>
    <col min="14062" max="14063" width="0" style="95" hidden="1" customWidth="1"/>
    <col min="14064" max="14064" width="12.5703125" style="95" customWidth="1"/>
    <col min="14065" max="14065" width="0" style="95" hidden="1" customWidth="1"/>
    <col min="14066" max="14066" width="11" style="95" customWidth="1"/>
    <col min="14067" max="14067" width="9.140625" style="95" customWidth="1"/>
    <col min="14068" max="14068" width="9.85546875" style="95" customWidth="1"/>
    <col min="14069" max="14072" width="0" style="95" hidden="1" customWidth="1"/>
    <col min="14073" max="14073" width="1.5703125" style="95" customWidth="1"/>
    <col min="14074" max="14076" width="0" style="95" hidden="1" customWidth="1"/>
    <col min="14077" max="14077" width="10.42578125" style="95" customWidth="1"/>
    <col min="14078" max="14079" width="11" style="95" customWidth="1"/>
    <col min="14080" max="14080" width="9.42578125" style="95" customWidth="1"/>
    <col min="14081" max="14081" width="10" style="95" customWidth="1"/>
    <col min="14082" max="14082" width="11" style="95" customWidth="1"/>
    <col min="14083" max="14083" width="9.5703125" style="95" customWidth="1"/>
    <col min="14084" max="14084" width="10.140625" style="95" customWidth="1"/>
    <col min="14085" max="14124" width="10.7109375" style="95" customWidth="1"/>
    <col min="14125" max="14125" width="1.85546875" style="95" bestFit="1" customWidth="1"/>
    <col min="14126" max="14126" width="34.5703125" style="95" bestFit="1" customWidth="1"/>
    <col min="14127" max="14128" width="10.7109375" style="95" customWidth="1"/>
    <col min="14129" max="14129" width="2.7109375" style="95" bestFit="1" customWidth="1"/>
    <col min="14130" max="14130" width="11.5703125" style="95" bestFit="1" customWidth="1"/>
    <col min="14131" max="14307" width="10.7109375" style="95"/>
    <col min="14308" max="14308" width="5.28515625" style="95" customWidth="1"/>
    <col min="14309" max="14309" width="6.42578125" style="95" customWidth="1"/>
    <col min="14310" max="14310" width="22" style="95" customWidth="1"/>
    <col min="14311" max="14311" width="7.5703125" style="95" bestFit="1" customWidth="1"/>
    <col min="14312" max="14312" width="4.42578125" style="95" customWidth="1"/>
    <col min="14313" max="14313" width="7.42578125" style="95" bestFit="1" customWidth="1"/>
    <col min="14314" max="14314" width="2.85546875" style="95" bestFit="1" customWidth="1"/>
    <col min="14315" max="14315" width="7" style="95" bestFit="1" customWidth="1"/>
    <col min="14316" max="14316" width="5.7109375" style="95" bestFit="1" customWidth="1"/>
    <col min="14317" max="14317" width="7.85546875" style="95" bestFit="1" customWidth="1"/>
    <col min="14318" max="14319" width="0" style="95" hidden="1" customWidth="1"/>
    <col min="14320" max="14320" width="12.5703125" style="95" customWidth="1"/>
    <col min="14321" max="14321" width="0" style="95" hidden="1" customWidth="1"/>
    <col min="14322" max="14322" width="11" style="95" customWidth="1"/>
    <col min="14323" max="14323" width="9.140625" style="95" customWidth="1"/>
    <col min="14324" max="14324" width="9.85546875" style="95" customWidth="1"/>
    <col min="14325" max="14328" width="0" style="95" hidden="1" customWidth="1"/>
    <col min="14329" max="14329" width="1.5703125" style="95" customWidth="1"/>
    <col min="14330" max="14332" width="0" style="95" hidden="1" customWidth="1"/>
    <col min="14333" max="14333" width="10.42578125" style="95" customWidth="1"/>
    <col min="14334" max="14335" width="11" style="95" customWidth="1"/>
    <col min="14336" max="14336" width="9.42578125" style="95" customWidth="1"/>
    <col min="14337" max="14337" width="10" style="95" customWidth="1"/>
    <col min="14338" max="14338" width="11" style="95" customWidth="1"/>
    <col min="14339" max="14339" width="9.5703125" style="95" customWidth="1"/>
    <col min="14340" max="14340" width="10.140625" style="95" customWidth="1"/>
    <col min="14341" max="14380" width="10.7109375" style="95" customWidth="1"/>
    <col min="14381" max="14381" width="1.85546875" style="95" bestFit="1" customWidth="1"/>
    <col min="14382" max="14382" width="34.5703125" style="95" bestFit="1" customWidth="1"/>
    <col min="14383" max="14384" width="10.7109375" style="95" customWidth="1"/>
    <col min="14385" max="14385" width="2.7109375" style="95" bestFit="1" customWidth="1"/>
    <col min="14386" max="14386" width="11.5703125" style="95" bestFit="1" customWidth="1"/>
    <col min="14387" max="14563" width="10.7109375" style="95"/>
    <col min="14564" max="14564" width="5.28515625" style="95" customWidth="1"/>
    <col min="14565" max="14565" width="6.42578125" style="95" customWidth="1"/>
    <col min="14566" max="14566" width="22" style="95" customWidth="1"/>
    <col min="14567" max="14567" width="7.5703125" style="95" bestFit="1" customWidth="1"/>
    <col min="14568" max="14568" width="4.42578125" style="95" customWidth="1"/>
    <col min="14569" max="14569" width="7.42578125" style="95" bestFit="1" customWidth="1"/>
    <col min="14570" max="14570" width="2.85546875" style="95" bestFit="1" customWidth="1"/>
    <col min="14571" max="14571" width="7" style="95" bestFit="1" customWidth="1"/>
    <col min="14572" max="14572" width="5.7109375" style="95" bestFit="1" customWidth="1"/>
    <col min="14573" max="14573" width="7.85546875" style="95" bestFit="1" customWidth="1"/>
    <col min="14574" max="14575" width="0" style="95" hidden="1" customWidth="1"/>
    <col min="14576" max="14576" width="12.5703125" style="95" customWidth="1"/>
    <col min="14577" max="14577" width="0" style="95" hidden="1" customWidth="1"/>
    <col min="14578" max="14578" width="11" style="95" customWidth="1"/>
    <col min="14579" max="14579" width="9.140625" style="95" customWidth="1"/>
    <col min="14580" max="14580" width="9.85546875" style="95" customWidth="1"/>
    <col min="14581" max="14584" width="0" style="95" hidden="1" customWidth="1"/>
    <col min="14585" max="14585" width="1.5703125" style="95" customWidth="1"/>
    <col min="14586" max="14588" width="0" style="95" hidden="1" customWidth="1"/>
    <col min="14589" max="14589" width="10.42578125" style="95" customWidth="1"/>
    <col min="14590" max="14591" width="11" style="95" customWidth="1"/>
    <col min="14592" max="14592" width="9.42578125" style="95" customWidth="1"/>
    <col min="14593" max="14593" width="10" style="95" customWidth="1"/>
    <col min="14594" max="14594" width="11" style="95" customWidth="1"/>
    <col min="14595" max="14595" width="9.5703125" style="95" customWidth="1"/>
    <col min="14596" max="14596" width="10.140625" style="95" customWidth="1"/>
    <col min="14597" max="14636" width="10.7109375" style="95" customWidth="1"/>
    <col min="14637" max="14637" width="1.85546875" style="95" bestFit="1" customWidth="1"/>
    <col min="14638" max="14638" width="34.5703125" style="95" bestFit="1" customWidth="1"/>
    <col min="14639" max="14640" width="10.7109375" style="95" customWidth="1"/>
    <col min="14641" max="14641" width="2.7109375" style="95" bestFit="1" customWidth="1"/>
    <col min="14642" max="14642" width="11.5703125" style="95" bestFit="1" customWidth="1"/>
    <col min="14643" max="14819" width="10.7109375" style="95"/>
    <col min="14820" max="14820" width="5.28515625" style="95" customWidth="1"/>
    <col min="14821" max="14821" width="6.42578125" style="95" customWidth="1"/>
    <col min="14822" max="14822" width="22" style="95" customWidth="1"/>
    <col min="14823" max="14823" width="7.5703125" style="95" bestFit="1" customWidth="1"/>
    <col min="14824" max="14824" width="4.42578125" style="95" customWidth="1"/>
    <col min="14825" max="14825" width="7.42578125" style="95" bestFit="1" customWidth="1"/>
    <col min="14826" max="14826" width="2.85546875" style="95" bestFit="1" customWidth="1"/>
    <col min="14827" max="14827" width="7" style="95" bestFit="1" customWidth="1"/>
    <col min="14828" max="14828" width="5.7109375" style="95" bestFit="1" customWidth="1"/>
    <col min="14829" max="14829" width="7.85546875" style="95" bestFit="1" customWidth="1"/>
    <col min="14830" max="14831" width="0" style="95" hidden="1" customWidth="1"/>
    <col min="14832" max="14832" width="12.5703125" style="95" customWidth="1"/>
    <col min="14833" max="14833" width="0" style="95" hidden="1" customWidth="1"/>
    <col min="14834" max="14834" width="11" style="95" customWidth="1"/>
    <col min="14835" max="14835" width="9.140625" style="95" customWidth="1"/>
    <col min="14836" max="14836" width="9.85546875" style="95" customWidth="1"/>
    <col min="14837" max="14840" width="0" style="95" hidden="1" customWidth="1"/>
    <col min="14841" max="14841" width="1.5703125" style="95" customWidth="1"/>
    <col min="14842" max="14844" width="0" style="95" hidden="1" customWidth="1"/>
    <col min="14845" max="14845" width="10.42578125" style="95" customWidth="1"/>
    <col min="14846" max="14847" width="11" style="95" customWidth="1"/>
    <col min="14848" max="14848" width="9.42578125" style="95" customWidth="1"/>
    <col min="14849" max="14849" width="10" style="95" customWidth="1"/>
    <col min="14850" max="14850" width="11" style="95" customWidth="1"/>
    <col min="14851" max="14851" width="9.5703125" style="95" customWidth="1"/>
    <col min="14852" max="14852" width="10.140625" style="95" customWidth="1"/>
    <col min="14853" max="14892" width="10.7109375" style="95" customWidth="1"/>
    <col min="14893" max="14893" width="1.85546875" style="95" bestFit="1" customWidth="1"/>
    <col min="14894" max="14894" width="34.5703125" style="95" bestFit="1" customWidth="1"/>
    <col min="14895" max="14896" width="10.7109375" style="95" customWidth="1"/>
    <col min="14897" max="14897" width="2.7109375" style="95" bestFit="1" customWidth="1"/>
    <col min="14898" max="14898" width="11.5703125" style="95" bestFit="1" customWidth="1"/>
    <col min="14899" max="15075" width="10.7109375" style="95"/>
    <col min="15076" max="15076" width="5.28515625" style="95" customWidth="1"/>
    <col min="15077" max="15077" width="6.42578125" style="95" customWidth="1"/>
    <col min="15078" max="15078" width="22" style="95" customWidth="1"/>
    <col min="15079" max="15079" width="7.5703125" style="95" bestFit="1" customWidth="1"/>
    <col min="15080" max="15080" width="4.42578125" style="95" customWidth="1"/>
    <col min="15081" max="15081" width="7.42578125" style="95" bestFit="1" customWidth="1"/>
    <col min="15082" max="15082" width="2.85546875" style="95" bestFit="1" customWidth="1"/>
    <col min="15083" max="15083" width="7" style="95" bestFit="1" customWidth="1"/>
    <col min="15084" max="15084" width="5.7109375" style="95" bestFit="1" customWidth="1"/>
    <col min="15085" max="15085" width="7.85546875" style="95" bestFit="1" customWidth="1"/>
    <col min="15086" max="15087" width="0" style="95" hidden="1" customWidth="1"/>
    <col min="15088" max="15088" width="12.5703125" style="95" customWidth="1"/>
    <col min="15089" max="15089" width="0" style="95" hidden="1" customWidth="1"/>
    <col min="15090" max="15090" width="11" style="95" customWidth="1"/>
    <col min="15091" max="15091" width="9.140625" style="95" customWidth="1"/>
    <col min="15092" max="15092" width="9.85546875" style="95" customWidth="1"/>
    <col min="15093" max="15096" width="0" style="95" hidden="1" customWidth="1"/>
    <col min="15097" max="15097" width="1.5703125" style="95" customWidth="1"/>
    <col min="15098" max="15100" width="0" style="95" hidden="1" customWidth="1"/>
    <col min="15101" max="15101" width="10.42578125" style="95" customWidth="1"/>
    <col min="15102" max="15103" width="11" style="95" customWidth="1"/>
    <col min="15104" max="15104" width="9.42578125" style="95" customWidth="1"/>
    <col min="15105" max="15105" width="10" style="95" customWidth="1"/>
    <col min="15106" max="15106" width="11" style="95" customWidth="1"/>
    <col min="15107" max="15107" width="9.5703125" style="95" customWidth="1"/>
    <col min="15108" max="15108" width="10.140625" style="95" customWidth="1"/>
    <col min="15109" max="15148" width="10.7109375" style="95" customWidth="1"/>
    <col min="15149" max="15149" width="1.85546875" style="95" bestFit="1" customWidth="1"/>
    <col min="15150" max="15150" width="34.5703125" style="95" bestFit="1" customWidth="1"/>
    <col min="15151" max="15152" width="10.7109375" style="95" customWidth="1"/>
    <col min="15153" max="15153" width="2.7109375" style="95" bestFit="1" customWidth="1"/>
    <col min="15154" max="15154" width="11.5703125" style="95" bestFit="1" customWidth="1"/>
    <col min="15155" max="15331" width="10.7109375" style="95"/>
    <col min="15332" max="15332" width="5.28515625" style="95" customWidth="1"/>
    <col min="15333" max="15333" width="6.42578125" style="95" customWidth="1"/>
    <col min="15334" max="15334" width="22" style="95" customWidth="1"/>
    <col min="15335" max="15335" width="7.5703125" style="95" bestFit="1" customWidth="1"/>
    <col min="15336" max="15336" width="4.42578125" style="95" customWidth="1"/>
    <col min="15337" max="15337" width="7.42578125" style="95" bestFit="1" customWidth="1"/>
    <col min="15338" max="15338" width="2.85546875" style="95" bestFit="1" customWidth="1"/>
    <col min="15339" max="15339" width="7" style="95" bestFit="1" customWidth="1"/>
    <col min="15340" max="15340" width="5.7109375" style="95" bestFit="1" customWidth="1"/>
    <col min="15341" max="15341" width="7.85546875" style="95" bestFit="1" customWidth="1"/>
    <col min="15342" max="15343" width="0" style="95" hidden="1" customWidth="1"/>
    <col min="15344" max="15344" width="12.5703125" style="95" customWidth="1"/>
    <col min="15345" max="15345" width="0" style="95" hidden="1" customWidth="1"/>
    <col min="15346" max="15346" width="11" style="95" customWidth="1"/>
    <col min="15347" max="15347" width="9.140625" style="95" customWidth="1"/>
    <col min="15348" max="15348" width="9.85546875" style="95" customWidth="1"/>
    <col min="15349" max="15352" width="0" style="95" hidden="1" customWidth="1"/>
    <col min="15353" max="15353" width="1.5703125" style="95" customWidth="1"/>
    <col min="15354" max="15356" width="0" style="95" hidden="1" customWidth="1"/>
    <col min="15357" max="15357" width="10.42578125" style="95" customWidth="1"/>
    <col min="15358" max="15359" width="11" style="95" customWidth="1"/>
    <col min="15360" max="15360" width="9.42578125" style="95" customWidth="1"/>
    <col min="15361" max="15361" width="10" style="95" customWidth="1"/>
    <col min="15362" max="15362" width="11" style="95" customWidth="1"/>
    <col min="15363" max="15363" width="9.5703125" style="95" customWidth="1"/>
    <col min="15364" max="15364" width="10.140625" style="95" customWidth="1"/>
    <col min="15365" max="15404" width="10.7109375" style="95" customWidth="1"/>
    <col min="15405" max="15405" width="1.85546875" style="95" bestFit="1" customWidth="1"/>
    <col min="15406" max="15406" width="34.5703125" style="95" bestFit="1" customWidth="1"/>
    <col min="15407" max="15408" width="10.7109375" style="95" customWidth="1"/>
    <col min="15409" max="15409" width="2.7109375" style="95" bestFit="1" customWidth="1"/>
    <col min="15410" max="15410" width="11.5703125" style="95" bestFit="1" customWidth="1"/>
    <col min="15411" max="15587" width="10.7109375" style="95"/>
    <col min="15588" max="15588" width="5.28515625" style="95" customWidth="1"/>
    <col min="15589" max="15589" width="6.42578125" style="95" customWidth="1"/>
    <col min="15590" max="15590" width="22" style="95" customWidth="1"/>
    <col min="15591" max="15591" width="7.5703125" style="95" bestFit="1" customWidth="1"/>
    <col min="15592" max="15592" width="4.42578125" style="95" customWidth="1"/>
    <col min="15593" max="15593" width="7.42578125" style="95" bestFit="1" customWidth="1"/>
    <col min="15594" max="15594" width="2.85546875" style="95" bestFit="1" customWidth="1"/>
    <col min="15595" max="15595" width="7" style="95" bestFit="1" customWidth="1"/>
    <col min="15596" max="15596" width="5.7109375" style="95" bestFit="1" customWidth="1"/>
    <col min="15597" max="15597" width="7.85546875" style="95" bestFit="1" customWidth="1"/>
    <col min="15598" max="15599" width="0" style="95" hidden="1" customWidth="1"/>
    <col min="15600" max="15600" width="12.5703125" style="95" customWidth="1"/>
    <col min="15601" max="15601" width="0" style="95" hidden="1" customWidth="1"/>
    <col min="15602" max="15602" width="11" style="95" customWidth="1"/>
    <col min="15603" max="15603" width="9.140625" style="95" customWidth="1"/>
    <col min="15604" max="15604" width="9.85546875" style="95" customWidth="1"/>
    <col min="15605" max="15608" width="0" style="95" hidden="1" customWidth="1"/>
    <col min="15609" max="15609" width="1.5703125" style="95" customWidth="1"/>
    <col min="15610" max="15612" width="0" style="95" hidden="1" customWidth="1"/>
    <col min="15613" max="15613" width="10.42578125" style="95" customWidth="1"/>
    <col min="15614" max="15615" width="11" style="95" customWidth="1"/>
    <col min="15616" max="15616" width="9.42578125" style="95" customWidth="1"/>
    <col min="15617" max="15617" width="10" style="95" customWidth="1"/>
    <col min="15618" max="15618" width="11" style="95" customWidth="1"/>
    <col min="15619" max="15619" width="9.5703125" style="95" customWidth="1"/>
    <col min="15620" max="15620" width="10.140625" style="95" customWidth="1"/>
    <col min="15621" max="15660" width="10.7109375" style="95" customWidth="1"/>
    <col min="15661" max="15661" width="1.85546875" style="95" bestFit="1" customWidth="1"/>
    <col min="15662" max="15662" width="34.5703125" style="95" bestFit="1" customWidth="1"/>
    <col min="15663" max="15664" width="10.7109375" style="95" customWidth="1"/>
    <col min="15665" max="15665" width="2.7109375" style="95" bestFit="1" customWidth="1"/>
    <col min="15666" max="15666" width="11.5703125" style="95" bestFit="1" customWidth="1"/>
    <col min="15667" max="15843" width="10.7109375" style="95"/>
    <col min="15844" max="15844" width="5.28515625" style="95" customWidth="1"/>
    <col min="15845" max="15845" width="6.42578125" style="95" customWidth="1"/>
    <col min="15846" max="15846" width="22" style="95" customWidth="1"/>
    <col min="15847" max="15847" width="7.5703125" style="95" bestFit="1" customWidth="1"/>
    <col min="15848" max="15848" width="4.42578125" style="95" customWidth="1"/>
    <col min="15849" max="15849" width="7.42578125" style="95" bestFit="1" customWidth="1"/>
    <col min="15850" max="15850" width="2.85546875" style="95" bestFit="1" customWidth="1"/>
    <col min="15851" max="15851" width="7" style="95" bestFit="1" customWidth="1"/>
    <col min="15852" max="15852" width="5.7109375" style="95" bestFit="1" customWidth="1"/>
    <col min="15853" max="15853" width="7.85546875" style="95" bestFit="1" customWidth="1"/>
    <col min="15854" max="15855" width="0" style="95" hidden="1" customWidth="1"/>
    <col min="15856" max="15856" width="12.5703125" style="95" customWidth="1"/>
    <col min="15857" max="15857" width="0" style="95" hidden="1" customWidth="1"/>
    <col min="15858" max="15858" width="11" style="95" customWidth="1"/>
    <col min="15859" max="15859" width="9.140625" style="95" customWidth="1"/>
    <col min="15860" max="15860" width="9.85546875" style="95" customWidth="1"/>
    <col min="15861" max="15864" width="0" style="95" hidden="1" customWidth="1"/>
    <col min="15865" max="15865" width="1.5703125" style="95" customWidth="1"/>
    <col min="15866" max="15868" width="0" style="95" hidden="1" customWidth="1"/>
    <col min="15869" max="15869" width="10.42578125" style="95" customWidth="1"/>
    <col min="15870" max="15871" width="11" style="95" customWidth="1"/>
    <col min="15872" max="15872" width="9.42578125" style="95" customWidth="1"/>
    <col min="15873" max="15873" width="10" style="95" customWidth="1"/>
    <col min="15874" max="15874" width="11" style="95" customWidth="1"/>
    <col min="15875" max="15875" width="9.5703125" style="95" customWidth="1"/>
    <col min="15876" max="15876" width="10.140625" style="95" customWidth="1"/>
    <col min="15877" max="15916" width="10.7109375" style="95" customWidth="1"/>
    <col min="15917" max="15917" width="1.85546875" style="95" bestFit="1" customWidth="1"/>
    <col min="15918" max="15918" width="34.5703125" style="95" bestFit="1" customWidth="1"/>
    <col min="15919" max="15920" width="10.7109375" style="95" customWidth="1"/>
    <col min="15921" max="15921" width="2.7109375" style="95" bestFit="1" customWidth="1"/>
    <col min="15922" max="15922" width="11.5703125" style="95" bestFit="1" customWidth="1"/>
    <col min="15923" max="16099" width="10.7109375" style="95"/>
    <col min="16100" max="16100" width="5.28515625" style="95" customWidth="1"/>
    <col min="16101" max="16101" width="6.42578125" style="95" customWidth="1"/>
    <col min="16102" max="16102" width="22" style="95" customWidth="1"/>
    <col min="16103" max="16103" width="7.5703125" style="95" bestFit="1" customWidth="1"/>
    <col min="16104" max="16104" width="4.42578125" style="95" customWidth="1"/>
    <col min="16105" max="16105" width="7.42578125" style="95" bestFit="1" customWidth="1"/>
    <col min="16106" max="16106" width="2.85546875" style="95" bestFit="1" customWidth="1"/>
    <col min="16107" max="16107" width="7" style="95" bestFit="1" customWidth="1"/>
    <col min="16108" max="16108" width="5.7109375" style="95" bestFit="1" customWidth="1"/>
    <col min="16109" max="16109" width="7.85546875" style="95" bestFit="1" customWidth="1"/>
    <col min="16110" max="16111" width="0" style="95" hidden="1" customWidth="1"/>
    <col min="16112" max="16112" width="12.5703125" style="95" customWidth="1"/>
    <col min="16113" max="16113" width="0" style="95" hidden="1" customWidth="1"/>
    <col min="16114" max="16114" width="11" style="95" customWidth="1"/>
    <col min="16115" max="16115" width="9.140625" style="95" customWidth="1"/>
    <col min="16116" max="16116" width="9.85546875" style="95" customWidth="1"/>
    <col min="16117" max="16120" width="0" style="95" hidden="1" customWidth="1"/>
    <col min="16121" max="16121" width="1.5703125" style="95" customWidth="1"/>
    <col min="16122" max="16124" width="0" style="95" hidden="1" customWidth="1"/>
    <col min="16125" max="16125" width="10.42578125" style="95" customWidth="1"/>
    <col min="16126" max="16127" width="11" style="95" customWidth="1"/>
    <col min="16128" max="16128" width="9.42578125" style="95" customWidth="1"/>
    <col min="16129" max="16129" width="10" style="95" customWidth="1"/>
    <col min="16130" max="16130" width="11" style="95" customWidth="1"/>
    <col min="16131" max="16131" width="9.5703125" style="95" customWidth="1"/>
    <col min="16132" max="16132" width="10.140625" style="95" customWidth="1"/>
    <col min="16133" max="16172" width="10.7109375" style="95" customWidth="1"/>
    <col min="16173" max="16173" width="1.85546875" style="95" bestFit="1" customWidth="1"/>
    <col min="16174" max="16174" width="34.5703125" style="95" bestFit="1" customWidth="1"/>
    <col min="16175" max="16176" width="10.7109375" style="95" customWidth="1"/>
    <col min="16177" max="16177" width="2.7109375" style="95" bestFit="1" customWidth="1"/>
    <col min="16178" max="16178" width="11.5703125" style="95" bestFit="1" customWidth="1"/>
    <col min="16179" max="16384" width="10.7109375" style="95"/>
  </cols>
  <sheetData>
    <row r="1" spans="1:50">
      <c r="B1" s="96" t="s">
        <v>33</v>
      </c>
      <c r="D1" s="1"/>
      <c r="E1" s="12"/>
      <c r="F1" s="31"/>
      <c r="G1" s="31"/>
    </row>
    <row r="2" spans="1:50">
      <c r="B2" s="96" t="s">
        <v>34</v>
      </c>
      <c r="D2" s="31"/>
      <c r="E2" s="164"/>
      <c r="F2" s="164"/>
      <c r="G2" s="165"/>
      <c r="N2" s="139">
        <f>+'FAR 12.2022'!AK5</f>
        <v>1</v>
      </c>
      <c r="O2" s="98" t="s">
        <v>1206</v>
      </c>
      <c r="AT2" s="95" t="s">
        <v>36</v>
      </c>
    </row>
    <row r="3" spans="1:50">
      <c r="B3" s="406">
        <f>'2120 Depr Summary'!H8</f>
        <v>44926</v>
      </c>
      <c r="C3" s="406"/>
      <c r="N3" s="139">
        <f>+'FAR 12.2022'!AK6</f>
        <v>12</v>
      </c>
      <c r="O3" s="98" t="s">
        <v>1207</v>
      </c>
    </row>
    <row r="4" spans="1:50" ht="11.25" customHeight="1">
      <c r="D4" s="1"/>
      <c r="N4" s="139">
        <f>+'FAR 12.2022'!AK7</f>
        <v>2022</v>
      </c>
      <c r="O4" s="98" t="s">
        <v>349</v>
      </c>
      <c r="AS4" s="95">
        <v>1</v>
      </c>
      <c r="AT4" s="95" t="s">
        <v>43</v>
      </c>
      <c r="AW4" s="95">
        <v>12</v>
      </c>
      <c r="AX4" s="95" t="s">
        <v>44</v>
      </c>
    </row>
    <row r="5" spans="1:50" ht="11.25" customHeight="1">
      <c r="N5" s="139">
        <f>+'FAR 12.2022'!AK8</f>
        <v>2022</v>
      </c>
      <c r="O5" s="98" t="s">
        <v>45</v>
      </c>
      <c r="AT5" s="95">
        <v>1993</v>
      </c>
      <c r="AW5" s="95">
        <v>0</v>
      </c>
      <c r="AX5" s="95" t="s">
        <v>48</v>
      </c>
    </row>
    <row r="6" spans="1:50">
      <c r="N6" s="98">
        <f>+'FAR 12.2022'!AK9</f>
        <v>2023</v>
      </c>
      <c r="O6" s="98" t="s">
        <v>1208</v>
      </c>
      <c r="AW6" s="95">
        <v>93</v>
      </c>
      <c r="AX6" s="95" t="s">
        <v>40</v>
      </c>
    </row>
    <row r="7" spans="1:50">
      <c r="N7" s="98">
        <f>+'FAR 12.2022'!AK10</f>
        <v>2022.0833333333333</v>
      </c>
      <c r="O7" s="98" t="s">
        <v>1209</v>
      </c>
      <c r="AW7" s="95">
        <v>94</v>
      </c>
      <c r="AX7" s="95" t="s">
        <v>53</v>
      </c>
    </row>
    <row r="8" spans="1:50">
      <c r="C8" s="99"/>
      <c r="D8" s="99"/>
      <c r="E8" s="99"/>
      <c r="F8" s="99"/>
      <c r="G8" s="102"/>
      <c r="H8" s="99"/>
      <c r="I8" s="99"/>
      <c r="J8" s="103"/>
      <c r="K8" s="103"/>
      <c r="R8" s="98" t="s">
        <v>2</v>
      </c>
      <c r="S8" s="98" t="s">
        <v>3</v>
      </c>
    </row>
    <row r="9" spans="1:50">
      <c r="B9" s="101"/>
      <c r="C9" s="101" t="s">
        <v>17</v>
      </c>
      <c r="D9" s="104" t="s">
        <v>56</v>
      </c>
      <c r="E9" s="101" t="s">
        <v>57</v>
      </c>
      <c r="F9" s="101"/>
      <c r="G9" s="105" t="s">
        <v>7</v>
      </c>
      <c r="H9" s="101" t="s">
        <v>17</v>
      </c>
      <c r="I9" s="101"/>
      <c r="J9" s="106" t="s">
        <v>58</v>
      </c>
      <c r="K9" s="106" t="s">
        <v>343</v>
      </c>
      <c r="L9" s="107" t="s">
        <v>17</v>
      </c>
      <c r="M9" s="107" t="s">
        <v>17</v>
      </c>
      <c r="N9" s="107"/>
      <c r="O9" s="107"/>
      <c r="P9" s="107"/>
      <c r="Q9" s="107"/>
      <c r="R9" s="107" t="s">
        <v>61</v>
      </c>
      <c r="S9" s="107" t="s">
        <v>61</v>
      </c>
      <c r="T9" s="107" t="s">
        <v>4</v>
      </c>
    </row>
    <row r="10" spans="1:50">
      <c r="B10" s="101"/>
      <c r="C10" s="101" t="s">
        <v>64</v>
      </c>
      <c r="D10" s="104"/>
      <c r="E10" s="101" t="s">
        <v>65</v>
      </c>
      <c r="F10" s="101"/>
      <c r="G10" s="105" t="s">
        <v>66</v>
      </c>
      <c r="H10" s="101" t="s">
        <v>67</v>
      </c>
      <c r="I10" s="101" t="s">
        <v>68</v>
      </c>
      <c r="J10" s="106" t="s">
        <v>69</v>
      </c>
      <c r="K10" s="106" t="s">
        <v>344</v>
      </c>
      <c r="L10" s="107" t="s">
        <v>59</v>
      </c>
      <c r="M10" s="107" t="s">
        <v>8</v>
      </c>
      <c r="N10" s="107" t="s">
        <v>71</v>
      </c>
      <c r="O10" s="107" t="s">
        <v>304</v>
      </c>
      <c r="P10" s="107" t="s">
        <v>73</v>
      </c>
      <c r="Q10" s="107"/>
      <c r="R10" s="107" t="s">
        <v>76</v>
      </c>
      <c r="S10" s="107" t="s">
        <v>76</v>
      </c>
      <c r="T10" s="107" t="s">
        <v>11</v>
      </c>
      <c r="AS10" s="95">
        <v>2</v>
      </c>
      <c r="AT10" s="95" t="s">
        <v>80</v>
      </c>
    </row>
    <row r="11" spans="1:50">
      <c r="A11" s="108" t="s">
        <v>81</v>
      </c>
      <c r="B11" s="108" t="s">
        <v>82</v>
      </c>
      <c r="C11" s="108" t="s">
        <v>83</v>
      </c>
      <c r="D11" s="109" t="s">
        <v>84</v>
      </c>
      <c r="E11" s="108" t="s">
        <v>58</v>
      </c>
      <c r="F11" s="108" t="s">
        <v>85</v>
      </c>
      <c r="G11" s="110" t="s">
        <v>60</v>
      </c>
      <c r="H11" s="108" t="s">
        <v>87</v>
      </c>
      <c r="I11" s="108" t="s">
        <v>88</v>
      </c>
      <c r="J11" s="111" t="s">
        <v>8</v>
      </c>
      <c r="K11" s="111" t="s">
        <v>8</v>
      </c>
      <c r="L11" s="112" t="s">
        <v>6</v>
      </c>
      <c r="M11" s="112" t="s">
        <v>6</v>
      </c>
      <c r="N11" s="112" t="s">
        <v>8</v>
      </c>
      <c r="O11" s="112" t="s">
        <v>8</v>
      </c>
      <c r="P11" s="112" t="s">
        <v>89</v>
      </c>
      <c r="Q11" s="112"/>
      <c r="R11" s="146">
        <f>'2120 Depr Summary'!F8</f>
        <v>44562</v>
      </c>
      <c r="S11" s="146">
        <f>+B3</f>
        <v>44926</v>
      </c>
      <c r="T11" s="146">
        <f>+B3</f>
        <v>44926</v>
      </c>
    </row>
    <row r="12" spans="1:50">
      <c r="C12" s="95" t="s">
        <v>94</v>
      </c>
      <c r="D12" s="113" t="s">
        <v>95</v>
      </c>
      <c r="E12" s="100">
        <v>2001</v>
      </c>
      <c r="F12" s="95">
        <v>1</v>
      </c>
      <c r="G12" s="114">
        <v>0</v>
      </c>
      <c r="H12" s="100" t="s">
        <v>92</v>
      </c>
      <c r="I12" s="100">
        <v>7</v>
      </c>
      <c r="J12" s="103">
        <f t="shared" ref="J12:J32" si="0">E12+I12</f>
        <v>2008</v>
      </c>
      <c r="K12" s="142">
        <f>+J12+(F12/12)</f>
        <v>2008.0833333333333</v>
      </c>
      <c r="L12" s="115">
        <v>2788.98</v>
      </c>
      <c r="M12" s="115">
        <f t="shared" ref="M12:M28" si="1">L12-L12*G12</f>
        <v>2788.98</v>
      </c>
      <c r="N12" s="115">
        <f>M12/I12/12</f>
        <v>33.202142857142853</v>
      </c>
      <c r="O12" s="115">
        <f>+N12*12</f>
        <v>398.42571428571421</v>
      </c>
      <c r="P12" s="115">
        <f>+IF($K12&lt;$N$7,0,IF($K12&gt;$N$6,$O12,((($K12-$N$7)*12)*$N12)))</f>
        <v>0</v>
      </c>
      <c r="Q12" s="115"/>
      <c r="R12" s="115">
        <f>+IF($K12&lt;=$N$7,$L12,IF(($E12+($F12/12))&gt;=$N$7,0,((($M12-((($K12-$N$7)*12)*$N12))))))</f>
        <v>2788.98</v>
      </c>
      <c r="S12" s="115">
        <f>+IF(P12=0,R12,R12+P12)</f>
        <v>2788.98</v>
      </c>
      <c r="T12" s="115">
        <f>+L12-S12</f>
        <v>0</v>
      </c>
    </row>
    <row r="13" spans="1:50" s="1" customFormat="1">
      <c r="C13" s="1" t="s">
        <v>106</v>
      </c>
      <c r="D13" s="27" t="s">
        <v>107</v>
      </c>
      <c r="E13" s="10">
        <v>2010</v>
      </c>
      <c r="F13" s="1">
        <v>1</v>
      </c>
      <c r="G13" s="28">
        <v>0</v>
      </c>
      <c r="H13" s="10" t="s">
        <v>92</v>
      </c>
      <c r="I13" s="10">
        <v>7</v>
      </c>
      <c r="J13" s="14">
        <f t="shared" si="0"/>
        <v>2017</v>
      </c>
      <c r="K13" s="143">
        <f t="shared" ref="K13:K31" si="2">+J13+(F13/12)</f>
        <v>2017.0833333333333</v>
      </c>
      <c r="L13" s="29">
        <f>+'2120 Depr - Orig'!P22</f>
        <v>10563.688</v>
      </c>
      <c r="M13" s="29">
        <f t="shared" si="1"/>
        <v>10563.688</v>
      </c>
      <c r="N13" s="29">
        <f t="shared" ref="N13:N36" si="3">M13/I13/12</f>
        <v>125.75819047619048</v>
      </c>
      <c r="O13" s="29">
        <f t="shared" ref="O13:O36" si="4">+N13*12</f>
        <v>1509.0982857142858</v>
      </c>
      <c r="P13" s="29">
        <f t="shared" ref="P13:P36" si="5">+IF($K13&lt;$N$7,0,IF($K13&gt;$N$6,$O13,((($K13-$N$7)*12)*$N13)))</f>
        <v>0</v>
      </c>
      <c r="Q13" s="29"/>
      <c r="R13" s="29">
        <f t="shared" ref="R13:R36" si="6">+IF($K13&lt;=$N$7,$L13,IF(($E13+($F13/12))&gt;=$N$7,0,((($M13-((($K13-$N$7)*12)*$N13))))))</f>
        <v>10563.688</v>
      </c>
      <c r="S13" s="29">
        <f t="shared" ref="S13:S36" si="7">+IF(P13=0,R13,R13+P13)</f>
        <v>10563.688</v>
      </c>
      <c r="T13" s="29">
        <f t="shared" ref="T13:T36" si="8">+L13-S13</f>
        <v>0</v>
      </c>
    </row>
    <row r="14" spans="1:50" s="228" customFormat="1">
      <c r="D14" s="229" t="s">
        <v>319</v>
      </c>
      <c r="E14" s="230">
        <v>2017</v>
      </c>
      <c r="F14" s="228">
        <v>1</v>
      </c>
      <c r="G14" s="231">
        <v>0</v>
      </c>
      <c r="H14" s="230" t="s">
        <v>92</v>
      </c>
      <c r="I14" s="230">
        <v>3</v>
      </c>
      <c r="J14" s="232">
        <f t="shared" si="0"/>
        <v>2020</v>
      </c>
      <c r="K14" s="233">
        <f t="shared" si="2"/>
        <v>2020.0833333333333</v>
      </c>
      <c r="L14" s="234">
        <f>+'2120 Depr - Orig'!N22-'Truck Depr - w Salvage '!L13</f>
        <v>2640.9220000000005</v>
      </c>
      <c r="M14" s="234">
        <f t="shared" si="1"/>
        <v>2640.9220000000005</v>
      </c>
      <c r="N14" s="234">
        <f t="shared" si="3"/>
        <v>73.358944444444461</v>
      </c>
      <c r="O14" s="234">
        <f t="shared" si="4"/>
        <v>880.30733333333353</v>
      </c>
      <c r="P14" s="234">
        <f t="shared" si="5"/>
        <v>0</v>
      </c>
      <c r="Q14" s="234"/>
      <c r="R14" s="234">
        <f t="shared" si="6"/>
        <v>2640.9220000000005</v>
      </c>
      <c r="S14" s="234">
        <f t="shared" si="7"/>
        <v>2640.9220000000005</v>
      </c>
      <c r="T14" s="234">
        <f t="shared" si="8"/>
        <v>0</v>
      </c>
    </row>
    <row r="15" spans="1:50" s="1" customFormat="1">
      <c r="A15" s="1">
        <v>1</v>
      </c>
      <c r="D15" s="27" t="s">
        <v>108</v>
      </c>
      <c r="E15" s="10">
        <v>2010</v>
      </c>
      <c r="F15" s="1">
        <v>8</v>
      </c>
      <c r="G15" s="28">
        <v>0</v>
      </c>
      <c r="H15" s="10" t="s">
        <v>92</v>
      </c>
      <c r="I15" s="10">
        <v>7</v>
      </c>
      <c r="J15" s="14">
        <f t="shared" si="0"/>
        <v>2017</v>
      </c>
      <c r="K15" s="143">
        <f t="shared" si="2"/>
        <v>2017.6666666666667</v>
      </c>
      <c r="L15" s="29">
        <f>+'2120 Depr - Orig'!P23</f>
        <v>11390.072</v>
      </c>
      <c r="M15" s="29">
        <f t="shared" si="1"/>
        <v>11390.072</v>
      </c>
      <c r="N15" s="29">
        <f t="shared" si="3"/>
        <v>135.59609523809524</v>
      </c>
      <c r="O15" s="29">
        <f t="shared" si="4"/>
        <v>1627.1531428571429</v>
      </c>
      <c r="P15" s="29">
        <f t="shared" si="5"/>
        <v>0</v>
      </c>
      <c r="Q15" s="29"/>
      <c r="R15" s="29">
        <f t="shared" si="6"/>
        <v>11390.072</v>
      </c>
      <c r="S15" s="29">
        <f t="shared" si="7"/>
        <v>11390.072</v>
      </c>
      <c r="T15" s="29">
        <f t="shared" si="8"/>
        <v>0</v>
      </c>
    </row>
    <row r="16" spans="1:50" s="228" customFormat="1">
      <c r="D16" s="229" t="s">
        <v>320</v>
      </c>
      <c r="E16" s="230">
        <v>2017</v>
      </c>
      <c r="F16" s="228">
        <v>1</v>
      </c>
      <c r="G16" s="231">
        <v>0</v>
      </c>
      <c r="H16" s="230" t="s">
        <v>92</v>
      </c>
      <c r="I16" s="230">
        <v>3</v>
      </c>
      <c r="J16" s="232">
        <f t="shared" si="0"/>
        <v>2020</v>
      </c>
      <c r="K16" s="233">
        <f t="shared" si="2"/>
        <v>2020.0833333333333</v>
      </c>
      <c r="L16" s="234">
        <f>+'2120 Depr - Orig'!N23-'Truck Depr - w Salvage '!L15</f>
        <v>2847.518</v>
      </c>
      <c r="M16" s="234">
        <f t="shared" si="1"/>
        <v>2847.518</v>
      </c>
      <c r="N16" s="234">
        <f t="shared" si="3"/>
        <v>79.097722222222231</v>
      </c>
      <c r="O16" s="234">
        <f t="shared" si="4"/>
        <v>949.17266666666683</v>
      </c>
      <c r="P16" s="234">
        <f t="shared" si="5"/>
        <v>0</v>
      </c>
      <c r="Q16" s="234"/>
      <c r="R16" s="234">
        <f t="shared" si="6"/>
        <v>2847.518</v>
      </c>
      <c r="S16" s="234">
        <f t="shared" si="7"/>
        <v>2847.518</v>
      </c>
      <c r="T16" s="234">
        <f t="shared" si="8"/>
        <v>0</v>
      </c>
    </row>
    <row r="17" spans="1:24" s="1" customFormat="1">
      <c r="A17" s="1">
        <v>1</v>
      </c>
      <c r="B17" s="1">
        <v>11</v>
      </c>
      <c r="C17" s="1" t="s">
        <v>111</v>
      </c>
      <c r="D17" s="27" t="s">
        <v>112</v>
      </c>
      <c r="E17" s="10">
        <v>2012</v>
      </c>
      <c r="F17" s="1">
        <v>7</v>
      </c>
      <c r="G17" s="28">
        <v>0</v>
      </c>
      <c r="H17" s="10" t="s">
        <v>92</v>
      </c>
      <c r="I17" s="10">
        <v>5</v>
      </c>
      <c r="J17" s="14">
        <f t="shared" si="0"/>
        <v>2017</v>
      </c>
      <c r="K17" s="143">
        <f t="shared" si="2"/>
        <v>2017.5833333333333</v>
      </c>
      <c r="L17" s="29">
        <f>+'2120 Depr - Orig'!P25</f>
        <v>116209.48999999999</v>
      </c>
      <c r="M17" s="29">
        <f t="shared" si="1"/>
        <v>116209.48999999999</v>
      </c>
      <c r="N17" s="29">
        <f t="shared" si="3"/>
        <v>1936.8248333333331</v>
      </c>
      <c r="O17" s="29">
        <f t="shared" si="4"/>
        <v>23241.897999999997</v>
      </c>
      <c r="P17" s="29">
        <f t="shared" si="5"/>
        <v>0</v>
      </c>
      <c r="Q17" s="29"/>
      <c r="R17" s="29">
        <f t="shared" si="6"/>
        <v>116209.48999999999</v>
      </c>
      <c r="S17" s="29">
        <f t="shared" si="7"/>
        <v>116209.48999999999</v>
      </c>
      <c r="T17" s="29">
        <f t="shared" si="8"/>
        <v>0</v>
      </c>
    </row>
    <row r="18" spans="1:24" s="228" customFormat="1">
      <c r="B18" s="228">
        <v>11</v>
      </c>
      <c r="D18" s="229" t="s">
        <v>321</v>
      </c>
      <c r="E18" s="230">
        <v>2017</v>
      </c>
      <c r="F18" s="228">
        <v>1</v>
      </c>
      <c r="G18" s="231">
        <v>0</v>
      </c>
      <c r="H18" s="230" t="s">
        <v>92</v>
      </c>
      <c r="I18" s="230">
        <v>3</v>
      </c>
      <c r="J18" s="232">
        <f t="shared" si="0"/>
        <v>2020</v>
      </c>
      <c r="K18" s="233">
        <f t="shared" si="2"/>
        <v>2020.0833333333333</v>
      </c>
      <c r="L18" s="234">
        <f>+'2120 Depr - Orig'!N25-'Truck Depr - w Salvage '!L17</f>
        <v>57237.510000000009</v>
      </c>
      <c r="M18" s="234">
        <f t="shared" si="1"/>
        <v>57237.510000000009</v>
      </c>
      <c r="N18" s="234">
        <f t="shared" si="3"/>
        <v>1589.9308333333336</v>
      </c>
      <c r="O18" s="234">
        <f t="shared" si="4"/>
        <v>19079.170000000002</v>
      </c>
      <c r="P18" s="234">
        <f t="shared" si="5"/>
        <v>0</v>
      </c>
      <c r="Q18" s="234"/>
      <c r="R18" s="234">
        <f t="shared" si="6"/>
        <v>57237.510000000009</v>
      </c>
      <c r="S18" s="234">
        <f t="shared" si="7"/>
        <v>57237.510000000009</v>
      </c>
      <c r="T18" s="234">
        <f t="shared" si="8"/>
        <v>0</v>
      </c>
    </row>
    <row r="19" spans="1:24" s="1" customFormat="1">
      <c r="A19" s="1">
        <v>118506</v>
      </c>
      <c r="B19" s="1">
        <v>11</v>
      </c>
      <c r="C19" s="1" t="s">
        <v>111</v>
      </c>
      <c r="D19" s="27" t="s">
        <v>113</v>
      </c>
      <c r="E19" s="10">
        <v>2014</v>
      </c>
      <c r="F19" s="1">
        <v>11</v>
      </c>
      <c r="G19" s="28">
        <v>0</v>
      </c>
      <c r="H19" s="10" t="s">
        <v>92</v>
      </c>
      <c r="I19" s="10">
        <v>3</v>
      </c>
      <c r="J19" s="14">
        <f t="shared" si="0"/>
        <v>2017</v>
      </c>
      <c r="K19" s="143">
        <f t="shared" si="2"/>
        <v>2017.9166666666667</v>
      </c>
      <c r="L19" s="29">
        <v>18065.71</v>
      </c>
      <c r="M19" s="29">
        <f t="shared" si="1"/>
        <v>18065.71</v>
      </c>
      <c r="N19" s="29">
        <f t="shared" si="3"/>
        <v>501.82527777777773</v>
      </c>
      <c r="O19" s="29">
        <f t="shared" si="4"/>
        <v>6021.9033333333327</v>
      </c>
      <c r="P19" s="29">
        <f t="shared" si="5"/>
        <v>0</v>
      </c>
      <c r="Q19" s="29"/>
      <c r="R19" s="29">
        <f t="shared" si="6"/>
        <v>18065.71</v>
      </c>
      <c r="S19" s="29">
        <f t="shared" si="7"/>
        <v>18065.71</v>
      </c>
      <c r="T19" s="29">
        <f t="shared" si="8"/>
        <v>0</v>
      </c>
    </row>
    <row r="20" spans="1:24" s="1" customFormat="1">
      <c r="A20" s="1">
        <v>125547</v>
      </c>
      <c r="B20" s="1">
        <v>14</v>
      </c>
      <c r="C20" s="1" t="s">
        <v>111</v>
      </c>
      <c r="D20" s="27" t="s">
        <v>114</v>
      </c>
      <c r="E20" s="10">
        <v>2015</v>
      </c>
      <c r="F20" s="1">
        <v>9</v>
      </c>
      <c r="G20" s="28">
        <v>0</v>
      </c>
      <c r="H20" s="10" t="s">
        <v>92</v>
      </c>
      <c r="I20" s="10">
        <v>7</v>
      </c>
      <c r="J20" s="14">
        <f t="shared" si="0"/>
        <v>2022</v>
      </c>
      <c r="K20" s="143">
        <f t="shared" si="2"/>
        <v>2022.75</v>
      </c>
      <c r="L20" s="29">
        <f>+'2120 Depr - Orig'!P27</f>
        <v>193211.45600000001</v>
      </c>
      <c r="M20" s="29">
        <f t="shared" si="1"/>
        <v>193211.45600000001</v>
      </c>
      <c r="N20" s="29">
        <f t="shared" si="3"/>
        <v>2300.1363809523809</v>
      </c>
      <c r="O20" s="29">
        <f t="shared" si="4"/>
        <v>27601.636571428571</v>
      </c>
      <c r="P20" s="29">
        <f t="shared" si="5"/>
        <v>18401.091047621139</v>
      </c>
      <c r="Q20" s="29"/>
      <c r="R20" s="29">
        <f t="shared" si="6"/>
        <v>174810.36495237888</v>
      </c>
      <c r="S20" s="29">
        <f t="shared" si="7"/>
        <v>193211.45600000001</v>
      </c>
      <c r="T20" s="29">
        <f t="shared" si="8"/>
        <v>0</v>
      </c>
      <c r="V20" s="141"/>
      <c r="W20" s="141"/>
      <c r="X20" s="29"/>
    </row>
    <row r="21" spans="1:24" s="228" customFormat="1">
      <c r="B21" s="228">
        <v>14</v>
      </c>
      <c r="D21" s="229" t="s">
        <v>322</v>
      </c>
      <c r="E21" s="230">
        <v>2017</v>
      </c>
      <c r="F21" s="228">
        <v>1</v>
      </c>
      <c r="G21" s="231">
        <v>0</v>
      </c>
      <c r="H21" s="230" t="s">
        <v>92</v>
      </c>
      <c r="I21" s="230">
        <v>3</v>
      </c>
      <c r="J21" s="232">
        <f t="shared" si="0"/>
        <v>2020</v>
      </c>
      <c r="K21" s="233">
        <f t="shared" si="2"/>
        <v>2020.0833333333333</v>
      </c>
      <c r="L21" s="234">
        <f>+'2120 Depr - Orig'!N27-'Truck Depr - w Salvage '!L20</f>
        <v>48302.864000000001</v>
      </c>
      <c r="M21" s="234">
        <f t="shared" si="1"/>
        <v>48302.864000000001</v>
      </c>
      <c r="N21" s="234">
        <f t="shared" si="3"/>
        <v>1341.7462222222223</v>
      </c>
      <c r="O21" s="234">
        <f t="shared" si="4"/>
        <v>16100.954666666668</v>
      </c>
      <c r="P21" s="234">
        <f t="shared" si="5"/>
        <v>0</v>
      </c>
      <c r="Q21" s="234"/>
      <c r="R21" s="234">
        <f t="shared" si="6"/>
        <v>48302.864000000001</v>
      </c>
      <c r="S21" s="234">
        <f t="shared" si="7"/>
        <v>48302.864000000001</v>
      </c>
      <c r="T21" s="234">
        <f t="shared" si="8"/>
        <v>0</v>
      </c>
    </row>
    <row r="22" spans="1:24" s="1" customFormat="1">
      <c r="A22" s="1">
        <v>129371</v>
      </c>
      <c r="B22" s="1">
        <v>16</v>
      </c>
      <c r="C22" s="1" t="s">
        <v>111</v>
      </c>
      <c r="D22" s="27" t="s">
        <v>116</v>
      </c>
      <c r="E22" s="10">
        <v>2016</v>
      </c>
      <c r="F22" s="1">
        <v>1</v>
      </c>
      <c r="G22" s="28">
        <v>0</v>
      </c>
      <c r="H22" s="10" t="s">
        <v>92</v>
      </c>
      <c r="I22" s="10">
        <v>7</v>
      </c>
      <c r="J22" s="14">
        <f t="shared" si="0"/>
        <v>2023</v>
      </c>
      <c r="K22" s="143">
        <f t="shared" si="2"/>
        <v>2023.0833333333333</v>
      </c>
      <c r="L22" s="29">
        <f>+'2120 Depr - Orig'!P29</f>
        <v>204637.45600000001</v>
      </c>
      <c r="M22" s="29">
        <f t="shared" si="1"/>
        <v>204637.45600000001</v>
      </c>
      <c r="N22" s="29">
        <f t="shared" si="3"/>
        <v>2436.1601904761906</v>
      </c>
      <c r="O22" s="29">
        <f t="shared" si="4"/>
        <v>29233.922285714289</v>
      </c>
      <c r="P22" s="29">
        <f t="shared" si="5"/>
        <v>29233.922285714289</v>
      </c>
      <c r="Q22" s="29"/>
      <c r="R22" s="29">
        <f t="shared" si="6"/>
        <v>175403.5337142857</v>
      </c>
      <c r="S22" s="29">
        <f t="shared" si="7"/>
        <v>204637.45600000001</v>
      </c>
      <c r="T22" s="29">
        <f t="shared" si="8"/>
        <v>0</v>
      </c>
      <c r="V22" s="141"/>
      <c r="W22" s="141"/>
      <c r="X22" s="29"/>
    </row>
    <row r="23" spans="1:24" s="228" customFormat="1">
      <c r="B23" s="228">
        <v>16</v>
      </c>
      <c r="D23" s="229" t="s">
        <v>323</v>
      </c>
      <c r="E23" s="230">
        <v>2017</v>
      </c>
      <c r="F23" s="228">
        <v>1</v>
      </c>
      <c r="G23" s="231">
        <v>0</v>
      </c>
      <c r="H23" s="230" t="s">
        <v>92</v>
      </c>
      <c r="I23" s="230">
        <v>3</v>
      </c>
      <c r="J23" s="232">
        <f t="shared" si="0"/>
        <v>2020</v>
      </c>
      <c r="K23" s="233">
        <f t="shared" si="2"/>
        <v>2020.0833333333333</v>
      </c>
      <c r="L23" s="234">
        <f>+'2120 Depr - Orig'!N29-'Truck Depr - w Salvage '!L22</f>
        <v>51159.364000000001</v>
      </c>
      <c r="M23" s="234">
        <f t="shared" si="1"/>
        <v>51159.364000000001</v>
      </c>
      <c r="N23" s="234">
        <f t="shared" si="3"/>
        <v>1421.0934444444445</v>
      </c>
      <c r="O23" s="234">
        <f t="shared" si="4"/>
        <v>17053.121333333333</v>
      </c>
      <c r="P23" s="234">
        <f t="shared" si="5"/>
        <v>0</v>
      </c>
      <c r="Q23" s="234"/>
      <c r="R23" s="234">
        <f t="shared" si="6"/>
        <v>51159.364000000001</v>
      </c>
      <c r="S23" s="234">
        <f t="shared" si="7"/>
        <v>51159.364000000001</v>
      </c>
      <c r="T23" s="234">
        <f t="shared" si="8"/>
        <v>0</v>
      </c>
    </row>
    <row r="24" spans="1:24" s="1" customFormat="1">
      <c r="A24" s="1" t="s">
        <v>291</v>
      </c>
      <c r="D24" s="27" t="s">
        <v>290</v>
      </c>
      <c r="E24" s="10">
        <v>2016</v>
      </c>
      <c r="F24" s="1">
        <v>6</v>
      </c>
      <c r="G24" s="28">
        <v>0</v>
      </c>
      <c r="H24" s="10" t="s">
        <v>92</v>
      </c>
      <c r="I24" s="10">
        <v>1</v>
      </c>
      <c r="J24" s="14">
        <f t="shared" si="0"/>
        <v>2017</v>
      </c>
      <c r="K24" s="143">
        <f t="shared" si="2"/>
        <v>2017.5</v>
      </c>
      <c r="L24" s="29">
        <f>2532.91+3828.11</f>
        <v>6361.02</v>
      </c>
      <c r="M24" s="29">
        <f t="shared" si="1"/>
        <v>6361.02</v>
      </c>
      <c r="N24" s="29">
        <f t="shared" si="3"/>
        <v>530.08500000000004</v>
      </c>
      <c r="O24" s="29">
        <f t="shared" si="4"/>
        <v>6361.02</v>
      </c>
      <c r="P24" s="29">
        <f t="shared" si="5"/>
        <v>0</v>
      </c>
      <c r="Q24" s="29"/>
      <c r="R24" s="29">
        <f t="shared" si="6"/>
        <v>6361.02</v>
      </c>
      <c r="S24" s="29">
        <f t="shared" si="7"/>
        <v>6361.02</v>
      </c>
      <c r="T24" s="29">
        <f t="shared" si="8"/>
        <v>0</v>
      </c>
    </row>
    <row r="25" spans="1:24" s="228" customFormat="1">
      <c r="B25" s="228">
        <v>74</v>
      </c>
      <c r="D25" s="229" t="s">
        <v>330</v>
      </c>
      <c r="E25" s="230">
        <v>2017</v>
      </c>
      <c r="F25" s="228">
        <v>1</v>
      </c>
      <c r="G25" s="231">
        <v>0</v>
      </c>
      <c r="H25" s="230" t="s">
        <v>92</v>
      </c>
      <c r="I25" s="230">
        <v>3</v>
      </c>
      <c r="J25" s="232">
        <f t="shared" si="0"/>
        <v>2020</v>
      </c>
      <c r="K25" s="233">
        <f t="shared" si="2"/>
        <v>2020.0833333333333</v>
      </c>
      <c r="L25" s="234">
        <f>+'2120 Depr - Orig'!N15-'Truck Depr - w Salvage '!L101</f>
        <v>20031.199999999997</v>
      </c>
      <c r="M25" s="234">
        <f t="shared" si="1"/>
        <v>20031.199999999997</v>
      </c>
      <c r="N25" s="234">
        <f t="shared" si="3"/>
        <v>556.4222222222221</v>
      </c>
      <c r="O25" s="234">
        <f t="shared" si="4"/>
        <v>6677.0666666666657</v>
      </c>
      <c r="P25" s="234">
        <f t="shared" si="5"/>
        <v>0</v>
      </c>
      <c r="Q25" s="234"/>
      <c r="R25" s="234">
        <f t="shared" si="6"/>
        <v>20031.199999999997</v>
      </c>
      <c r="S25" s="234">
        <f t="shared" si="7"/>
        <v>20031.199999999997</v>
      </c>
      <c r="T25" s="234">
        <f t="shared" si="8"/>
        <v>0</v>
      </c>
    </row>
    <row r="26" spans="1:24" s="1" customFormat="1">
      <c r="A26" s="1" t="s">
        <v>345</v>
      </c>
      <c r="B26" s="1">
        <v>18</v>
      </c>
      <c r="C26" s="1" t="s">
        <v>111</v>
      </c>
      <c r="D26" s="27" t="s">
        <v>346</v>
      </c>
      <c r="E26" s="10">
        <v>2018</v>
      </c>
      <c r="F26" s="1">
        <v>5</v>
      </c>
      <c r="G26" s="28">
        <v>0</v>
      </c>
      <c r="H26" s="10" t="s">
        <v>92</v>
      </c>
      <c r="I26" s="10">
        <v>10</v>
      </c>
      <c r="J26" s="14">
        <f t="shared" si="0"/>
        <v>2028</v>
      </c>
      <c r="K26" s="143">
        <f t="shared" ref="K26" si="9">+J26+(F26/12)</f>
        <v>2028.4166666666667</v>
      </c>
      <c r="L26" s="29">
        <f>249922.9+745.28+672.33</f>
        <v>251340.50999999998</v>
      </c>
      <c r="M26" s="29">
        <f t="shared" si="1"/>
        <v>251340.50999999998</v>
      </c>
      <c r="N26" s="29">
        <f t="shared" si="3"/>
        <v>2094.50425</v>
      </c>
      <c r="O26" s="29">
        <f t="shared" si="4"/>
        <v>25134.050999999999</v>
      </c>
      <c r="P26" s="29">
        <f t="shared" si="5"/>
        <v>25134.050999999999</v>
      </c>
      <c r="Q26" s="29"/>
      <c r="R26" s="29">
        <f t="shared" si="6"/>
        <v>92158.186999996164</v>
      </c>
      <c r="S26" s="29">
        <f t="shared" si="7"/>
        <v>117292.23799999617</v>
      </c>
      <c r="T26" s="29">
        <f t="shared" si="8"/>
        <v>134048.27200000381</v>
      </c>
      <c r="V26" s="141"/>
    </row>
    <row r="27" spans="1:24" s="1" customFormat="1">
      <c r="A27" s="1" t="s">
        <v>347</v>
      </c>
      <c r="B27" s="1">
        <v>18</v>
      </c>
      <c r="D27" s="27" t="s">
        <v>348</v>
      </c>
      <c r="E27" s="10">
        <v>2018</v>
      </c>
      <c r="F27" s="1">
        <v>5</v>
      </c>
      <c r="G27" s="28">
        <v>0</v>
      </c>
      <c r="H27" s="10" t="s">
        <v>92</v>
      </c>
      <c r="I27" s="10">
        <v>5</v>
      </c>
      <c r="J27" s="14">
        <f t="shared" si="0"/>
        <v>2023</v>
      </c>
      <c r="K27" s="143">
        <f t="shared" ref="K27" si="10">+J27+(F27/12)</f>
        <v>2023.4166666666667</v>
      </c>
      <c r="L27" s="29">
        <f>487.27+679.14</f>
        <v>1166.4099999999999</v>
      </c>
      <c r="M27" s="29">
        <f t="shared" si="1"/>
        <v>1166.4099999999999</v>
      </c>
      <c r="N27" s="29">
        <f t="shared" si="3"/>
        <v>19.440166666666666</v>
      </c>
      <c r="O27" s="29">
        <f t="shared" si="4"/>
        <v>233.28199999999998</v>
      </c>
      <c r="P27" s="29">
        <f t="shared" si="5"/>
        <v>233.28199999999998</v>
      </c>
      <c r="Q27" s="29"/>
      <c r="R27" s="29">
        <f t="shared" si="6"/>
        <v>855.36733333329789</v>
      </c>
      <c r="S27" s="29">
        <f t="shared" si="7"/>
        <v>1088.6493333332978</v>
      </c>
      <c r="T27" s="29">
        <f t="shared" si="8"/>
        <v>77.760666666702036</v>
      </c>
      <c r="V27" s="141"/>
    </row>
    <row r="28" spans="1:24" s="1" customFormat="1">
      <c r="A28" s="1" t="s">
        <v>350</v>
      </c>
      <c r="B28" s="1">
        <v>19</v>
      </c>
      <c r="C28" s="1" t="s">
        <v>111</v>
      </c>
      <c r="D28" s="27" t="s">
        <v>346</v>
      </c>
      <c r="E28" s="10">
        <v>2018</v>
      </c>
      <c r="F28" s="1">
        <v>7</v>
      </c>
      <c r="G28" s="28">
        <v>0</v>
      </c>
      <c r="H28" s="10" t="s">
        <v>92</v>
      </c>
      <c r="I28" s="10">
        <v>10</v>
      </c>
      <c r="J28" s="14">
        <f t="shared" si="0"/>
        <v>2028</v>
      </c>
      <c r="K28" s="143">
        <f t="shared" si="2"/>
        <v>2028.5833333333333</v>
      </c>
      <c r="L28" s="29">
        <f>251171.24+745.28</f>
        <v>251916.52</v>
      </c>
      <c r="M28" s="29">
        <f t="shared" si="1"/>
        <v>251916.52</v>
      </c>
      <c r="N28" s="29">
        <f t="shared" si="3"/>
        <v>2099.304333333333</v>
      </c>
      <c r="O28" s="29">
        <f t="shared" si="4"/>
        <v>25191.651999999995</v>
      </c>
      <c r="P28" s="29">
        <f t="shared" si="5"/>
        <v>25191.651999999995</v>
      </c>
      <c r="Q28" s="29"/>
      <c r="R28" s="29">
        <f t="shared" si="6"/>
        <v>88170.782000000007</v>
      </c>
      <c r="S28" s="29">
        <f t="shared" si="7"/>
        <v>113362.43400000001</v>
      </c>
      <c r="T28" s="29">
        <f t="shared" si="8"/>
        <v>138554.08599999998</v>
      </c>
    </row>
    <row r="29" spans="1:24" s="228" customFormat="1">
      <c r="D29" s="229" t="s">
        <v>368</v>
      </c>
      <c r="E29" s="230">
        <v>2017</v>
      </c>
      <c r="F29" s="228">
        <v>1</v>
      </c>
      <c r="G29" s="231">
        <v>0</v>
      </c>
      <c r="H29" s="230" t="s">
        <v>92</v>
      </c>
      <c r="I29" s="230">
        <v>3</v>
      </c>
      <c r="J29" s="232">
        <f t="shared" si="0"/>
        <v>2020</v>
      </c>
      <c r="K29" s="233">
        <f t="shared" si="2"/>
        <v>2020.0833333333333</v>
      </c>
      <c r="L29" s="234">
        <f>+L113</f>
        <v>19000</v>
      </c>
      <c r="M29" s="234">
        <f t="shared" ref="M29" si="11">L29-L29*G29</f>
        <v>19000</v>
      </c>
      <c r="N29" s="234">
        <f t="shared" si="3"/>
        <v>527.77777777777771</v>
      </c>
      <c r="O29" s="234">
        <f t="shared" si="4"/>
        <v>6333.3333333333321</v>
      </c>
      <c r="P29" s="234">
        <f t="shared" si="5"/>
        <v>0</v>
      </c>
      <c r="Q29" s="234"/>
      <c r="R29" s="234">
        <f t="shared" si="6"/>
        <v>19000</v>
      </c>
      <c r="S29" s="234">
        <f t="shared" si="7"/>
        <v>19000</v>
      </c>
      <c r="T29" s="234">
        <f t="shared" si="8"/>
        <v>0</v>
      </c>
    </row>
    <row r="30" spans="1:24" s="1" customFormat="1">
      <c r="A30" s="1" t="s">
        <v>388</v>
      </c>
      <c r="B30" s="1">
        <v>20</v>
      </c>
      <c r="D30" s="27" t="s">
        <v>389</v>
      </c>
      <c r="E30" s="10">
        <v>2020</v>
      </c>
      <c r="F30" s="1">
        <v>3</v>
      </c>
      <c r="G30" s="28">
        <v>0</v>
      </c>
      <c r="H30" s="10" t="s">
        <v>92</v>
      </c>
      <c r="I30" s="10">
        <v>10</v>
      </c>
      <c r="J30" s="14">
        <f t="shared" si="0"/>
        <v>2030</v>
      </c>
      <c r="K30" s="143">
        <f t="shared" si="2"/>
        <v>2030.25</v>
      </c>
      <c r="L30" s="29">
        <f>251005.24+800.42+575.43</f>
        <v>252381.09</v>
      </c>
      <c r="M30" s="29">
        <f t="shared" ref="M30" si="12">L30-L30*G30</f>
        <v>252381.09</v>
      </c>
      <c r="N30" s="29">
        <f t="shared" si="3"/>
        <v>2103.1757499999999</v>
      </c>
      <c r="O30" s="29">
        <f t="shared" si="4"/>
        <v>25238.108999999997</v>
      </c>
      <c r="P30" s="29">
        <f t="shared" si="5"/>
        <v>25238.108999999997</v>
      </c>
      <c r="Q30" s="29"/>
      <c r="R30" s="29">
        <f t="shared" si="6"/>
        <v>46269.866499998083</v>
      </c>
      <c r="S30" s="29">
        <f t="shared" si="7"/>
        <v>71507.97549999808</v>
      </c>
      <c r="T30" s="29">
        <f t="shared" si="8"/>
        <v>180873.11450000192</v>
      </c>
    </row>
    <row r="31" spans="1:24" s="1" customFormat="1">
      <c r="A31" s="1" t="s">
        <v>390</v>
      </c>
      <c r="B31" s="1">
        <v>20</v>
      </c>
      <c r="D31" s="27" t="s">
        <v>391</v>
      </c>
      <c r="E31" s="10">
        <v>2020</v>
      </c>
      <c r="F31" s="1">
        <v>3</v>
      </c>
      <c r="G31" s="28">
        <v>0</v>
      </c>
      <c r="H31" s="10" t="s">
        <v>92</v>
      </c>
      <c r="I31" s="10">
        <v>5</v>
      </c>
      <c r="J31" s="14">
        <f t="shared" si="0"/>
        <v>2025</v>
      </c>
      <c r="K31" s="143">
        <f t="shared" si="2"/>
        <v>2025.25</v>
      </c>
      <c r="L31" s="29">
        <f>515.3+789.1</f>
        <v>1304.4000000000001</v>
      </c>
      <c r="M31" s="29">
        <f t="shared" ref="M31" si="13">L31-L31*G31</f>
        <v>1304.4000000000001</v>
      </c>
      <c r="N31" s="29">
        <f t="shared" si="3"/>
        <v>21.74</v>
      </c>
      <c r="O31" s="29">
        <f t="shared" si="4"/>
        <v>260.88</v>
      </c>
      <c r="P31" s="29">
        <f t="shared" si="5"/>
        <v>260.88</v>
      </c>
      <c r="Q31" s="29"/>
      <c r="R31" s="29">
        <f t="shared" si="6"/>
        <v>478.27999999998042</v>
      </c>
      <c r="S31" s="29">
        <f t="shared" si="7"/>
        <v>739.15999999998041</v>
      </c>
      <c r="T31" s="29">
        <f t="shared" si="8"/>
        <v>565.24000000001968</v>
      </c>
    </row>
    <row r="32" spans="1:24" s="1" customFormat="1">
      <c r="A32" s="1">
        <v>240608</v>
      </c>
      <c r="D32" s="27" t="s">
        <v>394</v>
      </c>
      <c r="E32" s="10">
        <v>2020</v>
      </c>
      <c r="F32" s="1">
        <v>10</v>
      </c>
      <c r="G32" s="28">
        <v>0</v>
      </c>
      <c r="H32" s="10" t="s">
        <v>92</v>
      </c>
      <c r="I32" s="10">
        <v>5</v>
      </c>
      <c r="J32" s="14">
        <f t="shared" si="0"/>
        <v>2025</v>
      </c>
      <c r="K32" s="143">
        <f t="shared" ref="K32" si="14">+J32+(F32/12)</f>
        <v>2025.8333333333333</v>
      </c>
      <c r="L32" s="29">
        <v>3833.92</v>
      </c>
      <c r="M32" s="29">
        <f t="shared" ref="M32" si="15">L32-L32*G32</f>
        <v>3833.92</v>
      </c>
      <c r="N32" s="29">
        <f t="shared" si="3"/>
        <v>63.898666666666664</v>
      </c>
      <c r="O32" s="29">
        <f t="shared" si="4"/>
        <v>766.78399999999999</v>
      </c>
      <c r="P32" s="29">
        <f t="shared" si="5"/>
        <v>766.78399999999999</v>
      </c>
      <c r="Q32" s="29"/>
      <c r="R32" s="29">
        <f t="shared" si="6"/>
        <v>958.48</v>
      </c>
      <c r="S32" s="29">
        <f t="shared" si="7"/>
        <v>1725.2640000000001</v>
      </c>
      <c r="T32" s="29">
        <f t="shared" si="8"/>
        <v>2108.6559999999999</v>
      </c>
    </row>
    <row r="33" spans="1:20" s="1" customFormat="1">
      <c r="A33" s="1">
        <v>243663</v>
      </c>
      <c r="B33" s="1">
        <v>21</v>
      </c>
      <c r="C33" s="1" t="s">
        <v>111</v>
      </c>
      <c r="D33" s="27" t="s">
        <v>389</v>
      </c>
      <c r="E33" s="10">
        <v>2020</v>
      </c>
      <c r="F33" s="1">
        <v>12</v>
      </c>
      <c r="G33" s="28">
        <v>0</v>
      </c>
      <c r="H33" s="10" t="s">
        <v>92</v>
      </c>
      <c r="I33" s="10">
        <v>10</v>
      </c>
      <c r="J33" s="14">
        <f t="shared" ref="J33:J36" si="16">E33+I33</f>
        <v>2030</v>
      </c>
      <c r="K33" s="143">
        <f t="shared" ref="K33:K36" si="17">+J33+(F33/12)</f>
        <v>2031</v>
      </c>
      <c r="L33" s="29">
        <v>230644.94</v>
      </c>
      <c r="M33" s="29">
        <f t="shared" ref="M33" si="18">L33-L33*G33</f>
        <v>230644.94</v>
      </c>
      <c r="N33" s="29">
        <f t="shared" si="3"/>
        <v>1922.0411666666666</v>
      </c>
      <c r="O33" s="29">
        <f t="shared" si="4"/>
        <v>23064.493999999999</v>
      </c>
      <c r="P33" s="29">
        <f t="shared" si="5"/>
        <v>23064.493999999999</v>
      </c>
      <c r="Q33" s="29"/>
      <c r="R33" s="29">
        <f t="shared" si="6"/>
        <v>24986.535166664922</v>
      </c>
      <c r="S33" s="29">
        <f t="shared" si="7"/>
        <v>48051.029166664921</v>
      </c>
      <c r="T33" s="29">
        <f t="shared" si="8"/>
        <v>182593.91083333507</v>
      </c>
    </row>
    <row r="34" spans="1:20" s="1" customFormat="1">
      <c r="A34" s="82" t="s">
        <v>400</v>
      </c>
      <c r="B34" s="82"/>
      <c r="C34" s="82"/>
      <c r="D34" s="83" t="s">
        <v>401</v>
      </c>
      <c r="E34" s="84">
        <v>2021</v>
      </c>
      <c r="F34" s="82">
        <v>1</v>
      </c>
      <c r="G34" s="93">
        <v>0</v>
      </c>
      <c r="H34" s="84" t="s">
        <v>92</v>
      </c>
      <c r="I34" s="84">
        <v>10</v>
      </c>
      <c r="J34" s="94">
        <f t="shared" si="16"/>
        <v>2031</v>
      </c>
      <c r="K34" s="235">
        <f t="shared" si="17"/>
        <v>2031.0833333333333</v>
      </c>
      <c r="L34" s="88">
        <v>17719.27</v>
      </c>
      <c r="M34" s="88">
        <f t="shared" ref="M34" si="19">L34-L34*G34</f>
        <v>17719.27</v>
      </c>
      <c r="N34" s="88">
        <f t="shared" si="3"/>
        <v>147.66058333333334</v>
      </c>
      <c r="O34" s="88">
        <f t="shared" si="4"/>
        <v>1771.9270000000001</v>
      </c>
      <c r="P34" s="88">
        <f t="shared" si="5"/>
        <v>1771.9270000000001</v>
      </c>
      <c r="Q34" s="88"/>
      <c r="R34" s="88">
        <f t="shared" si="6"/>
        <v>1771.9269999999997</v>
      </c>
      <c r="S34" s="88">
        <f t="shared" si="7"/>
        <v>3543.8539999999998</v>
      </c>
      <c r="T34" s="88">
        <f t="shared" si="8"/>
        <v>14175.416000000001</v>
      </c>
    </row>
    <row r="35" spans="1:20" s="1" customFormat="1">
      <c r="A35" s="82">
        <v>251929</v>
      </c>
      <c r="B35" s="82"/>
      <c r="C35" s="82"/>
      <c r="D35" s="83" t="s">
        <v>402</v>
      </c>
      <c r="E35" s="84">
        <v>2021</v>
      </c>
      <c r="F35" s="82">
        <v>3</v>
      </c>
      <c r="G35" s="93">
        <v>0</v>
      </c>
      <c r="H35" s="84" t="s">
        <v>92</v>
      </c>
      <c r="I35" s="84">
        <v>10</v>
      </c>
      <c r="J35" s="94">
        <f t="shared" si="16"/>
        <v>2031</v>
      </c>
      <c r="K35" s="235">
        <f t="shared" si="17"/>
        <v>2031.25</v>
      </c>
      <c r="L35" s="88">
        <v>100360</v>
      </c>
      <c r="M35" s="88">
        <f t="shared" ref="M35:M36" si="20">L35-L35*G35</f>
        <v>100360</v>
      </c>
      <c r="N35" s="88">
        <f t="shared" si="3"/>
        <v>836.33333333333337</v>
      </c>
      <c r="O35" s="88">
        <f t="shared" si="4"/>
        <v>10036</v>
      </c>
      <c r="P35" s="88">
        <f t="shared" si="5"/>
        <v>10036</v>
      </c>
      <c r="Q35" s="88"/>
      <c r="R35" s="88">
        <f t="shared" si="6"/>
        <v>8363.3333333325718</v>
      </c>
      <c r="S35" s="88">
        <f t="shared" si="7"/>
        <v>18399.333333332572</v>
      </c>
      <c r="T35" s="88">
        <f t="shared" si="8"/>
        <v>81960.666666667428</v>
      </c>
    </row>
    <row r="36" spans="1:20" s="1" customFormat="1">
      <c r="A36" s="82" t="s">
        <v>403</v>
      </c>
      <c r="B36" s="82"/>
      <c r="C36" s="82"/>
      <c r="D36" s="83" t="s">
        <v>404</v>
      </c>
      <c r="E36" s="84">
        <v>2021</v>
      </c>
      <c r="F36" s="82">
        <v>3</v>
      </c>
      <c r="G36" s="93">
        <v>0</v>
      </c>
      <c r="H36" s="84" t="s">
        <v>92</v>
      </c>
      <c r="I36" s="84">
        <v>10</v>
      </c>
      <c r="J36" s="94">
        <f t="shared" si="16"/>
        <v>2031</v>
      </c>
      <c r="K36" s="235">
        <f t="shared" si="17"/>
        <v>2031.25</v>
      </c>
      <c r="L36" s="88">
        <v>92967.29</v>
      </c>
      <c r="M36" s="88">
        <f t="shared" si="20"/>
        <v>92967.29</v>
      </c>
      <c r="N36" s="88">
        <f t="shared" si="3"/>
        <v>774.72741666666661</v>
      </c>
      <c r="O36" s="88">
        <f t="shared" si="4"/>
        <v>9296.7289999999994</v>
      </c>
      <c r="P36" s="88">
        <f t="shared" si="5"/>
        <v>9296.7289999999994</v>
      </c>
      <c r="Q36" s="88"/>
      <c r="R36" s="88">
        <f t="shared" si="6"/>
        <v>7747.2741666659567</v>
      </c>
      <c r="S36" s="88">
        <f t="shared" si="7"/>
        <v>17044.003166665956</v>
      </c>
      <c r="T36" s="88">
        <f t="shared" si="8"/>
        <v>75923.286833334045</v>
      </c>
    </row>
    <row r="37" spans="1:20" s="1" customFormat="1">
      <c r="D37" s="27"/>
      <c r="E37" s="10"/>
      <c r="G37" s="28"/>
      <c r="H37" s="10"/>
      <c r="I37" s="10"/>
      <c r="J37" s="14"/>
      <c r="K37" s="14"/>
      <c r="L37" s="29"/>
      <c r="M37" s="29"/>
      <c r="N37" s="29"/>
      <c r="O37" s="29"/>
      <c r="P37" s="29"/>
      <c r="Q37" s="29"/>
      <c r="R37" s="29"/>
      <c r="S37" s="29"/>
      <c r="T37" s="29"/>
    </row>
    <row r="38" spans="1:20" s="31" customFormat="1">
      <c r="D38" s="32" t="s">
        <v>117</v>
      </c>
      <c r="E38" s="32"/>
      <c r="F38" s="32"/>
      <c r="G38" s="33"/>
      <c r="H38" s="32"/>
      <c r="I38" s="32"/>
      <c r="J38" s="34"/>
      <c r="K38" s="34"/>
      <c r="L38" s="35">
        <f>SUM(L12:L37)</f>
        <v>1968081.5999999999</v>
      </c>
      <c r="M38" s="35">
        <f>SUM(M12:M37)</f>
        <v>1968081.5999999999</v>
      </c>
      <c r="N38" s="35">
        <f>SUM(N12:N37)</f>
        <v>23671.840944444448</v>
      </c>
      <c r="O38" s="35">
        <f>SUM(O12:O37)</f>
        <v>284062.0913333334</v>
      </c>
      <c r="P38" s="35">
        <f>SUM(P12:P37)</f>
        <v>168628.92133333543</v>
      </c>
      <c r="Q38" s="35"/>
      <c r="R38" s="35">
        <f>SUM(R12:R37)</f>
        <v>988572.26916665549</v>
      </c>
      <c r="S38" s="35">
        <f>SUM(S12:S37)</f>
        <v>1157201.1904999909</v>
      </c>
      <c r="T38" s="35">
        <f>SUM(T12:T37)</f>
        <v>810880.40950000891</v>
      </c>
    </row>
    <row r="39" spans="1:20" s="31" customFormat="1">
      <c r="G39" s="12"/>
      <c r="J39" s="36"/>
      <c r="K39" s="36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1" customFormat="1">
      <c r="G40" s="12"/>
      <c r="J40" s="36"/>
      <c r="K40" s="36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1" customFormat="1">
      <c r="B41" s="31"/>
      <c r="D41" s="15" t="s">
        <v>118</v>
      </c>
      <c r="G41" s="10"/>
      <c r="J41" s="4"/>
      <c r="K41" s="4"/>
      <c r="L41" s="38"/>
      <c r="M41" s="38"/>
      <c r="N41" s="38"/>
      <c r="O41" s="38"/>
      <c r="P41" s="38"/>
      <c r="Q41" s="38"/>
      <c r="R41" s="38"/>
      <c r="S41" s="38"/>
      <c r="T41" s="38"/>
    </row>
    <row r="42" spans="1:20" s="1" customFormat="1">
      <c r="B42" s="1">
        <v>7</v>
      </c>
      <c r="C42" s="1" t="s">
        <v>14</v>
      </c>
      <c r="D42" s="39" t="s">
        <v>119</v>
      </c>
      <c r="E42" s="10">
        <v>1987</v>
      </c>
      <c r="F42" s="1">
        <v>9</v>
      </c>
      <c r="G42" s="28">
        <v>0</v>
      </c>
      <c r="H42" s="10" t="s">
        <v>92</v>
      </c>
      <c r="I42" s="10">
        <v>7</v>
      </c>
      <c r="J42" s="14">
        <f t="shared" ref="J42:J54" si="21">E42+I42</f>
        <v>1994</v>
      </c>
      <c r="K42" s="143">
        <f t="shared" ref="K42:K54" si="22">+J42+(F42/12)</f>
        <v>1994.75</v>
      </c>
      <c r="L42" s="29">
        <f>+'2120 Depr - Orig'!P37</f>
        <v>37303.088000000003</v>
      </c>
      <c r="M42" s="29">
        <f t="shared" ref="M42:M54" si="23">L42-L42*G42</f>
        <v>37303.088000000003</v>
      </c>
      <c r="N42" s="29">
        <f t="shared" ref="N42:N54" si="24">M42/I42/12</f>
        <v>444.08438095238103</v>
      </c>
      <c r="O42" s="29">
        <f t="shared" ref="O42:O54" si="25">+N42*12</f>
        <v>5329.0125714285723</v>
      </c>
      <c r="P42" s="29">
        <f t="shared" ref="P42:P54" si="26">+IF($K42&lt;$N$7,0,IF($K42&gt;$N$6,$O42,((($K42-$N$7)*12)*$N42)))</f>
        <v>0</v>
      </c>
      <c r="Q42" s="29"/>
      <c r="R42" s="29">
        <f t="shared" ref="R42:R54" si="27">+IF($K42&lt;=$N$7,$L42,IF(($E42+($F42/12))&gt;=$N$7,0,((($M42-((($K42-$N$7)*12)*$N42))))))</f>
        <v>37303.088000000003</v>
      </c>
      <c r="S42" s="29">
        <f t="shared" ref="S42:S54" si="28">+IF(P42=0,R42,R42+P42)</f>
        <v>37303.088000000003</v>
      </c>
      <c r="T42" s="29">
        <f t="shared" ref="T42:T54" si="29">+L42-S42</f>
        <v>0</v>
      </c>
    </row>
    <row r="43" spans="1:20" s="228" customFormat="1">
      <c r="B43" s="228">
        <v>7</v>
      </c>
      <c r="D43" s="229" t="s">
        <v>324</v>
      </c>
      <c r="E43" s="230">
        <v>2017</v>
      </c>
      <c r="F43" s="228">
        <v>1</v>
      </c>
      <c r="G43" s="231">
        <v>0</v>
      </c>
      <c r="H43" s="230" t="s">
        <v>92</v>
      </c>
      <c r="I43" s="230">
        <f>+IF(J42-$M$4&gt;=3,J42-$M$4,3)</f>
        <v>1994</v>
      </c>
      <c r="J43" s="232">
        <f t="shared" si="21"/>
        <v>4011</v>
      </c>
      <c r="K43" s="233">
        <f t="shared" si="22"/>
        <v>4011.0833333333335</v>
      </c>
      <c r="L43" s="234">
        <f>+'2120 Depr - Orig'!N37-'Truck Depr - w Salvage '!L42</f>
        <v>9325.7719999999972</v>
      </c>
      <c r="M43" s="234">
        <f t="shared" si="23"/>
        <v>9325.7719999999972</v>
      </c>
      <c r="N43" s="234">
        <f t="shared" si="24"/>
        <v>0.38974306252089591</v>
      </c>
      <c r="O43" s="234">
        <f t="shared" si="25"/>
        <v>4.6769167502507507</v>
      </c>
      <c r="P43" s="234">
        <f t="shared" si="26"/>
        <v>4.6769167502507507</v>
      </c>
      <c r="Q43" s="234"/>
      <c r="R43" s="234">
        <f t="shared" si="27"/>
        <v>23.384583751252649</v>
      </c>
      <c r="S43" s="234">
        <f t="shared" si="28"/>
        <v>28.061500501503399</v>
      </c>
      <c r="T43" s="234">
        <f t="shared" si="29"/>
        <v>9297.7104994984929</v>
      </c>
    </row>
    <row r="44" spans="1:20" s="1" customFormat="1">
      <c r="B44" s="1">
        <v>7</v>
      </c>
      <c r="C44" s="1" t="s">
        <v>14</v>
      </c>
      <c r="D44" s="27" t="s">
        <v>120</v>
      </c>
      <c r="E44" s="10">
        <v>1987</v>
      </c>
      <c r="F44" s="1">
        <v>9</v>
      </c>
      <c r="G44" s="28">
        <v>0</v>
      </c>
      <c r="H44" s="10" t="s">
        <v>92</v>
      </c>
      <c r="I44" s="10">
        <v>7</v>
      </c>
      <c r="J44" s="14">
        <f t="shared" si="21"/>
        <v>1994</v>
      </c>
      <c r="K44" s="143">
        <f t="shared" si="22"/>
        <v>1994.75</v>
      </c>
      <c r="L44" s="40">
        <f>+'2120 Depr - Orig'!P38</f>
        <v>28031.447999999997</v>
      </c>
      <c r="M44" s="40">
        <f t="shared" si="23"/>
        <v>28031.447999999997</v>
      </c>
      <c r="N44" s="40">
        <f t="shared" si="24"/>
        <v>333.70771428571425</v>
      </c>
      <c r="O44" s="40">
        <f t="shared" si="25"/>
        <v>4004.492571428571</v>
      </c>
      <c r="P44" s="40">
        <f t="shared" si="26"/>
        <v>0</v>
      </c>
      <c r="Q44" s="40"/>
      <c r="R44" s="40">
        <f t="shared" si="27"/>
        <v>28031.447999999997</v>
      </c>
      <c r="S44" s="40">
        <f t="shared" si="28"/>
        <v>28031.447999999997</v>
      </c>
      <c r="T44" s="40">
        <f t="shared" si="29"/>
        <v>0</v>
      </c>
    </row>
    <row r="45" spans="1:20" s="228" customFormat="1">
      <c r="B45" s="228">
        <v>7</v>
      </c>
      <c r="D45" s="229" t="s">
        <v>324</v>
      </c>
      <c r="E45" s="230">
        <v>2017</v>
      </c>
      <c r="F45" s="228">
        <v>1</v>
      </c>
      <c r="G45" s="231">
        <v>0</v>
      </c>
      <c r="H45" s="230" t="s">
        <v>92</v>
      </c>
      <c r="I45" s="230">
        <f>+IF(J44-$M$4&gt;=3,J44-$M$4,3)</f>
        <v>1994</v>
      </c>
      <c r="J45" s="232">
        <f t="shared" si="21"/>
        <v>4011</v>
      </c>
      <c r="K45" s="233">
        <f t="shared" si="22"/>
        <v>4011.0833333333335</v>
      </c>
      <c r="L45" s="234">
        <f>+'2120 Depr - Orig'!N38-'Truck Depr - w Salvage '!L44</f>
        <v>7007.862000000001</v>
      </c>
      <c r="M45" s="234">
        <f t="shared" si="23"/>
        <v>7007.862000000001</v>
      </c>
      <c r="N45" s="234">
        <f t="shared" si="24"/>
        <v>0.29287286860581746</v>
      </c>
      <c r="O45" s="234">
        <f t="shared" si="25"/>
        <v>3.5144744232698093</v>
      </c>
      <c r="P45" s="234">
        <f t="shared" si="26"/>
        <v>3.5144744232698093</v>
      </c>
      <c r="Q45" s="234"/>
      <c r="R45" s="234">
        <f t="shared" si="27"/>
        <v>17.572372116348561</v>
      </c>
      <c r="S45" s="234">
        <f t="shared" si="28"/>
        <v>21.086846539618371</v>
      </c>
      <c r="T45" s="234">
        <f t="shared" si="29"/>
        <v>6986.7751534603822</v>
      </c>
    </row>
    <row r="46" spans="1:20" s="1" customFormat="1">
      <c r="B46" s="1">
        <v>7</v>
      </c>
      <c r="C46" s="1" t="s">
        <v>14</v>
      </c>
      <c r="D46" s="27" t="s">
        <v>121</v>
      </c>
      <c r="E46" s="10">
        <v>1995</v>
      </c>
      <c r="F46" s="1">
        <v>11</v>
      </c>
      <c r="G46" s="28">
        <v>0</v>
      </c>
      <c r="H46" s="10" t="s">
        <v>92</v>
      </c>
      <c r="I46" s="10">
        <v>7</v>
      </c>
      <c r="J46" s="14">
        <f t="shared" si="21"/>
        <v>2002</v>
      </c>
      <c r="K46" s="143">
        <f t="shared" si="22"/>
        <v>2002.9166666666667</v>
      </c>
      <c r="L46" s="29">
        <f>+'2120 Depr - Orig'!P39</f>
        <v>3021.7736999999997</v>
      </c>
      <c r="M46" s="29">
        <f t="shared" si="23"/>
        <v>3021.7736999999997</v>
      </c>
      <c r="N46" s="29">
        <f t="shared" si="24"/>
        <v>35.97349642857143</v>
      </c>
      <c r="O46" s="29">
        <f t="shared" si="25"/>
        <v>431.68195714285719</v>
      </c>
      <c r="P46" s="29">
        <f t="shared" si="26"/>
        <v>0</v>
      </c>
      <c r="Q46" s="29"/>
      <c r="R46" s="29">
        <f t="shared" si="27"/>
        <v>3021.7736999999997</v>
      </c>
      <c r="S46" s="29">
        <f t="shared" si="28"/>
        <v>3021.7736999999997</v>
      </c>
      <c r="T46" s="29">
        <f t="shared" si="29"/>
        <v>0</v>
      </c>
    </row>
    <row r="47" spans="1:20" s="228" customFormat="1">
      <c r="B47" s="228">
        <v>7</v>
      </c>
      <c r="D47" s="229" t="s">
        <v>324</v>
      </c>
      <c r="E47" s="230">
        <v>2017</v>
      </c>
      <c r="F47" s="228">
        <v>1</v>
      </c>
      <c r="G47" s="231">
        <v>0</v>
      </c>
      <c r="H47" s="230" t="s">
        <v>92</v>
      </c>
      <c r="I47" s="230">
        <f>+IF(J46-$M$4&gt;=3,J46-$M$4,3)</f>
        <v>2002</v>
      </c>
      <c r="J47" s="232">
        <f t="shared" si="21"/>
        <v>4019</v>
      </c>
      <c r="K47" s="233">
        <f t="shared" si="22"/>
        <v>4019.0833333333335</v>
      </c>
      <c r="L47" s="234">
        <f>+'2120 Depr - Orig'!N39-'Truck Depr - w Salvage '!L46</f>
        <v>1488.3362999999999</v>
      </c>
      <c r="M47" s="234">
        <f t="shared" si="23"/>
        <v>1488.3362999999999</v>
      </c>
      <c r="N47" s="234">
        <f t="shared" si="24"/>
        <v>6.195206043956044E-2</v>
      </c>
      <c r="O47" s="234">
        <f t="shared" si="25"/>
        <v>0.74342472527472525</v>
      </c>
      <c r="P47" s="234">
        <f t="shared" si="26"/>
        <v>0.74342472527472525</v>
      </c>
      <c r="Q47" s="234"/>
      <c r="R47" s="234">
        <f t="shared" si="27"/>
        <v>3.7171236263732226</v>
      </c>
      <c r="S47" s="234">
        <f t="shared" si="28"/>
        <v>4.4605483516479474</v>
      </c>
      <c r="T47" s="234">
        <f t="shared" si="29"/>
        <v>1483.875751648352</v>
      </c>
    </row>
    <row r="48" spans="1:20" s="1" customFormat="1">
      <c r="A48" s="1">
        <v>186126</v>
      </c>
      <c r="B48" s="1">
        <v>9</v>
      </c>
      <c r="D48" s="27" t="s">
        <v>302</v>
      </c>
      <c r="E48" s="10">
        <v>2004</v>
      </c>
      <c r="F48" s="1">
        <v>4</v>
      </c>
      <c r="G48" s="28">
        <v>0</v>
      </c>
      <c r="H48" s="10" t="s">
        <v>92</v>
      </c>
      <c r="I48" s="10">
        <v>3</v>
      </c>
      <c r="J48" s="14">
        <f t="shared" si="21"/>
        <v>2007</v>
      </c>
      <c r="K48" s="143">
        <f t="shared" si="22"/>
        <v>2007.3333333333333</v>
      </c>
      <c r="L48" s="29">
        <v>46500</v>
      </c>
      <c r="M48" s="29">
        <f t="shared" si="23"/>
        <v>46500</v>
      </c>
      <c r="N48" s="29">
        <f t="shared" si="24"/>
        <v>1291.6666666666667</v>
      </c>
      <c r="O48" s="29">
        <f t="shared" si="25"/>
        <v>15500</v>
      </c>
      <c r="P48" s="29">
        <f t="shared" si="26"/>
        <v>0</v>
      </c>
      <c r="Q48" s="29"/>
      <c r="R48" s="29">
        <f t="shared" si="27"/>
        <v>46500</v>
      </c>
      <c r="S48" s="29">
        <f t="shared" si="28"/>
        <v>46500</v>
      </c>
      <c r="T48" s="29">
        <f t="shared" si="29"/>
        <v>0</v>
      </c>
    </row>
    <row r="49" spans="1:24" s="1" customFormat="1">
      <c r="A49" s="1">
        <v>117102</v>
      </c>
      <c r="D49" s="27" t="s">
        <v>126</v>
      </c>
      <c r="E49" s="10">
        <v>2014</v>
      </c>
      <c r="F49" s="1">
        <v>10</v>
      </c>
      <c r="G49" s="28">
        <v>0</v>
      </c>
      <c r="H49" s="10" t="s">
        <v>92</v>
      </c>
      <c r="I49" s="10">
        <v>5</v>
      </c>
      <c r="J49" s="14">
        <f t="shared" si="21"/>
        <v>2019</v>
      </c>
      <c r="K49" s="143">
        <f t="shared" si="22"/>
        <v>2019.8333333333333</v>
      </c>
      <c r="L49" s="29">
        <v>3263.48</v>
      </c>
      <c r="M49" s="29">
        <f t="shared" si="23"/>
        <v>3263.48</v>
      </c>
      <c r="N49" s="29">
        <f t="shared" si="24"/>
        <v>54.391333333333336</v>
      </c>
      <c r="O49" s="29">
        <f t="shared" si="25"/>
        <v>652.69600000000003</v>
      </c>
      <c r="P49" s="29">
        <f t="shared" si="26"/>
        <v>0</v>
      </c>
      <c r="Q49" s="29"/>
      <c r="R49" s="29">
        <f t="shared" si="27"/>
        <v>3263.48</v>
      </c>
      <c r="S49" s="29">
        <f t="shared" si="28"/>
        <v>3263.48</v>
      </c>
      <c r="T49" s="29">
        <f t="shared" si="29"/>
        <v>0</v>
      </c>
      <c r="V49" s="141"/>
      <c r="W49" s="141"/>
      <c r="X49" s="29"/>
    </row>
    <row r="50" spans="1:24" s="1" customFormat="1">
      <c r="B50" s="1">
        <v>7</v>
      </c>
      <c r="D50" s="27" t="s">
        <v>127</v>
      </c>
      <c r="E50" s="10">
        <v>2016</v>
      </c>
      <c r="F50" s="1">
        <v>1</v>
      </c>
      <c r="G50" s="28">
        <v>0</v>
      </c>
      <c r="H50" s="10" t="s">
        <v>92</v>
      </c>
      <c r="I50" s="10">
        <v>3</v>
      </c>
      <c r="J50" s="14">
        <f t="shared" si="21"/>
        <v>2019</v>
      </c>
      <c r="K50" s="143">
        <f t="shared" si="22"/>
        <v>2019.0833333333333</v>
      </c>
      <c r="L50" s="29">
        <v>5325.68</v>
      </c>
      <c r="M50" s="29">
        <f t="shared" si="23"/>
        <v>5325.68</v>
      </c>
      <c r="N50" s="29">
        <f t="shared" si="24"/>
        <v>147.93555555555557</v>
      </c>
      <c r="O50" s="29">
        <f t="shared" si="25"/>
        <v>1775.2266666666669</v>
      </c>
      <c r="P50" s="29">
        <f t="shared" si="26"/>
        <v>0</v>
      </c>
      <c r="Q50" s="29"/>
      <c r="R50" s="29">
        <f t="shared" si="27"/>
        <v>5325.68</v>
      </c>
      <c r="S50" s="29">
        <f t="shared" si="28"/>
        <v>5325.68</v>
      </c>
      <c r="T50" s="29">
        <f t="shared" si="29"/>
        <v>0</v>
      </c>
    </row>
    <row r="51" spans="1:24" s="1" customFormat="1">
      <c r="A51" s="1" t="s">
        <v>309</v>
      </c>
      <c r="B51" s="1">
        <v>17</v>
      </c>
      <c r="D51" s="27" t="s">
        <v>301</v>
      </c>
      <c r="E51" s="10">
        <v>2017</v>
      </c>
      <c r="F51" s="1">
        <v>11</v>
      </c>
      <c r="G51" s="28">
        <v>0</v>
      </c>
      <c r="H51" s="10" t="s">
        <v>92</v>
      </c>
      <c r="I51" s="10">
        <v>10</v>
      </c>
      <c r="J51" s="14">
        <f t="shared" si="21"/>
        <v>2027</v>
      </c>
      <c r="K51" s="143">
        <f t="shared" si="22"/>
        <v>2027.9166666666667</v>
      </c>
      <c r="L51" s="29">
        <f>166605.8+383.91+12.81+326.4</f>
        <v>167328.91999999998</v>
      </c>
      <c r="M51" s="29">
        <f t="shared" si="23"/>
        <v>167328.91999999998</v>
      </c>
      <c r="N51" s="29">
        <f t="shared" si="24"/>
        <v>1394.4076666666667</v>
      </c>
      <c r="O51" s="29">
        <f t="shared" si="25"/>
        <v>16732.892</v>
      </c>
      <c r="P51" s="29">
        <f t="shared" si="26"/>
        <v>16732.892</v>
      </c>
      <c r="Q51" s="29"/>
      <c r="R51" s="29">
        <f t="shared" si="27"/>
        <v>69720.38333333077</v>
      </c>
      <c r="S51" s="29">
        <f t="shared" si="28"/>
        <v>86453.275333330763</v>
      </c>
      <c r="T51" s="29">
        <f t="shared" si="29"/>
        <v>80875.644666669221</v>
      </c>
    </row>
    <row r="52" spans="1:24" s="1" customFormat="1">
      <c r="A52" s="1" t="s">
        <v>351</v>
      </c>
      <c r="B52" s="1">
        <v>33</v>
      </c>
      <c r="D52" s="27" t="s">
        <v>352</v>
      </c>
      <c r="E52" s="10">
        <v>2018</v>
      </c>
      <c r="F52" s="1">
        <v>12</v>
      </c>
      <c r="G52" s="28">
        <v>0</v>
      </c>
      <c r="H52" s="10" t="s">
        <v>92</v>
      </c>
      <c r="I52" s="10">
        <v>10</v>
      </c>
      <c r="J52" s="14">
        <f t="shared" si="21"/>
        <v>2028</v>
      </c>
      <c r="K52" s="143">
        <f t="shared" si="22"/>
        <v>2029</v>
      </c>
      <c r="L52" s="29">
        <f>235440.3+2187.5+190.4</f>
        <v>237818.19999999998</v>
      </c>
      <c r="M52" s="29">
        <f t="shared" si="23"/>
        <v>237818.19999999998</v>
      </c>
      <c r="N52" s="29">
        <f t="shared" si="24"/>
        <v>1981.8183333333334</v>
      </c>
      <c r="O52" s="29">
        <f t="shared" si="25"/>
        <v>23781.82</v>
      </c>
      <c r="P52" s="29">
        <f t="shared" si="26"/>
        <v>23781.82</v>
      </c>
      <c r="Q52" s="29"/>
      <c r="R52" s="29">
        <f t="shared" si="27"/>
        <v>73327.278333331516</v>
      </c>
      <c r="S52" s="29">
        <f t="shared" si="28"/>
        <v>97109.098333331523</v>
      </c>
      <c r="T52" s="29">
        <f t="shared" si="29"/>
        <v>140709.10166666846</v>
      </c>
    </row>
    <row r="53" spans="1:24" s="1" customFormat="1">
      <c r="A53" s="1" t="s">
        <v>353</v>
      </c>
      <c r="B53" s="1">
        <v>33</v>
      </c>
      <c r="D53" s="27" t="s">
        <v>354</v>
      </c>
      <c r="E53" s="10">
        <v>2018</v>
      </c>
      <c r="F53" s="1">
        <v>12</v>
      </c>
      <c r="G53" s="28">
        <v>0</v>
      </c>
      <c r="H53" s="10" t="s">
        <v>92</v>
      </c>
      <c r="I53" s="10">
        <v>5</v>
      </c>
      <c r="J53" s="14">
        <f t="shared" si="21"/>
        <v>2023</v>
      </c>
      <c r="K53" s="143">
        <f t="shared" si="22"/>
        <v>2024</v>
      </c>
      <c r="L53" s="29">
        <f>1611.62+795.56+488.34</f>
        <v>2895.52</v>
      </c>
      <c r="M53" s="29">
        <f t="shared" si="23"/>
        <v>2895.52</v>
      </c>
      <c r="N53" s="29">
        <f t="shared" si="24"/>
        <v>48.25866666666667</v>
      </c>
      <c r="O53" s="29">
        <f t="shared" si="25"/>
        <v>579.10400000000004</v>
      </c>
      <c r="P53" s="29">
        <f t="shared" si="26"/>
        <v>579.10400000000004</v>
      </c>
      <c r="Q53" s="29"/>
      <c r="R53" s="29">
        <f t="shared" si="27"/>
        <v>1785.5706666666226</v>
      </c>
      <c r="S53" s="29">
        <f t="shared" si="28"/>
        <v>2364.6746666666227</v>
      </c>
      <c r="T53" s="29">
        <f t="shared" si="29"/>
        <v>530.84533333337731</v>
      </c>
    </row>
    <row r="54" spans="1:24" s="1" customFormat="1">
      <c r="A54" s="1" t="s">
        <v>361</v>
      </c>
      <c r="B54" s="1">
        <v>7</v>
      </c>
      <c r="D54" s="27" t="s">
        <v>362</v>
      </c>
      <c r="E54" s="10">
        <v>2018</v>
      </c>
      <c r="F54" s="1">
        <v>4</v>
      </c>
      <c r="G54" s="28">
        <v>0</v>
      </c>
      <c r="H54" s="10" t="s">
        <v>92</v>
      </c>
      <c r="I54" s="10">
        <v>3</v>
      </c>
      <c r="J54" s="14">
        <f t="shared" si="21"/>
        <v>2021</v>
      </c>
      <c r="K54" s="143">
        <f t="shared" si="22"/>
        <v>2021.3333333333333</v>
      </c>
      <c r="L54" s="29">
        <v>17036.04</v>
      </c>
      <c r="M54" s="29">
        <f t="shared" si="23"/>
        <v>17036.04</v>
      </c>
      <c r="N54" s="29">
        <f t="shared" si="24"/>
        <v>473.22333333333336</v>
      </c>
      <c r="O54" s="29">
        <f t="shared" si="25"/>
        <v>5678.68</v>
      </c>
      <c r="P54" s="29">
        <f t="shared" si="26"/>
        <v>0</v>
      </c>
      <c r="Q54" s="29"/>
      <c r="R54" s="29">
        <f t="shared" si="27"/>
        <v>17036.04</v>
      </c>
      <c r="S54" s="29">
        <f t="shared" si="28"/>
        <v>17036.04</v>
      </c>
      <c r="T54" s="29">
        <f t="shared" si="29"/>
        <v>0</v>
      </c>
    </row>
    <row r="55" spans="1:24" s="1" customFormat="1">
      <c r="D55" s="27"/>
      <c r="E55" s="10"/>
      <c r="G55" s="28"/>
      <c r="H55" s="10"/>
      <c r="I55" s="10"/>
      <c r="J55" s="14"/>
      <c r="K55" s="14"/>
      <c r="L55" s="29"/>
      <c r="M55" s="29"/>
      <c r="N55" s="29"/>
      <c r="O55" s="29"/>
      <c r="P55" s="29"/>
      <c r="Q55" s="29"/>
      <c r="R55" s="29"/>
      <c r="S55" s="29"/>
      <c r="T55" s="29"/>
    </row>
    <row r="56" spans="1:24" s="1" customFormat="1">
      <c r="D56" s="41" t="s">
        <v>128</v>
      </c>
      <c r="E56" s="42"/>
      <c r="F56" s="43"/>
      <c r="G56" s="44"/>
      <c r="H56" s="42"/>
      <c r="I56" s="42"/>
      <c r="J56" s="45"/>
      <c r="K56" s="45"/>
      <c r="L56" s="35">
        <f>SUM(L42:L55)</f>
        <v>566346.12</v>
      </c>
      <c r="M56" s="35">
        <f t="shared" ref="M56:S56" si="30">SUM(M42:M55)</f>
        <v>566346.12</v>
      </c>
      <c r="N56" s="35">
        <f t="shared" si="30"/>
        <v>6206.2117152137889</v>
      </c>
      <c r="O56" s="35">
        <f t="shared" si="30"/>
        <v>74474.540582565474</v>
      </c>
      <c r="P56" s="35">
        <f t="shared" si="30"/>
        <v>41102.750815898798</v>
      </c>
      <c r="Q56" s="35">
        <f t="shared" si="30"/>
        <v>0</v>
      </c>
      <c r="R56" s="35">
        <f t="shared" si="30"/>
        <v>285359.41611282283</v>
      </c>
      <c r="S56" s="35">
        <f t="shared" si="30"/>
        <v>326462.16692872165</v>
      </c>
      <c r="T56" s="35">
        <f>SUM(T42:T55)</f>
        <v>239883.95307127832</v>
      </c>
    </row>
    <row r="57" spans="1:24" s="1" customFormat="1">
      <c r="G57" s="10"/>
      <c r="J57" s="4"/>
      <c r="K57" s="4"/>
      <c r="L57" s="38"/>
      <c r="M57" s="38"/>
      <c r="N57" s="38"/>
      <c r="O57" s="38"/>
      <c r="P57" s="38"/>
      <c r="Q57" s="38"/>
      <c r="R57" s="38"/>
      <c r="S57" s="38"/>
      <c r="T57" s="38"/>
    </row>
    <row r="58" spans="1:24" s="31" customFormat="1">
      <c r="G58" s="12"/>
      <c r="J58" s="36"/>
      <c r="K58" s="36"/>
      <c r="L58" s="37"/>
      <c r="M58" s="37"/>
      <c r="N58" s="37"/>
      <c r="O58" s="37"/>
      <c r="P58" s="37"/>
      <c r="Q58" s="37"/>
      <c r="R58" s="37"/>
      <c r="S58" s="37"/>
      <c r="T58" s="37"/>
    </row>
    <row r="59" spans="1:24" s="1" customFormat="1">
      <c r="B59" s="31"/>
      <c r="D59" s="15" t="s">
        <v>312</v>
      </c>
      <c r="G59" s="10"/>
      <c r="J59" s="4"/>
      <c r="K59" s="4"/>
      <c r="L59" s="38"/>
      <c r="M59" s="38"/>
      <c r="N59" s="38"/>
      <c r="O59" s="38"/>
      <c r="P59" s="38"/>
      <c r="Q59" s="38"/>
      <c r="R59" s="38"/>
      <c r="S59" s="38"/>
      <c r="T59" s="38"/>
    </row>
    <row r="60" spans="1:24" s="1" customFormat="1">
      <c r="A60" s="1">
        <v>1</v>
      </c>
      <c r="B60" s="1">
        <v>1</v>
      </c>
      <c r="C60" s="1" t="s">
        <v>109</v>
      </c>
      <c r="D60" s="27" t="s">
        <v>110</v>
      </c>
      <c r="E60" s="10">
        <v>2011</v>
      </c>
      <c r="F60" s="1">
        <v>9</v>
      </c>
      <c r="G60" s="28">
        <v>0</v>
      </c>
      <c r="H60" s="10" t="s">
        <v>92</v>
      </c>
      <c r="I60" s="10">
        <v>7</v>
      </c>
      <c r="J60" s="14">
        <f>E60+I60</f>
        <v>2018</v>
      </c>
      <c r="K60" s="143">
        <f t="shared" ref="K60:K61" si="31">+J60+(F60/12)</f>
        <v>2018.75</v>
      </c>
      <c r="L60" s="29">
        <f>+'2120 Depr - Orig'!P24</f>
        <v>101807.992</v>
      </c>
      <c r="M60" s="29">
        <f>L60-L60*G60</f>
        <v>101807.992</v>
      </c>
      <c r="N60" s="29">
        <f t="shared" ref="N60:N61" si="32">M60/I60/12</f>
        <v>1211.9999047619046</v>
      </c>
      <c r="O60" s="29">
        <f t="shared" ref="O60:O61" si="33">+N60*12</f>
        <v>14543.998857142855</v>
      </c>
      <c r="P60" s="29">
        <f t="shared" ref="P60:P61" si="34">+IF($K60&lt;$N$7,0,IF($K60&gt;$N$6,$O60,((($K60-$N$7)*12)*$N60)))</f>
        <v>0</v>
      </c>
      <c r="Q60" s="29"/>
      <c r="R60" s="29">
        <f t="shared" ref="R60:R61" si="35">+IF($K60&lt;=$N$7,$L60,IF(($E60+($F60/12))&gt;=$N$7,0,((($M60-((($K60-$N$7)*12)*$N60))))))</f>
        <v>101807.992</v>
      </c>
      <c r="S60" s="29">
        <f t="shared" ref="S60:S61" si="36">+IF(P60=0,R60,R60+P60)</f>
        <v>101807.992</v>
      </c>
      <c r="T60" s="29">
        <f t="shared" ref="T60:T61" si="37">+L60-S60</f>
        <v>0</v>
      </c>
      <c r="V60" s="141"/>
      <c r="W60" s="153"/>
    </row>
    <row r="61" spans="1:24" s="228" customFormat="1">
      <c r="B61" s="228">
        <v>1</v>
      </c>
      <c r="D61" s="229" t="s">
        <v>326</v>
      </c>
      <c r="E61" s="230">
        <v>2017</v>
      </c>
      <c r="F61" s="228">
        <v>1</v>
      </c>
      <c r="G61" s="231">
        <v>0</v>
      </c>
      <c r="H61" s="230" t="s">
        <v>92</v>
      </c>
      <c r="I61" s="230">
        <f>+IF(J60-$M$4&gt;=3,J60-$M$4,3)</f>
        <v>2018</v>
      </c>
      <c r="J61" s="232">
        <f>E61+I61</f>
        <v>4035</v>
      </c>
      <c r="K61" s="233">
        <f t="shared" si="31"/>
        <v>4035.0833333333335</v>
      </c>
      <c r="L61" s="234">
        <f>+'2120 Depr - Orig'!N24-'Truck Depr - w Salvage '!L60</f>
        <v>25451.997999999992</v>
      </c>
      <c r="M61" s="234">
        <f>L61-L61*G61</f>
        <v>25451.997999999992</v>
      </c>
      <c r="N61" s="234">
        <f t="shared" si="32"/>
        <v>1.0510405517013541</v>
      </c>
      <c r="O61" s="234">
        <f t="shared" si="33"/>
        <v>12.612486620416249</v>
      </c>
      <c r="P61" s="234">
        <f t="shared" si="34"/>
        <v>12.612486620416249</v>
      </c>
      <c r="Q61" s="234"/>
      <c r="R61" s="234">
        <f t="shared" si="35"/>
        <v>63.062433102077193</v>
      </c>
      <c r="S61" s="234">
        <f t="shared" si="36"/>
        <v>75.674919722493442</v>
      </c>
      <c r="T61" s="234">
        <f t="shared" si="37"/>
        <v>25376.3230802775</v>
      </c>
    </row>
    <row r="62" spans="1:24" s="1" customFormat="1">
      <c r="D62" s="27"/>
      <c r="E62" s="10"/>
      <c r="G62" s="28"/>
      <c r="H62" s="10"/>
      <c r="I62" s="10"/>
      <c r="J62" s="14"/>
      <c r="K62" s="14"/>
      <c r="L62" s="29"/>
      <c r="M62" s="29"/>
      <c r="N62" s="29"/>
      <c r="O62" s="29"/>
      <c r="P62" s="29"/>
      <c r="Q62" s="29"/>
      <c r="R62" s="29"/>
      <c r="S62" s="29"/>
      <c r="T62" s="29"/>
    </row>
    <row r="63" spans="1:24" s="1" customFormat="1">
      <c r="D63" s="41" t="s">
        <v>337</v>
      </c>
      <c r="E63" s="42"/>
      <c r="F63" s="43"/>
      <c r="G63" s="44"/>
      <c r="H63" s="42"/>
      <c r="I63" s="42"/>
      <c r="J63" s="45"/>
      <c r="K63" s="45"/>
      <c r="L63" s="35">
        <f>SUM(L60:L62)</f>
        <v>127259.98999999999</v>
      </c>
      <c r="M63" s="35">
        <f t="shared" ref="M63:T63" si="38">SUM(M60:M62)</f>
        <v>127259.98999999999</v>
      </c>
      <c r="N63" s="35">
        <f t="shared" si="38"/>
        <v>1213.050945313606</v>
      </c>
      <c r="O63" s="35">
        <f t="shared" si="38"/>
        <v>14556.61134376327</v>
      </c>
      <c r="P63" s="35">
        <f t="shared" si="38"/>
        <v>12.612486620416249</v>
      </c>
      <c r="Q63" s="35">
        <f t="shared" si="38"/>
        <v>0</v>
      </c>
      <c r="R63" s="35">
        <f t="shared" si="38"/>
        <v>101871.05443310208</v>
      </c>
      <c r="S63" s="35">
        <f>SUM(S60:S62)</f>
        <v>101883.6669197225</v>
      </c>
      <c r="T63" s="35">
        <f t="shared" si="38"/>
        <v>25376.3230802775</v>
      </c>
    </row>
    <row r="64" spans="1:24" s="1" customFormat="1">
      <c r="G64" s="10"/>
      <c r="J64" s="4"/>
      <c r="K64" s="4"/>
      <c r="L64" s="38"/>
      <c r="M64" s="38"/>
      <c r="N64" s="38"/>
      <c r="O64" s="38"/>
      <c r="P64" s="38"/>
      <c r="Q64" s="38"/>
      <c r="R64" s="38"/>
      <c r="S64" s="38"/>
      <c r="T64" s="38"/>
    </row>
    <row r="65" spans="1:20" s="31" customFormat="1">
      <c r="G65" s="12"/>
      <c r="J65" s="36"/>
      <c r="K65" s="36"/>
      <c r="L65" s="37"/>
      <c r="M65" s="37"/>
      <c r="N65" s="37"/>
      <c r="O65" s="37"/>
      <c r="P65" s="37"/>
      <c r="Q65" s="37"/>
      <c r="R65" s="37"/>
      <c r="S65" s="37"/>
      <c r="T65" s="37"/>
    </row>
    <row r="66" spans="1:20" s="1" customFormat="1">
      <c r="B66" s="31"/>
      <c r="D66" s="15" t="s">
        <v>314</v>
      </c>
      <c r="G66" s="10"/>
      <c r="J66" s="4"/>
      <c r="K66" s="4"/>
      <c r="L66" s="38"/>
      <c r="M66" s="38"/>
      <c r="N66" s="38"/>
      <c r="O66" s="38"/>
      <c r="P66" s="38"/>
      <c r="Q66" s="38"/>
      <c r="R66" s="38"/>
      <c r="S66" s="38"/>
      <c r="T66" s="38"/>
    </row>
    <row r="67" spans="1:20" s="1" customFormat="1">
      <c r="B67" s="31"/>
      <c r="D67" s="15"/>
      <c r="G67" s="10"/>
      <c r="J67" s="4"/>
      <c r="K67" s="4"/>
      <c r="L67" s="38"/>
      <c r="M67" s="38"/>
      <c r="N67" s="38"/>
      <c r="O67" s="38"/>
      <c r="P67" s="38"/>
      <c r="Q67" s="38"/>
      <c r="R67" s="38"/>
      <c r="S67" s="38"/>
      <c r="T67" s="38"/>
    </row>
    <row r="68" spans="1:20" s="1" customFormat="1">
      <c r="A68" s="1" t="s">
        <v>356</v>
      </c>
      <c r="B68" s="1">
        <v>25</v>
      </c>
      <c r="D68" s="27" t="s">
        <v>355</v>
      </c>
      <c r="E68" s="10">
        <v>2000</v>
      </c>
      <c r="F68" s="1">
        <v>6</v>
      </c>
      <c r="G68" s="28">
        <v>0</v>
      </c>
      <c r="H68" s="10" t="s">
        <v>92</v>
      </c>
      <c r="I68" s="10">
        <v>10</v>
      </c>
      <c r="J68" s="14">
        <f>E68+I68</f>
        <v>2010</v>
      </c>
      <c r="K68" s="143">
        <f t="shared" ref="K68" si="39">+J68+(F68/12)</f>
        <v>2010.5</v>
      </c>
      <c r="L68" s="29">
        <f>71878.98+46599</f>
        <v>118477.98</v>
      </c>
      <c r="M68" s="29">
        <f>L68-L68*G68</f>
        <v>118477.98</v>
      </c>
      <c r="N68" s="29">
        <f t="shared" ref="N68:N70" si="40">M68/I68/12</f>
        <v>987.31649999999991</v>
      </c>
      <c r="O68" s="29">
        <f t="shared" ref="O68:O70" si="41">+N68*12</f>
        <v>11847.797999999999</v>
      </c>
      <c r="P68" s="29">
        <f t="shared" ref="P68:P70" si="42">+IF($K68&lt;$N$7,0,IF($K68&gt;$N$6,$O68,((($K68-$N$7)*12)*$N68)))</f>
        <v>0</v>
      </c>
      <c r="Q68" s="29"/>
      <c r="R68" s="29">
        <f t="shared" ref="R68:R70" si="43">+IF($K68&lt;=$N$7,$L68,IF(($E68+($F68/12))&gt;=$N$7,0,((($M68-((($K68-$N$7)*12)*$N68))))))</f>
        <v>118477.98</v>
      </c>
      <c r="S68" s="29">
        <f t="shared" ref="S68:S70" si="44">+IF(P68=0,R68,R68+P68)</f>
        <v>118477.98</v>
      </c>
      <c r="T68" s="29">
        <f t="shared" ref="T68:T70" si="45">+L68-S68</f>
        <v>0</v>
      </c>
    </row>
    <row r="69" spans="1:20" s="1" customFormat="1">
      <c r="A69" s="1" t="s">
        <v>359</v>
      </c>
      <c r="B69" s="1">
        <v>25</v>
      </c>
      <c r="D69" s="27" t="s">
        <v>357</v>
      </c>
      <c r="E69" s="10">
        <v>2009</v>
      </c>
      <c r="F69" s="1">
        <v>9</v>
      </c>
      <c r="G69" s="28">
        <v>0</v>
      </c>
      <c r="H69" s="10" t="s">
        <v>92</v>
      </c>
      <c r="I69" s="10">
        <v>3</v>
      </c>
      <c r="J69" s="14">
        <f>E69+I69</f>
        <v>2012</v>
      </c>
      <c r="K69" s="143">
        <f t="shared" ref="K69" si="46">+J69+(F69/12)</f>
        <v>2012.75</v>
      </c>
      <c r="L69" s="29">
        <v>14680.19</v>
      </c>
      <c r="M69" s="29">
        <f>L69-L69*G69</f>
        <v>14680.19</v>
      </c>
      <c r="N69" s="29">
        <f t="shared" si="40"/>
        <v>407.78305555555556</v>
      </c>
      <c r="O69" s="29">
        <f t="shared" si="41"/>
        <v>4893.3966666666665</v>
      </c>
      <c r="P69" s="29">
        <f t="shared" si="42"/>
        <v>0</v>
      </c>
      <c r="Q69" s="29"/>
      <c r="R69" s="29">
        <f t="shared" si="43"/>
        <v>14680.19</v>
      </c>
      <c r="S69" s="29">
        <f t="shared" si="44"/>
        <v>14680.19</v>
      </c>
      <c r="T69" s="29">
        <f t="shared" si="45"/>
        <v>0</v>
      </c>
    </row>
    <row r="70" spans="1:20" s="1" customFormat="1">
      <c r="A70" s="1" t="s">
        <v>360</v>
      </c>
      <c r="B70" s="1">
        <v>25</v>
      </c>
      <c r="D70" s="27" t="s">
        <v>358</v>
      </c>
      <c r="E70" s="10">
        <v>2009</v>
      </c>
      <c r="F70" s="1">
        <v>6</v>
      </c>
      <c r="G70" s="28">
        <v>0</v>
      </c>
      <c r="H70" s="10" t="s">
        <v>92</v>
      </c>
      <c r="I70" s="10">
        <v>3</v>
      </c>
      <c r="J70" s="14">
        <f>E70+I70</f>
        <v>2012</v>
      </c>
      <c r="K70" s="143">
        <f t="shared" ref="K70" si="47">+J70+(F70/12)</f>
        <v>2012.5</v>
      </c>
      <c r="L70" s="29">
        <v>7065.91</v>
      </c>
      <c r="M70" s="29">
        <f>L70-L70*G70</f>
        <v>7065.91</v>
      </c>
      <c r="N70" s="29">
        <f t="shared" si="40"/>
        <v>196.27527777777777</v>
      </c>
      <c r="O70" s="29">
        <f t="shared" si="41"/>
        <v>2355.3033333333333</v>
      </c>
      <c r="P70" s="29">
        <f t="shared" si="42"/>
        <v>0</v>
      </c>
      <c r="Q70" s="29"/>
      <c r="R70" s="29">
        <f t="shared" si="43"/>
        <v>7065.91</v>
      </c>
      <c r="S70" s="29">
        <f t="shared" si="44"/>
        <v>7065.91</v>
      </c>
      <c r="T70" s="29">
        <f t="shared" si="45"/>
        <v>0</v>
      </c>
    </row>
    <row r="71" spans="1:20" s="1" customFormat="1">
      <c r="D71" s="27"/>
      <c r="E71" s="10"/>
      <c r="G71" s="28"/>
      <c r="H71" s="10"/>
      <c r="I71" s="10"/>
      <c r="J71" s="14"/>
      <c r="K71" s="14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1" customFormat="1">
      <c r="D72" s="41" t="s">
        <v>338</v>
      </c>
      <c r="E72" s="42"/>
      <c r="F72" s="43"/>
      <c r="G72" s="44"/>
      <c r="H72" s="42"/>
      <c r="I72" s="42"/>
      <c r="J72" s="45"/>
      <c r="K72" s="45"/>
      <c r="L72" s="35">
        <f t="shared" ref="L72:T72" si="48">SUM(L68:L71)</f>
        <v>140224.07999999999</v>
      </c>
      <c r="M72" s="35">
        <f t="shared" si="48"/>
        <v>140224.07999999999</v>
      </c>
      <c r="N72" s="35">
        <f t="shared" si="48"/>
        <v>1591.3748333333333</v>
      </c>
      <c r="O72" s="35">
        <f t="shared" si="48"/>
        <v>19096.498</v>
      </c>
      <c r="P72" s="35">
        <f t="shared" si="48"/>
        <v>0</v>
      </c>
      <c r="Q72" s="35">
        <f t="shared" si="48"/>
        <v>0</v>
      </c>
      <c r="R72" s="35">
        <f>SUM(R68:R71)</f>
        <v>140224.07999999999</v>
      </c>
      <c r="S72" s="35">
        <f t="shared" si="48"/>
        <v>140224.07999999999</v>
      </c>
      <c r="T72" s="35">
        <f t="shared" si="48"/>
        <v>0</v>
      </c>
    </row>
    <row r="73" spans="1:20" s="1" customFormat="1">
      <c r="G73" s="10"/>
      <c r="J73" s="4"/>
      <c r="K73" s="4"/>
      <c r="L73" s="38"/>
      <c r="M73" s="38"/>
      <c r="N73" s="38"/>
      <c r="O73" s="38"/>
      <c r="P73" s="38"/>
      <c r="Q73" s="38"/>
      <c r="R73" s="38"/>
      <c r="S73" s="38"/>
      <c r="T73" s="38"/>
    </row>
    <row r="74" spans="1:20" s="1" customFormat="1">
      <c r="B74" s="31"/>
      <c r="D74" s="15" t="s">
        <v>135</v>
      </c>
      <c r="G74" s="10"/>
      <c r="J74" s="4"/>
      <c r="K74" s="4"/>
      <c r="L74" s="38"/>
      <c r="M74" s="38"/>
      <c r="N74" s="38"/>
      <c r="O74" s="38"/>
      <c r="P74" s="38"/>
      <c r="Q74" s="38"/>
      <c r="R74" s="38"/>
      <c r="S74" s="38"/>
      <c r="T74" s="38"/>
    </row>
    <row r="75" spans="1:20" s="1" customFormat="1">
      <c r="B75" s="1">
        <v>25</v>
      </c>
      <c r="C75" s="1" t="s">
        <v>15</v>
      </c>
      <c r="D75" s="27" t="s">
        <v>136</v>
      </c>
      <c r="E75" s="10">
        <v>1996</v>
      </c>
      <c r="F75" s="1">
        <v>11</v>
      </c>
      <c r="G75" s="28">
        <v>0</v>
      </c>
      <c r="H75" s="10" t="s">
        <v>92</v>
      </c>
      <c r="I75" s="10">
        <v>7</v>
      </c>
      <c r="J75" s="14">
        <f>E75+I75</f>
        <v>2003</v>
      </c>
      <c r="K75" s="143">
        <f t="shared" ref="K75:K76" si="49">+J75+(F75/12)</f>
        <v>2003.9166666666667</v>
      </c>
      <c r="L75" s="29">
        <f>+'2120 Depr - Orig'!P58</f>
        <v>33600</v>
      </c>
      <c r="M75" s="29">
        <f>L75-L75*G75</f>
        <v>33600</v>
      </c>
      <c r="N75" s="29">
        <f t="shared" ref="N75:N76" si="50">M75/I75/12</f>
        <v>400</v>
      </c>
      <c r="O75" s="29">
        <f t="shared" ref="O75:O76" si="51">+N75*12</f>
        <v>4800</v>
      </c>
      <c r="P75" s="29">
        <f t="shared" ref="P75:P76" si="52">+IF($K75&lt;$N$7,0,IF($K75&gt;$N$6,$O75,((($K75-$N$7)*12)*$N75)))</f>
        <v>0</v>
      </c>
      <c r="Q75" s="29"/>
      <c r="R75" s="29">
        <f t="shared" ref="R75:R76" si="53">+IF($K75&lt;=$N$7,$L75,IF(($E75+($F75/12))&gt;=$N$7,0,((($M75-((($K75-$N$7)*12)*$N75))))))</f>
        <v>33600</v>
      </c>
      <c r="S75" s="29">
        <f t="shared" ref="S75:S76" si="54">+IF(P75=0,R75,R75+P75)</f>
        <v>33600</v>
      </c>
      <c r="T75" s="29">
        <f t="shared" ref="T75:T76" si="55">+L75-S75</f>
        <v>0</v>
      </c>
    </row>
    <row r="76" spans="1:20" s="228" customFormat="1">
      <c r="B76" s="228">
        <v>25</v>
      </c>
      <c r="D76" s="229" t="s">
        <v>328</v>
      </c>
      <c r="E76" s="230">
        <v>2017</v>
      </c>
      <c r="F76" s="228">
        <v>1</v>
      </c>
      <c r="G76" s="231">
        <v>0</v>
      </c>
      <c r="H76" s="230" t="s">
        <v>92</v>
      </c>
      <c r="I76" s="230">
        <f>+IF(J75-$M$4&gt;=3,J75-$M$4,3)</f>
        <v>2003</v>
      </c>
      <c r="J76" s="232">
        <f>E76+I76</f>
        <v>4020</v>
      </c>
      <c r="K76" s="233">
        <f t="shared" si="49"/>
        <v>4020.0833333333335</v>
      </c>
      <c r="L76" s="234">
        <f>+'2120 Depr - Orig'!N58-'Truck Depr - w Salvage '!L75</f>
        <v>8400</v>
      </c>
      <c r="M76" s="234">
        <f>L76-L76*G76</f>
        <v>8400</v>
      </c>
      <c r="N76" s="234">
        <f t="shared" si="50"/>
        <v>0.34947578632051918</v>
      </c>
      <c r="O76" s="234">
        <f t="shared" si="51"/>
        <v>4.1937094358462303</v>
      </c>
      <c r="P76" s="234">
        <f t="shared" si="52"/>
        <v>4.1937094358462303</v>
      </c>
      <c r="Q76" s="234"/>
      <c r="R76" s="234">
        <f t="shared" si="53"/>
        <v>20.968547179230882</v>
      </c>
      <c r="S76" s="234">
        <f t="shared" si="54"/>
        <v>25.162256615077112</v>
      </c>
      <c r="T76" s="234">
        <f t="shared" si="55"/>
        <v>8374.8377433849237</v>
      </c>
    </row>
    <row r="77" spans="1:20" s="1" customFormat="1">
      <c r="D77" s="27"/>
      <c r="E77" s="10"/>
      <c r="G77" s="28"/>
      <c r="H77" s="10"/>
      <c r="I77" s="10"/>
      <c r="J77" s="14"/>
      <c r="K77" s="14"/>
      <c r="L77" s="29"/>
      <c r="M77" s="29"/>
      <c r="N77" s="29"/>
      <c r="O77" s="29"/>
      <c r="P77" s="29"/>
      <c r="Q77" s="29"/>
      <c r="R77" s="29"/>
      <c r="S77" s="29"/>
      <c r="T77" s="29"/>
    </row>
    <row r="78" spans="1:20" s="1" customFormat="1">
      <c r="D78" s="41" t="s">
        <v>137</v>
      </c>
      <c r="E78" s="42"/>
      <c r="F78" s="43"/>
      <c r="G78" s="44"/>
      <c r="H78" s="42"/>
      <c r="I78" s="42"/>
      <c r="J78" s="45"/>
      <c r="K78" s="45"/>
      <c r="L78" s="35">
        <f>SUM(L75:L77)</f>
        <v>42000</v>
      </c>
      <c r="M78" s="35">
        <f t="shared" ref="M78:T78" si="56">SUM(M75:M77)</f>
        <v>42000</v>
      </c>
      <c r="N78" s="35">
        <f t="shared" si="56"/>
        <v>400.34947578632051</v>
      </c>
      <c r="O78" s="35">
        <f t="shared" si="56"/>
        <v>4804.1937094358464</v>
      </c>
      <c r="P78" s="35">
        <f t="shared" si="56"/>
        <v>4.1937094358462303</v>
      </c>
      <c r="Q78" s="35">
        <f t="shared" si="56"/>
        <v>0</v>
      </c>
      <c r="R78" s="35">
        <f>SUM(R75:R77)</f>
        <v>33620.968547179233</v>
      </c>
      <c r="S78" s="35">
        <f t="shared" si="56"/>
        <v>33625.162256615076</v>
      </c>
      <c r="T78" s="35">
        <f t="shared" si="56"/>
        <v>8374.8377433849237</v>
      </c>
    </row>
    <row r="79" spans="1:20" s="1" customFormat="1">
      <c r="D79" s="15"/>
      <c r="E79" s="10"/>
      <c r="G79" s="28"/>
      <c r="H79" s="10"/>
      <c r="I79" s="10"/>
      <c r="J79" s="14"/>
      <c r="K79" s="14"/>
      <c r="L79" s="37"/>
      <c r="M79" s="37"/>
      <c r="N79" s="37"/>
      <c r="O79" s="37"/>
      <c r="P79" s="37"/>
      <c r="Q79" s="37"/>
      <c r="R79" s="37"/>
      <c r="S79" s="37"/>
      <c r="T79" s="37"/>
    </row>
    <row r="80" spans="1:20" s="1" customFormat="1">
      <c r="D80" s="15" t="s">
        <v>1159</v>
      </c>
      <c r="E80" s="10"/>
      <c r="G80" s="28"/>
      <c r="H80" s="10"/>
      <c r="I80" s="10"/>
      <c r="J80" s="14"/>
      <c r="K80" s="14"/>
      <c r="L80" s="37"/>
      <c r="M80" s="37"/>
      <c r="N80" s="37"/>
      <c r="O80" s="37"/>
      <c r="P80" s="37"/>
      <c r="Q80" s="37"/>
      <c r="R80" s="37"/>
      <c r="S80" s="37"/>
      <c r="T80" s="37"/>
    </row>
    <row r="81" spans="1:25" s="82" customFormat="1">
      <c r="B81" s="82" t="s">
        <v>419</v>
      </c>
      <c r="D81" s="83" t="s">
        <v>418</v>
      </c>
      <c r="E81" s="84">
        <v>2021</v>
      </c>
      <c r="F81" s="82">
        <v>8</v>
      </c>
      <c r="G81" s="85">
        <v>0</v>
      </c>
      <c r="H81" s="84" t="s">
        <v>92</v>
      </c>
      <c r="I81" s="84">
        <v>7</v>
      </c>
      <c r="J81" s="86">
        <f>E81+I81</f>
        <v>2028</v>
      </c>
      <c r="K81" s="239">
        <f>+J81+(F81/12)</f>
        <v>2028.6666666666667</v>
      </c>
      <c r="L81" s="88">
        <f>4010+483.9</f>
        <v>4493.8999999999996</v>
      </c>
      <c r="M81" s="88">
        <f>L81-L81*G81</f>
        <v>4493.8999999999996</v>
      </c>
      <c r="N81" s="88">
        <f t="shared" ref="N81" si="57">M81/I81/12</f>
        <v>53.49880952380952</v>
      </c>
      <c r="O81" s="88">
        <f t="shared" ref="O81" si="58">+N81*12</f>
        <v>641.98571428571427</v>
      </c>
      <c r="P81" s="88">
        <f t="shared" ref="P81" si="59">+IF($K81&lt;$N$7,0,IF($K81&gt;$N$6,$O81,((($K81-$N$7)*12)*$N81)))</f>
        <v>641.98571428571427</v>
      </c>
      <c r="Q81" s="88"/>
      <c r="R81" s="88">
        <f t="shared" ref="R81" si="60">+IF($K81&lt;=$N$7,$L81,IF(($E81+($F81/12))&gt;=$N$7,0,((($M81-((($K81-$N$7)*12)*$N81))))))</f>
        <v>267.49404761895039</v>
      </c>
      <c r="S81" s="88">
        <f t="shared" ref="S81" si="61">+IF(P81=0,R81,R81+P81)</f>
        <v>909.47976190466466</v>
      </c>
      <c r="T81" s="88">
        <f t="shared" ref="T81" si="62">+L81-S81</f>
        <v>3584.4202380953348</v>
      </c>
      <c r="U81" s="91"/>
      <c r="V81" s="91"/>
      <c r="W81" s="91"/>
      <c r="X81" s="91"/>
      <c r="Y81" s="91"/>
    </row>
    <row r="82" spans="1:25" s="1" customFormat="1">
      <c r="D82" s="15"/>
      <c r="E82" s="10"/>
      <c r="G82" s="28"/>
      <c r="H82" s="10"/>
      <c r="I82" s="10"/>
      <c r="J82" s="14"/>
      <c r="K82" s="14"/>
      <c r="L82" s="37"/>
      <c r="M82" s="37"/>
      <c r="N82" s="37"/>
      <c r="O82" s="37"/>
      <c r="P82" s="37"/>
      <c r="Q82" s="37"/>
      <c r="R82" s="37"/>
      <c r="S82" s="37"/>
      <c r="T82" s="37"/>
    </row>
    <row r="83" spans="1:25" s="1" customFormat="1">
      <c r="D83" s="41" t="s">
        <v>1160</v>
      </c>
      <c r="E83" s="42"/>
      <c r="F83" s="43"/>
      <c r="G83" s="44"/>
      <c r="H83" s="42"/>
      <c r="I83" s="42"/>
      <c r="J83" s="45"/>
      <c r="K83" s="45"/>
      <c r="L83" s="35">
        <f>SUM(L81:L82)</f>
        <v>4493.8999999999996</v>
      </c>
      <c r="M83" s="35">
        <f t="shared" ref="M83:S83" si="63">SUM(M79:M82)</f>
        <v>4493.8999999999996</v>
      </c>
      <c r="N83" s="35">
        <f t="shared" si="63"/>
        <v>53.49880952380952</v>
      </c>
      <c r="O83" s="35">
        <f t="shared" si="63"/>
        <v>641.98571428571427</v>
      </c>
      <c r="P83" s="35">
        <f t="shared" si="63"/>
        <v>641.98571428571427</v>
      </c>
      <c r="Q83" s="35">
        <f t="shared" si="63"/>
        <v>0</v>
      </c>
      <c r="R83" s="35">
        <f t="shared" si="63"/>
        <v>267.49404761895039</v>
      </c>
      <c r="S83" s="35">
        <f t="shared" si="63"/>
        <v>909.47976190466466</v>
      </c>
      <c r="T83" s="35">
        <f>SUM(T79:T82)</f>
        <v>3584.4202380953348</v>
      </c>
    </row>
    <row r="84" spans="1:25" s="1" customFormat="1">
      <c r="G84" s="10"/>
      <c r="J84" s="4"/>
      <c r="K84" s="4"/>
      <c r="L84" s="38"/>
      <c r="M84" s="38"/>
      <c r="N84" s="38"/>
      <c r="O84" s="38"/>
      <c r="P84" s="38"/>
      <c r="Q84" s="38"/>
      <c r="R84" s="38"/>
      <c r="S84" s="38"/>
      <c r="T84" s="38"/>
    </row>
    <row r="85" spans="1:25" s="31" customFormat="1" ht="12" thickBot="1">
      <c r="D85" s="46" t="s">
        <v>138</v>
      </c>
      <c r="E85" s="46"/>
      <c r="F85" s="46"/>
      <c r="G85" s="47"/>
      <c r="H85" s="46"/>
      <c r="I85" s="46"/>
      <c r="J85" s="48"/>
      <c r="K85" s="48"/>
      <c r="L85" s="49">
        <f>L78+L63+L56+L38+L72+L83</f>
        <v>2848405.69</v>
      </c>
      <c r="M85" s="49">
        <f t="shared" ref="M85:T85" si="64">M78+M63+M56+M38+M72+M83</f>
        <v>2848405.69</v>
      </c>
      <c r="N85" s="49">
        <f t="shared" si="64"/>
        <v>33136.326723615304</v>
      </c>
      <c r="O85" s="49">
        <f t="shared" si="64"/>
        <v>397635.92068338371</v>
      </c>
      <c r="P85" s="49">
        <f t="shared" si="64"/>
        <v>210390.46405957622</v>
      </c>
      <c r="Q85" s="49">
        <f t="shared" si="64"/>
        <v>0</v>
      </c>
      <c r="R85" s="49">
        <f t="shared" si="64"/>
        <v>1549915.2823073787</v>
      </c>
      <c r="S85" s="49">
        <f t="shared" si="64"/>
        <v>1760305.7463669549</v>
      </c>
      <c r="T85" s="49">
        <f t="shared" si="64"/>
        <v>1088099.9436330451</v>
      </c>
    </row>
    <row r="86" spans="1:25" s="1" customFormat="1">
      <c r="G86" s="10"/>
      <c r="J86" s="4"/>
      <c r="K86" s="4"/>
      <c r="L86" s="38"/>
      <c r="M86" s="38"/>
      <c r="N86" s="38"/>
      <c r="O86" s="38"/>
      <c r="P86" s="38"/>
      <c r="Q86" s="38"/>
      <c r="R86" s="38"/>
      <c r="S86" s="38"/>
      <c r="T86" s="38"/>
    </row>
    <row r="87" spans="1:25" s="1" customFormat="1">
      <c r="G87" s="10"/>
      <c r="J87" s="4"/>
      <c r="K87" s="4"/>
      <c r="L87" s="5"/>
      <c r="M87" s="5"/>
      <c r="N87" s="5"/>
      <c r="O87" s="5"/>
      <c r="P87" s="5"/>
      <c r="Q87" s="5"/>
      <c r="R87" s="5"/>
      <c r="S87" s="5"/>
      <c r="T87" s="5"/>
    </row>
    <row r="88" spans="1:25" s="1" customFormat="1">
      <c r="G88" s="10"/>
      <c r="J88" s="240"/>
      <c r="K88" s="4"/>
      <c r="L88" s="5"/>
      <c r="M88" s="5"/>
      <c r="N88" s="5"/>
      <c r="O88" s="5"/>
      <c r="P88" s="5"/>
      <c r="Q88" s="5"/>
      <c r="R88" s="5"/>
      <c r="S88" s="5"/>
      <c r="T88" s="5"/>
    </row>
    <row r="89" spans="1:25" s="1" customFormat="1">
      <c r="G89" s="10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</row>
    <row r="90" spans="1:25" s="1" customFormat="1">
      <c r="G90" s="10"/>
      <c r="J90" s="4"/>
      <c r="K90" s="4"/>
      <c r="L90" s="5"/>
      <c r="M90" s="5"/>
      <c r="N90" s="5"/>
      <c r="O90" s="5"/>
      <c r="P90" s="5"/>
      <c r="Q90" s="5"/>
      <c r="R90" s="5"/>
      <c r="S90" s="5"/>
      <c r="T90" s="5"/>
    </row>
    <row r="91" spans="1:25" s="1" customFormat="1">
      <c r="G91" s="10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</row>
    <row r="92" spans="1:25" s="1" customFormat="1" hidden="1" outlineLevel="1">
      <c r="G92" s="10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</row>
    <row r="93" spans="1:25" s="1" customFormat="1" hidden="1" outlineLevel="1">
      <c r="B93" s="154" t="s">
        <v>303</v>
      </c>
      <c r="G93" s="10"/>
      <c r="J93" s="4"/>
      <c r="K93" s="4"/>
      <c r="L93" s="5"/>
      <c r="M93" s="5"/>
      <c r="N93" s="5"/>
      <c r="O93" s="5"/>
      <c r="P93" s="5"/>
      <c r="Q93" s="5"/>
      <c r="R93" s="5"/>
      <c r="S93" s="5"/>
      <c r="T93" s="5"/>
    </row>
    <row r="94" spans="1:25" s="1" customFormat="1" hidden="1" outlineLevel="1">
      <c r="G94" s="10"/>
      <c r="J94" s="4"/>
      <c r="K94" s="4"/>
      <c r="L94" s="5"/>
      <c r="M94" s="5"/>
      <c r="N94" s="5"/>
      <c r="O94" s="5"/>
      <c r="P94" s="5"/>
      <c r="Q94" s="5"/>
      <c r="R94" s="5"/>
      <c r="S94" s="5"/>
      <c r="T94" s="5"/>
    </row>
    <row r="95" spans="1:25" s="1" customFormat="1" hidden="1" outlineLevel="1">
      <c r="A95" s="1" t="s">
        <v>131</v>
      </c>
      <c r="B95" s="1">
        <v>19</v>
      </c>
      <c r="C95" s="1" t="s">
        <v>132</v>
      </c>
      <c r="D95" s="27" t="s">
        <v>133</v>
      </c>
      <c r="E95" s="10">
        <v>2004</v>
      </c>
      <c r="F95" s="1">
        <v>3</v>
      </c>
      <c r="G95" s="28">
        <v>0.33</v>
      </c>
      <c r="H95" s="10" t="s">
        <v>92</v>
      </c>
      <c r="I95" s="10">
        <v>7</v>
      </c>
      <c r="J95" s="14">
        <f t="shared" ref="J95:J109" si="65">E95+I95</f>
        <v>2011</v>
      </c>
      <c r="K95" s="143">
        <f t="shared" ref="K95:K109" si="66">+J95+(F95/12)</f>
        <v>2011.25</v>
      </c>
      <c r="L95" s="29">
        <f>40000+10608.49</f>
        <v>50608.49</v>
      </c>
      <c r="M95" s="29">
        <f t="shared" ref="M95:M109" si="67">L95-L95*G95</f>
        <v>33907.688299999994</v>
      </c>
      <c r="N95" s="29">
        <f t="shared" ref="N95:N109" si="68">M95/I95/12</f>
        <v>403.66295595238086</v>
      </c>
      <c r="O95" s="29">
        <f t="shared" ref="O95:O109" si="69">+N95*12</f>
        <v>4843.9554714285705</v>
      </c>
      <c r="P95" s="29">
        <f t="shared" ref="P95:P109" si="70">+IF(K95&lt;=$M$5,0,IF(J95&gt;$M$4,O95,(N95*F95)))</f>
        <v>4843.9554714285705</v>
      </c>
      <c r="Q95" s="29"/>
      <c r="R95" s="29">
        <f t="shared" ref="R95:R109" si="71">+IF(P95=0,M95,IF($M$3-E95&lt;1,0,(($M$3-E95)*O95)))</f>
        <v>0</v>
      </c>
      <c r="S95" s="29">
        <f t="shared" ref="S95:S109" si="72">+IF(P95=0,R95,R95+P95)</f>
        <v>4843.9554714285705</v>
      </c>
      <c r="T95" s="29">
        <f t="shared" ref="T95:T109" si="73">+L95-S95</f>
        <v>45764.534528571428</v>
      </c>
    </row>
    <row r="96" spans="1:25" s="1" customFormat="1" hidden="1" outlineLevel="1">
      <c r="A96" s="1">
        <v>1</v>
      </c>
      <c r="B96" s="1">
        <v>6</v>
      </c>
      <c r="C96" s="1" t="s">
        <v>96</v>
      </c>
      <c r="D96" s="27" t="s">
        <v>97</v>
      </c>
      <c r="E96" s="10">
        <v>2003</v>
      </c>
      <c r="F96" s="1">
        <v>6</v>
      </c>
      <c r="G96" s="28">
        <v>0</v>
      </c>
      <c r="H96" s="10" t="s">
        <v>92</v>
      </c>
      <c r="I96" s="10">
        <v>7</v>
      </c>
      <c r="J96" s="14">
        <f t="shared" si="65"/>
        <v>2010</v>
      </c>
      <c r="K96" s="143">
        <f t="shared" si="66"/>
        <v>2010.5</v>
      </c>
      <c r="L96" s="29">
        <f>+'2120 Depr - Orig'!P16</f>
        <v>76000</v>
      </c>
      <c r="M96" s="29">
        <f t="shared" si="67"/>
        <v>76000</v>
      </c>
      <c r="N96" s="29">
        <f t="shared" si="68"/>
        <v>904.7619047619047</v>
      </c>
      <c r="O96" s="29">
        <f t="shared" si="69"/>
        <v>10857.142857142857</v>
      </c>
      <c r="P96" s="29">
        <f t="shared" si="70"/>
        <v>10857.142857142857</v>
      </c>
      <c r="Q96" s="29"/>
      <c r="R96" s="29">
        <f t="shared" si="71"/>
        <v>0</v>
      </c>
      <c r="S96" s="29">
        <f t="shared" si="72"/>
        <v>10857.142857142857</v>
      </c>
      <c r="T96" s="29">
        <f t="shared" si="73"/>
        <v>65142.857142857145</v>
      </c>
    </row>
    <row r="97" spans="1:227" s="3" customFormat="1" hidden="1" outlineLevel="1">
      <c r="B97" s="3">
        <v>6</v>
      </c>
      <c r="D97" s="147" t="s">
        <v>329</v>
      </c>
      <c r="E97" s="148">
        <v>2017</v>
      </c>
      <c r="F97" s="3">
        <v>1</v>
      </c>
      <c r="G97" s="149">
        <v>0</v>
      </c>
      <c r="H97" s="148" t="s">
        <v>92</v>
      </c>
      <c r="I97" s="148">
        <f>+IF(J96-$M$4&gt;=3,J96-$M$4,3)</f>
        <v>2010</v>
      </c>
      <c r="J97" s="150">
        <f t="shared" si="65"/>
        <v>4027</v>
      </c>
      <c r="K97" s="151">
        <f t="shared" si="66"/>
        <v>4027.0833333333335</v>
      </c>
      <c r="L97" s="152">
        <f>+'2120 Depr - Orig'!N16-'Truck Depr - w Salvage '!L96</f>
        <v>19000</v>
      </c>
      <c r="M97" s="152">
        <f t="shared" si="67"/>
        <v>19000</v>
      </c>
      <c r="N97" s="152">
        <f t="shared" si="68"/>
        <v>0.78772802653399665</v>
      </c>
      <c r="O97" s="152">
        <f t="shared" si="69"/>
        <v>9.4527363184079594</v>
      </c>
      <c r="P97" s="152">
        <f t="shared" si="70"/>
        <v>9.4527363184079594</v>
      </c>
      <c r="Q97" s="152"/>
      <c r="R97" s="152">
        <f t="shared" si="71"/>
        <v>0</v>
      </c>
      <c r="S97" s="152">
        <f t="shared" si="72"/>
        <v>9.4527363184079594</v>
      </c>
      <c r="T97" s="152">
        <f t="shared" si="73"/>
        <v>18990.54726368159</v>
      </c>
    </row>
    <row r="98" spans="1:227" s="1" customFormat="1" hidden="1" outlineLevel="1">
      <c r="A98" s="1">
        <v>1</v>
      </c>
      <c r="B98" s="1">
        <v>18</v>
      </c>
      <c r="C98" s="1" t="s">
        <v>90</v>
      </c>
      <c r="D98" s="27" t="s">
        <v>91</v>
      </c>
      <c r="E98" s="10">
        <v>1995</v>
      </c>
      <c r="F98" s="1">
        <v>6</v>
      </c>
      <c r="G98" s="28">
        <v>0</v>
      </c>
      <c r="H98" s="10" t="s">
        <v>92</v>
      </c>
      <c r="I98" s="10">
        <v>5</v>
      </c>
      <c r="J98" s="14">
        <f t="shared" si="65"/>
        <v>2000</v>
      </c>
      <c r="K98" s="143">
        <f t="shared" si="66"/>
        <v>2000.5</v>
      </c>
      <c r="L98" s="29"/>
      <c r="M98" s="29">
        <f t="shared" si="67"/>
        <v>0</v>
      </c>
      <c r="N98" s="29">
        <f t="shared" si="68"/>
        <v>0</v>
      </c>
      <c r="O98" s="29">
        <f t="shared" si="69"/>
        <v>0</v>
      </c>
      <c r="P98" s="29">
        <f t="shared" si="70"/>
        <v>0</v>
      </c>
      <c r="Q98" s="29"/>
      <c r="R98" s="29">
        <f t="shared" si="71"/>
        <v>0</v>
      </c>
      <c r="S98" s="29">
        <f t="shared" si="72"/>
        <v>0</v>
      </c>
      <c r="T98" s="29">
        <f t="shared" si="73"/>
        <v>0</v>
      </c>
      <c r="HS98" s="1">
        <f>SUM(B98:HR98)</f>
        <v>6024.5</v>
      </c>
    </row>
    <row r="99" spans="1:227" s="1" customFormat="1" hidden="1" outlineLevel="1">
      <c r="A99" s="1">
        <v>1</v>
      </c>
      <c r="B99" s="1">
        <v>15</v>
      </c>
      <c r="C99" s="1" t="s">
        <v>90</v>
      </c>
      <c r="D99" s="27" t="s">
        <v>93</v>
      </c>
      <c r="E99" s="10">
        <v>1997</v>
      </c>
      <c r="F99" s="1">
        <v>3</v>
      </c>
      <c r="G99" s="28">
        <v>0</v>
      </c>
      <c r="H99" s="10" t="s">
        <v>92</v>
      </c>
      <c r="I99" s="10">
        <v>7</v>
      </c>
      <c r="J99" s="14">
        <f t="shared" si="65"/>
        <v>2004</v>
      </c>
      <c r="K99" s="143">
        <f t="shared" si="66"/>
        <v>2004.25</v>
      </c>
      <c r="L99" s="29">
        <f>+'2120 Depr - Orig'!P13</f>
        <v>1264</v>
      </c>
      <c r="M99" s="29">
        <f t="shared" si="67"/>
        <v>1264</v>
      </c>
      <c r="N99" s="29">
        <f t="shared" si="68"/>
        <v>15.047619047619049</v>
      </c>
      <c r="O99" s="29">
        <f t="shared" si="69"/>
        <v>180.57142857142858</v>
      </c>
      <c r="P99" s="29">
        <f t="shared" si="70"/>
        <v>180.57142857142858</v>
      </c>
      <c r="Q99" s="29"/>
      <c r="R99" s="29">
        <f t="shared" si="71"/>
        <v>0</v>
      </c>
      <c r="S99" s="29">
        <f t="shared" si="72"/>
        <v>180.57142857142858</v>
      </c>
      <c r="T99" s="29">
        <f t="shared" si="73"/>
        <v>1083.4285714285713</v>
      </c>
    </row>
    <row r="100" spans="1:227" s="3" customFormat="1" hidden="1" outlineLevel="1">
      <c r="B100" s="3">
        <v>15</v>
      </c>
      <c r="D100" s="147" t="s">
        <v>327</v>
      </c>
      <c r="E100" s="148">
        <v>2017</v>
      </c>
      <c r="F100" s="3">
        <v>1</v>
      </c>
      <c r="G100" s="149">
        <v>0</v>
      </c>
      <c r="H100" s="148" t="s">
        <v>92</v>
      </c>
      <c r="I100" s="148">
        <f>+IF(J99-$M$4&gt;=3,J99-$M$4,3)</f>
        <v>2004</v>
      </c>
      <c r="J100" s="150">
        <f t="shared" si="65"/>
        <v>4021</v>
      </c>
      <c r="K100" s="151">
        <f t="shared" si="66"/>
        <v>4021.0833333333335</v>
      </c>
      <c r="L100" s="152">
        <f>+'2120 Depr - Orig'!N13-'Truck Depr - w Salvage '!L99</f>
        <v>316</v>
      </c>
      <c r="M100" s="152">
        <f t="shared" si="67"/>
        <v>316</v>
      </c>
      <c r="N100" s="152">
        <f t="shared" si="68"/>
        <v>1.3140385894876913E-2</v>
      </c>
      <c r="O100" s="152">
        <f t="shared" si="69"/>
        <v>0.15768463073852296</v>
      </c>
      <c r="P100" s="152">
        <f t="shared" si="70"/>
        <v>0.15768463073852296</v>
      </c>
      <c r="Q100" s="152"/>
      <c r="R100" s="152">
        <f t="shared" si="71"/>
        <v>0</v>
      </c>
      <c r="S100" s="152">
        <f t="shared" si="72"/>
        <v>0.15768463073852296</v>
      </c>
      <c r="T100" s="152">
        <f t="shared" si="73"/>
        <v>315.84231536926148</v>
      </c>
    </row>
    <row r="101" spans="1:227" s="1" customFormat="1" hidden="1" outlineLevel="1">
      <c r="A101" s="1">
        <v>1</v>
      </c>
      <c r="B101" s="1">
        <v>74</v>
      </c>
      <c r="C101" s="1" t="s">
        <v>96</v>
      </c>
      <c r="D101" s="27" t="s">
        <v>97</v>
      </c>
      <c r="E101" s="10">
        <v>2002</v>
      </c>
      <c r="F101" s="1">
        <v>9</v>
      </c>
      <c r="G101" s="28">
        <v>0</v>
      </c>
      <c r="H101" s="10" t="s">
        <v>92</v>
      </c>
      <c r="I101" s="10">
        <v>7</v>
      </c>
      <c r="J101" s="14">
        <f t="shared" si="65"/>
        <v>2009</v>
      </c>
      <c r="K101" s="143">
        <f t="shared" si="66"/>
        <v>2009.75</v>
      </c>
      <c r="L101" s="29">
        <f>+'2120 Depr - Orig'!P15</f>
        <v>80124.800000000003</v>
      </c>
      <c r="M101" s="29">
        <f t="shared" si="67"/>
        <v>80124.800000000003</v>
      </c>
      <c r="N101" s="29">
        <f t="shared" si="68"/>
        <v>953.86666666666667</v>
      </c>
      <c r="O101" s="29">
        <f t="shared" si="69"/>
        <v>11446.4</v>
      </c>
      <c r="P101" s="29">
        <f t="shared" si="70"/>
        <v>11446.4</v>
      </c>
      <c r="Q101" s="29"/>
      <c r="R101" s="29">
        <f t="shared" si="71"/>
        <v>0</v>
      </c>
      <c r="S101" s="29">
        <f t="shared" si="72"/>
        <v>11446.4</v>
      </c>
      <c r="T101" s="29">
        <f t="shared" si="73"/>
        <v>68678.400000000009</v>
      </c>
    </row>
    <row r="102" spans="1:227" s="3" customFormat="1" hidden="1" outlineLevel="1">
      <c r="B102" s="3">
        <v>74</v>
      </c>
      <c r="D102" s="147" t="s">
        <v>330</v>
      </c>
      <c r="E102" s="148">
        <v>2017</v>
      </c>
      <c r="F102" s="3">
        <v>1</v>
      </c>
      <c r="G102" s="149">
        <v>0</v>
      </c>
      <c r="H102" s="148" t="s">
        <v>92</v>
      </c>
      <c r="I102" s="148">
        <f>+IF(J101-$M$4&gt;=3,J101-$M$4,3)</f>
        <v>2009</v>
      </c>
      <c r="J102" s="150">
        <f t="shared" si="65"/>
        <v>4026</v>
      </c>
      <c r="K102" s="151">
        <f t="shared" si="66"/>
        <v>4026.0833333333335</v>
      </c>
      <c r="L102" s="152">
        <f>+'2120 Depr - Orig'!N15-'Truck Depr - w Salvage '!L101</f>
        <v>20031.199999999997</v>
      </c>
      <c r="M102" s="152">
        <f t="shared" si="67"/>
        <v>20031.199999999997</v>
      </c>
      <c r="N102" s="152">
        <f t="shared" si="68"/>
        <v>0.83089430894308924</v>
      </c>
      <c r="O102" s="152">
        <f t="shared" si="69"/>
        <v>9.9707317073170714</v>
      </c>
      <c r="P102" s="152">
        <f t="shared" si="70"/>
        <v>9.9707317073170714</v>
      </c>
      <c r="Q102" s="152"/>
      <c r="R102" s="152">
        <f t="shared" si="71"/>
        <v>0</v>
      </c>
      <c r="S102" s="152">
        <f t="shared" si="72"/>
        <v>9.9707317073170714</v>
      </c>
      <c r="T102" s="152">
        <f t="shared" si="73"/>
        <v>20021.229268292682</v>
      </c>
    </row>
    <row r="103" spans="1:227" s="1" customFormat="1" hidden="1" outlineLevel="1">
      <c r="B103" s="1">
        <v>65</v>
      </c>
      <c r="C103" s="1" t="s">
        <v>98</v>
      </c>
      <c r="D103" s="27" t="s">
        <v>130</v>
      </c>
      <c r="E103" s="10">
        <v>2002</v>
      </c>
      <c r="F103" s="1">
        <v>6</v>
      </c>
      <c r="G103" s="28">
        <v>0</v>
      </c>
      <c r="H103" s="10" t="s">
        <v>92</v>
      </c>
      <c r="I103" s="10">
        <v>7</v>
      </c>
      <c r="J103" s="14">
        <f t="shared" si="65"/>
        <v>2009</v>
      </c>
      <c r="K103" s="143">
        <f t="shared" si="66"/>
        <v>2009.5</v>
      </c>
      <c r="L103" s="29">
        <f>+'2120 Depr - Orig'!P52</f>
        <v>44000</v>
      </c>
      <c r="M103" s="29">
        <f t="shared" si="67"/>
        <v>44000</v>
      </c>
      <c r="N103" s="29">
        <f t="shared" si="68"/>
        <v>523.80952380952374</v>
      </c>
      <c r="O103" s="29">
        <f t="shared" si="69"/>
        <v>6285.7142857142844</v>
      </c>
      <c r="P103" s="29">
        <f t="shared" si="70"/>
        <v>6285.7142857142844</v>
      </c>
      <c r="Q103" s="29"/>
      <c r="R103" s="29">
        <f t="shared" si="71"/>
        <v>0</v>
      </c>
      <c r="S103" s="29">
        <f t="shared" si="72"/>
        <v>6285.7142857142844</v>
      </c>
      <c r="T103" s="29">
        <f t="shared" si="73"/>
        <v>37714.285714285717</v>
      </c>
    </row>
    <row r="104" spans="1:227" s="3" customFormat="1" hidden="1" outlineLevel="1">
      <c r="B104" s="3">
        <v>65</v>
      </c>
      <c r="D104" s="147" t="s">
        <v>331</v>
      </c>
      <c r="E104" s="148">
        <v>2017</v>
      </c>
      <c r="F104" s="3">
        <v>1</v>
      </c>
      <c r="G104" s="149">
        <v>0</v>
      </c>
      <c r="H104" s="148" t="s">
        <v>92</v>
      </c>
      <c r="I104" s="148">
        <f>+IF(J103-$M$4&gt;=3,J103-$M$4,3)</f>
        <v>2009</v>
      </c>
      <c r="J104" s="150">
        <f t="shared" si="65"/>
        <v>4026</v>
      </c>
      <c r="K104" s="151">
        <f t="shared" si="66"/>
        <v>4026.0833333333335</v>
      </c>
      <c r="L104" s="152">
        <f>+'2120 Depr - Orig'!N52-'Truck Depr - w Salvage '!L103</f>
        <v>11000</v>
      </c>
      <c r="M104" s="152">
        <f t="shared" si="67"/>
        <v>11000</v>
      </c>
      <c r="N104" s="152">
        <f t="shared" si="68"/>
        <v>0.45628007300481171</v>
      </c>
      <c r="O104" s="152">
        <f t="shared" si="69"/>
        <v>5.4753608760577404</v>
      </c>
      <c r="P104" s="152">
        <f t="shared" si="70"/>
        <v>5.4753608760577404</v>
      </c>
      <c r="Q104" s="152"/>
      <c r="R104" s="152">
        <f t="shared" si="71"/>
        <v>0</v>
      </c>
      <c r="S104" s="152">
        <f t="shared" si="72"/>
        <v>5.4753608760577404</v>
      </c>
      <c r="T104" s="152">
        <f t="shared" si="73"/>
        <v>10994.524639123942</v>
      </c>
    </row>
    <row r="105" spans="1:227" s="1" customFormat="1" hidden="1" outlineLevel="1">
      <c r="A105" s="1">
        <v>1</v>
      </c>
      <c r="B105" s="1">
        <v>33</v>
      </c>
      <c r="C105" s="1" t="s">
        <v>14</v>
      </c>
      <c r="D105" s="27" t="s">
        <v>122</v>
      </c>
      <c r="E105" s="10">
        <v>1999</v>
      </c>
      <c r="F105" s="1">
        <v>7</v>
      </c>
      <c r="G105" s="28">
        <v>0</v>
      </c>
      <c r="H105" s="10" t="s">
        <v>92</v>
      </c>
      <c r="I105" s="10">
        <v>7</v>
      </c>
      <c r="J105" s="14">
        <f t="shared" si="65"/>
        <v>2006</v>
      </c>
      <c r="K105" s="143">
        <f t="shared" si="66"/>
        <v>2006.5833333333333</v>
      </c>
      <c r="L105" s="29">
        <f>+'2120 Depr - Orig'!P40</f>
        <v>10112</v>
      </c>
      <c r="M105" s="29">
        <f t="shared" si="67"/>
        <v>10112</v>
      </c>
      <c r="N105" s="29">
        <f t="shared" si="68"/>
        <v>120.38095238095239</v>
      </c>
      <c r="O105" s="29">
        <f t="shared" si="69"/>
        <v>1444.5714285714287</v>
      </c>
      <c r="P105" s="29">
        <f t="shared" si="70"/>
        <v>1444.5714285714287</v>
      </c>
      <c r="Q105" s="29"/>
      <c r="R105" s="29">
        <f t="shared" si="71"/>
        <v>0</v>
      </c>
      <c r="S105" s="29">
        <f t="shared" si="72"/>
        <v>1444.5714285714287</v>
      </c>
      <c r="T105" s="29">
        <f t="shared" si="73"/>
        <v>8667.4285714285706</v>
      </c>
    </row>
    <row r="106" spans="1:227" s="3" customFormat="1" hidden="1" outlineLevel="1">
      <c r="B106" s="3">
        <v>33</v>
      </c>
      <c r="D106" s="147" t="s">
        <v>325</v>
      </c>
      <c r="E106" s="148">
        <v>2017</v>
      </c>
      <c r="F106" s="3">
        <v>1</v>
      </c>
      <c r="G106" s="149">
        <v>0</v>
      </c>
      <c r="H106" s="148" t="s">
        <v>92</v>
      </c>
      <c r="I106" s="148">
        <f>+IF(J105-$M$4&gt;=3,J105-$M$4,3)</f>
        <v>2006</v>
      </c>
      <c r="J106" s="150">
        <f t="shared" si="65"/>
        <v>4023</v>
      </c>
      <c r="K106" s="151">
        <f t="shared" si="66"/>
        <v>4023.0833333333335</v>
      </c>
      <c r="L106" s="152">
        <f>+'2120 Depr - Orig'!N40-'Truck Depr - w Salvage '!L105</f>
        <v>2528</v>
      </c>
      <c r="M106" s="152">
        <f t="shared" si="67"/>
        <v>2528</v>
      </c>
      <c r="N106" s="152">
        <f t="shared" si="68"/>
        <v>0.1050182784978398</v>
      </c>
      <c r="O106" s="152">
        <f t="shared" si="69"/>
        <v>1.2602193419740777</v>
      </c>
      <c r="P106" s="152">
        <f t="shared" si="70"/>
        <v>1.2602193419740777</v>
      </c>
      <c r="Q106" s="152"/>
      <c r="R106" s="152">
        <f t="shared" si="71"/>
        <v>0</v>
      </c>
      <c r="S106" s="152">
        <f t="shared" si="72"/>
        <v>1.2602193419740777</v>
      </c>
      <c r="T106" s="152">
        <f t="shared" si="73"/>
        <v>2526.7397806580261</v>
      </c>
    </row>
    <row r="107" spans="1:227" s="1" customFormat="1" hidden="1" outlineLevel="1">
      <c r="B107" s="1">
        <v>33</v>
      </c>
      <c r="D107" s="27" t="s">
        <v>123</v>
      </c>
      <c r="E107" s="10">
        <v>1999</v>
      </c>
      <c r="F107" s="1">
        <v>10</v>
      </c>
      <c r="G107" s="28">
        <v>0</v>
      </c>
      <c r="H107" s="10" t="s">
        <v>92</v>
      </c>
      <c r="I107" s="10">
        <v>7</v>
      </c>
      <c r="J107" s="14">
        <f t="shared" si="65"/>
        <v>2006</v>
      </c>
      <c r="K107" s="143">
        <f t="shared" si="66"/>
        <v>2006.8333333333333</v>
      </c>
      <c r="L107" s="29">
        <v>7829.22</v>
      </c>
      <c r="M107" s="29">
        <f t="shared" si="67"/>
        <v>7829.22</v>
      </c>
      <c r="N107" s="29">
        <f t="shared" si="68"/>
        <v>93.204999999999998</v>
      </c>
      <c r="O107" s="29">
        <f t="shared" si="69"/>
        <v>1118.46</v>
      </c>
      <c r="P107" s="29">
        <f t="shared" si="70"/>
        <v>1118.46</v>
      </c>
      <c r="Q107" s="29"/>
      <c r="R107" s="29">
        <f t="shared" si="71"/>
        <v>0</v>
      </c>
      <c r="S107" s="29">
        <f t="shared" si="72"/>
        <v>1118.46</v>
      </c>
      <c r="T107" s="29">
        <f t="shared" si="73"/>
        <v>6710.76</v>
      </c>
    </row>
    <row r="108" spans="1:227" s="1" customFormat="1" hidden="1" outlineLevel="1">
      <c r="B108" s="1">
        <v>33</v>
      </c>
      <c r="D108" s="27" t="s">
        <v>124</v>
      </c>
      <c r="E108" s="10">
        <v>2000</v>
      </c>
      <c r="F108" s="1">
        <v>7</v>
      </c>
      <c r="G108" s="28">
        <v>0</v>
      </c>
      <c r="H108" s="10" t="s">
        <v>92</v>
      </c>
      <c r="I108" s="10">
        <v>7</v>
      </c>
      <c r="J108" s="14">
        <f t="shared" si="65"/>
        <v>2007</v>
      </c>
      <c r="K108" s="143">
        <f t="shared" si="66"/>
        <v>2007.5833333333333</v>
      </c>
      <c r="L108" s="29">
        <v>713.75</v>
      </c>
      <c r="M108" s="29">
        <f t="shared" si="67"/>
        <v>713.75</v>
      </c>
      <c r="N108" s="29">
        <f t="shared" si="68"/>
        <v>8.4970238095238084</v>
      </c>
      <c r="O108" s="29">
        <f t="shared" si="69"/>
        <v>101.96428571428569</v>
      </c>
      <c r="P108" s="29">
        <f t="shared" si="70"/>
        <v>101.96428571428569</v>
      </c>
      <c r="Q108" s="29"/>
      <c r="R108" s="29">
        <f t="shared" si="71"/>
        <v>0</v>
      </c>
      <c r="S108" s="29">
        <f t="shared" si="72"/>
        <v>101.96428571428569</v>
      </c>
      <c r="T108" s="29">
        <f t="shared" si="73"/>
        <v>611.78571428571433</v>
      </c>
    </row>
    <row r="109" spans="1:227" s="1" customFormat="1" hidden="1" outlineLevel="1">
      <c r="B109" s="1">
        <v>33</v>
      </c>
      <c r="C109" s="10" t="s">
        <v>101</v>
      </c>
      <c r="D109" s="27" t="s">
        <v>102</v>
      </c>
      <c r="E109" s="10">
        <v>2005</v>
      </c>
      <c r="F109" s="1">
        <v>1</v>
      </c>
      <c r="G109" s="28">
        <v>0</v>
      </c>
      <c r="H109" s="10" t="s">
        <v>92</v>
      </c>
      <c r="I109" s="10">
        <v>3</v>
      </c>
      <c r="J109" s="14">
        <f t="shared" si="65"/>
        <v>2008</v>
      </c>
      <c r="K109" s="143">
        <f t="shared" si="66"/>
        <v>2008.0833333333333</v>
      </c>
      <c r="L109" s="29">
        <v>5417</v>
      </c>
      <c r="M109" s="29">
        <f t="shared" si="67"/>
        <v>5417</v>
      </c>
      <c r="N109" s="29">
        <f t="shared" si="68"/>
        <v>150.47222222222223</v>
      </c>
      <c r="O109" s="29">
        <f t="shared" si="69"/>
        <v>1805.6666666666667</v>
      </c>
      <c r="P109" s="29">
        <f t="shared" si="70"/>
        <v>1805.6666666666667</v>
      </c>
      <c r="Q109" s="29"/>
      <c r="R109" s="29">
        <f t="shared" si="71"/>
        <v>0</v>
      </c>
      <c r="S109" s="29">
        <f t="shared" si="72"/>
        <v>1805.6666666666667</v>
      </c>
      <c r="T109" s="29">
        <f t="shared" si="73"/>
        <v>3611.333333333333</v>
      </c>
    </row>
    <row r="110" spans="1:227" s="1" customFormat="1" hidden="1" outlineLevel="1">
      <c r="C110" s="10"/>
      <c r="D110" s="27"/>
      <c r="E110" s="10"/>
      <c r="G110" s="28"/>
      <c r="H110" s="10"/>
      <c r="I110" s="10"/>
      <c r="J110" s="14"/>
      <c r="K110" s="143"/>
      <c r="L110" s="29"/>
      <c r="M110" s="29"/>
      <c r="N110" s="29"/>
      <c r="O110" s="29"/>
      <c r="P110" s="29"/>
      <c r="Q110" s="29"/>
      <c r="R110" s="29"/>
      <c r="S110" s="29"/>
      <c r="T110" s="29"/>
    </row>
    <row r="111" spans="1:227" s="1" customFormat="1" hidden="1" outlineLevel="1">
      <c r="A111" s="155" t="s">
        <v>367</v>
      </c>
      <c r="C111" s="10"/>
      <c r="D111" s="27"/>
      <c r="E111" s="10"/>
      <c r="G111" s="28"/>
      <c r="H111" s="10"/>
      <c r="I111" s="10"/>
      <c r="J111" s="14"/>
      <c r="K111" s="143"/>
      <c r="L111" s="29"/>
      <c r="M111" s="29"/>
      <c r="N111" s="29"/>
      <c r="O111" s="29"/>
      <c r="P111" s="29"/>
      <c r="Q111" s="29"/>
      <c r="R111" s="29"/>
      <c r="S111" s="29"/>
      <c r="T111" s="29"/>
    </row>
    <row r="112" spans="1:227" s="1" customFormat="1" hidden="1" outlineLevel="1">
      <c r="A112" s="1">
        <v>1</v>
      </c>
      <c r="B112" s="1">
        <v>5</v>
      </c>
      <c r="C112" s="1" t="s">
        <v>96</v>
      </c>
      <c r="D112" s="27" t="s">
        <v>100</v>
      </c>
      <c r="E112" s="10">
        <v>2004</v>
      </c>
      <c r="F112" s="1">
        <v>3</v>
      </c>
      <c r="G112" s="28">
        <v>0</v>
      </c>
      <c r="H112" s="10" t="s">
        <v>92</v>
      </c>
      <c r="I112" s="10">
        <v>7</v>
      </c>
      <c r="J112" s="14">
        <f>E112+I112</f>
        <v>2011</v>
      </c>
      <c r="K112" s="143">
        <f>+J112+(F112/12)</f>
        <v>2011.25</v>
      </c>
      <c r="L112" s="29">
        <f>+'2120 Depr - Orig'!P18</f>
        <v>76000</v>
      </c>
      <c r="M112" s="29">
        <f>L112-L112*G112</f>
        <v>76000</v>
      </c>
      <c r="N112" s="29">
        <f>M112/I112/12</f>
        <v>904.7619047619047</v>
      </c>
      <c r="O112" s="29">
        <f>+N112*12</f>
        <v>10857.142857142857</v>
      </c>
      <c r="P112" s="29">
        <f>+IF(K112&lt;=$M$5,0,IF(J112&gt;$M$4,O112,(N112*F112)))</f>
        <v>10857.142857142857</v>
      </c>
      <c r="Q112" s="29"/>
      <c r="R112" s="29">
        <f>+IF(P112=0,M112,IF($M$3-E112&lt;1,0,(($M$3-E112)*O112)))</f>
        <v>0</v>
      </c>
      <c r="S112" s="29">
        <f>+IF(P112=0,R112,R112+P112)</f>
        <v>10857.142857142857</v>
      </c>
      <c r="T112" s="29">
        <f>+L112-S112</f>
        <v>65142.857142857145</v>
      </c>
    </row>
    <row r="113" spans="1:24" s="3" customFormat="1" hidden="1" outlineLevel="1">
      <c r="B113" s="3">
        <v>5</v>
      </c>
      <c r="D113" s="147" t="s">
        <v>316</v>
      </c>
      <c r="E113" s="148">
        <v>2017</v>
      </c>
      <c r="F113" s="3">
        <v>1</v>
      </c>
      <c r="G113" s="149">
        <v>0</v>
      </c>
      <c r="H113" s="148" t="s">
        <v>92</v>
      </c>
      <c r="I113" s="148">
        <f>+IF(J112-$M$4&gt;=3,J112-$M$4,3)</f>
        <v>2011</v>
      </c>
      <c r="J113" s="150">
        <f>E113+I113</f>
        <v>4028</v>
      </c>
      <c r="K113" s="151">
        <f>+J113+(F113/12)</f>
        <v>4028.0833333333335</v>
      </c>
      <c r="L113" s="152">
        <f>+'2120 Depr - Orig'!N18-'Truck Depr - w Salvage '!L112</f>
        <v>19000</v>
      </c>
      <c r="M113" s="152">
        <f>L113-L113*G113</f>
        <v>19000</v>
      </c>
      <c r="N113" s="152">
        <f>M113/I113/12</f>
        <v>0.78733631692358685</v>
      </c>
      <c r="O113" s="152">
        <f>+N113*12</f>
        <v>9.4480358030830427</v>
      </c>
      <c r="P113" s="152">
        <f>+IF(K113&lt;=$M$5,0,IF(J113&gt;$M$4,O113,(N113*F113)))</f>
        <v>9.4480358030830427</v>
      </c>
      <c r="Q113" s="152"/>
      <c r="R113" s="152">
        <f>+IF(P113=0,M113,IF($M$3-E113&lt;1,0,(($M$3-E113)*O113)))</f>
        <v>0</v>
      </c>
      <c r="S113" s="152">
        <f>+IF(P113=0,R113,R113+P113)</f>
        <v>9.4480358030830427</v>
      </c>
      <c r="T113" s="152">
        <f>+L113-S113</f>
        <v>18990.551964196919</v>
      </c>
    </row>
    <row r="114" spans="1:24" s="1" customFormat="1" hidden="1" outlineLevel="1">
      <c r="A114" s="1">
        <v>1</v>
      </c>
      <c r="B114" s="1">
        <v>7</v>
      </c>
      <c r="D114" s="27" t="s">
        <v>125</v>
      </c>
      <c r="E114" s="10">
        <v>2011</v>
      </c>
      <c r="F114" s="1">
        <v>8</v>
      </c>
      <c r="G114" s="28">
        <v>0</v>
      </c>
      <c r="H114" s="10" t="s">
        <v>92</v>
      </c>
      <c r="I114" s="10">
        <v>3</v>
      </c>
      <c r="J114" s="14">
        <f>E114+I114</f>
        <v>2014</v>
      </c>
      <c r="K114" s="143">
        <f>+J114+(F114/12)</f>
        <v>2014.6666666666667</v>
      </c>
      <c r="L114" s="29">
        <f>8036.08</f>
        <v>8036.08</v>
      </c>
      <c r="M114" s="29">
        <f>L114-L114*G114</f>
        <v>8036.08</v>
      </c>
      <c r="N114" s="29">
        <f>M114/I114/12</f>
        <v>223.22444444444443</v>
      </c>
      <c r="O114" s="29">
        <f>+N114*12</f>
        <v>2678.6933333333332</v>
      </c>
      <c r="P114" s="29">
        <f>+IF(K114&lt;=$M$5,0,IF(J114&gt;$M$4,O114,(N114*F114)))</f>
        <v>2678.6933333333332</v>
      </c>
      <c r="Q114" s="29"/>
      <c r="R114" s="29">
        <f>+IF(P114=0,M114,IF($M$3-E114&lt;1,0,(($M$3-E114)*O114)))</f>
        <v>0</v>
      </c>
      <c r="S114" s="29">
        <f>+IF(P114=0,R114,R114+P114)</f>
        <v>2678.6933333333332</v>
      </c>
      <c r="T114" s="29">
        <f>+L114-S114</f>
        <v>5357.3866666666672</v>
      </c>
    </row>
    <row r="115" spans="1:24" s="1" customFormat="1" hidden="1" outlineLevel="1">
      <c r="D115" s="27"/>
      <c r="E115" s="10"/>
      <c r="G115" s="28"/>
      <c r="H115" s="10"/>
      <c r="I115" s="10"/>
      <c r="J115" s="14"/>
      <c r="K115" s="143"/>
      <c r="L115" s="29"/>
      <c r="M115" s="29"/>
      <c r="N115" s="29"/>
      <c r="O115" s="29"/>
      <c r="P115" s="29"/>
      <c r="Q115" s="29"/>
      <c r="R115" s="29"/>
      <c r="S115" s="29"/>
      <c r="T115" s="29"/>
    </row>
    <row r="116" spans="1:24" s="1" customFormat="1" hidden="1" outlineLevel="1">
      <c r="A116" s="155" t="s">
        <v>372</v>
      </c>
      <c r="G116" s="10"/>
      <c r="J116" s="4"/>
      <c r="K116" s="4"/>
      <c r="L116" s="5"/>
      <c r="M116" s="5"/>
      <c r="N116" s="5"/>
      <c r="O116" s="5"/>
      <c r="P116" s="5"/>
      <c r="Q116" s="5"/>
      <c r="R116" s="5"/>
      <c r="S116" s="5"/>
      <c r="T116" s="5"/>
    </row>
    <row r="117" spans="1:24" s="1" customFormat="1" hidden="1" outlineLevel="1">
      <c r="A117" s="1">
        <v>1</v>
      </c>
      <c r="B117" s="1">
        <v>67</v>
      </c>
      <c r="C117" s="1" t="s">
        <v>98</v>
      </c>
      <c r="D117" s="27" t="s">
        <v>99</v>
      </c>
      <c r="E117" s="10">
        <v>2003</v>
      </c>
      <c r="F117" s="1">
        <v>8</v>
      </c>
      <c r="G117" s="28">
        <v>0</v>
      </c>
      <c r="H117" s="10" t="s">
        <v>92</v>
      </c>
      <c r="I117" s="10">
        <v>7</v>
      </c>
      <c r="J117" s="14">
        <f t="shared" ref="J117:J122" si="74">E117+I117</f>
        <v>2010</v>
      </c>
      <c r="K117" s="143">
        <f t="shared" ref="K117:K122" si="75">+J117+(F117/12)</f>
        <v>2010.6666666666667</v>
      </c>
      <c r="L117" s="29">
        <f>+'2120 Depr - Orig'!P17</f>
        <v>72055.199999999997</v>
      </c>
      <c r="M117" s="29">
        <f t="shared" ref="M117:M122" si="76">L117-L117*G117</f>
        <v>72055.199999999997</v>
      </c>
      <c r="N117" s="29">
        <f t="shared" ref="N117:N122" si="77">M117/I117/12</f>
        <v>857.80000000000007</v>
      </c>
      <c r="O117" s="29">
        <f t="shared" ref="O117:O122" si="78">+N117*12</f>
        <v>10293.6</v>
      </c>
      <c r="P117" s="29">
        <f t="shared" ref="P117:P122" si="79">+IF(K117&lt;=$M$5,0,IF(J117&gt;$M$4,O117,(N117*F117)))</f>
        <v>10293.6</v>
      </c>
      <c r="Q117" s="29"/>
      <c r="R117" s="29">
        <f t="shared" ref="R117:R122" si="80">+IF(P117=0,M117,IF($M$3-E117&lt;1,0,(($M$3-E117)*O117)))</f>
        <v>0</v>
      </c>
      <c r="S117" s="29">
        <f t="shared" ref="S117:S122" si="81">+IF(P117=0,R117,R117+P117)</f>
        <v>10293.6</v>
      </c>
      <c r="T117" s="29">
        <f t="shared" ref="T117:T122" si="82">+L117-S117</f>
        <v>61761.599999999999</v>
      </c>
    </row>
    <row r="118" spans="1:24" s="3" customFormat="1" hidden="1" outlineLevel="1">
      <c r="B118" s="3">
        <v>67</v>
      </c>
      <c r="D118" s="147" t="s">
        <v>315</v>
      </c>
      <c r="E118" s="148">
        <v>2017</v>
      </c>
      <c r="F118" s="3">
        <v>1</v>
      </c>
      <c r="G118" s="149">
        <v>0</v>
      </c>
      <c r="H118" s="148" t="s">
        <v>92</v>
      </c>
      <c r="I118" s="148">
        <f>+IF(J117-$M$4&gt;=3,J117-$M$4,3)</f>
        <v>2010</v>
      </c>
      <c r="J118" s="150">
        <f t="shared" si="74"/>
        <v>4027</v>
      </c>
      <c r="K118" s="151">
        <f t="shared" si="75"/>
        <v>4027.0833333333335</v>
      </c>
      <c r="L118" s="152">
        <f>+'2120 Depr - Orig'!N17-'Truck Depr - w Salvage '!L117</f>
        <v>18013.800000000003</v>
      </c>
      <c r="M118" s="152">
        <f t="shared" si="76"/>
        <v>18013.800000000003</v>
      </c>
      <c r="N118" s="152">
        <f t="shared" si="77"/>
        <v>0.74684079601990072</v>
      </c>
      <c r="O118" s="152">
        <f t="shared" si="78"/>
        <v>8.9620895522388082</v>
      </c>
      <c r="P118" s="152">
        <f t="shared" si="79"/>
        <v>8.9620895522388082</v>
      </c>
      <c r="Q118" s="152"/>
      <c r="R118" s="152">
        <f t="shared" si="80"/>
        <v>0</v>
      </c>
      <c r="S118" s="152">
        <f t="shared" si="81"/>
        <v>8.9620895522388082</v>
      </c>
      <c r="T118" s="152">
        <f t="shared" si="82"/>
        <v>18004.837910447764</v>
      </c>
    </row>
    <row r="119" spans="1:24" s="1" customFormat="1" hidden="1" outlineLevel="1">
      <c r="A119" s="1">
        <v>1</v>
      </c>
      <c r="B119" s="1">
        <v>67</v>
      </c>
      <c r="C119" s="10" t="s">
        <v>101</v>
      </c>
      <c r="D119" s="27" t="s">
        <v>102</v>
      </c>
      <c r="E119" s="10">
        <v>2007</v>
      </c>
      <c r="F119" s="1">
        <v>7</v>
      </c>
      <c r="G119" s="28">
        <v>0</v>
      </c>
      <c r="H119" s="10" t="s">
        <v>92</v>
      </c>
      <c r="I119" s="10">
        <v>3</v>
      </c>
      <c r="J119" s="14">
        <f t="shared" si="74"/>
        <v>2010</v>
      </c>
      <c r="K119" s="143">
        <f t="shared" si="75"/>
        <v>2010.5833333333333</v>
      </c>
      <c r="L119" s="29">
        <v>7423</v>
      </c>
      <c r="M119" s="29">
        <f t="shared" si="76"/>
        <v>7423</v>
      </c>
      <c r="N119" s="29">
        <f t="shared" si="77"/>
        <v>206.19444444444446</v>
      </c>
      <c r="O119" s="29">
        <f t="shared" si="78"/>
        <v>2474.3333333333335</v>
      </c>
      <c r="P119" s="29">
        <f t="shared" si="79"/>
        <v>2474.3333333333335</v>
      </c>
      <c r="Q119" s="29"/>
      <c r="R119" s="29">
        <f t="shared" si="80"/>
        <v>0</v>
      </c>
      <c r="S119" s="29">
        <f t="shared" si="81"/>
        <v>2474.3333333333335</v>
      </c>
      <c r="T119" s="29">
        <f t="shared" si="82"/>
        <v>4948.6666666666661</v>
      </c>
    </row>
    <row r="120" spans="1:24" s="1" customFormat="1" hidden="1" outlineLevel="1">
      <c r="A120" s="1">
        <v>1</v>
      </c>
      <c r="B120" s="1">
        <v>8</v>
      </c>
      <c r="C120" s="1" t="s">
        <v>103</v>
      </c>
      <c r="D120" s="27" t="s">
        <v>104</v>
      </c>
      <c r="E120" s="10">
        <v>2008</v>
      </c>
      <c r="F120" s="1">
        <v>8</v>
      </c>
      <c r="G120" s="28">
        <v>0</v>
      </c>
      <c r="H120" s="10" t="s">
        <v>92</v>
      </c>
      <c r="I120" s="10">
        <v>7</v>
      </c>
      <c r="J120" s="14">
        <f t="shared" si="74"/>
        <v>2015</v>
      </c>
      <c r="K120" s="143">
        <f t="shared" si="75"/>
        <v>2015.6666666666667</v>
      </c>
      <c r="L120" s="29">
        <f>+'2120 Depr - Orig'!P20</f>
        <v>138339.96000000002</v>
      </c>
      <c r="M120" s="29">
        <f t="shared" si="76"/>
        <v>138339.96000000002</v>
      </c>
      <c r="N120" s="29">
        <f t="shared" si="77"/>
        <v>1646.9042857142858</v>
      </c>
      <c r="O120" s="29">
        <f t="shared" si="78"/>
        <v>19762.85142857143</v>
      </c>
      <c r="P120" s="29">
        <f t="shared" si="79"/>
        <v>19762.85142857143</v>
      </c>
      <c r="Q120" s="29"/>
      <c r="R120" s="29">
        <f t="shared" si="80"/>
        <v>0</v>
      </c>
      <c r="S120" s="29">
        <f t="shared" si="81"/>
        <v>19762.85142857143</v>
      </c>
      <c r="T120" s="29">
        <f t="shared" si="82"/>
        <v>118577.10857142859</v>
      </c>
    </row>
    <row r="121" spans="1:24" s="3" customFormat="1" hidden="1" outlineLevel="1">
      <c r="B121" s="3">
        <v>8</v>
      </c>
      <c r="D121" s="147" t="s">
        <v>317</v>
      </c>
      <c r="E121" s="148">
        <v>2017</v>
      </c>
      <c r="F121" s="3">
        <v>1</v>
      </c>
      <c r="G121" s="149">
        <v>0</v>
      </c>
      <c r="H121" s="148" t="s">
        <v>92</v>
      </c>
      <c r="I121" s="148">
        <f>+IF(J120-$M$4&gt;=3,J120-$M$4,3)</f>
        <v>2015</v>
      </c>
      <c r="J121" s="150">
        <f t="shared" si="74"/>
        <v>4032</v>
      </c>
      <c r="K121" s="151">
        <f t="shared" si="75"/>
        <v>4032.0833333333335</v>
      </c>
      <c r="L121" s="152">
        <f>+'2120 Depr - Orig'!N20-'Truck Depr - w Salvage '!L120</f>
        <v>34584.989999999991</v>
      </c>
      <c r="M121" s="152">
        <f t="shared" si="76"/>
        <v>34584.989999999991</v>
      </c>
      <c r="N121" s="152">
        <f t="shared" si="77"/>
        <v>1.4303138957816373</v>
      </c>
      <c r="O121" s="152">
        <f t="shared" si="78"/>
        <v>17.163766749379647</v>
      </c>
      <c r="P121" s="152">
        <f t="shared" si="79"/>
        <v>17.163766749379647</v>
      </c>
      <c r="Q121" s="152"/>
      <c r="R121" s="152">
        <f t="shared" si="80"/>
        <v>0</v>
      </c>
      <c r="S121" s="152">
        <f t="shared" si="81"/>
        <v>17.163766749379647</v>
      </c>
      <c r="T121" s="152">
        <f t="shared" si="82"/>
        <v>34567.826233250613</v>
      </c>
    </row>
    <row r="122" spans="1:24" s="1" customFormat="1" hidden="1" outlineLevel="1">
      <c r="A122" s="1" t="s">
        <v>298</v>
      </c>
      <c r="B122" s="1">
        <v>8</v>
      </c>
      <c r="D122" s="27" t="s">
        <v>299</v>
      </c>
      <c r="E122" s="10">
        <v>2017</v>
      </c>
      <c r="F122" s="1">
        <v>2</v>
      </c>
      <c r="G122" s="28">
        <v>0</v>
      </c>
      <c r="H122" s="10" t="s">
        <v>92</v>
      </c>
      <c r="I122" s="10">
        <v>3</v>
      </c>
      <c r="J122" s="14">
        <f t="shared" si="74"/>
        <v>2020</v>
      </c>
      <c r="K122" s="143">
        <f t="shared" si="75"/>
        <v>2020.1666666666667</v>
      </c>
      <c r="L122" s="29">
        <v>14019</v>
      </c>
      <c r="M122" s="29">
        <f t="shared" si="76"/>
        <v>14019</v>
      </c>
      <c r="N122" s="29">
        <f t="shared" si="77"/>
        <v>389.41666666666669</v>
      </c>
      <c r="O122" s="29">
        <f t="shared" si="78"/>
        <v>4673</v>
      </c>
      <c r="P122" s="29">
        <f t="shared" si="79"/>
        <v>4673</v>
      </c>
      <c r="Q122" s="29"/>
      <c r="R122" s="29">
        <f t="shared" si="80"/>
        <v>0</v>
      </c>
      <c r="S122" s="29">
        <f t="shared" si="81"/>
        <v>4673</v>
      </c>
      <c r="T122" s="29">
        <f t="shared" si="82"/>
        <v>9346</v>
      </c>
      <c r="V122" s="141"/>
      <c r="W122" s="141"/>
      <c r="X122" s="29"/>
    </row>
    <row r="123" spans="1:24" s="1" customFormat="1" hidden="1" outlineLevel="1">
      <c r="G123" s="10"/>
      <c r="J123" s="4"/>
      <c r="K123" s="4"/>
      <c r="L123" s="5"/>
      <c r="M123" s="5"/>
      <c r="N123" s="5"/>
      <c r="O123" s="5"/>
      <c r="P123" s="5"/>
      <c r="Q123" s="5"/>
      <c r="R123" s="5"/>
      <c r="S123" s="5"/>
      <c r="T123" s="5"/>
    </row>
    <row r="124" spans="1:24" s="1" customFormat="1" hidden="1" outlineLevel="1">
      <c r="G124" s="10"/>
      <c r="J124" s="4"/>
      <c r="K124" s="4"/>
      <c r="L124" s="5"/>
      <c r="M124" s="5"/>
      <c r="N124" s="5"/>
      <c r="O124" s="5"/>
      <c r="P124" s="5"/>
      <c r="Q124" s="5"/>
      <c r="R124" s="5"/>
      <c r="S124" s="5"/>
      <c r="T124" s="5"/>
    </row>
    <row r="125" spans="1:24" s="1" customFormat="1" hidden="1" outlineLevel="1">
      <c r="A125" s="155" t="s">
        <v>399</v>
      </c>
      <c r="G125" s="10"/>
      <c r="J125" s="4"/>
      <c r="K125" s="4"/>
      <c r="L125" s="5"/>
      <c r="M125" s="5"/>
      <c r="N125" s="5"/>
      <c r="O125" s="5"/>
      <c r="P125" s="5"/>
      <c r="Q125" s="5"/>
      <c r="R125" s="5"/>
      <c r="S125" s="5"/>
      <c r="T125" s="5"/>
    </row>
    <row r="126" spans="1:24" s="1" customFormat="1" hidden="1" outlineLevel="1">
      <c r="A126" s="1">
        <v>125548</v>
      </c>
      <c r="B126" s="1">
        <v>15</v>
      </c>
      <c r="C126" s="1" t="s">
        <v>111</v>
      </c>
      <c r="D126" s="27" t="s">
        <v>115</v>
      </c>
      <c r="E126" s="10">
        <v>2015</v>
      </c>
      <c r="F126" s="1">
        <v>9</v>
      </c>
      <c r="G126" s="28">
        <v>0</v>
      </c>
      <c r="H126" s="10" t="s">
        <v>92</v>
      </c>
      <c r="I126" s="10">
        <v>7</v>
      </c>
      <c r="J126" s="14">
        <f>E126+I126</f>
        <v>2022</v>
      </c>
      <c r="K126" s="143">
        <f t="shared" ref="K126:K127" si="83">+J126+(F126/12)</f>
        <v>2022.75</v>
      </c>
      <c r="L126" s="29">
        <f>+'2120 Depr - Orig'!P28</f>
        <v>178600.8</v>
      </c>
      <c r="M126" s="29">
        <f>L126-L126*G126</f>
        <v>178600.8</v>
      </c>
      <c r="N126" s="29">
        <f>M126/I126/12</f>
        <v>2126.1999999999998</v>
      </c>
      <c r="O126" s="29">
        <f>+N126*12</f>
        <v>25514.399999999998</v>
      </c>
      <c r="P126" s="29">
        <f>+IF(K126&lt;=$M$5,0,IF(J126&gt;$M$4,O126,(N126*F126)))</f>
        <v>25514.399999999998</v>
      </c>
      <c r="Q126" s="29"/>
      <c r="R126" s="29">
        <f>+IF(P126=0,M126,IF($M$3-E126&lt;1,0,(($M$3-E126)*O126)))</f>
        <v>0</v>
      </c>
      <c r="S126" s="29">
        <f>+IF(P126=0,R126,R126+P126)</f>
        <v>25514.399999999998</v>
      </c>
      <c r="T126" s="29">
        <f>+L126-S126</f>
        <v>153086.39999999999</v>
      </c>
      <c r="U126" s="1" t="s">
        <v>398</v>
      </c>
    </row>
    <row r="127" spans="1:24" s="3" customFormat="1" hidden="1" outlineLevel="1">
      <c r="B127" s="3">
        <v>15</v>
      </c>
      <c r="D127" s="147" t="s">
        <v>327</v>
      </c>
      <c r="E127" s="148">
        <v>2017</v>
      </c>
      <c r="F127" s="3">
        <v>1</v>
      </c>
      <c r="G127" s="149">
        <v>0</v>
      </c>
      <c r="H127" s="148" t="s">
        <v>92</v>
      </c>
      <c r="I127" s="148">
        <f>+IF(J126-$M$4&gt;=3,J126-$M$4,3)</f>
        <v>2022</v>
      </c>
      <c r="J127" s="150">
        <f>E127+I127</f>
        <v>4039</v>
      </c>
      <c r="K127" s="151">
        <f t="shared" si="83"/>
        <v>4039.0833333333335</v>
      </c>
      <c r="L127" s="152">
        <f>+'2120 Depr - Orig'!N28-'Truck Depr - w Salvage '!L126</f>
        <v>44650.200000000012</v>
      </c>
      <c r="M127" s="152">
        <f>L127-L127*G127</f>
        <v>44650.200000000012</v>
      </c>
      <c r="N127" s="152">
        <f>M127/I127/12</f>
        <v>1.8401829871414446</v>
      </c>
      <c r="O127" s="152">
        <f>+N127*12</f>
        <v>22.082195845697335</v>
      </c>
      <c r="P127" s="152">
        <f>+IF(K127&lt;=$M$5,0,IF(J127&gt;$M$4,O127,(N127*F127)))</f>
        <v>22.082195845697335</v>
      </c>
      <c r="Q127" s="152"/>
      <c r="R127" s="152">
        <f>+IF(P127=0,M127,IF($M$3-E127&lt;1,0,(($M$3-E127)*O127)))</f>
        <v>0</v>
      </c>
      <c r="S127" s="152">
        <f>+IF(P127=0,R127,R127+P127)</f>
        <v>22.082195845697335</v>
      </c>
      <c r="T127" s="152">
        <f>+L127-S127</f>
        <v>44628.117804154317</v>
      </c>
      <c r="U127" s="1" t="s">
        <v>398</v>
      </c>
    </row>
    <row r="128" spans="1:24" hidden="1" outlineLevel="1"/>
    <row r="129" spans="1:20" hidden="1" outlineLevel="1">
      <c r="A129" s="155" t="s">
        <v>1223</v>
      </c>
    </row>
    <row r="130" spans="1:20" s="1" customFormat="1" hidden="1" outlineLevel="1">
      <c r="B130" s="1">
        <v>10</v>
      </c>
      <c r="C130" s="1" t="s">
        <v>103</v>
      </c>
      <c r="D130" s="27" t="s">
        <v>105</v>
      </c>
      <c r="E130" s="10">
        <v>2009</v>
      </c>
      <c r="F130" s="1">
        <v>12</v>
      </c>
      <c r="G130" s="28">
        <v>0</v>
      </c>
      <c r="H130" s="10" t="s">
        <v>92</v>
      </c>
      <c r="I130" s="10">
        <v>7</v>
      </c>
      <c r="J130" s="14">
        <f>E130+I130</f>
        <v>2016</v>
      </c>
      <c r="K130" s="143">
        <f>+J130+(F130/12)</f>
        <v>2017</v>
      </c>
      <c r="L130" s="29">
        <f>+'2120 Depr - Orig'!P21</f>
        <v>148582.67199999999</v>
      </c>
      <c r="M130" s="29">
        <f>L130-L130*G130</f>
        <v>148582.67199999999</v>
      </c>
      <c r="N130" s="29">
        <f>M130/I130/12</f>
        <v>1768.8413333333331</v>
      </c>
      <c r="O130" s="29">
        <f>+N130*12</f>
        <v>21226.095999999998</v>
      </c>
      <c r="P130" s="29">
        <f>+IF($K130&lt;$N$7,0,IF($K130&gt;$N$6,$O130,((($K130-$N$7)*12)*$N130)))</f>
        <v>0</v>
      </c>
      <c r="Q130" s="29"/>
      <c r="R130" s="29">
        <f>+IF($K130&lt;=$N$7,$L130,IF(($E130+($F130/12))&gt;=$N$7,0,((($M130-((($K130-$N$7)*12)*$N130))))))</f>
        <v>148582.67199999999</v>
      </c>
      <c r="S130" s="29">
        <f>+IF(P130=0,R130,R130+P130)</f>
        <v>148582.67199999999</v>
      </c>
      <c r="T130" s="29">
        <f>+L130-S130</f>
        <v>0</v>
      </c>
    </row>
    <row r="131" spans="1:20" s="228" customFormat="1" hidden="1" outlineLevel="1">
      <c r="B131" s="228">
        <v>10</v>
      </c>
      <c r="D131" s="229" t="s">
        <v>318</v>
      </c>
      <c r="E131" s="230">
        <v>2017</v>
      </c>
      <c r="F131" s="228">
        <v>1</v>
      </c>
      <c r="G131" s="231">
        <v>0</v>
      </c>
      <c r="H131" s="230" t="s">
        <v>92</v>
      </c>
      <c r="I131" s="230">
        <f>+IF(J130-$M$4&gt;=3,J130-$M$4,3)</f>
        <v>2016</v>
      </c>
      <c r="J131" s="232">
        <f>E131+I131</f>
        <v>4033</v>
      </c>
      <c r="K131" s="233">
        <f>+J131+(F131/12)</f>
        <v>4033.0833333333335</v>
      </c>
      <c r="L131" s="234">
        <f>+'2120 Depr - Orig'!N21-'Truck Depr - w Salvage '!L130</f>
        <v>37145.668000000005</v>
      </c>
      <c r="M131" s="234">
        <f>L131-L131*G131</f>
        <v>37145.668000000005</v>
      </c>
      <c r="N131" s="234">
        <f>M131/I131/12</f>
        <v>1.5354525462962965</v>
      </c>
      <c r="O131" s="234">
        <f>+N131*12</f>
        <v>18.425430555555558</v>
      </c>
      <c r="P131" s="234">
        <f>+IF($K131&lt;$N$7,0,IF($K131&gt;$N$6,$O131,((($K131-$N$7)*12)*$N131)))</f>
        <v>18.425430555555558</v>
      </c>
      <c r="Q131" s="234"/>
      <c r="R131" s="234">
        <f>+IF($K131&lt;=$N$7,$L131,IF(($E131+($F131/12))&gt;=$N$7,0,((($M131-((($K131-$N$7)*12)*$N131))))))</f>
        <v>92.127152777771698</v>
      </c>
      <c r="S131" s="234">
        <f>+IF(P131=0,R131,R131+P131)</f>
        <v>110.55258333332725</v>
      </c>
      <c r="T131" s="234">
        <f>+L131-S131</f>
        <v>37035.115416666675</v>
      </c>
    </row>
    <row r="132" spans="1:20" hidden="1" outlineLevel="1"/>
    <row r="133" spans="1:20" hidden="1" outlineLevel="1"/>
    <row r="134" spans="1:20" collapsed="1"/>
  </sheetData>
  <mergeCells count="1">
    <mergeCell ref="B3:C3"/>
  </mergeCells>
  <pageMargins left="0.5" right="0.5" top="0.5" bottom="0.55000000000000004" header="0.5" footer="0.5"/>
  <pageSetup scale="71" fitToHeight="2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5">
    <tabColor theme="7" tint="0.59999389629810485"/>
    <pageSetUpPr fitToPage="1"/>
  </sheetPr>
  <dimension ref="A1:AW356"/>
  <sheetViews>
    <sheetView showGridLines="0" view="pageBreakPreview" zoomScale="60" zoomScaleNormal="100" workbookViewId="0">
      <pane xSplit="4" ySplit="11" topLeftCell="E294" activePane="bottomRight" state="frozen"/>
      <selection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10.7109375" defaultRowHeight="11.25" outlineLevelRow="1" outlineLevelCol="1"/>
  <cols>
    <col min="1" max="1" width="7.5703125" style="95" customWidth="1" outlineLevel="1"/>
    <col min="2" max="3" width="8" style="95" customWidth="1"/>
    <col min="4" max="4" width="27.28515625" style="95" customWidth="1"/>
    <col min="5" max="5" width="7.7109375" style="95" bestFit="1" customWidth="1"/>
    <col min="6" max="6" width="3.42578125" style="95" bestFit="1" customWidth="1"/>
    <col min="7" max="7" width="6.85546875" style="100" customWidth="1"/>
    <col min="8" max="8" width="6.42578125" style="95" customWidth="1"/>
    <col min="9" max="9" width="5.5703125" style="95" bestFit="1" customWidth="1"/>
    <col min="10" max="10" width="5" style="97" bestFit="1" customWidth="1"/>
    <col min="11" max="11" width="7.42578125" style="95" bestFit="1" customWidth="1"/>
    <col min="12" max="16" width="8.42578125" style="98" bestFit="1" customWidth="1"/>
    <col min="17" max="17" width="2.28515625" style="98" customWidth="1"/>
    <col min="18" max="18" width="8.5703125" style="98" bestFit="1" customWidth="1"/>
    <col min="19" max="20" width="8.7109375" style="98" bestFit="1" customWidth="1"/>
    <col min="21" max="43" width="10.7109375" style="95" customWidth="1"/>
    <col min="44" max="44" width="1.85546875" style="95" bestFit="1" customWidth="1"/>
    <col min="45" max="45" width="35.7109375" style="95" bestFit="1" customWidth="1"/>
    <col min="46" max="47" width="10.7109375" style="95" customWidth="1"/>
    <col min="48" max="48" width="2.7109375" style="95" bestFit="1" customWidth="1"/>
    <col min="49" max="49" width="12.140625" style="95" bestFit="1" customWidth="1"/>
    <col min="50" max="225" width="10.7109375" style="95"/>
    <col min="226" max="226" width="7.85546875" style="95" bestFit="1" customWidth="1"/>
    <col min="227" max="227" width="5.28515625" style="95" customWidth="1"/>
    <col min="228" max="228" width="6.42578125" style="95" customWidth="1"/>
    <col min="229" max="229" width="22" style="95" customWidth="1"/>
    <col min="230" max="230" width="7.5703125" style="95" bestFit="1" customWidth="1"/>
    <col min="231" max="231" width="4.42578125" style="95" customWidth="1"/>
    <col min="232" max="232" width="7.42578125" style="95" bestFit="1" customWidth="1"/>
    <col min="233" max="233" width="2.85546875" style="95" bestFit="1" customWidth="1"/>
    <col min="234" max="234" width="7" style="95" bestFit="1" customWidth="1"/>
    <col min="235" max="235" width="5.7109375" style="95" bestFit="1" customWidth="1"/>
    <col min="236" max="236" width="7.85546875" style="95" bestFit="1" customWidth="1"/>
    <col min="237" max="238" width="0" style="95" hidden="1" customWidth="1"/>
    <col min="239" max="239" width="12.5703125" style="95" customWidth="1"/>
    <col min="240" max="240" width="0" style="95" hidden="1" customWidth="1"/>
    <col min="241" max="241" width="11" style="95" customWidth="1"/>
    <col min="242" max="242" width="9.140625" style="95" customWidth="1"/>
    <col min="243" max="243" width="9.85546875" style="95" customWidth="1"/>
    <col min="244" max="247" width="0" style="95" hidden="1" customWidth="1"/>
    <col min="248" max="248" width="1.5703125" style="95" customWidth="1"/>
    <col min="249" max="251" width="0" style="95" hidden="1" customWidth="1"/>
    <col min="252" max="252" width="10.42578125" style="95" customWidth="1"/>
    <col min="253" max="254" width="11" style="95" customWidth="1"/>
    <col min="255" max="255" width="9.42578125" style="95" customWidth="1"/>
    <col min="256" max="256" width="10" style="95" customWidth="1"/>
    <col min="257" max="257" width="11" style="95" customWidth="1"/>
    <col min="258" max="258" width="9.5703125" style="95" customWidth="1"/>
    <col min="259" max="259" width="10.140625" style="95" customWidth="1"/>
    <col min="260" max="299" width="10.7109375" style="95" customWidth="1"/>
    <col min="300" max="300" width="1.85546875" style="95" bestFit="1" customWidth="1"/>
    <col min="301" max="301" width="34.5703125" style="95" bestFit="1" customWidth="1"/>
    <col min="302" max="303" width="10.7109375" style="95" customWidth="1"/>
    <col min="304" max="304" width="2.7109375" style="95" bestFit="1" customWidth="1"/>
    <col min="305" max="305" width="11.5703125" style="95" bestFit="1" customWidth="1"/>
    <col min="306" max="482" width="10.7109375" style="95"/>
    <col min="483" max="483" width="5.28515625" style="95" customWidth="1"/>
    <col min="484" max="484" width="6.42578125" style="95" customWidth="1"/>
    <col min="485" max="485" width="22" style="95" customWidth="1"/>
    <col min="486" max="486" width="7.5703125" style="95" bestFit="1" customWidth="1"/>
    <col min="487" max="487" width="4.42578125" style="95" customWidth="1"/>
    <col min="488" max="488" width="7.42578125" style="95" bestFit="1" customWidth="1"/>
    <col min="489" max="489" width="2.85546875" style="95" bestFit="1" customWidth="1"/>
    <col min="490" max="490" width="7" style="95" bestFit="1" customWidth="1"/>
    <col min="491" max="491" width="5.7109375" style="95" bestFit="1" customWidth="1"/>
    <col min="492" max="492" width="7.85546875" style="95" bestFit="1" customWidth="1"/>
    <col min="493" max="494" width="0" style="95" hidden="1" customWidth="1"/>
    <col min="495" max="495" width="12.5703125" style="95" customWidth="1"/>
    <col min="496" max="496" width="0" style="95" hidden="1" customWidth="1"/>
    <col min="497" max="497" width="11" style="95" customWidth="1"/>
    <col min="498" max="498" width="9.140625" style="95" customWidth="1"/>
    <col min="499" max="499" width="9.85546875" style="95" customWidth="1"/>
    <col min="500" max="503" width="0" style="95" hidden="1" customWidth="1"/>
    <col min="504" max="504" width="1.5703125" style="95" customWidth="1"/>
    <col min="505" max="507" width="0" style="95" hidden="1" customWidth="1"/>
    <col min="508" max="508" width="10.42578125" style="95" customWidth="1"/>
    <col min="509" max="510" width="11" style="95" customWidth="1"/>
    <col min="511" max="511" width="9.42578125" style="95" customWidth="1"/>
    <col min="512" max="512" width="10" style="95" customWidth="1"/>
    <col min="513" max="513" width="11" style="95" customWidth="1"/>
    <col min="514" max="514" width="9.5703125" style="95" customWidth="1"/>
    <col min="515" max="515" width="10.140625" style="95" customWidth="1"/>
    <col min="516" max="555" width="10.7109375" style="95" customWidth="1"/>
    <col min="556" max="556" width="1.85546875" style="95" bestFit="1" customWidth="1"/>
    <col min="557" max="557" width="34.5703125" style="95" bestFit="1" customWidth="1"/>
    <col min="558" max="559" width="10.7109375" style="95" customWidth="1"/>
    <col min="560" max="560" width="2.7109375" style="95" bestFit="1" customWidth="1"/>
    <col min="561" max="561" width="11.5703125" style="95" bestFit="1" customWidth="1"/>
    <col min="562" max="738" width="10.7109375" style="95"/>
    <col min="739" max="739" width="5.28515625" style="95" customWidth="1"/>
    <col min="740" max="740" width="6.42578125" style="95" customWidth="1"/>
    <col min="741" max="741" width="22" style="95" customWidth="1"/>
    <col min="742" max="742" width="7.5703125" style="95" bestFit="1" customWidth="1"/>
    <col min="743" max="743" width="4.42578125" style="95" customWidth="1"/>
    <col min="744" max="744" width="7.42578125" style="95" bestFit="1" customWidth="1"/>
    <col min="745" max="745" width="2.85546875" style="95" bestFit="1" customWidth="1"/>
    <col min="746" max="746" width="7" style="95" bestFit="1" customWidth="1"/>
    <col min="747" max="747" width="5.7109375" style="95" bestFit="1" customWidth="1"/>
    <col min="748" max="748" width="7.85546875" style="95" bestFit="1" customWidth="1"/>
    <col min="749" max="750" width="0" style="95" hidden="1" customWidth="1"/>
    <col min="751" max="751" width="12.5703125" style="95" customWidth="1"/>
    <col min="752" max="752" width="0" style="95" hidden="1" customWidth="1"/>
    <col min="753" max="753" width="11" style="95" customWidth="1"/>
    <col min="754" max="754" width="9.140625" style="95" customWidth="1"/>
    <col min="755" max="755" width="9.85546875" style="95" customWidth="1"/>
    <col min="756" max="759" width="0" style="95" hidden="1" customWidth="1"/>
    <col min="760" max="760" width="1.5703125" style="95" customWidth="1"/>
    <col min="761" max="763" width="0" style="95" hidden="1" customWidth="1"/>
    <col min="764" max="764" width="10.42578125" style="95" customWidth="1"/>
    <col min="765" max="766" width="11" style="95" customWidth="1"/>
    <col min="767" max="767" width="9.42578125" style="95" customWidth="1"/>
    <col min="768" max="768" width="10" style="95" customWidth="1"/>
    <col min="769" max="769" width="11" style="95" customWidth="1"/>
    <col min="770" max="770" width="9.5703125" style="95" customWidth="1"/>
    <col min="771" max="771" width="10.140625" style="95" customWidth="1"/>
    <col min="772" max="811" width="10.7109375" style="95" customWidth="1"/>
    <col min="812" max="812" width="1.85546875" style="95" bestFit="1" customWidth="1"/>
    <col min="813" max="813" width="34.5703125" style="95" bestFit="1" customWidth="1"/>
    <col min="814" max="815" width="10.7109375" style="95" customWidth="1"/>
    <col min="816" max="816" width="2.7109375" style="95" bestFit="1" customWidth="1"/>
    <col min="817" max="817" width="11.5703125" style="95" bestFit="1" customWidth="1"/>
    <col min="818" max="994" width="10.7109375" style="95"/>
    <col min="995" max="995" width="5.28515625" style="95" customWidth="1"/>
    <col min="996" max="996" width="6.42578125" style="95" customWidth="1"/>
    <col min="997" max="997" width="22" style="95" customWidth="1"/>
    <col min="998" max="998" width="7.5703125" style="95" bestFit="1" customWidth="1"/>
    <col min="999" max="999" width="4.42578125" style="95" customWidth="1"/>
    <col min="1000" max="1000" width="7.42578125" style="95" bestFit="1" customWidth="1"/>
    <col min="1001" max="1001" width="2.85546875" style="95" bestFit="1" customWidth="1"/>
    <col min="1002" max="1002" width="7" style="95" bestFit="1" customWidth="1"/>
    <col min="1003" max="1003" width="5.7109375" style="95" bestFit="1" customWidth="1"/>
    <col min="1004" max="1004" width="7.85546875" style="95" bestFit="1" customWidth="1"/>
    <col min="1005" max="1006" width="0" style="95" hidden="1" customWidth="1"/>
    <col min="1007" max="1007" width="12.5703125" style="95" customWidth="1"/>
    <col min="1008" max="1008" width="0" style="95" hidden="1" customWidth="1"/>
    <col min="1009" max="1009" width="11" style="95" customWidth="1"/>
    <col min="1010" max="1010" width="9.140625" style="95" customWidth="1"/>
    <col min="1011" max="1011" width="9.85546875" style="95" customWidth="1"/>
    <col min="1012" max="1015" width="0" style="95" hidden="1" customWidth="1"/>
    <col min="1016" max="1016" width="1.5703125" style="95" customWidth="1"/>
    <col min="1017" max="1019" width="0" style="95" hidden="1" customWidth="1"/>
    <col min="1020" max="1020" width="10.42578125" style="95" customWidth="1"/>
    <col min="1021" max="1022" width="11" style="95" customWidth="1"/>
    <col min="1023" max="1023" width="9.42578125" style="95" customWidth="1"/>
    <col min="1024" max="1024" width="10" style="95" customWidth="1"/>
    <col min="1025" max="1025" width="11" style="95" customWidth="1"/>
    <col min="1026" max="1026" width="9.5703125" style="95" customWidth="1"/>
    <col min="1027" max="1027" width="10.140625" style="95" customWidth="1"/>
    <col min="1028" max="1067" width="10.7109375" style="95" customWidth="1"/>
    <col min="1068" max="1068" width="1.85546875" style="95" bestFit="1" customWidth="1"/>
    <col min="1069" max="1069" width="34.5703125" style="95" bestFit="1" customWidth="1"/>
    <col min="1070" max="1071" width="10.7109375" style="95" customWidth="1"/>
    <col min="1072" max="1072" width="2.7109375" style="95" bestFit="1" customWidth="1"/>
    <col min="1073" max="1073" width="11.5703125" style="95" bestFit="1" customWidth="1"/>
    <col min="1074" max="1250" width="10.7109375" style="95"/>
    <col min="1251" max="1251" width="5.28515625" style="95" customWidth="1"/>
    <col min="1252" max="1252" width="6.42578125" style="95" customWidth="1"/>
    <col min="1253" max="1253" width="22" style="95" customWidth="1"/>
    <col min="1254" max="1254" width="7.5703125" style="95" bestFit="1" customWidth="1"/>
    <col min="1255" max="1255" width="4.42578125" style="95" customWidth="1"/>
    <col min="1256" max="1256" width="7.42578125" style="95" bestFit="1" customWidth="1"/>
    <col min="1257" max="1257" width="2.85546875" style="95" bestFit="1" customWidth="1"/>
    <col min="1258" max="1258" width="7" style="95" bestFit="1" customWidth="1"/>
    <col min="1259" max="1259" width="5.7109375" style="95" bestFit="1" customWidth="1"/>
    <col min="1260" max="1260" width="7.85546875" style="95" bestFit="1" customWidth="1"/>
    <col min="1261" max="1262" width="0" style="95" hidden="1" customWidth="1"/>
    <col min="1263" max="1263" width="12.5703125" style="95" customWidth="1"/>
    <col min="1264" max="1264" width="0" style="95" hidden="1" customWidth="1"/>
    <col min="1265" max="1265" width="11" style="95" customWidth="1"/>
    <col min="1266" max="1266" width="9.140625" style="95" customWidth="1"/>
    <col min="1267" max="1267" width="9.85546875" style="95" customWidth="1"/>
    <col min="1268" max="1271" width="0" style="95" hidden="1" customWidth="1"/>
    <col min="1272" max="1272" width="1.5703125" style="95" customWidth="1"/>
    <col min="1273" max="1275" width="0" style="95" hidden="1" customWidth="1"/>
    <col min="1276" max="1276" width="10.42578125" style="95" customWidth="1"/>
    <col min="1277" max="1278" width="11" style="95" customWidth="1"/>
    <col min="1279" max="1279" width="9.42578125" style="95" customWidth="1"/>
    <col min="1280" max="1280" width="10" style="95" customWidth="1"/>
    <col min="1281" max="1281" width="11" style="95" customWidth="1"/>
    <col min="1282" max="1282" width="9.5703125" style="95" customWidth="1"/>
    <col min="1283" max="1283" width="10.140625" style="95" customWidth="1"/>
    <col min="1284" max="1323" width="10.7109375" style="95" customWidth="1"/>
    <col min="1324" max="1324" width="1.85546875" style="95" bestFit="1" customWidth="1"/>
    <col min="1325" max="1325" width="34.5703125" style="95" bestFit="1" customWidth="1"/>
    <col min="1326" max="1327" width="10.7109375" style="95" customWidth="1"/>
    <col min="1328" max="1328" width="2.7109375" style="95" bestFit="1" customWidth="1"/>
    <col min="1329" max="1329" width="11.5703125" style="95" bestFit="1" customWidth="1"/>
    <col min="1330" max="1506" width="10.7109375" style="95"/>
    <col min="1507" max="1507" width="5.28515625" style="95" customWidth="1"/>
    <col min="1508" max="1508" width="6.42578125" style="95" customWidth="1"/>
    <col min="1509" max="1509" width="22" style="95" customWidth="1"/>
    <col min="1510" max="1510" width="7.5703125" style="95" bestFit="1" customWidth="1"/>
    <col min="1511" max="1511" width="4.42578125" style="95" customWidth="1"/>
    <col min="1512" max="1512" width="7.42578125" style="95" bestFit="1" customWidth="1"/>
    <col min="1513" max="1513" width="2.85546875" style="95" bestFit="1" customWidth="1"/>
    <col min="1514" max="1514" width="7" style="95" bestFit="1" customWidth="1"/>
    <col min="1515" max="1515" width="5.7109375" style="95" bestFit="1" customWidth="1"/>
    <col min="1516" max="1516" width="7.85546875" style="95" bestFit="1" customWidth="1"/>
    <col min="1517" max="1518" width="0" style="95" hidden="1" customWidth="1"/>
    <col min="1519" max="1519" width="12.5703125" style="95" customWidth="1"/>
    <col min="1520" max="1520" width="0" style="95" hidden="1" customWidth="1"/>
    <col min="1521" max="1521" width="11" style="95" customWidth="1"/>
    <col min="1522" max="1522" width="9.140625" style="95" customWidth="1"/>
    <col min="1523" max="1523" width="9.85546875" style="95" customWidth="1"/>
    <col min="1524" max="1527" width="0" style="95" hidden="1" customWidth="1"/>
    <col min="1528" max="1528" width="1.5703125" style="95" customWidth="1"/>
    <col min="1529" max="1531" width="0" style="95" hidden="1" customWidth="1"/>
    <col min="1532" max="1532" width="10.42578125" style="95" customWidth="1"/>
    <col min="1533" max="1534" width="11" style="95" customWidth="1"/>
    <col min="1535" max="1535" width="9.42578125" style="95" customWidth="1"/>
    <col min="1536" max="1536" width="10" style="95" customWidth="1"/>
    <col min="1537" max="1537" width="11" style="95" customWidth="1"/>
    <col min="1538" max="1538" width="9.5703125" style="95" customWidth="1"/>
    <col min="1539" max="1539" width="10.140625" style="95" customWidth="1"/>
    <col min="1540" max="1579" width="10.7109375" style="95" customWidth="1"/>
    <col min="1580" max="1580" width="1.85546875" style="95" bestFit="1" customWidth="1"/>
    <col min="1581" max="1581" width="34.5703125" style="95" bestFit="1" customWidth="1"/>
    <col min="1582" max="1583" width="10.7109375" style="95" customWidth="1"/>
    <col min="1584" max="1584" width="2.7109375" style="95" bestFit="1" customWidth="1"/>
    <col min="1585" max="1585" width="11.5703125" style="95" bestFit="1" customWidth="1"/>
    <col min="1586" max="1762" width="10.7109375" style="95"/>
    <col min="1763" max="1763" width="5.28515625" style="95" customWidth="1"/>
    <col min="1764" max="1764" width="6.42578125" style="95" customWidth="1"/>
    <col min="1765" max="1765" width="22" style="95" customWidth="1"/>
    <col min="1766" max="1766" width="7.5703125" style="95" bestFit="1" customWidth="1"/>
    <col min="1767" max="1767" width="4.42578125" style="95" customWidth="1"/>
    <col min="1768" max="1768" width="7.42578125" style="95" bestFit="1" customWidth="1"/>
    <col min="1769" max="1769" width="2.85546875" style="95" bestFit="1" customWidth="1"/>
    <col min="1770" max="1770" width="7" style="95" bestFit="1" customWidth="1"/>
    <col min="1771" max="1771" width="5.7109375" style="95" bestFit="1" customWidth="1"/>
    <col min="1772" max="1772" width="7.85546875" style="95" bestFit="1" customWidth="1"/>
    <col min="1773" max="1774" width="0" style="95" hidden="1" customWidth="1"/>
    <col min="1775" max="1775" width="12.5703125" style="95" customWidth="1"/>
    <col min="1776" max="1776" width="0" style="95" hidden="1" customWidth="1"/>
    <col min="1777" max="1777" width="11" style="95" customWidth="1"/>
    <col min="1778" max="1778" width="9.140625" style="95" customWidth="1"/>
    <col min="1779" max="1779" width="9.85546875" style="95" customWidth="1"/>
    <col min="1780" max="1783" width="0" style="95" hidden="1" customWidth="1"/>
    <col min="1784" max="1784" width="1.5703125" style="95" customWidth="1"/>
    <col min="1785" max="1787" width="0" style="95" hidden="1" customWidth="1"/>
    <col min="1788" max="1788" width="10.42578125" style="95" customWidth="1"/>
    <col min="1789" max="1790" width="11" style="95" customWidth="1"/>
    <col min="1791" max="1791" width="9.42578125" style="95" customWidth="1"/>
    <col min="1792" max="1792" width="10" style="95" customWidth="1"/>
    <col min="1793" max="1793" width="11" style="95" customWidth="1"/>
    <col min="1794" max="1794" width="9.5703125" style="95" customWidth="1"/>
    <col min="1795" max="1795" width="10.140625" style="95" customWidth="1"/>
    <col min="1796" max="1835" width="10.7109375" style="95" customWidth="1"/>
    <col min="1836" max="1836" width="1.85546875" style="95" bestFit="1" customWidth="1"/>
    <col min="1837" max="1837" width="34.5703125" style="95" bestFit="1" customWidth="1"/>
    <col min="1838" max="1839" width="10.7109375" style="95" customWidth="1"/>
    <col min="1840" max="1840" width="2.7109375" style="95" bestFit="1" customWidth="1"/>
    <col min="1841" max="1841" width="11.5703125" style="95" bestFit="1" customWidth="1"/>
    <col min="1842" max="2018" width="10.7109375" style="95"/>
    <col min="2019" max="2019" width="5.28515625" style="95" customWidth="1"/>
    <col min="2020" max="2020" width="6.42578125" style="95" customWidth="1"/>
    <col min="2021" max="2021" width="22" style="95" customWidth="1"/>
    <col min="2022" max="2022" width="7.5703125" style="95" bestFit="1" customWidth="1"/>
    <col min="2023" max="2023" width="4.42578125" style="95" customWidth="1"/>
    <col min="2024" max="2024" width="7.42578125" style="95" bestFit="1" customWidth="1"/>
    <col min="2025" max="2025" width="2.85546875" style="95" bestFit="1" customWidth="1"/>
    <col min="2026" max="2026" width="7" style="95" bestFit="1" customWidth="1"/>
    <col min="2027" max="2027" width="5.7109375" style="95" bestFit="1" customWidth="1"/>
    <col min="2028" max="2028" width="7.85546875" style="95" bestFit="1" customWidth="1"/>
    <col min="2029" max="2030" width="0" style="95" hidden="1" customWidth="1"/>
    <col min="2031" max="2031" width="12.5703125" style="95" customWidth="1"/>
    <col min="2032" max="2032" width="0" style="95" hidden="1" customWidth="1"/>
    <col min="2033" max="2033" width="11" style="95" customWidth="1"/>
    <col min="2034" max="2034" width="9.140625" style="95" customWidth="1"/>
    <col min="2035" max="2035" width="9.85546875" style="95" customWidth="1"/>
    <col min="2036" max="2039" width="0" style="95" hidden="1" customWidth="1"/>
    <col min="2040" max="2040" width="1.5703125" style="95" customWidth="1"/>
    <col min="2041" max="2043" width="0" style="95" hidden="1" customWidth="1"/>
    <col min="2044" max="2044" width="10.42578125" style="95" customWidth="1"/>
    <col min="2045" max="2046" width="11" style="95" customWidth="1"/>
    <col min="2047" max="2047" width="9.42578125" style="95" customWidth="1"/>
    <col min="2048" max="2048" width="10" style="95" customWidth="1"/>
    <col min="2049" max="2049" width="11" style="95" customWidth="1"/>
    <col min="2050" max="2050" width="9.5703125" style="95" customWidth="1"/>
    <col min="2051" max="2051" width="10.140625" style="95" customWidth="1"/>
    <col min="2052" max="2091" width="10.7109375" style="95" customWidth="1"/>
    <col min="2092" max="2092" width="1.85546875" style="95" bestFit="1" customWidth="1"/>
    <col min="2093" max="2093" width="34.5703125" style="95" bestFit="1" customWidth="1"/>
    <col min="2094" max="2095" width="10.7109375" style="95" customWidth="1"/>
    <col min="2096" max="2096" width="2.7109375" style="95" bestFit="1" customWidth="1"/>
    <col min="2097" max="2097" width="11.5703125" style="95" bestFit="1" customWidth="1"/>
    <col min="2098" max="2274" width="10.7109375" style="95"/>
    <col min="2275" max="2275" width="5.28515625" style="95" customWidth="1"/>
    <col min="2276" max="2276" width="6.42578125" style="95" customWidth="1"/>
    <col min="2277" max="2277" width="22" style="95" customWidth="1"/>
    <col min="2278" max="2278" width="7.5703125" style="95" bestFit="1" customWidth="1"/>
    <col min="2279" max="2279" width="4.42578125" style="95" customWidth="1"/>
    <col min="2280" max="2280" width="7.42578125" style="95" bestFit="1" customWidth="1"/>
    <col min="2281" max="2281" width="2.85546875" style="95" bestFit="1" customWidth="1"/>
    <col min="2282" max="2282" width="7" style="95" bestFit="1" customWidth="1"/>
    <col min="2283" max="2283" width="5.7109375" style="95" bestFit="1" customWidth="1"/>
    <col min="2284" max="2284" width="7.85546875" style="95" bestFit="1" customWidth="1"/>
    <col min="2285" max="2286" width="0" style="95" hidden="1" customWidth="1"/>
    <col min="2287" max="2287" width="12.5703125" style="95" customWidth="1"/>
    <col min="2288" max="2288" width="0" style="95" hidden="1" customWidth="1"/>
    <col min="2289" max="2289" width="11" style="95" customWidth="1"/>
    <col min="2290" max="2290" width="9.140625" style="95" customWidth="1"/>
    <col min="2291" max="2291" width="9.85546875" style="95" customWidth="1"/>
    <col min="2292" max="2295" width="0" style="95" hidden="1" customWidth="1"/>
    <col min="2296" max="2296" width="1.5703125" style="95" customWidth="1"/>
    <col min="2297" max="2299" width="0" style="95" hidden="1" customWidth="1"/>
    <col min="2300" max="2300" width="10.42578125" style="95" customWidth="1"/>
    <col min="2301" max="2302" width="11" style="95" customWidth="1"/>
    <col min="2303" max="2303" width="9.42578125" style="95" customWidth="1"/>
    <col min="2304" max="2304" width="10" style="95" customWidth="1"/>
    <col min="2305" max="2305" width="11" style="95" customWidth="1"/>
    <col min="2306" max="2306" width="9.5703125" style="95" customWidth="1"/>
    <col min="2307" max="2307" width="10.140625" style="95" customWidth="1"/>
    <col min="2308" max="2347" width="10.7109375" style="95" customWidth="1"/>
    <col min="2348" max="2348" width="1.85546875" style="95" bestFit="1" customWidth="1"/>
    <col min="2349" max="2349" width="34.5703125" style="95" bestFit="1" customWidth="1"/>
    <col min="2350" max="2351" width="10.7109375" style="95" customWidth="1"/>
    <col min="2352" max="2352" width="2.7109375" style="95" bestFit="1" customWidth="1"/>
    <col min="2353" max="2353" width="11.5703125" style="95" bestFit="1" customWidth="1"/>
    <col min="2354" max="2530" width="10.7109375" style="95"/>
    <col min="2531" max="2531" width="5.28515625" style="95" customWidth="1"/>
    <col min="2532" max="2532" width="6.42578125" style="95" customWidth="1"/>
    <col min="2533" max="2533" width="22" style="95" customWidth="1"/>
    <col min="2534" max="2534" width="7.5703125" style="95" bestFit="1" customWidth="1"/>
    <col min="2535" max="2535" width="4.42578125" style="95" customWidth="1"/>
    <col min="2536" max="2536" width="7.42578125" style="95" bestFit="1" customWidth="1"/>
    <col min="2537" max="2537" width="2.85546875" style="95" bestFit="1" customWidth="1"/>
    <col min="2538" max="2538" width="7" style="95" bestFit="1" customWidth="1"/>
    <col min="2539" max="2539" width="5.7109375" style="95" bestFit="1" customWidth="1"/>
    <col min="2540" max="2540" width="7.85546875" style="95" bestFit="1" customWidth="1"/>
    <col min="2541" max="2542" width="0" style="95" hidden="1" customWidth="1"/>
    <col min="2543" max="2543" width="12.5703125" style="95" customWidth="1"/>
    <col min="2544" max="2544" width="0" style="95" hidden="1" customWidth="1"/>
    <col min="2545" max="2545" width="11" style="95" customWidth="1"/>
    <col min="2546" max="2546" width="9.140625" style="95" customWidth="1"/>
    <col min="2547" max="2547" width="9.85546875" style="95" customWidth="1"/>
    <col min="2548" max="2551" width="0" style="95" hidden="1" customWidth="1"/>
    <col min="2552" max="2552" width="1.5703125" style="95" customWidth="1"/>
    <col min="2553" max="2555" width="0" style="95" hidden="1" customWidth="1"/>
    <col min="2556" max="2556" width="10.42578125" style="95" customWidth="1"/>
    <col min="2557" max="2558" width="11" style="95" customWidth="1"/>
    <col min="2559" max="2559" width="9.42578125" style="95" customWidth="1"/>
    <col min="2560" max="2560" width="10" style="95" customWidth="1"/>
    <col min="2561" max="2561" width="11" style="95" customWidth="1"/>
    <col min="2562" max="2562" width="9.5703125" style="95" customWidth="1"/>
    <col min="2563" max="2563" width="10.140625" style="95" customWidth="1"/>
    <col min="2564" max="2603" width="10.7109375" style="95" customWidth="1"/>
    <col min="2604" max="2604" width="1.85546875" style="95" bestFit="1" customWidth="1"/>
    <col min="2605" max="2605" width="34.5703125" style="95" bestFit="1" customWidth="1"/>
    <col min="2606" max="2607" width="10.7109375" style="95" customWidth="1"/>
    <col min="2608" max="2608" width="2.7109375" style="95" bestFit="1" customWidth="1"/>
    <col min="2609" max="2609" width="11.5703125" style="95" bestFit="1" customWidth="1"/>
    <col min="2610" max="2786" width="10.7109375" style="95"/>
    <col min="2787" max="2787" width="5.28515625" style="95" customWidth="1"/>
    <col min="2788" max="2788" width="6.42578125" style="95" customWidth="1"/>
    <col min="2789" max="2789" width="22" style="95" customWidth="1"/>
    <col min="2790" max="2790" width="7.5703125" style="95" bestFit="1" customWidth="1"/>
    <col min="2791" max="2791" width="4.42578125" style="95" customWidth="1"/>
    <col min="2792" max="2792" width="7.42578125" style="95" bestFit="1" customWidth="1"/>
    <col min="2793" max="2793" width="2.85546875" style="95" bestFit="1" customWidth="1"/>
    <col min="2794" max="2794" width="7" style="95" bestFit="1" customWidth="1"/>
    <col min="2795" max="2795" width="5.7109375" style="95" bestFit="1" customWidth="1"/>
    <col min="2796" max="2796" width="7.85546875" style="95" bestFit="1" customWidth="1"/>
    <col min="2797" max="2798" width="0" style="95" hidden="1" customWidth="1"/>
    <col min="2799" max="2799" width="12.5703125" style="95" customWidth="1"/>
    <col min="2800" max="2800" width="0" style="95" hidden="1" customWidth="1"/>
    <col min="2801" max="2801" width="11" style="95" customWidth="1"/>
    <col min="2802" max="2802" width="9.140625" style="95" customWidth="1"/>
    <col min="2803" max="2803" width="9.85546875" style="95" customWidth="1"/>
    <col min="2804" max="2807" width="0" style="95" hidden="1" customWidth="1"/>
    <col min="2808" max="2808" width="1.5703125" style="95" customWidth="1"/>
    <col min="2809" max="2811" width="0" style="95" hidden="1" customWidth="1"/>
    <col min="2812" max="2812" width="10.42578125" style="95" customWidth="1"/>
    <col min="2813" max="2814" width="11" style="95" customWidth="1"/>
    <col min="2815" max="2815" width="9.42578125" style="95" customWidth="1"/>
    <col min="2816" max="2816" width="10" style="95" customWidth="1"/>
    <col min="2817" max="2817" width="11" style="95" customWidth="1"/>
    <col min="2818" max="2818" width="9.5703125" style="95" customWidth="1"/>
    <col min="2819" max="2819" width="10.140625" style="95" customWidth="1"/>
    <col min="2820" max="2859" width="10.7109375" style="95" customWidth="1"/>
    <col min="2860" max="2860" width="1.85546875" style="95" bestFit="1" customWidth="1"/>
    <col min="2861" max="2861" width="34.5703125" style="95" bestFit="1" customWidth="1"/>
    <col min="2862" max="2863" width="10.7109375" style="95" customWidth="1"/>
    <col min="2864" max="2864" width="2.7109375" style="95" bestFit="1" customWidth="1"/>
    <col min="2865" max="2865" width="11.5703125" style="95" bestFit="1" customWidth="1"/>
    <col min="2866" max="3042" width="10.7109375" style="95"/>
    <col min="3043" max="3043" width="5.28515625" style="95" customWidth="1"/>
    <col min="3044" max="3044" width="6.42578125" style="95" customWidth="1"/>
    <col min="3045" max="3045" width="22" style="95" customWidth="1"/>
    <col min="3046" max="3046" width="7.5703125" style="95" bestFit="1" customWidth="1"/>
    <col min="3047" max="3047" width="4.42578125" style="95" customWidth="1"/>
    <col min="3048" max="3048" width="7.42578125" style="95" bestFit="1" customWidth="1"/>
    <col min="3049" max="3049" width="2.85546875" style="95" bestFit="1" customWidth="1"/>
    <col min="3050" max="3050" width="7" style="95" bestFit="1" customWidth="1"/>
    <col min="3051" max="3051" width="5.7109375" style="95" bestFit="1" customWidth="1"/>
    <col min="3052" max="3052" width="7.85546875" style="95" bestFit="1" customWidth="1"/>
    <col min="3053" max="3054" width="0" style="95" hidden="1" customWidth="1"/>
    <col min="3055" max="3055" width="12.5703125" style="95" customWidth="1"/>
    <col min="3056" max="3056" width="0" style="95" hidden="1" customWidth="1"/>
    <col min="3057" max="3057" width="11" style="95" customWidth="1"/>
    <col min="3058" max="3058" width="9.140625" style="95" customWidth="1"/>
    <col min="3059" max="3059" width="9.85546875" style="95" customWidth="1"/>
    <col min="3060" max="3063" width="0" style="95" hidden="1" customWidth="1"/>
    <col min="3064" max="3064" width="1.5703125" style="95" customWidth="1"/>
    <col min="3065" max="3067" width="0" style="95" hidden="1" customWidth="1"/>
    <col min="3068" max="3068" width="10.42578125" style="95" customWidth="1"/>
    <col min="3069" max="3070" width="11" style="95" customWidth="1"/>
    <col min="3071" max="3071" width="9.42578125" style="95" customWidth="1"/>
    <col min="3072" max="3072" width="10" style="95" customWidth="1"/>
    <col min="3073" max="3073" width="11" style="95" customWidth="1"/>
    <col min="3074" max="3074" width="9.5703125" style="95" customWidth="1"/>
    <col min="3075" max="3075" width="10.140625" style="95" customWidth="1"/>
    <col min="3076" max="3115" width="10.7109375" style="95" customWidth="1"/>
    <col min="3116" max="3116" width="1.85546875" style="95" bestFit="1" customWidth="1"/>
    <col min="3117" max="3117" width="34.5703125" style="95" bestFit="1" customWidth="1"/>
    <col min="3118" max="3119" width="10.7109375" style="95" customWidth="1"/>
    <col min="3120" max="3120" width="2.7109375" style="95" bestFit="1" customWidth="1"/>
    <col min="3121" max="3121" width="11.5703125" style="95" bestFit="1" customWidth="1"/>
    <col min="3122" max="3298" width="10.7109375" style="95"/>
    <col min="3299" max="3299" width="5.28515625" style="95" customWidth="1"/>
    <col min="3300" max="3300" width="6.42578125" style="95" customWidth="1"/>
    <col min="3301" max="3301" width="22" style="95" customWidth="1"/>
    <col min="3302" max="3302" width="7.5703125" style="95" bestFit="1" customWidth="1"/>
    <col min="3303" max="3303" width="4.42578125" style="95" customWidth="1"/>
    <col min="3304" max="3304" width="7.42578125" style="95" bestFit="1" customWidth="1"/>
    <col min="3305" max="3305" width="2.85546875" style="95" bestFit="1" customWidth="1"/>
    <col min="3306" max="3306" width="7" style="95" bestFit="1" customWidth="1"/>
    <col min="3307" max="3307" width="5.7109375" style="95" bestFit="1" customWidth="1"/>
    <col min="3308" max="3308" width="7.85546875" style="95" bestFit="1" customWidth="1"/>
    <col min="3309" max="3310" width="0" style="95" hidden="1" customWidth="1"/>
    <col min="3311" max="3311" width="12.5703125" style="95" customWidth="1"/>
    <col min="3312" max="3312" width="0" style="95" hidden="1" customWidth="1"/>
    <col min="3313" max="3313" width="11" style="95" customWidth="1"/>
    <col min="3314" max="3314" width="9.140625" style="95" customWidth="1"/>
    <col min="3315" max="3315" width="9.85546875" style="95" customWidth="1"/>
    <col min="3316" max="3319" width="0" style="95" hidden="1" customWidth="1"/>
    <col min="3320" max="3320" width="1.5703125" style="95" customWidth="1"/>
    <col min="3321" max="3323" width="0" style="95" hidden="1" customWidth="1"/>
    <col min="3324" max="3324" width="10.42578125" style="95" customWidth="1"/>
    <col min="3325" max="3326" width="11" style="95" customWidth="1"/>
    <col min="3327" max="3327" width="9.42578125" style="95" customWidth="1"/>
    <col min="3328" max="3328" width="10" style="95" customWidth="1"/>
    <col min="3329" max="3329" width="11" style="95" customWidth="1"/>
    <col min="3330" max="3330" width="9.5703125" style="95" customWidth="1"/>
    <col min="3331" max="3331" width="10.140625" style="95" customWidth="1"/>
    <col min="3332" max="3371" width="10.7109375" style="95" customWidth="1"/>
    <col min="3372" max="3372" width="1.85546875" style="95" bestFit="1" customWidth="1"/>
    <col min="3373" max="3373" width="34.5703125" style="95" bestFit="1" customWidth="1"/>
    <col min="3374" max="3375" width="10.7109375" style="95" customWidth="1"/>
    <col min="3376" max="3376" width="2.7109375" style="95" bestFit="1" customWidth="1"/>
    <col min="3377" max="3377" width="11.5703125" style="95" bestFit="1" customWidth="1"/>
    <col min="3378" max="3554" width="10.7109375" style="95"/>
    <col min="3555" max="3555" width="5.28515625" style="95" customWidth="1"/>
    <col min="3556" max="3556" width="6.42578125" style="95" customWidth="1"/>
    <col min="3557" max="3557" width="22" style="95" customWidth="1"/>
    <col min="3558" max="3558" width="7.5703125" style="95" bestFit="1" customWidth="1"/>
    <col min="3559" max="3559" width="4.42578125" style="95" customWidth="1"/>
    <col min="3560" max="3560" width="7.42578125" style="95" bestFit="1" customWidth="1"/>
    <col min="3561" max="3561" width="2.85546875" style="95" bestFit="1" customWidth="1"/>
    <col min="3562" max="3562" width="7" style="95" bestFit="1" customWidth="1"/>
    <col min="3563" max="3563" width="5.7109375" style="95" bestFit="1" customWidth="1"/>
    <col min="3564" max="3564" width="7.85546875" style="95" bestFit="1" customWidth="1"/>
    <col min="3565" max="3566" width="0" style="95" hidden="1" customWidth="1"/>
    <col min="3567" max="3567" width="12.5703125" style="95" customWidth="1"/>
    <col min="3568" max="3568" width="0" style="95" hidden="1" customWidth="1"/>
    <col min="3569" max="3569" width="11" style="95" customWidth="1"/>
    <col min="3570" max="3570" width="9.140625" style="95" customWidth="1"/>
    <col min="3571" max="3571" width="9.85546875" style="95" customWidth="1"/>
    <col min="3572" max="3575" width="0" style="95" hidden="1" customWidth="1"/>
    <col min="3576" max="3576" width="1.5703125" style="95" customWidth="1"/>
    <col min="3577" max="3579" width="0" style="95" hidden="1" customWidth="1"/>
    <col min="3580" max="3580" width="10.42578125" style="95" customWidth="1"/>
    <col min="3581" max="3582" width="11" style="95" customWidth="1"/>
    <col min="3583" max="3583" width="9.42578125" style="95" customWidth="1"/>
    <col min="3584" max="3584" width="10" style="95" customWidth="1"/>
    <col min="3585" max="3585" width="11" style="95" customWidth="1"/>
    <col min="3586" max="3586" width="9.5703125" style="95" customWidth="1"/>
    <col min="3587" max="3587" width="10.140625" style="95" customWidth="1"/>
    <col min="3588" max="3627" width="10.7109375" style="95" customWidth="1"/>
    <col min="3628" max="3628" width="1.85546875" style="95" bestFit="1" customWidth="1"/>
    <col min="3629" max="3629" width="34.5703125" style="95" bestFit="1" customWidth="1"/>
    <col min="3630" max="3631" width="10.7109375" style="95" customWidth="1"/>
    <col min="3632" max="3632" width="2.7109375" style="95" bestFit="1" customWidth="1"/>
    <col min="3633" max="3633" width="11.5703125" style="95" bestFit="1" customWidth="1"/>
    <col min="3634" max="3810" width="10.7109375" style="95"/>
    <col min="3811" max="3811" width="5.28515625" style="95" customWidth="1"/>
    <col min="3812" max="3812" width="6.42578125" style="95" customWidth="1"/>
    <col min="3813" max="3813" width="22" style="95" customWidth="1"/>
    <col min="3814" max="3814" width="7.5703125" style="95" bestFit="1" customWidth="1"/>
    <col min="3815" max="3815" width="4.42578125" style="95" customWidth="1"/>
    <col min="3816" max="3816" width="7.42578125" style="95" bestFit="1" customWidth="1"/>
    <col min="3817" max="3817" width="2.85546875" style="95" bestFit="1" customWidth="1"/>
    <col min="3818" max="3818" width="7" style="95" bestFit="1" customWidth="1"/>
    <col min="3819" max="3819" width="5.7109375" style="95" bestFit="1" customWidth="1"/>
    <col min="3820" max="3820" width="7.85546875" style="95" bestFit="1" customWidth="1"/>
    <col min="3821" max="3822" width="0" style="95" hidden="1" customWidth="1"/>
    <col min="3823" max="3823" width="12.5703125" style="95" customWidth="1"/>
    <col min="3824" max="3824" width="0" style="95" hidden="1" customWidth="1"/>
    <col min="3825" max="3825" width="11" style="95" customWidth="1"/>
    <col min="3826" max="3826" width="9.140625" style="95" customWidth="1"/>
    <col min="3827" max="3827" width="9.85546875" style="95" customWidth="1"/>
    <col min="3828" max="3831" width="0" style="95" hidden="1" customWidth="1"/>
    <col min="3832" max="3832" width="1.5703125" style="95" customWidth="1"/>
    <col min="3833" max="3835" width="0" style="95" hidden="1" customWidth="1"/>
    <col min="3836" max="3836" width="10.42578125" style="95" customWidth="1"/>
    <col min="3837" max="3838" width="11" style="95" customWidth="1"/>
    <col min="3839" max="3839" width="9.42578125" style="95" customWidth="1"/>
    <col min="3840" max="3840" width="10" style="95" customWidth="1"/>
    <col min="3841" max="3841" width="11" style="95" customWidth="1"/>
    <col min="3842" max="3842" width="9.5703125" style="95" customWidth="1"/>
    <col min="3843" max="3843" width="10.140625" style="95" customWidth="1"/>
    <col min="3844" max="3883" width="10.7109375" style="95" customWidth="1"/>
    <col min="3884" max="3884" width="1.85546875" style="95" bestFit="1" customWidth="1"/>
    <col min="3885" max="3885" width="34.5703125" style="95" bestFit="1" customWidth="1"/>
    <col min="3886" max="3887" width="10.7109375" style="95" customWidth="1"/>
    <col min="3888" max="3888" width="2.7109375" style="95" bestFit="1" customWidth="1"/>
    <col min="3889" max="3889" width="11.5703125" style="95" bestFit="1" customWidth="1"/>
    <col min="3890" max="4066" width="10.7109375" style="95"/>
    <col min="4067" max="4067" width="5.28515625" style="95" customWidth="1"/>
    <col min="4068" max="4068" width="6.42578125" style="95" customWidth="1"/>
    <col min="4069" max="4069" width="22" style="95" customWidth="1"/>
    <col min="4070" max="4070" width="7.5703125" style="95" bestFit="1" customWidth="1"/>
    <col min="4071" max="4071" width="4.42578125" style="95" customWidth="1"/>
    <col min="4072" max="4072" width="7.42578125" style="95" bestFit="1" customWidth="1"/>
    <col min="4073" max="4073" width="2.85546875" style="95" bestFit="1" customWidth="1"/>
    <col min="4074" max="4074" width="7" style="95" bestFit="1" customWidth="1"/>
    <col min="4075" max="4075" width="5.7109375" style="95" bestFit="1" customWidth="1"/>
    <col min="4076" max="4076" width="7.85546875" style="95" bestFit="1" customWidth="1"/>
    <col min="4077" max="4078" width="0" style="95" hidden="1" customWidth="1"/>
    <col min="4079" max="4079" width="12.5703125" style="95" customWidth="1"/>
    <col min="4080" max="4080" width="0" style="95" hidden="1" customWidth="1"/>
    <col min="4081" max="4081" width="11" style="95" customWidth="1"/>
    <col min="4082" max="4082" width="9.140625" style="95" customWidth="1"/>
    <col min="4083" max="4083" width="9.85546875" style="95" customWidth="1"/>
    <col min="4084" max="4087" width="0" style="95" hidden="1" customWidth="1"/>
    <col min="4088" max="4088" width="1.5703125" style="95" customWidth="1"/>
    <col min="4089" max="4091" width="0" style="95" hidden="1" customWidth="1"/>
    <col min="4092" max="4092" width="10.42578125" style="95" customWidth="1"/>
    <col min="4093" max="4094" width="11" style="95" customWidth="1"/>
    <col min="4095" max="4095" width="9.42578125" style="95" customWidth="1"/>
    <col min="4096" max="4096" width="10" style="95" customWidth="1"/>
    <col min="4097" max="4097" width="11" style="95" customWidth="1"/>
    <col min="4098" max="4098" width="9.5703125" style="95" customWidth="1"/>
    <col min="4099" max="4099" width="10.140625" style="95" customWidth="1"/>
    <col min="4100" max="4139" width="10.7109375" style="95" customWidth="1"/>
    <col min="4140" max="4140" width="1.85546875" style="95" bestFit="1" customWidth="1"/>
    <col min="4141" max="4141" width="34.5703125" style="95" bestFit="1" customWidth="1"/>
    <col min="4142" max="4143" width="10.7109375" style="95" customWidth="1"/>
    <col min="4144" max="4144" width="2.7109375" style="95" bestFit="1" customWidth="1"/>
    <col min="4145" max="4145" width="11.5703125" style="95" bestFit="1" customWidth="1"/>
    <col min="4146" max="4322" width="10.7109375" style="95"/>
    <col min="4323" max="4323" width="5.28515625" style="95" customWidth="1"/>
    <col min="4324" max="4324" width="6.42578125" style="95" customWidth="1"/>
    <col min="4325" max="4325" width="22" style="95" customWidth="1"/>
    <col min="4326" max="4326" width="7.5703125" style="95" bestFit="1" customWidth="1"/>
    <col min="4327" max="4327" width="4.42578125" style="95" customWidth="1"/>
    <col min="4328" max="4328" width="7.42578125" style="95" bestFit="1" customWidth="1"/>
    <col min="4329" max="4329" width="2.85546875" style="95" bestFit="1" customWidth="1"/>
    <col min="4330" max="4330" width="7" style="95" bestFit="1" customWidth="1"/>
    <col min="4331" max="4331" width="5.7109375" style="95" bestFit="1" customWidth="1"/>
    <col min="4332" max="4332" width="7.85546875" style="95" bestFit="1" customWidth="1"/>
    <col min="4333" max="4334" width="0" style="95" hidden="1" customWidth="1"/>
    <col min="4335" max="4335" width="12.5703125" style="95" customWidth="1"/>
    <col min="4336" max="4336" width="0" style="95" hidden="1" customWidth="1"/>
    <col min="4337" max="4337" width="11" style="95" customWidth="1"/>
    <col min="4338" max="4338" width="9.140625" style="95" customWidth="1"/>
    <col min="4339" max="4339" width="9.85546875" style="95" customWidth="1"/>
    <col min="4340" max="4343" width="0" style="95" hidden="1" customWidth="1"/>
    <col min="4344" max="4344" width="1.5703125" style="95" customWidth="1"/>
    <col min="4345" max="4347" width="0" style="95" hidden="1" customWidth="1"/>
    <col min="4348" max="4348" width="10.42578125" style="95" customWidth="1"/>
    <col min="4349" max="4350" width="11" style="95" customWidth="1"/>
    <col min="4351" max="4351" width="9.42578125" style="95" customWidth="1"/>
    <col min="4352" max="4352" width="10" style="95" customWidth="1"/>
    <col min="4353" max="4353" width="11" style="95" customWidth="1"/>
    <col min="4354" max="4354" width="9.5703125" style="95" customWidth="1"/>
    <col min="4355" max="4355" width="10.140625" style="95" customWidth="1"/>
    <col min="4356" max="4395" width="10.7109375" style="95" customWidth="1"/>
    <col min="4396" max="4396" width="1.85546875" style="95" bestFit="1" customWidth="1"/>
    <col min="4397" max="4397" width="34.5703125" style="95" bestFit="1" customWidth="1"/>
    <col min="4398" max="4399" width="10.7109375" style="95" customWidth="1"/>
    <col min="4400" max="4400" width="2.7109375" style="95" bestFit="1" customWidth="1"/>
    <col min="4401" max="4401" width="11.5703125" style="95" bestFit="1" customWidth="1"/>
    <col min="4402" max="4578" width="10.7109375" style="95"/>
    <col min="4579" max="4579" width="5.28515625" style="95" customWidth="1"/>
    <col min="4580" max="4580" width="6.42578125" style="95" customWidth="1"/>
    <col min="4581" max="4581" width="22" style="95" customWidth="1"/>
    <col min="4582" max="4582" width="7.5703125" style="95" bestFit="1" customWidth="1"/>
    <col min="4583" max="4583" width="4.42578125" style="95" customWidth="1"/>
    <col min="4584" max="4584" width="7.42578125" style="95" bestFit="1" customWidth="1"/>
    <col min="4585" max="4585" width="2.85546875" style="95" bestFit="1" customWidth="1"/>
    <col min="4586" max="4586" width="7" style="95" bestFit="1" customWidth="1"/>
    <col min="4587" max="4587" width="5.7109375" style="95" bestFit="1" customWidth="1"/>
    <col min="4588" max="4588" width="7.85546875" style="95" bestFit="1" customWidth="1"/>
    <col min="4589" max="4590" width="0" style="95" hidden="1" customWidth="1"/>
    <col min="4591" max="4591" width="12.5703125" style="95" customWidth="1"/>
    <col min="4592" max="4592" width="0" style="95" hidden="1" customWidth="1"/>
    <col min="4593" max="4593" width="11" style="95" customWidth="1"/>
    <col min="4594" max="4594" width="9.140625" style="95" customWidth="1"/>
    <col min="4595" max="4595" width="9.85546875" style="95" customWidth="1"/>
    <col min="4596" max="4599" width="0" style="95" hidden="1" customWidth="1"/>
    <col min="4600" max="4600" width="1.5703125" style="95" customWidth="1"/>
    <col min="4601" max="4603" width="0" style="95" hidden="1" customWidth="1"/>
    <col min="4604" max="4604" width="10.42578125" style="95" customWidth="1"/>
    <col min="4605" max="4606" width="11" style="95" customWidth="1"/>
    <col min="4607" max="4607" width="9.42578125" style="95" customWidth="1"/>
    <col min="4608" max="4608" width="10" style="95" customWidth="1"/>
    <col min="4609" max="4609" width="11" style="95" customWidth="1"/>
    <col min="4610" max="4610" width="9.5703125" style="95" customWidth="1"/>
    <col min="4611" max="4611" width="10.140625" style="95" customWidth="1"/>
    <col min="4612" max="4651" width="10.7109375" style="95" customWidth="1"/>
    <col min="4652" max="4652" width="1.85546875" style="95" bestFit="1" customWidth="1"/>
    <col min="4653" max="4653" width="34.5703125" style="95" bestFit="1" customWidth="1"/>
    <col min="4654" max="4655" width="10.7109375" style="95" customWidth="1"/>
    <col min="4656" max="4656" width="2.7109375" style="95" bestFit="1" customWidth="1"/>
    <col min="4657" max="4657" width="11.5703125" style="95" bestFit="1" customWidth="1"/>
    <col min="4658" max="4834" width="10.7109375" style="95"/>
    <col min="4835" max="4835" width="5.28515625" style="95" customWidth="1"/>
    <col min="4836" max="4836" width="6.42578125" style="95" customWidth="1"/>
    <col min="4837" max="4837" width="22" style="95" customWidth="1"/>
    <col min="4838" max="4838" width="7.5703125" style="95" bestFit="1" customWidth="1"/>
    <col min="4839" max="4839" width="4.42578125" style="95" customWidth="1"/>
    <col min="4840" max="4840" width="7.42578125" style="95" bestFit="1" customWidth="1"/>
    <col min="4841" max="4841" width="2.85546875" style="95" bestFit="1" customWidth="1"/>
    <col min="4842" max="4842" width="7" style="95" bestFit="1" customWidth="1"/>
    <col min="4843" max="4843" width="5.7109375" style="95" bestFit="1" customWidth="1"/>
    <col min="4844" max="4844" width="7.85546875" style="95" bestFit="1" customWidth="1"/>
    <col min="4845" max="4846" width="0" style="95" hidden="1" customWidth="1"/>
    <col min="4847" max="4847" width="12.5703125" style="95" customWidth="1"/>
    <col min="4848" max="4848" width="0" style="95" hidden="1" customWidth="1"/>
    <col min="4849" max="4849" width="11" style="95" customWidth="1"/>
    <col min="4850" max="4850" width="9.140625" style="95" customWidth="1"/>
    <col min="4851" max="4851" width="9.85546875" style="95" customWidth="1"/>
    <col min="4852" max="4855" width="0" style="95" hidden="1" customWidth="1"/>
    <col min="4856" max="4856" width="1.5703125" style="95" customWidth="1"/>
    <col min="4857" max="4859" width="0" style="95" hidden="1" customWidth="1"/>
    <col min="4860" max="4860" width="10.42578125" style="95" customWidth="1"/>
    <col min="4861" max="4862" width="11" style="95" customWidth="1"/>
    <col min="4863" max="4863" width="9.42578125" style="95" customWidth="1"/>
    <col min="4864" max="4864" width="10" style="95" customWidth="1"/>
    <col min="4865" max="4865" width="11" style="95" customWidth="1"/>
    <col min="4866" max="4866" width="9.5703125" style="95" customWidth="1"/>
    <col min="4867" max="4867" width="10.140625" style="95" customWidth="1"/>
    <col min="4868" max="4907" width="10.7109375" style="95" customWidth="1"/>
    <col min="4908" max="4908" width="1.85546875" style="95" bestFit="1" customWidth="1"/>
    <col min="4909" max="4909" width="34.5703125" style="95" bestFit="1" customWidth="1"/>
    <col min="4910" max="4911" width="10.7109375" style="95" customWidth="1"/>
    <col min="4912" max="4912" width="2.7109375" style="95" bestFit="1" customWidth="1"/>
    <col min="4913" max="4913" width="11.5703125" style="95" bestFit="1" customWidth="1"/>
    <col min="4914" max="5090" width="10.7109375" style="95"/>
    <col min="5091" max="5091" width="5.28515625" style="95" customWidth="1"/>
    <col min="5092" max="5092" width="6.42578125" style="95" customWidth="1"/>
    <col min="5093" max="5093" width="22" style="95" customWidth="1"/>
    <col min="5094" max="5094" width="7.5703125" style="95" bestFit="1" customWidth="1"/>
    <col min="5095" max="5095" width="4.42578125" style="95" customWidth="1"/>
    <col min="5096" max="5096" width="7.42578125" style="95" bestFit="1" customWidth="1"/>
    <col min="5097" max="5097" width="2.85546875" style="95" bestFit="1" customWidth="1"/>
    <col min="5098" max="5098" width="7" style="95" bestFit="1" customWidth="1"/>
    <col min="5099" max="5099" width="5.7109375" style="95" bestFit="1" customWidth="1"/>
    <col min="5100" max="5100" width="7.85546875" style="95" bestFit="1" customWidth="1"/>
    <col min="5101" max="5102" width="0" style="95" hidden="1" customWidth="1"/>
    <col min="5103" max="5103" width="12.5703125" style="95" customWidth="1"/>
    <col min="5104" max="5104" width="0" style="95" hidden="1" customWidth="1"/>
    <col min="5105" max="5105" width="11" style="95" customWidth="1"/>
    <col min="5106" max="5106" width="9.140625" style="95" customWidth="1"/>
    <col min="5107" max="5107" width="9.85546875" style="95" customWidth="1"/>
    <col min="5108" max="5111" width="0" style="95" hidden="1" customWidth="1"/>
    <col min="5112" max="5112" width="1.5703125" style="95" customWidth="1"/>
    <col min="5113" max="5115" width="0" style="95" hidden="1" customWidth="1"/>
    <col min="5116" max="5116" width="10.42578125" style="95" customWidth="1"/>
    <col min="5117" max="5118" width="11" style="95" customWidth="1"/>
    <col min="5119" max="5119" width="9.42578125" style="95" customWidth="1"/>
    <col min="5120" max="5120" width="10" style="95" customWidth="1"/>
    <col min="5121" max="5121" width="11" style="95" customWidth="1"/>
    <col min="5122" max="5122" width="9.5703125" style="95" customWidth="1"/>
    <col min="5123" max="5123" width="10.140625" style="95" customWidth="1"/>
    <col min="5124" max="5163" width="10.7109375" style="95" customWidth="1"/>
    <col min="5164" max="5164" width="1.85546875" style="95" bestFit="1" customWidth="1"/>
    <col min="5165" max="5165" width="34.5703125" style="95" bestFit="1" customWidth="1"/>
    <col min="5166" max="5167" width="10.7109375" style="95" customWidth="1"/>
    <col min="5168" max="5168" width="2.7109375" style="95" bestFit="1" customWidth="1"/>
    <col min="5169" max="5169" width="11.5703125" style="95" bestFit="1" customWidth="1"/>
    <col min="5170" max="5346" width="10.7109375" style="95"/>
    <col min="5347" max="5347" width="5.28515625" style="95" customWidth="1"/>
    <col min="5348" max="5348" width="6.42578125" style="95" customWidth="1"/>
    <col min="5349" max="5349" width="22" style="95" customWidth="1"/>
    <col min="5350" max="5350" width="7.5703125" style="95" bestFit="1" customWidth="1"/>
    <col min="5351" max="5351" width="4.42578125" style="95" customWidth="1"/>
    <col min="5352" max="5352" width="7.42578125" style="95" bestFit="1" customWidth="1"/>
    <col min="5353" max="5353" width="2.85546875" style="95" bestFit="1" customWidth="1"/>
    <col min="5354" max="5354" width="7" style="95" bestFit="1" customWidth="1"/>
    <col min="5355" max="5355" width="5.7109375" style="95" bestFit="1" customWidth="1"/>
    <col min="5356" max="5356" width="7.85546875" style="95" bestFit="1" customWidth="1"/>
    <col min="5357" max="5358" width="0" style="95" hidden="1" customWidth="1"/>
    <col min="5359" max="5359" width="12.5703125" style="95" customWidth="1"/>
    <col min="5360" max="5360" width="0" style="95" hidden="1" customWidth="1"/>
    <col min="5361" max="5361" width="11" style="95" customWidth="1"/>
    <col min="5362" max="5362" width="9.140625" style="95" customWidth="1"/>
    <col min="5363" max="5363" width="9.85546875" style="95" customWidth="1"/>
    <col min="5364" max="5367" width="0" style="95" hidden="1" customWidth="1"/>
    <col min="5368" max="5368" width="1.5703125" style="95" customWidth="1"/>
    <col min="5369" max="5371" width="0" style="95" hidden="1" customWidth="1"/>
    <col min="5372" max="5372" width="10.42578125" style="95" customWidth="1"/>
    <col min="5373" max="5374" width="11" style="95" customWidth="1"/>
    <col min="5375" max="5375" width="9.42578125" style="95" customWidth="1"/>
    <col min="5376" max="5376" width="10" style="95" customWidth="1"/>
    <col min="5377" max="5377" width="11" style="95" customWidth="1"/>
    <col min="5378" max="5378" width="9.5703125" style="95" customWidth="1"/>
    <col min="5379" max="5379" width="10.140625" style="95" customWidth="1"/>
    <col min="5380" max="5419" width="10.7109375" style="95" customWidth="1"/>
    <col min="5420" max="5420" width="1.85546875" style="95" bestFit="1" customWidth="1"/>
    <col min="5421" max="5421" width="34.5703125" style="95" bestFit="1" customWidth="1"/>
    <col min="5422" max="5423" width="10.7109375" style="95" customWidth="1"/>
    <col min="5424" max="5424" width="2.7109375" style="95" bestFit="1" customWidth="1"/>
    <col min="5425" max="5425" width="11.5703125" style="95" bestFit="1" customWidth="1"/>
    <col min="5426" max="5602" width="10.7109375" style="95"/>
    <col min="5603" max="5603" width="5.28515625" style="95" customWidth="1"/>
    <col min="5604" max="5604" width="6.42578125" style="95" customWidth="1"/>
    <col min="5605" max="5605" width="22" style="95" customWidth="1"/>
    <col min="5606" max="5606" width="7.5703125" style="95" bestFit="1" customWidth="1"/>
    <col min="5607" max="5607" width="4.42578125" style="95" customWidth="1"/>
    <col min="5608" max="5608" width="7.42578125" style="95" bestFit="1" customWidth="1"/>
    <col min="5609" max="5609" width="2.85546875" style="95" bestFit="1" customWidth="1"/>
    <col min="5610" max="5610" width="7" style="95" bestFit="1" customWidth="1"/>
    <col min="5611" max="5611" width="5.7109375" style="95" bestFit="1" customWidth="1"/>
    <col min="5612" max="5612" width="7.85546875" style="95" bestFit="1" customWidth="1"/>
    <col min="5613" max="5614" width="0" style="95" hidden="1" customWidth="1"/>
    <col min="5615" max="5615" width="12.5703125" style="95" customWidth="1"/>
    <col min="5616" max="5616" width="0" style="95" hidden="1" customWidth="1"/>
    <col min="5617" max="5617" width="11" style="95" customWidth="1"/>
    <col min="5618" max="5618" width="9.140625" style="95" customWidth="1"/>
    <col min="5619" max="5619" width="9.85546875" style="95" customWidth="1"/>
    <col min="5620" max="5623" width="0" style="95" hidden="1" customWidth="1"/>
    <col min="5624" max="5624" width="1.5703125" style="95" customWidth="1"/>
    <col min="5625" max="5627" width="0" style="95" hidden="1" customWidth="1"/>
    <col min="5628" max="5628" width="10.42578125" style="95" customWidth="1"/>
    <col min="5629" max="5630" width="11" style="95" customWidth="1"/>
    <col min="5631" max="5631" width="9.42578125" style="95" customWidth="1"/>
    <col min="5632" max="5632" width="10" style="95" customWidth="1"/>
    <col min="5633" max="5633" width="11" style="95" customWidth="1"/>
    <col min="5634" max="5634" width="9.5703125" style="95" customWidth="1"/>
    <col min="5635" max="5635" width="10.140625" style="95" customWidth="1"/>
    <col min="5636" max="5675" width="10.7109375" style="95" customWidth="1"/>
    <col min="5676" max="5676" width="1.85546875" style="95" bestFit="1" customWidth="1"/>
    <col min="5677" max="5677" width="34.5703125" style="95" bestFit="1" customWidth="1"/>
    <col min="5678" max="5679" width="10.7109375" style="95" customWidth="1"/>
    <col min="5680" max="5680" width="2.7109375" style="95" bestFit="1" customWidth="1"/>
    <col min="5681" max="5681" width="11.5703125" style="95" bestFit="1" customWidth="1"/>
    <col min="5682" max="5858" width="10.7109375" style="95"/>
    <col min="5859" max="5859" width="5.28515625" style="95" customWidth="1"/>
    <col min="5860" max="5860" width="6.42578125" style="95" customWidth="1"/>
    <col min="5861" max="5861" width="22" style="95" customWidth="1"/>
    <col min="5862" max="5862" width="7.5703125" style="95" bestFit="1" customWidth="1"/>
    <col min="5863" max="5863" width="4.42578125" style="95" customWidth="1"/>
    <col min="5864" max="5864" width="7.42578125" style="95" bestFit="1" customWidth="1"/>
    <col min="5865" max="5865" width="2.85546875" style="95" bestFit="1" customWidth="1"/>
    <col min="5866" max="5866" width="7" style="95" bestFit="1" customWidth="1"/>
    <col min="5867" max="5867" width="5.7109375" style="95" bestFit="1" customWidth="1"/>
    <col min="5868" max="5868" width="7.85546875" style="95" bestFit="1" customWidth="1"/>
    <col min="5869" max="5870" width="0" style="95" hidden="1" customWidth="1"/>
    <col min="5871" max="5871" width="12.5703125" style="95" customWidth="1"/>
    <col min="5872" max="5872" width="0" style="95" hidden="1" customWidth="1"/>
    <col min="5873" max="5873" width="11" style="95" customWidth="1"/>
    <col min="5874" max="5874" width="9.140625" style="95" customWidth="1"/>
    <col min="5875" max="5875" width="9.85546875" style="95" customWidth="1"/>
    <col min="5876" max="5879" width="0" style="95" hidden="1" customWidth="1"/>
    <col min="5880" max="5880" width="1.5703125" style="95" customWidth="1"/>
    <col min="5881" max="5883" width="0" style="95" hidden="1" customWidth="1"/>
    <col min="5884" max="5884" width="10.42578125" style="95" customWidth="1"/>
    <col min="5885" max="5886" width="11" style="95" customWidth="1"/>
    <col min="5887" max="5887" width="9.42578125" style="95" customWidth="1"/>
    <col min="5888" max="5888" width="10" style="95" customWidth="1"/>
    <col min="5889" max="5889" width="11" style="95" customWidth="1"/>
    <col min="5890" max="5890" width="9.5703125" style="95" customWidth="1"/>
    <col min="5891" max="5891" width="10.140625" style="95" customWidth="1"/>
    <col min="5892" max="5931" width="10.7109375" style="95" customWidth="1"/>
    <col min="5932" max="5932" width="1.85546875" style="95" bestFit="1" customWidth="1"/>
    <col min="5933" max="5933" width="34.5703125" style="95" bestFit="1" customWidth="1"/>
    <col min="5934" max="5935" width="10.7109375" style="95" customWidth="1"/>
    <col min="5936" max="5936" width="2.7109375" style="95" bestFit="1" customWidth="1"/>
    <col min="5937" max="5937" width="11.5703125" style="95" bestFit="1" customWidth="1"/>
    <col min="5938" max="6114" width="10.7109375" style="95"/>
    <col min="6115" max="6115" width="5.28515625" style="95" customWidth="1"/>
    <col min="6116" max="6116" width="6.42578125" style="95" customWidth="1"/>
    <col min="6117" max="6117" width="22" style="95" customWidth="1"/>
    <col min="6118" max="6118" width="7.5703125" style="95" bestFit="1" customWidth="1"/>
    <col min="6119" max="6119" width="4.42578125" style="95" customWidth="1"/>
    <col min="6120" max="6120" width="7.42578125" style="95" bestFit="1" customWidth="1"/>
    <col min="6121" max="6121" width="2.85546875" style="95" bestFit="1" customWidth="1"/>
    <col min="6122" max="6122" width="7" style="95" bestFit="1" customWidth="1"/>
    <col min="6123" max="6123" width="5.7109375" style="95" bestFit="1" customWidth="1"/>
    <col min="6124" max="6124" width="7.85546875" style="95" bestFit="1" customWidth="1"/>
    <col min="6125" max="6126" width="0" style="95" hidden="1" customWidth="1"/>
    <col min="6127" max="6127" width="12.5703125" style="95" customWidth="1"/>
    <col min="6128" max="6128" width="0" style="95" hidden="1" customWidth="1"/>
    <col min="6129" max="6129" width="11" style="95" customWidth="1"/>
    <col min="6130" max="6130" width="9.140625" style="95" customWidth="1"/>
    <col min="6131" max="6131" width="9.85546875" style="95" customWidth="1"/>
    <col min="6132" max="6135" width="0" style="95" hidden="1" customWidth="1"/>
    <col min="6136" max="6136" width="1.5703125" style="95" customWidth="1"/>
    <col min="6137" max="6139" width="0" style="95" hidden="1" customWidth="1"/>
    <col min="6140" max="6140" width="10.42578125" style="95" customWidth="1"/>
    <col min="6141" max="6142" width="11" style="95" customWidth="1"/>
    <col min="6143" max="6143" width="9.42578125" style="95" customWidth="1"/>
    <col min="6144" max="6144" width="10" style="95" customWidth="1"/>
    <col min="6145" max="6145" width="11" style="95" customWidth="1"/>
    <col min="6146" max="6146" width="9.5703125" style="95" customWidth="1"/>
    <col min="6147" max="6147" width="10.140625" style="95" customWidth="1"/>
    <col min="6148" max="6187" width="10.7109375" style="95" customWidth="1"/>
    <col min="6188" max="6188" width="1.85546875" style="95" bestFit="1" customWidth="1"/>
    <col min="6189" max="6189" width="34.5703125" style="95" bestFit="1" customWidth="1"/>
    <col min="6190" max="6191" width="10.7109375" style="95" customWidth="1"/>
    <col min="6192" max="6192" width="2.7109375" style="95" bestFit="1" customWidth="1"/>
    <col min="6193" max="6193" width="11.5703125" style="95" bestFit="1" customWidth="1"/>
    <col min="6194" max="6370" width="10.7109375" style="95"/>
    <col min="6371" max="6371" width="5.28515625" style="95" customWidth="1"/>
    <col min="6372" max="6372" width="6.42578125" style="95" customWidth="1"/>
    <col min="6373" max="6373" width="22" style="95" customWidth="1"/>
    <col min="6374" max="6374" width="7.5703125" style="95" bestFit="1" customWidth="1"/>
    <col min="6375" max="6375" width="4.42578125" style="95" customWidth="1"/>
    <col min="6376" max="6376" width="7.42578125" style="95" bestFit="1" customWidth="1"/>
    <col min="6377" max="6377" width="2.85546875" style="95" bestFit="1" customWidth="1"/>
    <col min="6378" max="6378" width="7" style="95" bestFit="1" customWidth="1"/>
    <col min="6379" max="6379" width="5.7109375" style="95" bestFit="1" customWidth="1"/>
    <col min="6380" max="6380" width="7.85546875" style="95" bestFit="1" customWidth="1"/>
    <col min="6381" max="6382" width="0" style="95" hidden="1" customWidth="1"/>
    <col min="6383" max="6383" width="12.5703125" style="95" customWidth="1"/>
    <col min="6384" max="6384" width="0" style="95" hidden="1" customWidth="1"/>
    <col min="6385" max="6385" width="11" style="95" customWidth="1"/>
    <col min="6386" max="6386" width="9.140625" style="95" customWidth="1"/>
    <col min="6387" max="6387" width="9.85546875" style="95" customWidth="1"/>
    <col min="6388" max="6391" width="0" style="95" hidden="1" customWidth="1"/>
    <col min="6392" max="6392" width="1.5703125" style="95" customWidth="1"/>
    <col min="6393" max="6395" width="0" style="95" hidden="1" customWidth="1"/>
    <col min="6396" max="6396" width="10.42578125" style="95" customWidth="1"/>
    <col min="6397" max="6398" width="11" style="95" customWidth="1"/>
    <col min="6399" max="6399" width="9.42578125" style="95" customWidth="1"/>
    <col min="6400" max="6400" width="10" style="95" customWidth="1"/>
    <col min="6401" max="6401" width="11" style="95" customWidth="1"/>
    <col min="6402" max="6402" width="9.5703125" style="95" customWidth="1"/>
    <col min="6403" max="6403" width="10.140625" style="95" customWidth="1"/>
    <col min="6404" max="6443" width="10.7109375" style="95" customWidth="1"/>
    <col min="6444" max="6444" width="1.85546875" style="95" bestFit="1" customWidth="1"/>
    <col min="6445" max="6445" width="34.5703125" style="95" bestFit="1" customWidth="1"/>
    <col min="6446" max="6447" width="10.7109375" style="95" customWidth="1"/>
    <col min="6448" max="6448" width="2.7109375" style="95" bestFit="1" customWidth="1"/>
    <col min="6449" max="6449" width="11.5703125" style="95" bestFit="1" customWidth="1"/>
    <col min="6450" max="6626" width="10.7109375" style="95"/>
    <col min="6627" max="6627" width="5.28515625" style="95" customWidth="1"/>
    <col min="6628" max="6628" width="6.42578125" style="95" customWidth="1"/>
    <col min="6629" max="6629" width="22" style="95" customWidth="1"/>
    <col min="6630" max="6630" width="7.5703125" style="95" bestFit="1" customWidth="1"/>
    <col min="6631" max="6631" width="4.42578125" style="95" customWidth="1"/>
    <col min="6632" max="6632" width="7.42578125" style="95" bestFit="1" customWidth="1"/>
    <col min="6633" max="6633" width="2.85546875" style="95" bestFit="1" customWidth="1"/>
    <col min="6634" max="6634" width="7" style="95" bestFit="1" customWidth="1"/>
    <col min="6635" max="6635" width="5.7109375" style="95" bestFit="1" customWidth="1"/>
    <col min="6636" max="6636" width="7.85546875" style="95" bestFit="1" customWidth="1"/>
    <col min="6637" max="6638" width="0" style="95" hidden="1" customWidth="1"/>
    <col min="6639" max="6639" width="12.5703125" style="95" customWidth="1"/>
    <col min="6640" max="6640" width="0" style="95" hidden="1" customWidth="1"/>
    <col min="6641" max="6641" width="11" style="95" customWidth="1"/>
    <col min="6642" max="6642" width="9.140625" style="95" customWidth="1"/>
    <col min="6643" max="6643" width="9.85546875" style="95" customWidth="1"/>
    <col min="6644" max="6647" width="0" style="95" hidden="1" customWidth="1"/>
    <col min="6648" max="6648" width="1.5703125" style="95" customWidth="1"/>
    <col min="6649" max="6651" width="0" style="95" hidden="1" customWidth="1"/>
    <col min="6652" max="6652" width="10.42578125" style="95" customWidth="1"/>
    <col min="6653" max="6654" width="11" style="95" customWidth="1"/>
    <col min="6655" max="6655" width="9.42578125" style="95" customWidth="1"/>
    <col min="6656" max="6656" width="10" style="95" customWidth="1"/>
    <col min="6657" max="6657" width="11" style="95" customWidth="1"/>
    <col min="6658" max="6658" width="9.5703125" style="95" customWidth="1"/>
    <col min="6659" max="6659" width="10.140625" style="95" customWidth="1"/>
    <col min="6660" max="6699" width="10.7109375" style="95" customWidth="1"/>
    <col min="6700" max="6700" width="1.85546875" style="95" bestFit="1" customWidth="1"/>
    <col min="6701" max="6701" width="34.5703125" style="95" bestFit="1" customWidth="1"/>
    <col min="6702" max="6703" width="10.7109375" style="95" customWidth="1"/>
    <col min="6704" max="6704" width="2.7109375" style="95" bestFit="1" customWidth="1"/>
    <col min="6705" max="6705" width="11.5703125" style="95" bestFit="1" customWidth="1"/>
    <col min="6706" max="6882" width="10.7109375" style="95"/>
    <col min="6883" max="6883" width="5.28515625" style="95" customWidth="1"/>
    <col min="6884" max="6884" width="6.42578125" style="95" customWidth="1"/>
    <col min="6885" max="6885" width="22" style="95" customWidth="1"/>
    <col min="6886" max="6886" width="7.5703125" style="95" bestFit="1" customWidth="1"/>
    <col min="6887" max="6887" width="4.42578125" style="95" customWidth="1"/>
    <col min="6888" max="6888" width="7.42578125" style="95" bestFit="1" customWidth="1"/>
    <col min="6889" max="6889" width="2.85546875" style="95" bestFit="1" customWidth="1"/>
    <col min="6890" max="6890" width="7" style="95" bestFit="1" customWidth="1"/>
    <col min="6891" max="6891" width="5.7109375" style="95" bestFit="1" customWidth="1"/>
    <col min="6892" max="6892" width="7.85546875" style="95" bestFit="1" customWidth="1"/>
    <col min="6893" max="6894" width="0" style="95" hidden="1" customWidth="1"/>
    <col min="6895" max="6895" width="12.5703125" style="95" customWidth="1"/>
    <col min="6896" max="6896" width="0" style="95" hidden="1" customWidth="1"/>
    <col min="6897" max="6897" width="11" style="95" customWidth="1"/>
    <col min="6898" max="6898" width="9.140625" style="95" customWidth="1"/>
    <col min="6899" max="6899" width="9.85546875" style="95" customWidth="1"/>
    <col min="6900" max="6903" width="0" style="95" hidden="1" customWidth="1"/>
    <col min="6904" max="6904" width="1.5703125" style="95" customWidth="1"/>
    <col min="6905" max="6907" width="0" style="95" hidden="1" customWidth="1"/>
    <col min="6908" max="6908" width="10.42578125" style="95" customWidth="1"/>
    <col min="6909" max="6910" width="11" style="95" customWidth="1"/>
    <col min="6911" max="6911" width="9.42578125" style="95" customWidth="1"/>
    <col min="6912" max="6912" width="10" style="95" customWidth="1"/>
    <col min="6913" max="6913" width="11" style="95" customWidth="1"/>
    <col min="6914" max="6914" width="9.5703125" style="95" customWidth="1"/>
    <col min="6915" max="6915" width="10.140625" style="95" customWidth="1"/>
    <col min="6916" max="6955" width="10.7109375" style="95" customWidth="1"/>
    <col min="6956" max="6956" width="1.85546875" style="95" bestFit="1" customWidth="1"/>
    <col min="6957" max="6957" width="34.5703125" style="95" bestFit="1" customWidth="1"/>
    <col min="6958" max="6959" width="10.7109375" style="95" customWidth="1"/>
    <col min="6960" max="6960" width="2.7109375" style="95" bestFit="1" customWidth="1"/>
    <col min="6961" max="6961" width="11.5703125" style="95" bestFit="1" customWidth="1"/>
    <col min="6962" max="7138" width="10.7109375" style="95"/>
    <col min="7139" max="7139" width="5.28515625" style="95" customWidth="1"/>
    <col min="7140" max="7140" width="6.42578125" style="95" customWidth="1"/>
    <col min="7141" max="7141" width="22" style="95" customWidth="1"/>
    <col min="7142" max="7142" width="7.5703125" style="95" bestFit="1" customWidth="1"/>
    <col min="7143" max="7143" width="4.42578125" style="95" customWidth="1"/>
    <col min="7144" max="7144" width="7.42578125" style="95" bestFit="1" customWidth="1"/>
    <col min="7145" max="7145" width="2.85546875" style="95" bestFit="1" customWidth="1"/>
    <col min="7146" max="7146" width="7" style="95" bestFit="1" customWidth="1"/>
    <col min="7147" max="7147" width="5.7109375" style="95" bestFit="1" customWidth="1"/>
    <col min="7148" max="7148" width="7.85546875" style="95" bestFit="1" customWidth="1"/>
    <col min="7149" max="7150" width="0" style="95" hidden="1" customWidth="1"/>
    <col min="7151" max="7151" width="12.5703125" style="95" customWidth="1"/>
    <col min="7152" max="7152" width="0" style="95" hidden="1" customWidth="1"/>
    <col min="7153" max="7153" width="11" style="95" customWidth="1"/>
    <col min="7154" max="7154" width="9.140625" style="95" customWidth="1"/>
    <col min="7155" max="7155" width="9.85546875" style="95" customWidth="1"/>
    <col min="7156" max="7159" width="0" style="95" hidden="1" customWidth="1"/>
    <col min="7160" max="7160" width="1.5703125" style="95" customWidth="1"/>
    <col min="7161" max="7163" width="0" style="95" hidden="1" customWidth="1"/>
    <col min="7164" max="7164" width="10.42578125" style="95" customWidth="1"/>
    <col min="7165" max="7166" width="11" style="95" customWidth="1"/>
    <col min="7167" max="7167" width="9.42578125" style="95" customWidth="1"/>
    <col min="7168" max="7168" width="10" style="95" customWidth="1"/>
    <col min="7169" max="7169" width="11" style="95" customWidth="1"/>
    <col min="7170" max="7170" width="9.5703125" style="95" customWidth="1"/>
    <col min="7171" max="7171" width="10.140625" style="95" customWidth="1"/>
    <col min="7172" max="7211" width="10.7109375" style="95" customWidth="1"/>
    <col min="7212" max="7212" width="1.85546875" style="95" bestFit="1" customWidth="1"/>
    <col min="7213" max="7213" width="34.5703125" style="95" bestFit="1" customWidth="1"/>
    <col min="7214" max="7215" width="10.7109375" style="95" customWidth="1"/>
    <col min="7216" max="7216" width="2.7109375" style="95" bestFit="1" customWidth="1"/>
    <col min="7217" max="7217" width="11.5703125" style="95" bestFit="1" customWidth="1"/>
    <col min="7218" max="7394" width="10.7109375" style="95"/>
    <col min="7395" max="7395" width="5.28515625" style="95" customWidth="1"/>
    <col min="7396" max="7396" width="6.42578125" style="95" customWidth="1"/>
    <col min="7397" max="7397" width="22" style="95" customWidth="1"/>
    <col min="7398" max="7398" width="7.5703125" style="95" bestFit="1" customWidth="1"/>
    <col min="7399" max="7399" width="4.42578125" style="95" customWidth="1"/>
    <col min="7400" max="7400" width="7.42578125" style="95" bestFit="1" customWidth="1"/>
    <col min="7401" max="7401" width="2.85546875" style="95" bestFit="1" customWidth="1"/>
    <col min="7402" max="7402" width="7" style="95" bestFit="1" customWidth="1"/>
    <col min="7403" max="7403" width="5.7109375" style="95" bestFit="1" customWidth="1"/>
    <col min="7404" max="7404" width="7.85546875" style="95" bestFit="1" customWidth="1"/>
    <col min="7405" max="7406" width="0" style="95" hidden="1" customWidth="1"/>
    <col min="7407" max="7407" width="12.5703125" style="95" customWidth="1"/>
    <col min="7408" max="7408" width="0" style="95" hidden="1" customWidth="1"/>
    <col min="7409" max="7409" width="11" style="95" customWidth="1"/>
    <col min="7410" max="7410" width="9.140625" style="95" customWidth="1"/>
    <col min="7411" max="7411" width="9.85546875" style="95" customWidth="1"/>
    <col min="7412" max="7415" width="0" style="95" hidden="1" customWidth="1"/>
    <col min="7416" max="7416" width="1.5703125" style="95" customWidth="1"/>
    <col min="7417" max="7419" width="0" style="95" hidden="1" customWidth="1"/>
    <col min="7420" max="7420" width="10.42578125" style="95" customWidth="1"/>
    <col min="7421" max="7422" width="11" style="95" customWidth="1"/>
    <col min="7423" max="7423" width="9.42578125" style="95" customWidth="1"/>
    <col min="7424" max="7424" width="10" style="95" customWidth="1"/>
    <col min="7425" max="7425" width="11" style="95" customWidth="1"/>
    <col min="7426" max="7426" width="9.5703125" style="95" customWidth="1"/>
    <col min="7427" max="7427" width="10.140625" style="95" customWidth="1"/>
    <col min="7428" max="7467" width="10.7109375" style="95" customWidth="1"/>
    <col min="7468" max="7468" width="1.85546875" style="95" bestFit="1" customWidth="1"/>
    <col min="7469" max="7469" width="34.5703125" style="95" bestFit="1" customWidth="1"/>
    <col min="7470" max="7471" width="10.7109375" style="95" customWidth="1"/>
    <col min="7472" max="7472" width="2.7109375" style="95" bestFit="1" customWidth="1"/>
    <col min="7473" max="7473" width="11.5703125" style="95" bestFit="1" customWidth="1"/>
    <col min="7474" max="7650" width="10.7109375" style="95"/>
    <col min="7651" max="7651" width="5.28515625" style="95" customWidth="1"/>
    <col min="7652" max="7652" width="6.42578125" style="95" customWidth="1"/>
    <col min="7653" max="7653" width="22" style="95" customWidth="1"/>
    <col min="7654" max="7654" width="7.5703125" style="95" bestFit="1" customWidth="1"/>
    <col min="7655" max="7655" width="4.42578125" style="95" customWidth="1"/>
    <col min="7656" max="7656" width="7.42578125" style="95" bestFit="1" customWidth="1"/>
    <col min="7657" max="7657" width="2.85546875" style="95" bestFit="1" customWidth="1"/>
    <col min="7658" max="7658" width="7" style="95" bestFit="1" customWidth="1"/>
    <col min="7659" max="7659" width="5.7109375" style="95" bestFit="1" customWidth="1"/>
    <col min="7660" max="7660" width="7.85546875" style="95" bestFit="1" customWidth="1"/>
    <col min="7661" max="7662" width="0" style="95" hidden="1" customWidth="1"/>
    <col min="7663" max="7663" width="12.5703125" style="95" customWidth="1"/>
    <col min="7664" max="7664" width="0" style="95" hidden="1" customWidth="1"/>
    <col min="7665" max="7665" width="11" style="95" customWidth="1"/>
    <col min="7666" max="7666" width="9.140625" style="95" customWidth="1"/>
    <col min="7667" max="7667" width="9.85546875" style="95" customWidth="1"/>
    <col min="7668" max="7671" width="0" style="95" hidden="1" customWidth="1"/>
    <col min="7672" max="7672" width="1.5703125" style="95" customWidth="1"/>
    <col min="7673" max="7675" width="0" style="95" hidden="1" customWidth="1"/>
    <col min="7676" max="7676" width="10.42578125" style="95" customWidth="1"/>
    <col min="7677" max="7678" width="11" style="95" customWidth="1"/>
    <col min="7679" max="7679" width="9.42578125" style="95" customWidth="1"/>
    <col min="7680" max="7680" width="10" style="95" customWidth="1"/>
    <col min="7681" max="7681" width="11" style="95" customWidth="1"/>
    <col min="7682" max="7682" width="9.5703125" style="95" customWidth="1"/>
    <col min="7683" max="7683" width="10.140625" style="95" customWidth="1"/>
    <col min="7684" max="7723" width="10.7109375" style="95" customWidth="1"/>
    <col min="7724" max="7724" width="1.85546875" style="95" bestFit="1" customWidth="1"/>
    <col min="7725" max="7725" width="34.5703125" style="95" bestFit="1" customWidth="1"/>
    <col min="7726" max="7727" width="10.7109375" style="95" customWidth="1"/>
    <col min="7728" max="7728" width="2.7109375" style="95" bestFit="1" customWidth="1"/>
    <col min="7729" max="7729" width="11.5703125" style="95" bestFit="1" customWidth="1"/>
    <col min="7730" max="7906" width="10.7109375" style="95"/>
    <col min="7907" max="7907" width="5.28515625" style="95" customWidth="1"/>
    <col min="7908" max="7908" width="6.42578125" style="95" customWidth="1"/>
    <col min="7909" max="7909" width="22" style="95" customWidth="1"/>
    <col min="7910" max="7910" width="7.5703125" style="95" bestFit="1" customWidth="1"/>
    <col min="7911" max="7911" width="4.42578125" style="95" customWidth="1"/>
    <col min="7912" max="7912" width="7.42578125" style="95" bestFit="1" customWidth="1"/>
    <col min="7913" max="7913" width="2.85546875" style="95" bestFit="1" customWidth="1"/>
    <col min="7914" max="7914" width="7" style="95" bestFit="1" customWidth="1"/>
    <col min="7915" max="7915" width="5.7109375" style="95" bestFit="1" customWidth="1"/>
    <col min="7916" max="7916" width="7.85546875" style="95" bestFit="1" customWidth="1"/>
    <col min="7917" max="7918" width="0" style="95" hidden="1" customWidth="1"/>
    <col min="7919" max="7919" width="12.5703125" style="95" customWidth="1"/>
    <col min="7920" max="7920" width="0" style="95" hidden="1" customWidth="1"/>
    <col min="7921" max="7921" width="11" style="95" customWidth="1"/>
    <col min="7922" max="7922" width="9.140625" style="95" customWidth="1"/>
    <col min="7923" max="7923" width="9.85546875" style="95" customWidth="1"/>
    <col min="7924" max="7927" width="0" style="95" hidden="1" customWidth="1"/>
    <col min="7928" max="7928" width="1.5703125" style="95" customWidth="1"/>
    <col min="7929" max="7931" width="0" style="95" hidden="1" customWidth="1"/>
    <col min="7932" max="7932" width="10.42578125" style="95" customWidth="1"/>
    <col min="7933" max="7934" width="11" style="95" customWidth="1"/>
    <col min="7935" max="7935" width="9.42578125" style="95" customWidth="1"/>
    <col min="7936" max="7936" width="10" style="95" customWidth="1"/>
    <col min="7937" max="7937" width="11" style="95" customWidth="1"/>
    <col min="7938" max="7938" width="9.5703125" style="95" customWidth="1"/>
    <col min="7939" max="7939" width="10.140625" style="95" customWidth="1"/>
    <col min="7940" max="7979" width="10.7109375" style="95" customWidth="1"/>
    <col min="7980" max="7980" width="1.85546875" style="95" bestFit="1" customWidth="1"/>
    <col min="7981" max="7981" width="34.5703125" style="95" bestFit="1" customWidth="1"/>
    <col min="7982" max="7983" width="10.7109375" style="95" customWidth="1"/>
    <col min="7984" max="7984" width="2.7109375" style="95" bestFit="1" customWidth="1"/>
    <col min="7985" max="7985" width="11.5703125" style="95" bestFit="1" customWidth="1"/>
    <col min="7986" max="8162" width="10.7109375" style="95"/>
    <col min="8163" max="8163" width="5.28515625" style="95" customWidth="1"/>
    <col min="8164" max="8164" width="6.42578125" style="95" customWidth="1"/>
    <col min="8165" max="8165" width="22" style="95" customWidth="1"/>
    <col min="8166" max="8166" width="7.5703125" style="95" bestFit="1" customWidth="1"/>
    <col min="8167" max="8167" width="4.42578125" style="95" customWidth="1"/>
    <col min="8168" max="8168" width="7.42578125" style="95" bestFit="1" customWidth="1"/>
    <col min="8169" max="8169" width="2.85546875" style="95" bestFit="1" customWidth="1"/>
    <col min="8170" max="8170" width="7" style="95" bestFit="1" customWidth="1"/>
    <col min="8171" max="8171" width="5.7109375" style="95" bestFit="1" customWidth="1"/>
    <col min="8172" max="8172" width="7.85546875" style="95" bestFit="1" customWidth="1"/>
    <col min="8173" max="8174" width="0" style="95" hidden="1" customWidth="1"/>
    <col min="8175" max="8175" width="12.5703125" style="95" customWidth="1"/>
    <col min="8176" max="8176" width="0" style="95" hidden="1" customWidth="1"/>
    <col min="8177" max="8177" width="11" style="95" customWidth="1"/>
    <col min="8178" max="8178" width="9.140625" style="95" customWidth="1"/>
    <col min="8179" max="8179" width="9.85546875" style="95" customWidth="1"/>
    <col min="8180" max="8183" width="0" style="95" hidden="1" customWidth="1"/>
    <col min="8184" max="8184" width="1.5703125" style="95" customWidth="1"/>
    <col min="8185" max="8187" width="0" style="95" hidden="1" customWidth="1"/>
    <col min="8188" max="8188" width="10.42578125" style="95" customWidth="1"/>
    <col min="8189" max="8190" width="11" style="95" customWidth="1"/>
    <col min="8191" max="8191" width="9.42578125" style="95" customWidth="1"/>
    <col min="8192" max="8192" width="10" style="95" customWidth="1"/>
    <col min="8193" max="8193" width="11" style="95" customWidth="1"/>
    <col min="8194" max="8194" width="9.5703125" style="95" customWidth="1"/>
    <col min="8195" max="8195" width="10.140625" style="95" customWidth="1"/>
    <col min="8196" max="8235" width="10.7109375" style="95" customWidth="1"/>
    <col min="8236" max="8236" width="1.85546875" style="95" bestFit="1" customWidth="1"/>
    <col min="8237" max="8237" width="34.5703125" style="95" bestFit="1" customWidth="1"/>
    <col min="8238" max="8239" width="10.7109375" style="95" customWidth="1"/>
    <col min="8240" max="8240" width="2.7109375" style="95" bestFit="1" customWidth="1"/>
    <col min="8241" max="8241" width="11.5703125" style="95" bestFit="1" customWidth="1"/>
    <col min="8242" max="8418" width="10.7109375" style="95"/>
    <col min="8419" max="8419" width="5.28515625" style="95" customWidth="1"/>
    <col min="8420" max="8420" width="6.42578125" style="95" customWidth="1"/>
    <col min="8421" max="8421" width="22" style="95" customWidth="1"/>
    <col min="8422" max="8422" width="7.5703125" style="95" bestFit="1" customWidth="1"/>
    <col min="8423" max="8423" width="4.42578125" style="95" customWidth="1"/>
    <col min="8424" max="8424" width="7.42578125" style="95" bestFit="1" customWidth="1"/>
    <col min="8425" max="8425" width="2.85546875" style="95" bestFit="1" customWidth="1"/>
    <col min="8426" max="8426" width="7" style="95" bestFit="1" customWidth="1"/>
    <col min="8427" max="8427" width="5.7109375" style="95" bestFit="1" customWidth="1"/>
    <col min="8428" max="8428" width="7.85546875" style="95" bestFit="1" customWidth="1"/>
    <col min="8429" max="8430" width="0" style="95" hidden="1" customWidth="1"/>
    <col min="8431" max="8431" width="12.5703125" style="95" customWidth="1"/>
    <col min="8432" max="8432" width="0" style="95" hidden="1" customWidth="1"/>
    <col min="8433" max="8433" width="11" style="95" customWidth="1"/>
    <col min="8434" max="8434" width="9.140625" style="95" customWidth="1"/>
    <col min="8435" max="8435" width="9.85546875" style="95" customWidth="1"/>
    <col min="8436" max="8439" width="0" style="95" hidden="1" customWidth="1"/>
    <col min="8440" max="8440" width="1.5703125" style="95" customWidth="1"/>
    <col min="8441" max="8443" width="0" style="95" hidden="1" customWidth="1"/>
    <col min="8444" max="8444" width="10.42578125" style="95" customWidth="1"/>
    <col min="8445" max="8446" width="11" style="95" customWidth="1"/>
    <col min="8447" max="8447" width="9.42578125" style="95" customWidth="1"/>
    <col min="8448" max="8448" width="10" style="95" customWidth="1"/>
    <col min="8449" max="8449" width="11" style="95" customWidth="1"/>
    <col min="8450" max="8450" width="9.5703125" style="95" customWidth="1"/>
    <col min="8451" max="8451" width="10.140625" style="95" customWidth="1"/>
    <col min="8452" max="8491" width="10.7109375" style="95" customWidth="1"/>
    <col min="8492" max="8492" width="1.85546875" style="95" bestFit="1" customWidth="1"/>
    <col min="8493" max="8493" width="34.5703125" style="95" bestFit="1" customWidth="1"/>
    <col min="8494" max="8495" width="10.7109375" style="95" customWidth="1"/>
    <col min="8496" max="8496" width="2.7109375" style="95" bestFit="1" customWidth="1"/>
    <col min="8497" max="8497" width="11.5703125" style="95" bestFit="1" customWidth="1"/>
    <col min="8498" max="8674" width="10.7109375" style="95"/>
    <col min="8675" max="8675" width="5.28515625" style="95" customWidth="1"/>
    <col min="8676" max="8676" width="6.42578125" style="95" customWidth="1"/>
    <col min="8677" max="8677" width="22" style="95" customWidth="1"/>
    <col min="8678" max="8678" width="7.5703125" style="95" bestFit="1" customWidth="1"/>
    <col min="8679" max="8679" width="4.42578125" style="95" customWidth="1"/>
    <col min="8680" max="8680" width="7.42578125" style="95" bestFit="1" customWidth="1"/>
    <col min="8681" max="8681" width="2.85546875" style="95" bestFit="1" customWidth="1"/>
    <col min="8682" max="8682" width="7" style="95" bestFit="1" customWidth="1"/>
    <col min="8683" max="8683" width="5.7109375" style="95" bestFit="1" customWidth="1"/>
    <col min="8684" max="8684" width="7.85546875" style="95" bestFit="1" customWidth="1"/>
    <col min="8685" max="8686" width="0" style="95" hidden="1" customWidth="1"/>
    <col min="8687" max="8687" width="12.5703125" style="95" customWidth="1"/>
    <col min="8688" max="8688" width="0" style="95" hidden="1" customWidth="1"/>
    <col min="8689" max="8689" width="11" style="95" customWidth="1"/>
    <col min="8690" max="8690" width="9.140625" style="95" customWidth="1"/>
    <col min="8691" max="8691" width="9.85546875" style="95" customWidth="1"/>
    <col min="8692" max="8695" width="0" style="95" hidden="1" customWidth="1"/>
    <col min="8696" max="8696" width="1.5703125" style="95" customWidth="1"/>
    <col min="8697" max="8699" width="0" style="95" hidden="1" customWidth="1"/>
    <col min="8700" max="8700" width="10.42578125" style="95" customWidth="1"/>
    <col min="8701" max="8702" width="11" style="95" customWidth="1"/>
    <col min="8703" max="8703" width="9.42578125" style="95" customWidth="1"/>
    <col min="8704" max="8704" width="10" style="95" customWidth="1"/>
    <col min="8705" max="8705" width="11" style="95" customWidth="1"/>
    <col min="8706" max="8706" width="9.5703125" style="95" customWidth="1"/>
    <col min="8707" max="8707" width="10.140625" style="95" customWidth="1"/>
    <col min="8708" max="8747" width="10.7109375" style="95" customWidth="1"/>
    <col min="8748" max="8748" width="1.85546875" style="95" bestFit="1" customWidth="1"/>
    <col min="8749" max="8749" width="34.5703125" style="95" bestFit="1" customWidth="1"/>
    <col min="8750" max="8751" width="10.7109375" style="95" customWidth="1"/>
    <col min="8752" max="8752" width="2.7109375" style="95" bestFit="1" customWidth="1"/>
    <col min="8753" max="8753" width="11.5703125" style="95" bestFit="1" customWidth="1"/>
    <col min="8754" max="8930" width="10.7109375" style="95"/>
    <col min="8931" max="8931" width="5.28515625" style="95" customWidth="1"/>
    <col min="8932" max="8932" width="6.42578125" style="95" customWidth="1"/>
    <col min="8933" max="8933" width="22" style="95" customWidth="1"/>
    <col min="8934" max="8934" width="7.5703125" style="95" bestFit="1" customWidth="1"/>
    <col min="8935" max="8935" width="4.42578125" style="95" customWidth="1"/>
    <col min="8936" max="8936" width="7.42578125" style="95" bestFit="1" customWidth="1"/>
    <col min="8937" max="8937" width="2.85546875" style="95" bestFit="1" customWidth="1"/>
    <col min="8938" max="8938" width="7" style="95" bestFit="1" customWidth="1"/>
    <col min="8939" max="8939" width="5.7109375" style="95" bestFit="1" customWidth="1"/>
    <col min="8940" max="8940" width="7.85546875" style="95" bestFit="1" customWidth="1"/>
    <col min="8941" max="8942" width="0" style="95" hidden="1" customWidth="1"/>
    <col min="8943" max="8943" width="12.5703125" style="95" customWidth="1"/>
    <col min="8944" max="8944" width="0" style="95" hidden="1" customWidth="1"/>
    <col min="8945" max="8945" width="11" style="95" customWidth="1"/>
    <col min="8946" max="8946" width="9.140625" style="95" customWidth="1"/>
    <col min="8947" max="8947" width="9.85546875" style="95" customWidth="1"/>
    <col min="8948" max="8951" width="0" style="95" hidden="1" customWidth="1"/>
    <col min="8952" max="8952" width="1.5703125" style="95" customWidth="1"/>
    <col min="8953" max="8955" width="0" style="95" hidden="1" customWidth="1"/>
    <col min="8956" max="8956" width="10.42578125" style="95" customWidth="1"/>
    <col min="8957" max="8958" width="11" style="95" customWidth="1"/>
    <col min="8959" max="8959" width="9.42578125" style="95" customWidth="1"/>
    <col min="8960" max="8960" width="10" style="95" customWidth="1"/>
    <col min="8961" max="8961" width="11" style="95" customWidth="1"/>
    <col min="8962" max="8962" width="9.5703125" style="95" customWidth="1"/>
    <col min="8963" max="8963" width="10.140625" style="95" customWidth="1"/>
    <col min="8964" max="9003" width="10.7109375" style="95" customWidth="1"/>
    <col min="9004" max="9004" width="1.85546875" style="95" bestFit="1" customWidth="1"/>
    <col min="9005" max="9005" width="34.5703125" style="95" bestFit="1" customWidth="1"/>
    <col min="9006" max="9007" width="10.7109375" style="95" customWidth="1"/>
    <col min="9008" max="9008" width="2.7109375" style="95" bestFit="1" customWidth="1"/>
    <col min="9009" max="9009" width="11.5703125" style="95" bestFit="1" customWidth="1"/>
    <col min="9010" max="9186" width="10.7109375" style="95"/>
    <col min="9187" max="9187" width="5.28515625" style="95" customWidth="1"/>
    <col min="9188" max="9188" width="6.42578125" style="95" customWidth="1"/>
    <col min="9189" max="9189" width="22" style="95" customWidth="1"/>
    <col min="9190" max="9190" width="7.5703125" style="95" bestFit="1" customWidth="1"/>
    <col min="9191" max="9191" width="4.42578125" style="95" customWidth="1"/>
    <col min="9192" max="9192" width="7.42578125" style="95" bestFit="1" customWidth="1"/>
    <col min="9193" max="9193" width="2.85546875" style="95" bestFit="1" customWidth="1"/>
    <col min="9194" max="9194" width="7" style="95" bestFit="1" customWidth="1"/>
    <col min="9195" max="9195" width="5.7109375" style="95" bestFit="1" customWidth="1"/>
    <col min="9196" max="9196" width="7.85546875" style="95" bestFit="1" customWidth="1"/>
    <col min="9197" max="9198" width="0" style="95" hidden="1" customWidth="1"/>
    <col min="9199" max="9199" width="12.5703125" style="95" customWidth="1"/>
    <col min="9200" max="9200" width="0" style="95" hidden="1" customWidth="1"/>
    <col min="9201" max="9201" width="11" style="95" customWidth="1"/>
    <col min="9202" max="9202" width="9.140625" style="95" customWidth="1"/>
    <col min="9203" max="9203" width="9.85546875" style="95" customWidth="1"/>
    <col min="9204" max="9207" width="0" style="95" hidden="1" customWidth="1"/>
    <col min="9208" max="9208" width="1.5703125" style="95" customWidth="1"/>
    <col min="9209" max="9211" width="0" style="95" hidden="1" customWidth="1"/>
    <col min="9212" max="9212" width="10.42578125" style="95" customWidth="1"/>
    <col min="9213" max="9214" width="11" style="95" customWidth="1"/>
    <col min="9215" max="9215" width="9.42578125" style="95" customWidth="1"/>
    <col min="9216" max="9216" width="10" style="95" customWidth="1"/>
    <col min="9217" max="9217" width="11" style="95" customWidth="1"/>
    <col min="9218" max="9218" width="9.5703125" style="95" customWidth="1"/>
    <col min="9219" max="9219" width="10.140625" style="95" customWidth="1"/>
    <col min="9220" max="9259" width="10.7109375" style="95" customWidth="1"/>
    <col min="9260" max="9260" width="1.85546875" style="95" bestFit="1" customWidth="1"/>
    <col min="9261" max="9261" width="34.5703125" style="95" bestFit="1" customWidth="1"/>
    <col min="9262" max="9263" width="10.7109375" style="95" customWidth="1"/>
    <col min="9264" max="9264" width="2.7109375" style="95" bestFit="1" customWidth="1"/>
    <col min="9265" max="9265" width="11.5703125" style="95" bestFit="1" customWidth="1"/>
    <col min="9266" max="9442" width="10.7109375" style="95"/>
    <col min="9443" max="9443" width="5.28515625" style="95" customWidth="1"/>
    <col min="9444" max="9444" width="6.42578125" style="95" customWidth="1"/>
    <col min="9445" max="9445" width="22" style="95" customWidth="1"/>
    <col min="9446" max="9446" width="7.5703125" style="95" bestFit="1" customWidth="1"/>
    <col min="9447" max="9447" width="4.42578125" style="95" customWidth="1"/>
    <col min="9448" max="9448" width="7.42578125" style="95" bestFit="1" customWidth="1"/>
    <col min="9449" max="9449" width="2.85546875" style="95" bestFit="1" customWidth="1"/>
    <col min="9450" max="9450" width="7" style="95" bestFit="1" customWidth="1"/>
    <col min="9451" max="9451" width="5.7109375" style="95" bestFit="1" customWidth="1"/>
    <col min="9452" max="9452" width="7.85546875" style="95" bestFit="1" customWidth="1"/>
    <col min="9453" max="9454" width="0" style="95" hidden="1" customWidth="1"/>
    <col min="9455" max="9455" width="12.5703125" style="95" customWidth="1"/>
    <col min="9456" max="9456" width="0" style="95" hidden="1" customWidth="1"/>
    <col min="9457" max="9457" width="11" style="95" customWidth="1"/>
    <col min="9458" max="9458" width="9.140625" style="95" customWidth="1"/>
    <col min="9459" max="9459" width="9.85546875" style="95" customWidth="1"/>
    <col min="9460" max="9463" width="0" style="95" hidden="1" customWidth="1"/>
    <col min="9464" max="9464" width="1.5703125" style="95" customWidth="1"/>
    <col min="9465" max="9467" width="0" style="95" hidden="1" customWidth="1"/>
    <col min="9468" max="9468" width="10.42578125" style="95" customWidth="1"/>
    <col min="9469" max="9470" width="11" style="95" customWidth="1"/>
    <col min="9471" max="9471" width="9.42578125" style="95" customWidth="1"/>
    <col min="9472" max="9472" width="10" style="95" customWidth="1"/>
    <col min="9473" max="9473" width="11" style="95" customWidth="1"/>
    <col min="9474" max="9474" width="9.5703125" style="95" customWidth="1"/>
    <col min="9475" max="9475" width="10.140625" style="95" customWidth="1"/>
    <col min="9476" max="9515" width="10.7109375" style="95" customWidth="1"/>
    <col min="9516" max="9516" width="1.85546875" style="95" bestFit="1" customWidth="1"/>
    <col min="9517" max="9517" width="34.5703125" style="95" bestFit="1" customWidth="1"/>
    <col min="9518" max="9519" width="10.7109375" style="95" customWidth="1"/>
    <col min="9520" max="9520" width="2.7109375" style="95" bestFit="1" customWidth="1"/>
    <col min="9521" max="9521" width="11.5703125" style="95" bestFit="1" customWidth="1"/>
    <col min="9522" max="9698" width="10.7109375" style="95"/>
    <col min="9699" max="9699" width="5.28515625" style="95" customWidth="1"/>
    <col min="9700" max="9700" width="6.42578125" style="95" customWidth="1"/>
    <col min="9701" max="9701" width="22" style="95" customWidth="1"/>
    <col min="9702" max="9702" width="7.5703125" style="95" bestFit="1" customWidth="1"/>
    <col min="9703" max="9703" width="4.42578125" style="95" customWidth="1"/>
    <col min="9704" max="9704" width="7.42578125" style="95" bestFit="1" customWidth="1"/>
    <col min="9705" max="9705" width="2.85546875" style="95" bestFit="1" customWidth="1"/>
    <col min="9706" max="9706" width="7" style="95" bestFit="1" customWidth="1"/>
    <col min="9707" max="9707" width="5.7109375" style="95" bestFit="1" customWidth="1"/>
    <col min="9708" max="9708" width="7.85546875" style="95" bestFit="1" customWidth="1"/>
    <col min="9709" max="9710" width="0" style="95" hidden="1" customWidth="1"/>
    <col min="9711" max="9711" width="12.5703125" style="95" customWidth="1"/>
    <col min="9712" max="9712" width="0" style="95" hidden="1" customWidth="1"/>
    <col min="9713" max="9713" width="11" style="95" customWidth="1"/>
    <col min="9714" max="9714" width="9.140625" style="95" customWidth="1"/>
    <col min="9715" max="9715" width="9.85546875" style="95" customWidth="1"/>
    <col min="9716" max="9719" width="0" style="95" hidden="1" customWidth="1"/>
    <col min="9720" max="9720" width="1.5703125" style="95" customWidth="1"/>
    <col min="9721" max="9723" width="0" style="95" hidden="1" customWidth="1"/>
    <col min="9724" max="9724" width="10.42578125" style="95" customWidth="1"/>
    <col min="9725" max="9726" width="11" style="95" customWidth="1"/>
    <col min="9727" max="9727" width="9.42578125" style="95" customWidth="1"/>
    <col min="9728" max="9728" width="10" style="95" customWidth="1"/>
    <col min="9729" max="9729" width="11" style="95" customWidth="1"/>
    <col min="9730" max="9730" width="9.5703125" style="95" customWidth="1"/>
    <col min="9731" max="9731" width="10.140625" style="95" customWidth="1"/>
    <col min="9732" max="9771" width="10.7109375" style="95" customWidth="1"/>
    <col min="9772" max="9772" width="1.85546875" style="95" bestFit="1" customWidth="1"/>
    <col min="9773" max="9773" width="34.5703125" style="95" bestFit="1" customWidth="1"/>
    <col min="9774" max="9775" width="10.7109375" style="95" customWidth="1"/>
    <col min="9776" max="9776" width="2.7109375" style="95" bestFit="1" customWidth="1"/>
    <col min="9777" max="9777" width="11.5703125" style="95" bestFit="1" customWidth="1"/>
    <col min="9778" max="9954" width="10.7109375" style="95"/>
    <col min="9955" max="9955" width="5.28515625" style="95" customWidth="1"/>
    <col min="9956" max="9956" width="6.42578125" style="95" customWidth="1"/>
    <col min="9957" max="9957" width="22" style="95" customWidth="1"/>
    <col min="9958" max="9958" width="7.5703125" style="95" bestFit="1" customWidth="1"/>
    <col min="9959" max="9959" width="4.42578125" style="95" customWidth="1"/>
    <col min="9960" max="9960" width="7.42578125" style="95" bestFit="1" customWidth="1"/>
    <col min="9961" max="9961" width="2.85546875" style="95" bestFit="1" customWidth="1"/>
    <col min="9962" max="9962" width="7" style="95" bestFit="1" customWidth="1"/>
    <col min="9963" max="9963" width="5.7109375" style="95" bestFit="1" customWidth="1"/>
    <col min="9964" max="9964" width="7.85546875" style="95" bestFit="1" customWidth="1"/>
    <col min="9965" max="9966" width="0" style="95" hidden="1" customWidth="1"/>
    <col min="9967" max="9967" width="12.5703125" style="95" customWidth="1"/>
    <col min="9968" max="9968" width="0" style="95" hidden="1" customWidth="1"/>
    <col min="9969" max="9969" width="11" style="95" customWidth="1"/>
    <col min="9970" max="9970" width="9.140625" style="95" customWidth="1"/>
    <col min="9971" max="9971" width="9.85546875" style="95" customWidth="1"/>
    <col min="9972" max="9975" width="0" style="95" hidden="1" customWidth="1"/>
    <col min="9976" max="9976" width="1.5703125" style="95" customWidth="1"/>
    <col min="9977" max="9979" width="0" style="95" hidden="1" customWidth="1"/>
    <col min="9980" max="9980" width="10.42578125" style="95" customWidth="1"/>
    <col min="9981" max="9982" width="11" style="95" customWidth="1"/>
    <col min="9983" max="9983" width="9.42578125" style="95" customWidth="1"/>
    <col min="9984" max="9984" width="10" style="95" customWidth="1"/>
    <col min="9985" max="9985" width="11" style="95" customWidth="1"/>
    <col min="9986" max="9986" width="9.5703125" style="95" customWidth="1"/>
    <col min="9987" max="9987" width="10.140625" style="95" customWidth="1"/>
    <col min="9988" max="10027" width="10.7109375" style="95" customWidth="1"/>
    <col min="10028" max="10028" width="1.85546875" style="95" bestFit="1" customWidth="1"/>
    <col min="10029" max="10029" width="34.5703125" style="95" bestFit="1" customWidth="1"/>
    <col min="10030" max="10031" width="10.7109375" style="95" customWidth="1"/>
    <col min="10032" max="10032" width="2.7109375" style="95" bestFit="1" customWidth="1"/>
    <col min="10033" max="10033" width="11.5703125" style="95" bestFit="1" customWidth="1"/>
    <col min="10034" max="10210" width="10.7109375" style="95"/>
    <col min="10211" max="10211" width="5.28515625" style="95" customWidth="1"/>
    <col min="10212" max="10212" width="6.42578125" style="95" customWidth="1"/>
    <col min="10213" max="10213" width="22" style="95" customWidth="1"/>
    <col min="10214" max="10214" width="7.5703125" style="95" bestFit="1" customWidth="1"/>
    <col min="10215" max="10215" width="4.42578125" style="95" customWidth="1"/>
    <col min="10216" max="10216" width="7.42578125" style="95" bestFit="1" customWidth="1"/>
    <col min="10217" max="10217" width="2.85546875" style="95" bestFit="1" customWidth="1"/>
    <col min="10218" max="10218" width="7" style="95" bestFit="1" customWidth="1"/>
    <col min="10219" max="10219" width="5.7109375" style="95" bestFit="1" customWidth="1"/>
    <col min="10220" max="10220" width="7.85546875" style="95" bestFit="1" customWidth="1"/>
    <col min="10221" max="10222" width="0" style="95" hidden="1" customWidth="1"/>
    <col min="10223" max="10223" width="12.5703125" style="95" customWidth="1"/>
    <col min="10224" max="10224" width="0" style="95" hidden="1" customWidth="1"/>
    <col min="10225" max="10225" width="11" style="95" customWidth="1"/>
    <col min="10226" max="10226" width="9.140625" style="95" customWidth="1"/>
    <col min="10227" max="10227" width="9.85546875" style="95" customWidth="1"/>
    <col min="10228" max="10231" width="0" style="95" hidden="1" customWidth="1"/>
    <col min="10232" max="10232" width="1.5703125" style="95" customWidth="1"/>
    <col min="10233" max="10235" width="0" style="95" hidden="1" customWidth="1"/>
    <col min="10236" max="10236" width="10.42578125" style="95" customWidth="1"/>
    <col min="10237" max="10238" width="11" style="95" customWidth="1"/>
    <col min="10239" max="10239" width="9.42578125" style="95" customWidth="1"/>
    <col min="10240" max="10240" width="10" style="95" customWidth="1"/>
    <col min="10241" max="10241" width="11" style="95" customWidth="1"/>
    <col min="10242" max="10242" width="9.5703125" style="95" customWidth="1"/>
    <col min="10243" max="10243" width="10.140625" style="95" customWidth="1"/>
    <col min="10244" max="10283" width="10.7109375" style="95" customWidth="1"/>
    <col min="10284" max="10284" width="1.85546875" style="95" bestFit="1" customWidth="1"/>
    <col min="10285" max="10285" width="34.5703125" style="95" bestFit="1" customWidth="1"/>
    <col min="10286" max="10287" width="10.7109375" style="95" customWidth="1"/>
    <col min="10288" max="10288" width="2.7109375" style="95" bestFit="1" customWidth="1"/>
    <col min="10289" max="10289" width="11.5703125" style="95" bestFit="1" customWidth="1"/>
    <col min="10290" max="10466" width="10.7109375" style="95"/>
    <col min="10467" max="10467" width="5.28515625" style="95" customWidth="1"/>
    <col min="10468" max="10468" width="6.42578125" style="95" customWidth="1"/>
    <col min="10469" max="10469" width="22" style="95" customWidth="1"/>
    <col min="10470" max="10470" width="7.5703125" style="95" bestFit="1" customWidth="1"/>
    <col min="10471" max="10471" width="4.42578125" style="95" customWidth="1"/>
    <col min="10472" max="10472" width="7.42578125" style="95" bestFit="1" customWidth="1"/>
    <col min="10473" max="10473" width="2.85546875" style="95" bestFit="1" customWidth="1"/>
    <col min="10474" max="10474" width="7" style="95" bestFit="1" customWidth="1"/>
    <col min="10475" max="10475" width="5.7109375" style="95" bestFit="1" customWidth="1"/>
    <col min="10476" max="10476" width="7.85546875" style="95" bestFit="1" customWidth="1"/>
    <col min="10477" max="10478" width="0" style="95" hidden="1" customWidth="1"/>
    <col min="10479" max="10479" width="12.5703125" style="95" customWidth="1"/>
    <col min="10480" max="10480" width="0" style="95" hidden="1" customWidth="1"/>
    <col min="10481" max="10481" width="11" style="95" customWidth="1"/>
    <col min="10482" max="10482" width="9.140625" style="95" customWidth="1"/>
    <col min="10483" max="10483" width="9.85546875" style="95" customWidth="1"/>
    <col min="10484" max="10487" width="0" style="95" hidden="1" customWidth="1"/>
    <col min="10488" max="10488" width="1.5703125" style="95" customWidth="1"/>
    <col min="10489" max="10491" width="0" style="95" hidden="1" customWidth="1"/>
    <col min="10492" max="10492" width="10.42578125" style="95" customWidth="1"/>
    <col min="10493" max="10494" width="11" style="95" customWidth="1"/>
    <col min="10495" max="10495" width="9.42578125" style="95" customWidth="1"/>
    <col min="10496" max="10496" width="10" style="95" customWidth="1"/>
    <col min="10497" max="10497" width="11" style="95" customWidth="1"/>
    <col min="10498" max="10498" width="9.5703125" style="95" customWidth="1"/>
    <col min="10499" max="10499" width="10.140625" style="95" customWidth="1"/>
    <col min="10500" max="10539" width="10.7109375" style="95" customWidth="1"/>
    <col min="10540" max="10540" width="1.85546875" style="95" bestFit="1" customWidth="1"/>
    <col min="10541" max="10541" width="34.5703125" style="95" bestFit="1" customWidth="1"/>
    <col min="10542" max="10543" width="10.7109375" style="95" customWidth="1"/>
    <col min="10544" max="10544" width="2.7109375" style="95" bestFit="1" customWidth="1"/>
    <col min="10545" max="10545" width="11.5703125" style="95" bestFit="1" customWidth="1"/>
    <col min="10546" max="10722" width="10.7109375" style="95"/>
    <col min="10723" max="10723" width="5.28515625" style="95" customWidth="1"/>
    <col min="10724" max="10724" width="6.42578125" style="95" customWidth="1"/>
    <col min="10725" max="10725" width="22" style="95" customWidth="1"/>
    <col min="10726" max="10726" width="7.5703125" style="95" bestFit="1" customWidth="1"/>
    <col min="10727" max="10727" width="4.42578125" style="95" customWidth="1"/>
    <col min="10728" max="10728" width="7.42578125" style="95" bestFit="1" customWidth="1"/>
    <col min="10729" max="10729" width="2.85546875" style="95" bestFit="1" customWidth="1"/>
    <col min="10730" max="10730" width="7" style="95" bestFit="1" customWidth="1"/>
    <col min="10731" max="10731" width="5.7109375" style="95" bestFit="1" customWidth="1"/>
    <col min="10732" max="10732" width="7.85546875" style="95" bestFit="1" customWidth="1"/>
    <col min="10733" max="10734" width="0" style="95" hidden="1" customWidth="1"/>
    <col min="10735" max="10735" width="12.5703125" style="95" customWidth="1"/>
    <col min="10736" max="10736" width="0" style="95" hidden="1" customWidth="1"/>
    <col min="10737" max="10737" width="11" style="95" customWidth="1"/>
    <col min="10738" max="10738" width="9.140625" style="95" customWidth="1"/>
    <col min="10739" max="10739" width="9.85546875" style="95" customWidth="1"/>
    <col min="10740" max="10743" width="0" style="95" hidden="1" customWidth="1"/>
    <col min="10744" max="10744" width="1.5703125" style="95" customWidth="1"/>
    <col min="10745" max="10747" width="0" style="95" hidden="1" customWidth="1"/>
    <col min="10748" max="10748" width="10.42578125" style="95" customWidth="1"/>
    <col min="10749" max="10750" width="11" style="95" customWidth="1"/>
    <col min="10751" max="10751" width="9.42578125" style="95" customWidth="1"/>
    <col min="10752" max="10752" width="10" style="95" customWidth="1"/>
    <col min="10753" max="10753" width="11" style="95" customWidth="1"/>
    <col min="10754" max="10754" width="9.5703125" style="95" customWidth="1"/>
    <col min="10755" max="10755" width="10.140625" style="95" customWidth="1"/>
    <col min="10756" max="10795" width="10.7109375" style="95" customWidth="1"/>
    <col min="10796" max="10796" width="1.85546875" style="95" bestFit="1" customWidth="1"/>
    <col min="10797" max="10797" width="34.5703125" style="95" bestFit="1" customWidth="1"/>
    <col min="10798" max="10799" width="10.7109375" style="95" customWidth="1"/>
    <col min="10800" max="10800" width="2.7109375" style="95" bestFit="1" customWidth="1"/>
    <col min="10801" max="10801" width="11.5703125" style="95" bestFit="1" customWidth="1"/>
    <col min="10802" max="10978" width="10.7109375" style="95"/>
    <col min="10979" max="10979" width="5.28515625" style="95" customWidth="1"/>
    <col min="10980" max="10980" width="6.42578125" style="95" customWidth="1"/>
    <col min="10981" max="10981" width="22" style="95" customWidth="1"/>
    <col min="10982" max="10982" width="7.5703125" style="95" bestFit="1" customWidth="1"/>
    <col min="10983" max="10983" width="4.42578125" style="95" customWidth="1"/>
    <col min="10984" max="10984" width="7.42578125" style="95" bestFit="1" customWidth="1"/>
    <col min="10985" max="10985" width="2.85546875" style="95" bestFit="1" customWidth="1"/>
    <col min="10986" max="10986" width="7" style="95" bestFit="1" customWidth="1"/>
    <col min="10987" max="10987" width="5.7109375" style="95" bestFit="1" customWidth="1"/>
    <col min="10988" max="10988" width="7.85546875" style="95" bestFit="1" customWidth="1"/>
    <col min="10989" max="10990" width="0" style="95" hidden="1" customWidth="1"/>
    <col min="10991" max="10991" width="12.5703125" style="95" customWidth="1"/>
    <col min="10992" max="10992" width="0" style="95" hidden="1" customWidth="1"/>
    <col min="10993" max="10993" width="11" style="95" customWidth="1"/>
    <col min="10994" max="10994" width="9.140625" style="95" customWidth="1"/>
    <col min="10995" max="10995" width="9.85546875" style="95" customWidth="1"/>
    <col min="10996" max="10999" width="0" style="95" hidden="1" customWidth="1"/>
    <col min="11000" max="11000" width="1.5703125" style="95" customWidth="1"/>
    <col min="11001" max="11003" width="0" style="95" hidden="1" customWidth="1"/>
    <col min="11004" max="11004" width="10.42578125" style="95" customWidth="1"/>
    <col min="11005" max="11006" width="11" style="95" customWidth="1"/>
    <col min="11007" max="11007" width="9.42578125" style="95" customWidth="1"/>
    <col min="11008" max="11008" width="10" style="95" customWidth="1"/>
    <col min="11009" max="11009" width="11" style="95" customWidth="1"/>
    <col min="11010" max="11010" width="9.5703125" style="95" customWidth="1"/>
    <col min="11011" max="11011" width="10.140625" style="95" customWidth="1"/>
    <col min="11012" max="11051" width="10.7109375" style="95" customWidth="1"/>
    <col min="11052" max="11052" width="1.85546875" style="95" bestFit="1" customWidth="1"/>
    <col min="11053" max="11053" width="34.5703125" style="95" bestFit="1" customWidth="1"/>
    <col min="11054" max="11055" width="10.7109375" style="95" customWidth="1"/>
    <col min="11056" max="11056" width="2.7109375" style="95" bestFit="1" customWidth="1"/>
    <col min="11057" max="11057" width="11.5703125" style="95" bestFit="1" customWidth="1"/>
    <col min="11058" max="11234" width="10.7109375" style="95"/>
    <col min="11235" max="11235" width="5.28515625" style="95" customWidth="1"/>
    <col min="11236" max="11236" width="6.42578125" style="95" customWidth="1"/>
    <col min="11237" max="11237" width="22" style="95" customWidth="1"/>
    <col min="11238" max="11238" width="7.5703125" style="95" bestFit="1" customWidth="1"/>
    <col min="11239" max="11239" width="4.42578125" style="95" customWidth="1"/>
    <col min="11240" max="11240" width="7.42578125" style="95" bestFit="1" customWidth="1"/>
    <col min="11241" max="11241" width="2.85546875" style="95" bestFit="1" customWidth="1"/>
    <col min="11242" max="11242" width="7" style="95" bestFit="1" customWidth="1"/>
    <col min="11243" max="11243" width="5.7109375" style="95" bestFit="1" customWidth="1"/>
    <col min="11244" max="11244" width="7.85546875" style="95" bestFit="1" customWidth="1"/>
    <col min="11245" max="11246" width="0" style="95" hidden="1" customWidth="1"/>
    <col min="11247" max="11247" width="12.5703125" style="95" customWidth="1"/>
    <col min="11248" max="11248" width="0" style="95" hidden="1" customWidth="1"/>
    <col min="11249" max="11249" width="11" style="95" customWidth="1"/>
    <col min="11250" max="11250" width="9.140625" style="95" customWidth="1"/>
    <col min="11251" max="11251" width="9.85546875" style="95" customWidth="1"/>
    <col min="11252" max="11255" width="0" style="95" hidden="1" customWidth="1"/>
    <col min="11256" max="11256" width="1.5703125" style="95" customWidth="1"/>
    <col min="11257" max="11259" width="0" style="95" hidden="1" customWidth="1"/>
    <col min="11260" max="11260" width="10.42578125" style="95" customWidth="1"/>
    <col min="11261" max="11262" width="11" style="95" customWidth="1"/>
    <col min="11263" max="11263" width="9.42578125" style="95" customWidth="1"/>
    <col min="11264" max="11264" width="10" style="95" customWidth="1"/>
    <col min="11265" max="11265" width="11" style="95" customWidth="1"/>
    <col min="11266" max="11266" width="9.5703125" style="95" customWidth="1"/>
    <col min="11267" max="11267" width="10.140625" style="95" customWidth="1"/>
    <col min="11268" max="11307" width="10.7109375" style="95" customWidth="1"/>
    <col min="11308" max="11308" width="1.85546875" style="95" bestFit="1" customWidth="1"/>
    <col min="11309" max="11309" width="34.5703125" style="95" bestFit="1" customWidth="1"/>
    <col min="11310" max="11311" width="10.7109375" style="95" customWidth="1"/>
    <col min="11312" max="11312" width="2.7109375" style="95" bestFit="1" customWidth="1"/>
    <col min="11313" max="11313" width="11.5703125" style="95" bestFit="1" customWidth="1"/>
    <col min="11314" max="11490" width="10.7109375" style="95"/>
    <col min="11491" max="11491" width="5.28515625" style="95" customWidth="1"/>
    <col min="11492" max="11492" width="6.42578125" style="95" customWidth="1"/>
    <col min="11493" max="11493" width="22" style="95" customWidth="1"/>
    <col min="11494" max="11494" width="7.5703125" style="95" bestFit="1" customWidth="1"/>
    <col min="11495" max="11495" width="4.42578125" style="95" customWidth="1"/>
    <col min="11496" max="11496" width="7.42578125" style="95" bestFit="1" customWidth="1"/>
    <col min="11497" max="11497" width="2.85546875" style="95" bestFit="1" customWidth="1"/>
    <col min="11498" max="11498" width="7" style="95" bestFit="1" customWidth="1"/>
    <col min="11499" max="11499" width="5.7109375" style="95" bestFit="1" customWidth="1"/>
    <col min="11500" max="11500" width="7.85546875" style="95" bestFit="1" customWidth="1"/>
    <col min="11501" max="11502" width="0" style="95" hidden="1" customWidth="1"/>
    <col min="11503" max="11503" width="12.5703125" style="95" customWidth="1"/>
    <col min="11504" max="11504" width="0" style="95" hidden="1" customWidth="1"/>
    <col min="11505" max="11505" width="11" style="95" customWidth="1"/>
    <col min="11506" max="11506" width="9.140625" style="95" customWidth="1"/>
    <col min="11507" max="11507" width="9.85546875" style="95" customWidth="1"/>
    <col min="11508" max="11511" width="0" style="95" hidden="1" customWidth="1"/>
    <col min="11512" max="11512" width="1.5703125" style="95" customWidth="1"/>
    <col min="11513" max="11515" width="0" style="95" hidden="1" customWidth="1"/>
    <col min="11516" max="11516" width="10.42578125" style="95" customWidth="1"/>
    <col min="11517" max="11518" width="11" style="95" customWidth="1"/>
    <col min="11519" max="11519" width="9.42578125" style="95" customWidth="1"/>
    <col min="11520" max="11520" width="10" style="95" customWidth="1"/>
    <col min="11521" max="11521" width="11" style="95" customWidth="1"/>
    <col min="11522" max="11522" width="9.5703125" style="95" customWidth="1"/>
    <col min="11523" max="11523" width="10.140625" style="95" customWidth="1"/>
    <col min="11524" max="11563" width="10.7109375" style="95" customWidth="1"/>
    <col min="11564" max="11564" width="1.85546875" style="95" bestFit="1" customWidth="1"/>
    <col min="11565" max="11565" width="34.5703125" style="95" bestFit="1" customWidth="1"/>
    <col min="11566" max="11567" width="10.7109375" style="95" customWidth="1"/>
    <col min="11568" max="11568" width="2.7109375" style="95" bestFit="1" customWidth="1"/>
    <col min="11569" max="11569" width="11.5703125" style="95" bestFit="1" customWidth="1"/>
    <col min="11570" max="11746" width="10.7109375" style="95"/>
    <col min="11747" max="11747" width="5.28515625" style="95" customWidth="1"/>
    <col min="11748" max="11748" width="6.42578125" style="95" customWidth="1"/>
    <col min="11749" max="11749" width="22" style="95" customWidth="1"/>
    <col min="11750" max="11750" width="7.5703125" style="95" bestFit="1" customWidth="1"/>
    <col min="11751" max="11751" width="4.42578125" style="95" customWidth="1"/>
    <col min="11752" max="11752" width="7.42578125" style="95" bestFit="1" customWidth="1"/>
    <col min="11753" max="11753" width="2.85546875" style="95" bestFit="1" customWidth="1"/>
    <col min="11754" max="11754" width="7" style="95" bestFit="1" customWidth="1"/>
    <col min="11755" max="11755" width="5.7109375" style="95" bestFit="1" customWidth="1"/>
    <col min="11756" max="11756" width="7.85546875" style="95" bestFit="1" customWidth="1"/>
    <col min="11757" max="11758" width="0" style="95" hidden="1" customWidth="1"/>
    <col min="11759" max="11759" width="12.5703125" style="95" customWidth="1"/>
    <col min="11760" max="11760" width="0" style="95" hidden="1" customWidth="1"/>
    <col min="11761" max="11761" width="11" style="95" customWidth="1"/>
    <col min="11762" max="11762" width="9.140625" style="95" customWidth="1"/>
    <col min="11763" max="11763" width="9.85546875" style="95" customWidth="1"/>
    <col min="11764" max="11767" width="0" style="95" hidden="1" customWidth="1"/>
    <col min="11768" max="11768" width="1.5703125" style="95" customWidth="1"/>
    <col min="11769" max="11771" width="0" style="95" hidden="1" customWidth="1"/>
    <col min="11772" max="11772" width="10.42578125" style="95" customWidth="1"/>
    <col min="11773" max="11774" width="11" style="95" customWidth="1"/>
    <col min="11775" max="11775" width="9.42578125" style="95" customWidth="1"/>
    <col min="11776" max="11776" width="10" style="95" customWidth="1"/>
    <col min="11777" max="11777" width="11" style="95" customWidth="1"/>
    <col min="11778" max="11778" width="9.5703125" style="95" customWidth="1"/>
    <col min="11779" max="11779" width="10.140625" style="95" customWidth="1"/>
    <col min="11780" max="11819" width="10.7109375" style="95" customWidth="1"/>
    <col min="11820" max="11820" width="1.85546875" style="95" bestFit="1" customWidth="1"/>
    <col min="11821" max="11821" width="34.5703125" style="95" bestFit="1" customWidth="1"/>
    <col min="11822" max="11823" width="10.7109375" style="95" customWidth="1"/>
    <col min="11824" max="11824" width="2.7109375" style="95" bestFit="1" customWidth="1"/>
    <col min="11825" max="11825" width="11.5703125" style="95" bestFit="1" customWidth="1"/>
    <col min="11826" max="12002" width="10.7109375" style="95"/>
    <col min="12003" max="12003" width="5.28515625" style="95" customWidth="1"/>
    <col min="12004" max="12004" width="6.42578125" style="95" customWidth="1"/>
    <col min="12005" max="12005" width="22" style="95" customWidth="1"/>
    <col min="12006" max="12006" width="7.5703125" style="95" bestFit="1" customWidth="1"/>
    <col min="12007" max="12007" width="4.42578125" style="95" customWidth="1"/>
    <col min="12008" max="12008" width="7.42578125" style="95" bestFit="1" customWidth="1"/>
    <col min="12009" max="12009" width="2.85546875" style="95" bestFit="1" customWidth="1"/>
    <col min="12010" max="12010" width="7" style="95" bestFit="1" customWidth="1"/>
    <col min="12011" max="12011" width="5.7109375" style="95" bestFit="1" customWidth="1"/>
    <col min="12012" max="12012" width="7.85546875" style="95" bestFit="1" customWidth="1"/>
    <col min="12013" max="12014" width="0" style="95" hidden="1" customWidth="1"/>
    <col min="12015" max="12015" width="12.5703125" style="95" customWidth="1"/>
    <col min="12016" max="12016" width="0" style="95" hidden="1" customWidth="1"/>
    <col min="12017" max="12017" width="11" style="95" customWidth="1"/>
    <col min="12018" max="12018" width="9.140625" style="95" customWidth="1"/>
    <col min="12019" max="12019" width="9.85546875" style="95" customWidth="1"/>
    <col min="12020" max="12023" width="0" style="95" hidden="1" customWidth="1"/>
    <col min="12024" max="12024" width="1.5703125" style="95" customWidth="1"/>
    <col min="12025" max="12027" width="0" style="95" hidden="1" customWidth="1"/>
    <col min="12028" max="12028" width="10.42578125" style="95" customWidth="1"/>
    <col min="12029" max="12030" width="11" style="95" customWidth="1"/>
    <col min="12031" max="12031" width="9.42578125" style="95" customWidth="1"/>
    <col min="12032" max="12032" width="10" style="95" customWidth="1"/>
    <col min="12033" max="12033" width="11" style="95" customWidth="1"/>
    <col min="12034" max="12034" width="9.5703125" style="95" customWidth="1"/>
    <col min="12035" max="12035" width="10.140625" style="95" customWidth="1"/>
    <col min="12036" max="12075" width="10.7109375" style="95" customWidth="1"/>
    <col min="12076" max="12076" width="1.85546875" style="95" bestFit="1" customWidth="1"/>
    <col min="12077" max="12077" width="34.5703125" style="95" bestFit="1" customWidth="1"/>
    <col min="12078" max="12079" width="10.7109375" style="95" customWidth="1"/>
    <col min="12080" max="12080" width="2.7109375" style="95" bestFit="1" customWidth="1"/>
    <col min="12081" max="12081" width="11.5703125" style="95" bestFit="1" customWidth="1"/>
    <col min="12082" max="12258" width="10.7109375" style="95"/>
    <col min="12259" max="12259" width="5.28515625" style="95" customWidth="1"/>
    <col min="12260" max="12260" width="6.42578125" style="95" customWidth="1"/>
    <col min="12261" max="12261" width="22" style="95" customWidth="1"/>
    <col min="12262" max="12262" width="7.5703125" style="95" bestFit="1" customWidth="1"/>
    <col min="12263" max="12263" width="4.42578125" style="95" customWidth="1"/>
    <col min="12264" max="12264" width="7.42578125" style="95" bestFit="1" customWidth="1"/>
    <col min="12265" max="12265" width="2.85546875" style="95" bestFit="1" customWidth="1"/>
    <col min="12266" max="12266" width="7" style="95" bestFit="1" customWidth="1"/>
    <col min="12267" max="12267" width="5.7109375" style="95" bestFit="1" customWidth="1"/>
    <col min="12268" max="12268" width="7.85546875" style="95" bestFit="1" customWidth="1"/>
    <col min="12269" max="12270" width="0" style="95" hidden="1" customWidth="1"/>
    <col min="12271" max="12271" width="12.5703125" style="95" customWidth="1"/>
    <col min="12272" max="12272" width="0" style="95" hidden="1" customWidth="1"/>
    <col min="12273" max="12273" width="11" style="95" customWidth="1"/>
    <col min="12274" max="12274" width="9.140625" style="95" customWidth="1"/>
    <col min="12275" max="12275" width="9.85546875" style="95" customWidth="1"/>
    <col min="12276" max="12279" width="0" style="95" hidden="1" customWidth="1"/>
    <col min="12280" max="12280" width="1.5703125" style="95" customWidth="1"/>
    <col min="12281" max="12283" width="0" style="95" hidden="1" customWidth="1"/>
    <col min="12284" max="12284" width="10.42578125" style="95" customWidth="1"/>
    <col min="12285" max="12286" width="11" style="95" customWidth="1"/>
    <col min="12287" max="12287" width="9.42578125" style="95" customWidth="1"/>
    <col min="12288" max="12288" width="10" style="95" customWidth="1"/>
    <col min="12289" max="12289" width="11" style="95" customWidth="1"/>
    <col min="12290" max="12290" width="9.5703125" style="95" customWidth="1"/>
    <col min="12291" max="12291" width="10.140625" style="95" customWidth="1"/>
    <col min="12292" max="12331" width="10.7109375" style="95" customWidth="1"/>
    <col min="12332" max="12332" width="1.85546875" style="95" bestFit="1" customWidth="1"/>
    <col min="12333" max="12333" width="34.5703125" style="95" bestFit="1" customWidth="1"/>
    <col min="12334" max="12335" width="10.7109375" style="95" customWidth="1"/>
    <col min="12336" max="12336" width="2.7109375" style="95" bestFit="1" customWidth="1"/>
    <col min="12337" max="12337" width="11.5703125" style="95" bestFit="1" customWidth="1"/>
    <col min="12338" max="12514" width="10.7109375" style="95"/>
    <col min="12515" max="12515" width="5.28515625" style="95" customWidth="1"/>
    <col min="12516" max="12516" width="6.42578125" style="95" customWidth="1"/>
    <col min="12517" max="12517" width="22" style="95" customWidth="1"/>
    <col min="12518" max="12518" width="7.5703125" style="95" bestFit="1" customWidth="1"/>
    <col min="12519" max="12519" width="4.42578125" style="95" customWidth="1"/>
    <col min="12520" max="12520" width="7.42578125" style="95" bestFit="1" customWidth="1"/>
    <col min="12521" max="12521" width="2.85546875" style="95" bestFit="1" customWidth="1"/>
    <col min="12522" max="12522" width="7" style="95" bestFit="1" customWidth="1"/>
    <col min="12523" max="12523" width="5.7109375" style="95" bestFit="1" customWidth="1"/>
    <col min="12524" max="12524" width="7.85546875" style="95" bestFit="1" customWidth="1"/>
    <col min="12525" max="12526" width="0" style="95" hidden="1" customWidth="1"/>
    <col min="12527" max="12527" width="12.5703125" style="95" customWidth="1"/>
    <col min="12528" max="12528" width="0" style="95" hidden="1" customWidth="1"/>
    <col min="12529" max="12529" width="11" style="95" customWidth="1"/>
    <col min="12530" max="12530" width="9.140625" style="95" customWidth="1"/>
    <col min="12531" max="12531" width="9.85546875" style="95" customWidth="1"/>
    <col min="12532" max="12535" width="0" style="95" hidden="1" customWidth="1"/>
    <col min="12536" max="12536" width="1.5703125" style="95" customWidth="1"/>
    <col min="12537" max="12539" width="0" style="95" hidden="1" customWidth="1"/>
    <col min="12540" max="12540" width="10.42578125" style="95" customWidth="1"/>
    <col min="12541" max="12542" width="11" style="95" customWidth="1"/>
    <col min="12543" max="12543" width="9.42578125" style="95" customWidth="1"/>
    <col min="12544" max="12544" width="10" style="95" customWidth="1"/>
    <col min="12545" max="12545" width="11" style="95" customWidth="1"/>
    <col min="12546" max="12546" width="9.5703125" style="95" customWidth="1"/>
    <col min="12547" max="12547" width="10.140625" style="95" customWidth="1"/>
    <col min="12548" max="12587" width="10.7109375" style="95" customWidth="1"/>
    <col min="12588" max="12588" width="1.85546875" style="95" bestFit="1" customWidth="1"/>
    <col min="12589" max="12589" width="34.5703125" style="95" bestFit="1" customWidth="1"/>
    <col min="12590" max="12591" width="10.7109375" style="95" customWidth="1"/>
    <col min="12592" max="12592" width="2.7109375" style="95" bestFit="1" customWidth="1"/>
    <col min="12593" max="12593" width="11.5703125" style="95" bestFit="1" customWidth="1"/>
    <col min="12594" max="12770" width="10.7109375" style="95"/>
    <col min="12771" max="12771" width="5.28515625" style="95" customWidth="1"/>
    <col min="12772" max="12772" width="6.42578125" style="95" customWidth="1"/>
    <col min="12773" max="12773" width="22" style="95" customWidth="1"/>
    <col min="12774" max="12774" width="7.5703125" style="95" bestFit="1" customWidth="1"/>
    <col min="12775" max="12775" width="4.42578125" style="95" customWidth="1"/>
    <col min="12776" max="12776" width="7.42578125" style="95" bestFit="1" customWidth="1"/>
    <col min="12777" max="12777" width="2.85546875" style="95" bestFit="1" customWidth="1"/>
    <col min="12778" max="12778" width="7" style="95" bestFit="1" customWidth="1"/>
    <col min="12779" max="12779" width="5.7109375" style="95" bestFit="1" customWidth="1"/>
    <col min="12780" max="12780" width="7.85546875" style="95" bestFit="1" customWidth="1"/>
    <col min="12781" max="12782" width="0" style="95" hidden="1" customWidth="1"/>
    <col min="12783" max="12783" width="12.5703125" style="95" customWidth="1"/>
    <col min="12784" max="12784" width="0" style="95" hidden="1" customWidth="1"/>
    <col min="12785" max="12785" width="11" style="95" customWidth="1"/>
    <col min="12786" max="12786" width="9.140625" style="95" customWidth="1"/>
    <col min="12787" max="12787" width="9.85546875" style="95" customWidth="1"/>
    <col min="12788" max="12791" width="0" style="95" hidden="1" customWidth="1"/>
    <col min="12792" max="12792" width="1.5703125" style="95" customWidth="1"/>
    <col min="12793" max="12795" width="0" style="95" hidden="1" customWidth="1"/>
    <col min="12796" max="12796" width="10.42578125" style="95" customWidth="1"/>
    <col min="12797" max="12798" width="11" style="95" customWidth="1"/>
    <col min="12799" max="12799" width="9.42578125" style="95" customWidth="1"/>
    <col min="12800" max="12800" width="10" style="95" customWidth="1"/>
    <col min="12801" max="12801" width="11" style="95" customWidth="1"/>
    <col min="12802" max="12802" width="9.5703125" style="95" customWidth="1"/>
    <col min="12803" max="12803" width="10.140625" style="95" customWidth="1"/>
    <col min="12804" max="12843" width="10.7109375" style="95" customWidth="1"/>
    <col min="12844" max="12844" width="1.85546875" style="95" bestFit="1" customWidth="1"/>
    <col min="12845" max="12845" width="34.5703125" style="95" bestFit="1" customWidth="1"/>
    <col min="12846" max="12847" width="10.7109375" style="95" customWidth="1"/>
    <col min="12848" max="12848" width="2.7109375" style="95" bestFit="1" customWidth="1"/>
    <col min="12849" max="12849" width="11.5703125" style="95" bestFit="1" customWidth="1"/>
    <col min="12850" max="13026" width="10.7109375" style="95"/>
    <col min="13027" max="13027" width="5.28515625" style="95" customWidth="1"/>
    <col min="13028" max="13028" width="6.42578125" style="95" customWidth="1"/>
    <col min="13029" max="13029" width="22" style="95" customWidth="1"/>
    <col min="13030" max="13030" width="7.5703125" style="95" bestFit="1" customWidth="1"/>
    <col min="13031" max="13031" width="4.42578125" style="95" customWidth="1"/>
    <col min="13032" max="13032" width="7.42578125" style="95" bestFit="1" customWidth="1"/>
    <col min="13033" max="13033" width="2.85546875" style="95" bestFit="1" customWidth="1"/>
    <col min="13034" max="13034" width="7" style="95" bestFit="1" customWidth="1"/>
    <col min="13035" max="13035" width="5.7109375" style="95" bestFit="1" customWidth="1"/>
    <col min="13036" max="13036" width="7.85546875" style="95" bestFit="1" customWidth="1"/>
    <col min="13037" max="13038" width="0" style="95" hidden="1" customWidth="1"/>
    <col min="13039" max="13039" width="12.5703125" style="95" customWidth="1"/>
    <col min="13040" max="13040" width="0" style="95" hidden="1" customWidth="1"/>
    <col min="13041" max="13041" width="11" style="95" customWidth="1"/>
    <col min="13042" max="13042" width="9.140625" style="95" customWidth="1"/>
    <col min="13043" max="13043" width="9.85546875" style="95" customWidth="1"/>
    <col min="13044" max="13047" width="0" style="95" hidden="1" customWidth="1"/>
    <col min="13048" max="13048" width="1.5703125" style="95" customWidth="1"/>
    <col min="13049" max="13051" width="0" style="95" hidden="1" customWidth="1"/>
    <col min="13052" max="13052" width="10.42578125" style="95" customWidth="1"/>
    <col min="13053" max="13054" width="11" style="95" customWidth="1"/>
    <col min="13055" max="13055" width="9.42578125" style="95" customWidth="1"/>
    <col min="13056" max="13056" width="10" style="95" customWidth="1"/>
    <col min="13057" max="13057" width="11" style="95" customWidth="1"/>
    <col min="13058" max="13058" width="9.5703125" style="95" customWidth="1"/>
    <col min="13059" max="13059" width="10.140625" style="95" customWidth="1"/>
    <col min="13060" max="13099" width="10.7109375" style="95" customWidth="1"/>
    <col min="13100" max="13100" width="1.85546875" style="95" bestFit="1" customWidth="1"/>
    <col min="13101" max="13101" width="34.5703125" style="95" bestFit="1" customWidth="1"/>
    <col min="13102" max="13103" width="10.7109375" style="95" customWidth="1"/>
    <col min="13104" max="13104" width="2.7109375" style="95" bestFit="1" customWidth="1"/>
    <col min="13105" max="13105" width="11.5703125" style="95" bestFit="1" customWidth="1"/>
    <col min="13106" max="13282" width="10.7109375" style="95"/>
    <col min="13283" max="13283" width="5.28515625" style="95" customWidth="1"/>
    <col min="13284" max="13284" width="6.42578125" style="95" customWidth="1"/>
    <col min="13285" max="13285" width="22" style="95" customWidth="1"/>
    <col min="13286" max="13286" width="7.5703125" style="95" bestFit="1" customWidth="1"/>
    <col min="13287" max="13287" width="4.42578125" style="95" customWidth="1"/>
    <col min="13288" max="13288" width="7.42578125" style="95" bestFit="1" customWidth="1"/>
    <col min="13289" max="13289" width="2.85546875" style="95" bestFit="1" customWidth="1"/>
    <col min="13290" max="13290" width="7" style="95" bestFit="1" customWidth="1"/>
    <col min="13291" max="13291" width="5.7109375" style="95" bestFit="1" customWidth="1"/>
    <col min="13292" max="13292" width="7.85546875" style="95" bestFit="1" customWidth="1"/>
    <col min="13293" max="13294" width="0" style="95" hidden="1" customWidth="1"/>
    <col min="13295" max="13295" width="12.5703125" style="95" customWidth="1"/>
    <col min="13296" max="13296" width="0" style="95" hidden="1" customWidth="1"/>
    <col min="13297" max="13297" width="11" style="95" customWidth="1"/>
    <col min="13298" max="13298" width="9.140625" style="95" customWidth="1"/>
    <col min="13299" max="13299" width="9.85546875" style="95" customWidth="1"/>
    <col min="13300" max="13303" width="0" style="95" hidden="1" customWidth="1"/>
    <col min="13304" max="13304" width="1.5703125" style="95" customWidth="1"/>
    <col min="13305" max="13307" width="0" style="95" hidden="1" customWidth="1"/>
    <col min="13308" max="13308" width="10.42578125" style="95" customWidth="1"/>
    <col min="13309" max="13310" width="11" style="95" customWidth="1"/>
    <col min="13311" max="13311" width="9.42578125" style="95" customWidth="1"/>
    <col min="13312" max="13312" width="10" style="95" customWidth="1"/>
    <col min="13313" max="13313" width="11" style="95" customWidth="1"/>
    <col min="13314" max="13314" width="9.5703125" style="95" customWidth="1"/>
    <col min="13315" max="13315" width="10.140625" style="95" customWidth="1"/>
    <col min="13316" max="13355" width="10.7109375" style="95" customWidth="1"/>
    <col min="13356" max="13356" width="1.85546875" style="95" bestFit="1" customWidth="1"/>
    <col min="13357" max="13357" width="34.5703125" style="95" bestFit="1" customWidth="1"/>
    <col min="13358" max="13359" width="10.7109375" style="95" customWidth="1"/>
    <col min="13360" max="13360" width="2.7109375" style="95" bestFit="1" customWidth="1"/>
    <col min="13361" max="13361" width="11.5703125" style="95" bestFit="1" customWidth="1"/>
    <col min="13362" max="13538" width="10.7109375" style="95"/>
    <col min="13539" max="13539" width="5.28515625" style="95" customWidth="1"/>
    <col min="13540" max="13540" width="6.42578125" style="95" customWidth="1"/>
    <col min="13541" max="13541" width="22" style="95" customWidth="1"/>
    <col min="13542" max="13542" width="7.5703125" style="95" bestFit="1" customWidth="1"/>
    <col min="13543" max="13543" width="4.42578125" style="95" customWidth="1"/>
    <col min="13544" max="13544" width="7.42578125" style="95" bestFit="1" customWidth="1"/>
    <col min="13545" max="13545" width="2.85546875" style="95" bestFit="1" customWidth="1"/>
    <col min="13546" max="13546" width="7" style="95" bestFit="1" customWidth="1"/>
    <col min="13547" max="13547" width="5.7109375" style="95" bestFit="1" customWidth="1"/>
    <col min="13548" max="13548" width="7.85546875" style="95" bestFit="1" customWidth="1"/>
    <col min="13549" max="13550" width="0" style="95" hidden="1" customWidth="1"/>
    <col min="13551" max="13551" width="12.5703125" style="95" customWidth="1"/>
    <col min="13552" max="13552" width="0" style="95" hidden="1" customWidth="1"/>
    <col min="13553" max="13553" width="11" style="95" customWidth="1"/>
    <col min="13554" max="13554" width="9.140625" style="95" customWidth="1"/>
    <col min="13555" max="13555" width="9.85546875" style="95" customWidth="1"/>
    <col min="13556" max="13559" width="0" style="95" hidden="1" customWidth="1"/>
    <col min="13560" max="13560" width="1.5703125" style="95" customWidth="1"/>
    <col min="13561" max="13563" width="0" style="95" hidden="1" customWidth="1"/>
    <col min="13564" max="13564" width="10.42578125" style="95" customWidth="1"/>
    <col min="13565" max="13566" width="11" style="95" customWidth="1"/>
    <col min="13567" max="13567" width="9.42578125" style="95" customWidth="1"/>
    <col min="13568" max="13568" width="10" style="95" customWidth="1"/>
    <col min="13569" max="13569" width="11" style="95" customWidth="1"/>
    <col min="13570" max="13570" width="9.5703125" style="95" customWidth="1"/>
    <col min="13571" max="13571" width="10.140625" style="95" customWidth="1"/>
    <col min="13572" max="13611" width="10.7109375" style="95" customWidth="1"/>
    <col min="13612" max="13612" width="1.85546875" style="95" bestFit="1" customWidth="1"/>
    <col min="13613" max="13613" width="34.5703125" style="95" bestFit="1" customWidth="1"/>
    <col min="13614" max="13615" width="10.7109375" style="95" customWidth="1"/>
    <col min="13616" max="13616" width="2.7109375" style="95" bestFit="1" customWidth="1"/>
    <col min="13617" max="13617" width="11.5703125" style="95" bestFit="1" customWidth="1"/>
    <col min="13618" max="13794" width="10.7109375" style="95"/>
    <col min="13795" max="13795" width="5.28515625" style="95" customWidth="1"/>
    <col min="13796" max="13796" width="6.42578125" style="95" customWidth="1"/>
    <col min="13797" max="13797" width="22" style="95" customWidth="1"/>
    <col min="13798" max="13798" width="7.5703125" style="95" bestFit="1" customWidth="1"/>
    <col min="13799" max="13799" width="4.42578125" style="95" customWidth="1"/>
    <col min="13800" max="13800" width="7.42578125" style="95" bestFit="1" customWidth="1"/>
    <col min="13801" max="13801" width="2.85546875" style="95" bestFit="1" customWidth="1"/>
    <col min="13802" max="13802" width="7" style="95" bestFit="1" customWidth="1"/>
    <col min="13803" max="13803" width="5.7109375" style="95" bestFit="1" customWidth="1"/>
    <col min="13804" max="13804" width="7.85546875" style="95" bestFit="1" customWidth="1"/>
    <col min="13805" max="13806" width="0" style="95" hidden="1" customWidth="1"/>
    <col min="13807" max="13807" width="12.5703125" style="95" customWidth="1"/>
    <col min="13808" max="13808" width="0" style="95" hidden="1" customWidth="1"/>
    <col min="13809" max="13809" width="11" style="95" customWidth="1"/>
    <col min="13810" max="13810" width="9.140625" style="95" customWidth="1"/>
    <col min="13811" max="13811" width="9.85546875" style="95" customWidth="1"/>
    <col min="13812" max="13815" width="0" style="95" hidden="1" customWidth="1"/>
    <col min="13816" max="13816" width="1.5703125" style="95" customWidth="1"/>
    <col min="13817" max="13819" width="0" style="95" hidden="1" customWidth="1"/>
    <col min="13820" max="13820" width="10.42578125" style="95" customWidth="1"/>
    <col min="13821" max="13822" width="11" style="95" customWidth="1"/>
    <col min="13823" max="13823" width="9.42578125" style="95" customWidth="1"/>
    <col min="13824" max="13824" width="10" style="95" customWidth="1"/>
    <col min="13825" max="13825" width="11" style="95" customWidth="1"/>
    <col min="13826" max="13826" width="9.5703125" style="95" customWidth="1"/>
    <col min="13827" max="13827" width="10.140625" style="95" customWidth="1"/>
    <col min="13828" max="13867" width="10.7109375" style="95" customWidth="1"/>
    <col min="13868" max="13868" width="1.85546875" style="95" bestFit="1" customWidth="1"/>
    <col min="13869" max="13869" width="34.5703125" style="95" bestFit="1" customWidth="1"/>
    <col min="13870" max="13871" width="10.7109375" style="95" customWidth="1"/>
    <col min="13872" max="13872" width="2.7109375" style="95" bestFit="1" customWidth="1"/>
    <col min="13873" max="13873" width="11.5703125" style="95" bestFit="1" customWidth="1"/>
    <col min="13874" max="14050" width="10.7109375" style="95"/>
    <col min="14051" max="14051" width="5.28515625" style="95" customWidth="1"/>
    <col min="14052" max="14052" width="6.42578125" style="95" customWidth="1"/>
    <col min="14053" max="14053" width="22" style="95" customWidth="1"/>
    <col min="14054" max="14054" width="7.5703125" style="95" bestFit="1" customWidth="1"/>
    <col min="14055" max="14055" width="4.42578125" style="95" customWidth="1"/>
    <col min="14056" max="14056" width="7.42578125" style="95" bestFit="1" customWidth="1"/>
    <col min="14057" max="14057" width="2.85546875" style="95" bestFit="1" customWidth="1"/>
    <col min="14058" max="14058" width="7" style="95" bestFit="1" customWidth="1"/>
    <col min="14059" max="14059" width="5.7109375" style="95" bestFit="1" customWidth="1"/>
    <col min="14060" max="14060" width="7.85546875" style="95" bestFit="1" customWidth="1"/>
    <col min="14061" max="14062" width="0" style="95" hidden="1" customWidth="1"/>
    <col min="14063" max="14063" width="12.5703125" style="95" customWidth="1"/>
    <col min="14064" max="14064" width="0" style="95" hidden="1" customWidth="1"/>
    <col min="14065" max="14065" width="11" style="95" customWidth="1"/>
    <col min="14066" max="14066" width="9.140625" style="95" customWidth="1"/>
    <col min="14067" max="14067" width="9.85546875" style="95" customWidth="1"/>
    <col min="14068" max="14071" width="0" style="95" hidden="1" customWidth="1"/>
    <col min="14072" max="14072" width="1.5703125" style="95" customWidth="1"/>
    <col min="14073" max="14075" width="0" style="95" hidden="1" customWidth="1"/>
    <col min="14076" max="14076" width="10.42578125" style="95" customWidth="1"/>
    <col min="14077" max="14078" width="11" style="95" customWidth="1"/>
    <col min="14079" max="14079" width="9.42578125" style="95" customWidth="1"/>
    <col min="14080" max="14080" width="10" style="95" customWidth="1"/>
    <col min="14081" max="14081" width="11" style="95" customWidth="1"/>
    <col min="14082" max="14082" width="9.5703125" style="95" customWidth="1"/>
    <col min="14083" max="14083" width="10.140625" style="95" customWidth="1"/>
    <col min="14084" max="14123" width="10.7109375" style="95" customWidth="1"/>
    <col min="14124" max="14124" width="1.85546875" style="95" bestFit="1" customWidth="1"/>
    <col min="14125" max="14125" width="34.5703125" style="95" bestFit="1" customWidth="1"/>
    <col min="14126" max="14127" width="10.7109375" style="95" customWidth="1"/>
    <col min="14128" max="14128" width="2.7109375" style="95" bestFit="1" customWidth="1"/>
    <col min="14129" max="14129" width="11.5703125" style="95" bestFit="1" customWidth="1"/>
    <col min="14130" max="14306" width="10.7109375" style="95"/>
    <col min="14307" max="14307" width="5.28515625" style="95" customWidth="1"/>
    <col min="14308" max="14308" width="6.42578125" style="95" customWidth="1"/>
    <col min="14309" max="14309" width="22" style="95" customWidth="1"/>
    <col min="14310" max="14310" width="7.5703125" style="95" bestFit="1" customWidth="1"/>
    <col min="14311" max="14311" width="4.42578125" style="95" customWidth="1"/>
    <col min="14312" max="14312" width="7.42578125" style="95" bestFit="1" customWidth="1"/>
    <col min="14313" max="14313" width="2.85546875" style="95" bestFit="1" customWidth="1"/>
    <col min="14314" max="14314" width="7" style="95" bestFit="1" customWidth="1"/>
    <col min="14315" max="14315" width="5.7109375" style="95" bestFit="1" customWidth="1"/>
    <col min="14316" max="14316" width="7.85546875" style="95" bestFit="1" customWidth="1"/>
    <col min="14317" max="14318" width="0" style="95" hidden="1" customWidth="1"/>
    <col min="14319" max="14319" width="12.5703125" style="95" customWidth="1"/>
    <col min="14320" max="14320" width="0" style="95" hidden="1" customWidth="1"/>
    <col min="14321" max="14321" width="11" style="95" customWidth="1"/>
    <col min="14322" max="14322" width="9.140625" style="95" customWidth="1"/>
    <col min="14323" max="14323" width="9.85546875" style="95" customWidth="1"/>
    <col min="14324" max="14327" width="0" style="95" hidden="1" customWidth="1"/>
    <col min="14328" max="14328" width="1.5703125" style="95" customWidth="1"/>
    <col min="14329" max="14331" width="0" style="95" hidden="1" customWidth="1"/>
    <col min="14332" max="14332" width="10.42578125" style="95" customWidth="1"/>
    <col min="14333" max="14334" width="11" style="95" customWidth="1"/>
    <col min="14335" max="14335" width="9.42578125" style="95" customWidth="1"/>
    <col min="14336" max="14336" width="10" style="95" customWidth="1"/>
    <col min="14337" max="14337" width="11" style="95" customWidth="1"/>
    <col min="14338" max="14338" width="9.5703125" style="95" customWidth="1"/>
    <col min="14339" max="14339" width="10.140625" style="95" customWidth="1"/>
    <col min="14340" max="14379" width="10.7109375" style="95" customWidth="1"/>
    <col min="14380" max="14380" width="1.85546875" style="95" bestFit="1" customWidth="1"/>
    <col min="14381" max="14381" width="34.5703125" style="95" bestFit="1" customWidth="1"/>
    <col min="14382" max="14383" width="10.7109375" style="95" customWidth="1"/>
    <col min="14384" max="14384" width="2.7109375" style="95" bestFit="1" customWidth="1"/>
    <col min="14385" max="14385" width="11.5703125" style="95" bestFit="1" customWidth="1"/>
    <col min="14386" max="14562" width="10.7109375" style="95"/>
    <col min="14563" max="14563" width="5.28515625" style="95" customWidth="1"/>
    <col min="14564" max="14564" width="6.42578125" style="95" customWidth="1"/>
    <col min="14565" max="14565" width="22" style="95" customWidth="1"/>
    <col min="14566" max="14566" width="7.5703125" style="95" bestFit="1" customWidth="1"/>
    <col min="14567" max="14567" width="4.42578125" style="95" customWidth="1"/>
    <col min="14568" max="14568" width="7.42578125" style="95" bestFit="1" customWidth="1"/>
    <col min="14569" max="14569" width="2.85546875" style="95" bestFit="1" customWidth="1"/>
    <col min="14570" max="14570" width="7" style="95" bestFit="1" customWidth="1"/>
    <col min="14571" max="14571" width="5.7109375" style="95" bestFit="1" customWidth="1"/>
    <col min="14572" max="14572" width="7.85546875" style="95" bestFit="1" customWidth="1"/>
    <col min="14573" max="14574" width="0" style="95" hidden="1" customWidth="1"/>
    <col min="14575" max="14575" width="12.5703125" style="95" customWidth="1"/>
    <col min="14576" max="14576" width="0" style="95" hidden="1" customWidth="1"/>
    <col min="14577" max="14577" width="11" style="95" customWidth="1"/>
    <col min="14578" max="14578" width="9.140625" style="95" customWidth="1"/>
    <col min="14579" max="14579" width="9.85546875" style="95" customWidth="1"/>
    <col min="14580" max="14583" width="0" style="95" hidden="1" customWidth="1"/>
    <col min="14584" max="14584" width="1.5703125" style="95" customWidth="1"/>
    <col min="14585" max="14587" width="0" style="95" hidden="1" customWidth="1"/>
    <col min="14588" max="14588" width="10.42578125" style="95" customWidth="1"/>
    <col min="14589" max="14590" width="11" style="95" customWidth="1"/>
    <col min="14591" max="14591" width="9.42578125" style="95" customWidth="1"/>
    <col min="14592" max="14592" width="10" style="95" customWidth="1"/>
    <col min="14593" max="14593" width="11" style="95" customWidth="1"/>
    <col min="14594" max="14594" width="9.5703125" style="95" customWidth="1"/>
    <col min="14595" max="14595" width="10.140625" style="95" customWidth="1"/>
    <col min="14596" max="14635" width="10.7109375" style="95" customWidth="1"/>
    <col min="14636" max="14636" width="1.85546875" style="95" bestFit="1" customWidth="1"/>
    <col min="14637" max="14637" width="34.5703125" style="95" bestFit="1" customWidth="1"/>
    <col min="14638" max="14639" width="10.7109375" style="95" customWidth="1"/>
    <col min="14640" max="14640" width="2.7109375" style="95" bestFit="1" customWidth="1"/>
    <col min="14641" max="14641" width="11.5703125" style="95" bestFit="1" customWidth="1"/>
    <col min="14642" max="14818" width="10.7109375" style="95"/>
    <col min="14819" max="14819" width="5.28515625" style="95" customWidth="1"/>
    <col min="14820" max="14820" width="6.42578125" style="95" customWidth="1"/>
    <col min="14821" max="14821" width="22" style="95" customWidth="1"/>
    <col min="14822" max="14822" width="7.5703125" style="95" bestFit="1" customWidth="1"/>
    <col min="14823" max="14823" width="4.42578125" style="95" customWidth="1"/>
    <col min="14824" max="14824" width="7.42578125" style="95" bestFit="1" customWidth="1"/>
    <col min="14825" max="14825" width="2.85546875" style="95" bestFit="1" customWidth="1"/>
    <col min="14826" max="14826" width="7" style="95" bestFit="1" customWidth="1"/>
    <col min="14827" max="14827" width="5.7109375" style="95" bestFit="1" customWidth="1"/>
    <col min="14828" max="14828" width="7.85546875" style="95" bestFit="1" customWidth="1"/>
    <col min="14829" max="14830" width="0" style="95" hidden="1" customWidth="1"/>
    <col min="14831" max="14831" width="12.5703125" style="95" customWidth="1"/>
    <col min="14832" max="14832" width="0" style="95" hidden="1" customWidth="1"/>
    <col min="14833" max="14833" width="11" style="95" customWidth="1"/>
    <col min="14834" max="14834" width="9.140625" style="95" customWidth="1"/>
    <col min="14835" max="14835" width="9.85546875" style="95" customWidth="1"/>
    <col min="14836" max="14839" width="0" style="95" hidden="1" customWidth="1"/>
    <col min="14840" max="14840" width="1.5703125" style="95" customWidth="1"/>
    <col min="14841" max="14843" width="0" style="95" hidden="1" customWidth="1"/>
    <col min="14844" max="14844" width="10.42578125" style="95" customWidth="1"/>
    <col min="14845" max="14846" width="11" style="95" customWidth="1"/>
    <col min="14847" max="14847" width="9.42578125" style="95" customWidth="1"/>
    <col min="14848" max="14848" width="10" style="95" customWidth="1"/>
    <col min="14849" max="14849" width="11" style="95" customWidth="1"/>
    <col min="14850" max="14850" width="9.5703125" style="95" customWidth="1"/>
    <col min="14851" max="14851" width="10.140625" style="95" customWidth="1"/>
    <col min="14852" max="14891" width="10.7109375" style="95" customWidth="1"/>
    <col min="14892" max="14892" width="1.85546875" style="95" bestFit="1" customWidth="1"/>
    <col min="14893" max="14893" width="34.5703125" style="95" bestFit="1" customWidth="1"/>
    <col min="14894" max="14895" width="10.7109375" style="95" customWidth="1"/>
    <col min="14896" max="14896" width="2.7109375" style="95" bestFit="1" customWidth="1"/>
    <col min="14897" max="14897" width="11.5703125" style="95" bestFit="1" customWidth="1"/>
    <col min="14898" max="15074" width="10.7109375" style="95"/>
    <col min="15075" max="15075" width="5.28515625" style="95" customWidth="1"/>
    <col min="15076" max="15076" width="6.42578125" style="95" customWidth="1"/>
    <col min="15077" max="15077" width="22" style="95" customWidth="1"/>
    <col min="15078" max="15078" width="7.5703125" style="95" bestFit="1" customWidth="1"/>
    <col min="15079" max="15079" width="4.42578125" style="95" customWidth="1"/>
    <col min="15080" max="15080" width="7.42578125" style="95" bestFit="1" customWidth="1"/>
    <col min="15081" max="15081" width="2.85546875" style="95" bestFit="1" customWidth="1"/>
    <col min="15082" max="15082" width="7" style="95" bestFit="1" customWidth="1"/>
    <col min="15083" max="15083" width="5.7109375" style="95" bestFit="1" customWidth="1"/>
    <col min="15084" max="15084" width="7.85546875" style="95" bestFit="1" customWidth="1"/>
    <col min="15085" max="15086" width="0" style="95" hidden="1" customWidth="1"/>
    <col min="15087" max="15087" width="12.5703125" style="95" customWidth="1"/>
    <col min="15088" max="15088" width="0" style="95" hidden="1" customWidth="1"/>
    <col min="15089" max="15089" width="11" style="95" customWidth="1"/>
    <col min="15090" max="15090" width="9.140625" style="95" customWidth="1"/>
    <col min="15091" max="15091" width="9.85546875" style="95" customWidth="1"/>
    <col min="15092" max="15095" width="0" style="95" hidden="1" customWidth="1"/>
    <col min="15096" max="15096" width="1.5703125" style="95" customWidth="1"/>
    <col min="15097" max="15099" width="0" style="95" hidden="1" customWidth="1"/>
    <col min="15100" max="15100" width="10.42578125" style="95" customWidth="1"/>
    <col min="15101" max="15102" width="11" style="95" customWidth="1"/>
    <col min="15103" max="15103" width="9.42578125" style="95" customWidth="1"/>
    <col min="15104" max="15104" width="10" style="95" customWidth="1"/>
    <col min="15105" max="15105" width="11" style="95" customWidth="1"/>
    <col min="15106" max="15106" width="9.5703125" style="95" customWidth="1"/>
    <col min="15107" max="15107" width="10.140625" style="95" customWidth="1"/>
    <col min="15108" max="15147" width="10.7109375" style="95" customWidth="1"/>
    <col min="15148" max="15148" width="1.85546875" style="95" bestFit="1" customWidth="1"/>
    <col min="15149" max="15149" width="34.5703125" style="95" bestFit="1" customWidth="1"/>
    <col min="15150" max="15151" width="10.7109375" style="95" customWidth="1"/>
    <col min="15152" max="15152" width="2.7109375" style="95" bestFit="1" customWidth="1"/>
    <col min="15153" max="15153" width="11.5703125" style="95" bestFit="1" customWidth="1"/>
    <col min="15154" max="15330" width="10.7109375" style="95"/>
    <col min="15331" max="15331" width="5.28515625" style="95" customWidth="1"/>
    <col min="15332" max="15332" width="6.42578125" style="95" customWidth="1"/>
    <col min="15333" max="15333" width="22" style="95" customWidth="1"/>
    <col min="15334" max="15334" width="7.5703125" style="95" bestFit="1" customWidth="1"/>
    <col min="15335" max="15335" width="4.42578125" style="95" customWidth="1"/>
    <col min="15336" max="15336" width="7.42578125" style="95" bestFit="1" customWidth="1"/>
    <col min="15337" max="15337" width="2.85546875" style="95" bestFit="1" customWidth="1"/>
    <col min="15338" max="15338" width="7" style="95" bestFit="1" customWidth="1"/>
    <col min="15339" max="15339" width="5.7109375" style="95" bestFit="1" customWidth="1"/>
    <col min="15340" max="15340" width="7.85546875" style="95" bestFit="1" customWidth="1"/>
    <col min="15341" max="15342" width="0" style="95" hidden="1" customWidth="1"/>
    <col min="15343" max="15343" width="12.5703125" style="95" customWidth="1"/>
    <col min="15344" max="15344" width="0" style="95" hidden="1" customWidth="1"/>
    <col min="15345" max="15345" width="11" style="95" customWidth="1"/>
    <col min="15346" max="15346" width="9.140625" style="95" customWidth="1"/>
    <col min="15347" max="15347" width="9.85546875" style="95" customWidth="1"/>
    <col min="15348" max="15351" width="0" style="95" hidden="1" customWidth="1"/>
    <col min="15352" max="15352" width="1.5703125" style="95" customWidth="1"/>
    <col min="15353" max="15355" width="0" style="95" hidden="1" customWidth="1"/>
    <col min="15356" max="15356" width="10.42578125" style="95" customWidth="1"/>
    <col min="15357" max="15358" width="11" style="95" customWidth="1"/>
    <col min="15359" max="15359" width="9.42578125" style="95" customWidth="1"/>
    <col min="15360" max="15360" width="10" style="95" customWidth="1"/>
    <col min="15361" max="15361" width="11" style="95" customWidth="1"/>
    <col min="15362" max="15362" width="9.5703125" style="95" customWidth="1"/>
    <col min="15363" max="15363" width="10.140625" style="95" customWidth="1"/>
    <col min="15364" max="15403" width="10.7109375" style="95" customWidth="1"/>
    <col min="15404" max="15404" width="1.85546875" style="95" bestFit="1" customWidth="1"/>
    <col min="15405" max="15405" width="34.5703125" style="95" bestFit="1" customWidth="1"/>
    <col min="15406" max="15407" width="10.7109375" style="95" customWidth="1"/>
    <col min="15408" max="15408" width="2.7109375" style="95" bestFit="1" customWidth="1"/>
    <col min="15409" max="15409" width="11.5703125" style="95" bestFit="1" customWidth="1"/>
    <col min="15410" max="15586" width="10.7109375" style="95"/>
    <col min="15587" max="15587" width="5.28515625" style="95" customWidth="1"/>
    <col min="15588" max="15588" width="6.42578125" style="95" customWidth="1"/>
    <col min="15589" max="15589" width="22" style="95" customWidth="1"/>
    <col min="15590" max="15590" width="7.5703125" style="95" bestFit="1" customWidth="1"/>
    <col min="15591" max="15591" width="4.42578125" style="95" customWidth="1"/>
    <col min="15592" max="15592" width="7.42578125" style="95" bestFit="1" customWidth="1"/>
    <col min="15593" max="15593" width="2.85546875" style="95" bestFit="1" customWidth="1"/>
    <col min="15594" max="15594" width="7" style="95" bestFit="1" customWidth="1"/>
    <col min="15595" max="15595" width="5.7109375" style="95" bestFit="1" customWidth="1"/>
    <col min="15596" max="15596" width="7.85546875" style="95" bestFit="1" customWidth="1"/>
    <col min="15597" max="15598" width="0" style="95" hidden="1" customWidth="1"/>
    <col min="15599" max="15599" width="12.5703125" style="95" customWidth="1"/>
    <col min="15600" max="15600" width="0" style="95" hidden="1" customWidth="1"/>
    <col min="15601" max="15601" width="11" style="95" customWidth="1"/>
    <col min="15602" max="15602" width="9.140625" style="95" customWidth="1"/>
    <col min="15603" max="15603" width="9.85546875" style="95" customWidth="1"/>
    <col min="15604" max="15607" width="0" style="95" hidden="1" customWidth="1"/>
    <col min="15608" max="15608" width="1.5703125" style="95" customWidth="1"/>
    <col min="15609" max="15611" width="0" style="95" hidden="1" customWidth="1"/>
    <col min="15612" max="15612" width="10.42578125" style="95" customWidth="1"/>
    <col min="15613" max="15614" width="11" style="95" customWidth="1"/>
    <col min="15615" max="15615" width="9.42578125" style="95" customWidth="1"/>
    <col min="15616" max="15616" width="10" style="95" customWidth="1"/>
    <col min="15617" max="15617" width="11" style="95" customWidth="1"/>
    <col min="15618" max="15618" width="9.5703125" style="95" customWidth="1"/>
    <col min="15619" max="15619" width="10.140625" style="95" customWidth="1"/>
    <col min="15620" max="15659" width="10.7109375" style="95" customWidth="1"/>
    <col min="15660" max="15660" width="1.85546875" style="95" bestFit="1" customWidth="1"/>
    <col min="15661" max="15661" width="34.5703125" style="95" bestFit="1" customWidth="1"/>
    <col min="15662" max="15663" width="10.7109375" style="95" customWidth="1"/>
    <col min="15664" max="15664" width="2.7109375" style="95" bestFit="1" customWidth="1"/>
    <col min="15665" max="15665" width="11.5703125" style="95" bestFit="1" customWidth="1"/>
    <col min="15666" max="15842" width="10.7109375" style="95"/>
    <col min="15843" max="15843" width="5.28515625" style="95" customWidth="1"/>
    <col min="15844" max="15844" width="6.42578125" style="95" customWidth="1"/>
    <col min="15845" max="15845" width="22" style="95" customWidth="1"/>
    <col min="15846" max="15846" width="7.5703125" style="95" bestFit="1" customWidth="1"/>
    <col min="15847" max="15847" width="4.42578125" style="95" customWidth="1"/>
    <col min="15848" max="15848" width="7.42578125" style="95" bestFit="1" customWidth="1"/>
    <col min="15849" max="15849" width="2.85546875" style="95" bestFit="1" customWidth="1"/>
    <col min="15850" max="15850" width="7" style="95" bestFit="1" customWidth="1"/>
    <col min="15851" max="15851" width="5.7109375" style="95" bestFit="1" customWidth="1"/>
    <col min="15852" max="15852" width="7.85546875" style="95" bestFit="1" customWidth="1"/>
    <col min="15853" max="15854" width="0" style="95" hidden="1" customWidth="1"/>
    <col min="15855" max="15855" width="12.5703125" style="95" customWidth="1"/>
    <col min="15856" max="15856" width="0" style="95" hidden="1" customWidth="1"/>
    <col min="15857" max="15857" width="11" style="95" customWidth="1"/>
    <col min="15858" max="15858" width="9.140625" style="95" customWidth="1"/>
    <col min="15859" max="15859" width="9.85546875" style="95" customWidth="1"/>
    <col min="15860" max="15863" width="0" style="95" hidden="1" customWidth="1"/>
    <col min="15864" max="15864" width="1.5703125" style="95" customWidth="1"/>
    <col min="15865" max="15867" width="0" style="95" hidden="1" customWidth="1"/>
    <col min="15868" max="15868" width="10.42578125" style="95" customWidth="1"/>
    <col min="15869" max="15870" width="11" style="95" customWidth="1"/>
    <col min="15871" max="15871" width="9.42578125" style="95" customWidth="1"/>
    <col min="15872" max="15872" width="10" style="95" customWidth="1"/>
    <col min="15873" max="15873" width="11" style="95" customWidth="1"/>
    <col min="15874" max="15874" width="9.5703125" style="95" customWidth="1"/>
    <col min="15875" max="15875" width="10.140625" style="95" customWidth="1"/>
    <col min="15876" max="15915" width="10.7109375" style="95" customWidth="1"/>
    <col min="15916" max="15916" width="1.85546875" style="95" bestFit="1" customWidth="1"/>
    <col min="15917" max="15917" width="34.5703125" style="95" bestFit="1" customWidth="1"/>
    <col min="15918" max="15919" width="10.7109375" style="95" customWidth="1"/>
    <col min="15920" max="15920" width="2.7109375" style="95" bestFit="1" customWidth="1"/>
    <col min="15921" max="15921" width="11.5703125" style="95" bestFit="1" customWidth="1"/>
    <col min="15922" max="16098" width="10.7109375" style="95"/>
    <col min="16099" max="16099" width="5.28515625" style="95" customWidth="1"/>
    <col min="16100" max="16100" width="6.42578125" style="95" customWidth="1"/>
    <col min="16101" max="16101" width="22" style="95" customWidth="1"/>
    <col min="16102" max="16102" width="7.5703125" style="95" bestFit="1" customWidth="1"/>
    <col min="16103" max="16103" width="4.42578125" style="95" customWidth="1"/>
    <col min="16104" max="16104" width="7.42578125" style="95" bestFit="1" customWidth="1"/>
    <col min="16105" max="16105" width="2.85546875" style="95" bestFit="1" customWidth="1"/>
    <col min="16106" max="16106" width="7" style="95" bestFit="1" customWidth="1"/>
    <col min="16107" max="16107" width="5.7109375" style="95" bestFit="1" customWidth="1"/>
    <col min="16108" max="16108" width="7.85546875" style="95" bestFit="1" customWidth="1"/>
    <col min="16109" max="16110" width="0" style="95" hidden="1" customWidth="1"/>
    <col min="16111" max="16111" width="12.5703125" style="95" customWidth="1"/>
    <col min="16112" max="16112" width="0" style="95" hidden="1" customWidth="1"/>
    <col min="16113" max="16113" width="11" style="95" customWidth="1"/>
    <col min="16114" max="16114" width="9.140625" style="95" customWidth="1"/>
    <col min="16115" max="16115" width="9.85546875" style="95" customWidth="1"/>
    <col min="16116" max="16119" width="0" style="95" hidden="1" customWidth="1"/>
    <col min="16120" max="16120" width="1.5703125" style="95" customWidth="1"/>
    <col min="16121" max="16123" width="0" style="95" hidden="1" customWidth="1"/>
    <col min="16124" max="16124" width="10.42578125" style="95" customWidth="1"/>
    <col min="16125" max="16126" width="11" style="95" customWidth="1"/>
    <col min="16127" max="16127" width="9.42578125" style="95" customWidth="1"/>
    <col min="16128" max="16128" width="10" style="95" customWidth="1"/>
    <col min="16129" max="16129" width="11" style="95" customWidth="1"/>
    <col min="16130" max="16130" width="9.5703125" style="95" customWidth="1"/>
    <col min="16131" max="16131" width="10.140625" style="95" customWidth="1"/>
    <col min="16132" max="16171" width="10.7109375" style="95" customWidth="1"/>
    <col min="16172" max="16172" width="1.85546875" style="95" bestFit="1" customWidth="1"/>
    <col min="16173" max="16173" width="34.5703125" style="95" bestFit="1" customWidth="1"/>
    <col min="16174" max="16175" width="10.7109375" style="95" customWidth="1"/>
    <col min="16176" max="16176" width="2.7109375" style="95" bestFit="1" customWidth="1"/>
    <col min="16177" max="16177" width="11.5703125" style="95" bestFit="1" customWidth="1"/>
    <col min="16178" max="16384" width="10.7109375" style="95"/>
  </cols>
  <sheetData>
    <row r="1" spans="1:49">
      <c r="B1" s="96" t="s">
        <v>33</v>
      </c>
      <c r="F1" s="407"/>
      <c r="G1" s="407"/>
    </row>
    <row r="2" spans="1:49">
      <c r="B2" s="96" t="s">
        <v>34</v>
      </c>
      <c r="F2" s="407"/>
      <c r="G2" s="407"/>
      <c r="N2" s="92">
        <f>+'Truck Depr - w Salvage '!N2</f>
        <v>1</v>
      </c>
      <c r="O2" s="98" t="s">
        <v>1206</v>
      </c>
    </row>
    <row r="3" spans="1:49">
      <c r="B3" s="406">
        <f>'2120 Depr Summary'!H8</f>
        <v>44926</v>
      </c>
      <c r="C3" s="406"/>
      <c r="N3" s="92">
        <f>+'Truck Depr - w Salvage '!N3</f>
        <v>12</v>
      </c>
      <c r="O3" s="98" t="s">
        <v>1207</v>
      </c>
    </row>
    <row r="4" spans="1:49" ht="11.25" customHeight="1">
      <c r="D4" s="31"/>
      <c r="E4" s="164"/>
      <c r="N4" s="92">
        <f>+'Truck Depr - w Salvage '!N4</f>
        <v>2022</v>
      </c>
      <c r="O4" s="98" t="s">
        <v>349</v>
      </c>
      <c r="AV4" s="95">
        <v>12</v>
      </c>
      <c r="AW4" s="95" t="s">
        <v>44</v>
      </c>
    </row>
    <row r="5" spans="1:49" ht="11.25" customHeight="1">
      <c r="D5" s="31"/>
      <c r="E5" s="1"/>
      <c r="N5" s="92">
        <f>+'Truck Depr - w Salvage '!N5</f>
        <v>2022</v>
      </c>
      <c r="O5" s="98" t="s">
        <v>45</v>
      </c>
      <c r="AV5" s="95">
        <v>0</v>
      </c>
      <c r="AW5" s="95" t="s">
        <v>48</v>
      </c>
    </row>
    <row r="6" spans="1:49">
      <c r="D6" s="1"/>
      <c r="E6" s="1"/>
      <c r="N6" s="392">
        <f>+'Truck Depr - w Salvage '!N6</f>
        <v>2023</v>
      </c>
      <c r="O6" s="98" t="s">
        <v>1208</v>
      </c>
      <c r="AV6" s="95">
        <v>93</v>
      </c>
      <c r="AW6" s="95" t="s">
        <v>40</v>
      </c>
    </row>
    <row r="7" spans="1:49">
      <c r="N7" s="392">
        <f>+'Truck Depr - w Salvage '!N7</f>
        <v>2022.0833333333333</v>
      </c>
      <c r="O7" s="98" t="s">
        <v>1209</v>
      </c>
      <c r="AV7" s="95">
        <v>94</v>
      </c>
      <c r="AW7" s="95" t="s">
        <v>53</v>
      </c>
    </row>
    <row r="8" spans="1:49">
      <c r="C8" s="99"/>
      <c r="D8" s="99"/>
      <c r="E8" s="99"/>
      <c r="F8" s="99"/>
      <c r="G8" s="102"/>
      <c r="H8" s="99"/>
      <c r="I8" s="99"/>
      <c r="J8" s="103"/>
      <c r="R8" s="98" t="s">
        <v>2</v>
      </c>
      <c r="S8" s="98" t="s">
        <v>55</v>
      </c>
    </row>
    <row r="9" spans="1:49" s="1" customFormat="1">
      <c r="B9" s="12"/>
      <c r="C9" s="12" t="s">
        <v>17</v>
      </c>
      <c r="D9" s="15"/>
      <c r="E9" s="12" t="s">
        <v>57</v>
      </c>
      <c r="F9" s="12"/>
      <c r="G9" s="16" t="s">
        <v>7</v>
      </c>
      <c r="H9" s="12" t="s">
        <v>17</v>
      </c>
      <c r="I9" s="12"/>
      <c r="J9" s="17" t="s">
        <v>58</v>
      </c>
      <c r="K9" s="12" t="s">
        <v>343</v>
      </c>
      <c r="L9" s="18" t="s">
        <v>17</v>
      </c>
      <c r="M9" s="18" t="s">
        <v>17</v>
      </c>
      <c r="N9" s="18"/>
      <c r="O9" s="18"/>
      <c r="P9" s="18"/>
      <c r="Q9" s="18"/>
      <c r="R9" s="18" t="s">
        <v>61</v>
      </c>
      <c r="S9" s="18" t="s">
        <v>61</v>
      </c>
      <c r="T9" s="18" t="s">
        <v>4</v>
      </c>
    </row>
    <row r="10" spans="1:49" s="1" customFormat="1">
      <c r="B10" s="12"/>
      <c r="C10" s="12"/>
      <c r="D10" s="15"/>
      <c r="E10" s="12" t="s">
        <v>65</v>
      </c>
      <c r="F10" s="12"/>
      <c r="G10" s="16" t="s">
        <v>66</v>
      </c>
      <c r="H10" s="12" t="s">
        <v>67</v>
      </c>
      <c r="I10" s="12" t="s">
        <v>68</v>
      </c>
      <c r="J10" s="17" t="s">
        <v>69</v>
      </c>
      <c r="K10" s="12" t="s">
        <v>344</v>
      </c>
      <c r="L10" s="18" t="s">
        <v>59</v>
      </c>
      <c r="M10" s="18" t="s">
        <v>8</v>
      </c>
      <c r="N10" s="18" t="s">
        <v>71</v>
      </c>
      <c r="O10" s="18" t="s">
        <v>304</v>
      </c>
      <c r="P10" s="18" t="s">
        <v>73</v>
      </c>
      <c r="Q10" s="18"/>
      <c r="R10" s="18" t="s">
        <v>76</v>
      </c>
      <c r="S10" s="18" t="s">
        <v>76</v>
      </c>
      <c r="T10" s="18" t="s">
        <v>11</v>
      </c>
    </row>
    <row r="11" spans="1:49" s="1" customFormat="1">
      <c r="A11" s="19" t="s">
        <v>81</v>
      </c>
      <c r="B11" s="19" t="s">
        <v>81</v>
      </c>
      <c r="C11" s="19" t="s">
        <v>339</v>
      </c>
      <c r="D11" s="20" t="s">
        <v>84</v>
      </c>
      <c r="E11" s="19" t="s">
        <v>58</v>
      </c>
      <c r="F11" s="19" t="s">
        <v>85</v>
      </c>
      <c r="G11" s="21" t="s">
        <v>60</v>
      </c>
      <c r="H11" s="19" t="s">
        <v>87</v>
      </c>
      <c r="I11" s="19" t="s">
        <v>88</v>
      </c>
      <c r="J11" s="22" t="s">
        <v>8</v>
      </c>
      <c r="K11" s="19" t="s">
        <v>8</v>
      </c>
      <c r="L11" s="24" t="s">
        <v>6</v>
      </c>
      <c r="M11" s="24" t="s">
        <v>6</v>
      </c>
      <c r="N11" s="24" t="s">
        <v>8</v>
      </c>
      <c r="O11" s="24" t="s">
        <v>8</v>
      </c>
      <c r="P11" s="24" t="s">
        <v>89</v>
      </c>
      <c r="Q11" s="24"/>
      <c r="R11" s="162">
        <f>'2120 Depr Summary'!F8</f>
        <v>44562</v>
      </c>
      <c r="S11" s="162">
        <f>+B3</f>
        <v>44926</v>
      </c>
      <c r="T11" s="162">
        <f>+B3</f>
        <v>44926</v>
      </c>
    </row>
    <row r="12" spans="1:49" s="1" customFormat="1">
      <c r="D12" s="15" t="s">
        <v>139</v>
      </c>
      <c r="E12" s="10"/>
      <c r="I12" s="10"/>
      <c r="J12" s="4"/>
      <c r="K12" s="23"/>
      <c r="L12" s="38"/>
      <c r="M12" s="38"/>
      <c r="N12" s="38"/>
      <c r="O12" s="38"/>
      <c r="P12" s="38"/>
      <c r="Q12" s="38"/>
      <c r="R12" s="38"/>
      <c r="S12" s="38"/>
      <c r="T12" s="38"/>
    </row>
    <row r="13" spans="1:49" s="1" customFormat="1" ht="13.5" customHeight="1">
      <c r="C13" s="1">
        <v>10</v>
      </c>
      <c r="D13" s="27" t="s">
        <v>140</v>
      </c>
      <c r="E13" s="10">
        <v>1981</v>
      </c>
      <c r="F13" s="1">
        <v>9</v>
      </c>
      <c r="G13" s="50">
        <v>0</v>
      </c>
      <c r="H13" s="10" t="s">
        <v>92</v>
      </c>
      <c r="I13" s="10">
        <v>10</v>
      </c>
      <c r="J13" s="4">
        <f t="shared" ref="J13:J44" si="0">E13+I13</f>
        <v>1991</v>
      </c>
      <c r="K13" s="145">
        <f t="shared" ref="K13:K44" si="1">+J13+(F13/12)</f>
        <v>1991.75</v>
      </c>
      <c r="L13" s="29">
        <v>3369.97</v>
      </c>
      <c r="M13" s="29">
        <f t="shared" ref="M13:M44" si="2">L13-L13*G13</f>
        <v>3369.97</v>
      </c>
      <c r="N13" s="29">
        <f t="shared" ref="N13" si="3">M13/I13/12</f>
        <v>28.083083333333331</v>
      </c>
      <c r="O13" s="29">
        <f>+N13*12</f>
        <v>336.99699999999996</v>
      </c>
      <c r="P13" s="29">
        <f>+IF($K13&lt;$N$7,0,IF($K13&gt;$N$6,$O13,((($K13-$N$7)*12)*$N13)))</f>
        <v>0</v>
      </c>
      <c r="Q13" s="29"/>
      <c r="R13" s="29">
        <f>+IF($K13&lt;=$N$7,$L13,IF(($E13+($F13/12))&gt;=$N$7,0,((($M13-((($K13-$N$7)*12)*$N13))))))</f>
        <v>3369.97</v>
      </c>
      <c r="S13" s="29">
        <f>+IF(P13=0,R13,R13+P13)</f>
        <v>3369.97</v>
      </c>
      <c r="T13" s="29">
        <f>+L13-S13</f>
        <v>0</v>
      </c>
    </row>
    <row r="14" spans="1:49" s="1" customFormat="1" ht="13.5" customHeight="1">
      <c r="C14" s="1">
        <v>4</v>
      </c>
      <c r="D14" s="27" t="s">
        <v>141</v>
      </c>
      <c r="E14" s="10">
        <v>1982</v>
      </c>
      <c r="F14" s="1">
        <v>6</v>
      </c>
      <c r="G14" s="50">
        <v>0</v>
      </c>
      <c r="H14" s="10" t="s">
        <v>92</v>
      </c>
      <c r="I14" s="10">
        <v>7</v>
      </c>
      <c r="J14" s="4">
        <f t="shared" si="0"/>
        <v>1989</v>
      </c>
      <c r="K14" s="145">
        <f t="shared" si="1"/>
        <v>1989.5</v>
      </c>
      <c r="L14" s="29">
        <v>1076.96</v>
      </c>
      <c r="M14" s="29">
        <f t="shared" si="2"/>
        <v>1076.96</v>
      </c>
      <c r="N14" s="29">
        <f t="shared" ref="N14:N77" si="4">M14/I14/12</f>
        <v>12.820952380952383</v>
      </c>
      <c r="O14" s="29">
        <f t="shared" ref="O14:O77" si="5">+N14*12</f>
        <v>153.85142857142858</v>
      </c>
      <c r="P14" s="29">
        <f t="shared" ref="P14:P77" si="6">+IF($K14&lt;$N$7,0,IF($K14&gt;$N$6,$O14,((($K14-$N$7)*12)*$N14)))</f>
        <v>0</v>
      </c>
      <c r="Q14" s="29"/>
      <c r="R14" s="29">
        <f t="shared" ref="R14:R77" si="7">+IF($K14&lt;=$N$7,$L14,IF(($E14+($F14/12))&gt;=$N$7,0,((($M14-((($K14-$N$7)*12)*$N14))))))</f>
        <v>1076.96</v>
      </c>
      <c r="S14" s="29">
        <f t="shared" ref="S14:S77" si="8">+IF(P14=0,R14,R14+P14)</f>
        <v>1076.96</v>
      </c>
      <c r="T14" s="29">
        <f t="shared" ref="T14:T77" si="9">+L14-S14</f>
        <v>0</v>
      </c>
    </row>
    <row r="15" spans="1:49" s="1" customFormat="1" ht="13.5" customHeight="1">
      <c r="C15" s="1">
        <v>12</v>
      </c>
      <c r="D15" s="27" t="s">
        <v>142</v>
      </c>
      <c r="E15" s="10">
        <v>1982</v>
      </c>
      <c r="F15" s="1">
        <v>11</v>
      </c>
      <c r="G15" s="50">
        <v>0</v>
      </c>
      <c r="H15" s="10" t="s">
        <v>92</v>
      </c>
      <c r="I15" s="10">
        <v>7</v>
      </c>
      <c r="J15" s="4">
        <f t="shared" si="0"/>
        <v>1989</v>
      </c>
      <c r="K15" s="145">
        <f t="shared" si="1"/>
        <v>1989.9166666666667</v>
      </c>
      <c r="L15" s="29">
        <v>3131</v>
      </c>
      <c r="M15" s="29">
        <f t="shared" si="2"/>
        <v>3131</v>
      </c>
      <c r="N15" s="29">
        <f t="shared" si="4"/>
        <v>37.273809523809526</v>
      </c>
      <c r="O15" s="29">
        <f t="shared" si="5"/>
        <v>447.28571428571433</v>
      </c>
      <c r="P15" s="29">
        <f t="shared" si="6"/>
        <v>0</v>
      </c>
      <c r="Q15" s="29"/>
      <c r="R15" s="29">
        <f t="shared" si="7"/>
        <v>3131</v>
      </c>
      <c r="S15" s="29">
        <f t="shared" si="8"/>
        <v>3131</v>
      </c>
      <c r="T15" s="29">
        <f t="shared" si="9"/>
        <v>0</v>
      </c>
    </row>
    <row r="16" spans="1:49" s="1" customFormat="1" ht="13.5" customHeight="1">
      <c r="C16" s="1">
        <v>1</v>
      </c>
      <c r="D16" s="27" t="s">
        <v>143</v>
      </c>
      <c r="E16" s="10">
        <v>1983</v>
      </c>
      <c r="F16" s="1">
        <v>9</v>
      </c>
      <c r="G16" s="50">
        <v>0</v>
      </c>
      <c r="H16" s="10" t="s">
        <v>92</v>
      </c>
      <c r="I16" s="10">
        <v>10</v>
      </c>
      <c r="J16" s="4">
        <f t="shared" si="0"/>
        <v>1993</v>
      </c>
      <c r="K16" s="145">
        <f t="shared" si="1"/>
        <v>1993.75</v>
      </c>
      <c r="L16" s="29">
        <v>2291</v>
      </c>
      <c r="M16" s="29">
        <f t="shared" si="2"/>
        <v>2291</v>
      </c>
      <c r="N16" s="29">
        <f t="shared" si="4"/>
        <v>19.091666666666665</v>
      </c>
      <c r="O16" s="29">
        <f t="shared" si="5"/>
        <v>229.09999999999997</v>
      </c>
      <c r="P16" s="29">
        <f t="shared" si="6"/>
        <v>0</v>
      </c>
      <c r="Q16" s="29"/>
      <c r="R16" s="29">
        <f t="shared" si="7"/>
        <v>2291</v>
      </c>
      <c r="S16" s="29">
        <f t="shared" si="8"/>
        <v>2291</v>
      </c>
      <c r="T16" s="29">
        <f t="shared" si="9"/>
        <v>0</v>
      </c>
    </row>
    <row r="17" spans="1:20" s="1" customFormat="1" ht="13.5" customHeight="1">
      <c r="D17" s="27" t="s">
        <v>143</v>
      </c>
      <c r="E17" s="10">
        <v>1983</v>
      </c>
      <c r="F17" s="1">
        <v>9</v>
      </c>
      <c r="G17" s="50">
        <v>0</v>
      </c>
      <c r="H17" s="10" t="s">
        <v>92</v>
      </c>
      <c r="I17" s="10">
        <v>10</v>
      </c>
      <c r="J17" s="4">
        <f t="shared" si="0"/>
        <v>1993</v>
      </c>
      <c r="K17" s="145">
        <f t="shared" si="1"/>
        <v>1993.75</v>
      </c>
      <c r="L17" s="29">
        <v>2290.84</v>
      </c>
      <c r="M17" s="29">
        <f t="shared" si="2"/>
        <v>2290.84</v>
      </c>
      <c r="N17" s="29">
        <f t="shared" si="4"/>
        <v>19.090333333333334</v>
      </c>
      <c r="O17" s="29">
        <f t="shared" si="5"/>
        <v>229.084</v>
      </c>
      <c r="P17" s="29">
        <f t="shared" si="6"/>
        <v>0</v>
      </c>
      <c r="Q17" s="29"/>
      <c r="R17" s="29">
        <f t="shared" si="7"/>
        <v>2290.84</v>
      </c>
      <c r="S17" s="29">
        <f t="shared" si="8"/>
        <v>2290.84</v>
      </c>
      <c r="T17" s="29">
        <f t="shared" si="9"/>
        <v>0</v>
      </c>
    </row>
    <row r="18" spans="1:20" s="1" customFormat="1" ht="13.5" customHeight="1">
      <c r="C18" s="1">
        <v>12</v>
      </c>
      <c r="D18" s="1" t="str">
        <f>D17</f>
        <v xml:space="preserve">Containers </v>
      </c>
      <c r="E18" s="10">
        <v>1984</v>
      </c>
      <c r="F18" s="1">
        <v>4</v>
      </c>
      <c r="G18" s="50">
        <v>0</v>
      </c>
      <c r="H18" s="10" t="s">
        <v>92</v>
      </c>
      <c r="I18" s="10">
        <v>10</v>
      </c>
      <c r="J18" s="4">
        <f t="shared" si="0"/>
        <v>1994</v>
      </c>
      <c r="K18" s="145">
        <f t="shared" si="1"/>
        <v>1994.3333333333333</v>
      </c>
      <c r="L18" s="29">
        <v>3369.97</v>
      </c>
      <c r="M18" s="29">
        <f t="shared" si="2"/>
        <v>3369.97</v>
      </c>
      <c r="N18" s="29">
        <f t="shared" si="4"/>
        <v>28.083083333333331</v>
      </c>
      <c r="O18" s="29">
        <f t="shared" si="5"/>
        <v>336.99699999999996</v>
      </c>
      <c r="P18" s="29">
        <f t="shared" si="6"/>
        <v>0</v>
      </c>
      <c r="Q18" s="29"/>
      <c r="R18" s="29">
        <f t="shared" si="7"/>
        <v>3369.97</v>
      </c>
      <c r="S18" s="29">
        <f t="shared" si="8"/>
        <v>3369.97</v>
      </c>
      <c r="T18" s="29">
        <f t="shared" si="9"/>
        <v>0</v>
      </c>
    </row>
    <row r="19" spans="1:20" s="1" customFormat="1" ht="13.5" customHeight="1">
      <c r="C19" s="1">
        <v>1</v>
      </c>
      <c r="D19" s="27" t="s">
        <v>144</v>
      </c>
      <c r="E19" s="10">
        <v>1984</v>
      </c>
      <c r="F19" s="1">
        <v>7</v>
      </c>
      <c r="G19" s="50">
        <v>0</v>
      </c>
      <c r="H19" s="10" t="s">
        <v>92</v>
      </c>
      <c r="I19" s="10">
        <v>10</v>
      </c>
      <c r="J19" s="4">
        <f t="shared" si="0"/>
        <v>1994</v>
      </c>
      <c r="K19" s="145">
        <f t="shared" si="1"/>
        <v>1994.5833333333333</v>
      </c>
      <c r="L19" s="29">
        <v>3612.77</v>
      </c>
      <c r="M19" s="29">
        <f t="shared" si="2"/>
        <v>3612.77</v>
      </c>
      <c r="N19" s="29">
        <f t="shared" si="4"/>
        <v>30.106416666666664</v>
      </c>
      <c r="O19" s="29">
        <f t="shared" si="5"/>
        <v>361.27699999999999</v>
      </c>
      <c r="P19" s="29">
        <f t="shared" si="6"/>
        <v>0</v>
      </c>
      <c r="Q19" s="29"/>
      <c r="R19" s="29">
        <f t="shared" si="7"/>
        <v>3612.77</v>
      </c>
      <c r="S19" s="29">
        <f t="shared" si="8"/>
        <v>3612.77</v>
      </c>
      <c r="T19" s="29">
        <f t="shared" si="9"/>
        <v>0</v>
      </c>
    </row>
    <row r="20" spans="1:20" s="1" customFormat="1" ht="13.5" customHeight="1">
      <c r="A20" s="1">
        <v>118262</v>
      </c>
      <c r="C20" s="1">
        <v>8</v>
      </c>
      <c r="D20" s="27" t="s">
        <v>145</v>
      </c>
      <c r="E20" s="10">
        <v>1985</v>
      </c>
      <c r="F20" s="1">
        <v>3</v>
      </c>
      <c r="G20" s="50">
        <v>0</v>
      </c>
      <c r="H20" s="10" t="s">
        <v>92</v>
      </c>
      <c r="I20" s="10">
        <v>10</v>
      </c>
      <c r="J20" s="4">
        <f t="shared" si="0"/>
        <v>1995</v>
      </c>
      <c r="K20" s="145">
        <f t="shared" si="1"/>
        <v>1995.25</v>
      </c>
      <c r="L20" s="29">
        <v>3229.62</v>
      </c>
      <c r="M20" s="29">
        <f t="shared" si="2"/>
        <v>3229.62</v>
      </c>
      <c r="N20" s="29">
        <f t="shared" si="4"/>
        <v>26.913499999999999</v>
      </c>
      <c r="O20" s="29">
        <f t="shared" si="5"/>
        <v>322.96199999999999</v>
      </c>
      <c r="P20" s="29">
        <f t="shared" si="6"/>
        <v>0</v>
      </c>
      <c r="Q20" s="29"/>
      <c r="R20" s="29">
        <f t="shared" si="7"/>
        <v>3229.62</v>
      </c>
      <c r="S20" s="29">
        <f t="shared" si="8"/>
        <v>3229.62</v>
      </c>
      <c r="T20" s="29">
        <f t="shared" si="9"/>
        <v>0</v>
      </c>
    </row>
    <row r="21" spans="1:20" s="1" customFormat="1" ht="13.5" customHeight="1">
      <c r="C21" s="1">
        <v>23</v>
      </c>
      <c r="D21" s="27" t="s">
        <v>146</v>
      </c>
      <c r="E21" s="10">
        <v>1985</v>
      </c>
      <c r="F21" s="1">
        <v>6</v>
      </c>
      <c r="G21" s="50">
        <v>0</v>
      </c>
      <c r="H21" s="10" t="s">
        <v>92</v>
      </c>
      <c r="I21" s="10">
        <v>5</v>
      </c>
      <c r="J21" s="4">
        <f t="shared" si="0"/>
        <v>1990</v>
      </c>
      <c r="K21" s="145">
        <f t="shared" si="1"/>
        <v>1990.5</v>
      </c>
      <c r="L21" s="29">
        <v>6882.4</v>
      </c>
      <c r="M21" s="29">
        <f t="shared" si="2"/>
        <v>6882.4</v>
      </c>
      <c r="N21" s="29">
        <f t="shared" si="4"/>
        <v>114.70666666666666</v>
      </c>
      <c r="O21" s="29">
        <f t="shared" si="5"/>
        <v>1376.48</v>
      </c>
      <c r="P21" s="29">
        <f t="shared" si="6"/>
        <v>0</v>
      </c>
      <c r="Q21" s="29"/>
      <c r="R21" s="29">
        <f t="shared" si="7"/>
        <v>6882.4</v>
      </c>
      <c r="S21" s="29">
        <f t="shared" si="8"/>
        <v>6882.4</v>
      </c>
      <c r="T21" s="29">
        <f t="shared" si="9"/>
        <v>0</v>
      </c>
    </row>
    <row r="22" spans="1:20" s="1" customFormat="1" ht="13.5" customHeight="1">
      <c r="C22" s="1">
        <v>2</v>
      </c>
      <c r="D22" s="27" t="s">
        <v>147</v>
      </c>
      <c r="E22" s="10">
        <v>1986</v>
      </c>
      <c r="F22" s="1">
        <v>3</v>
      </c>
      <c r="G22" s="50">
        <v>0</v>
      </c>
      <c r="H22" s="10" t="s">
        <v>92</v>
      </c>
      <c r="I22" s="10">
        <v>10</v>
      </c>
      <c r="J22" s="4">
        <f t="shared" si="0"/>
        <v>1996</v>
      </c>
      <c r="K22" s="145">
        <f t="shared" si="1"/>
        <v>1996.25</v>
      </c>
      <c r="L22" s="29">
        <v>668.36</v>
      </c>
      <c r="M22" s="29">
        <f t="shared" si="2"/>
        <v>668.36</v>
      </c>
      <c r="N22" s="29">
        <f t="shared" si="4"/>
        <v>5.5696666666666665</v>
      </c>
      <c r="O22" s="29">
        <f t="shared" si="5"/>
        <v>66.835999999999999</v>
      </c>
      <c r="P22" s="29">
        <f t="shared" si="6"/>
        <v>0</v>
      </c>
      <c r="Q22" s="29"/>
      <c r="R22" s="29">
        <f t="shared" si="7"/>
        <v>668.36</v>
      </c>
      <c r="S22" s="29">
        <f t="shared" si="8"/>
        <v>668.36</v>
      </c>
      <c r="T22" s="29">
        <f t="shared" si="9"/>
        <v>0</v>
      </c>
    </row>
    <row r="23" spans="1:20" s="1" customFormat="1" ht="13.5" customHeight="1">
      <c r="C23" s="1">
        <v>4</v>
      </c>
      <c r="D23" s="27" t="s">
        <v>141</v>
      </c>
      <c r="E23" s="10">
        <v>1986</v>
      </c>
      <c r="F23" s="1">
        <v>5</v>
      </c>
      <c r="G23" s="50">
        <v>0</v>
      </c>
      <c r="H23" s="10" t="s">
        <v>92</v>
      </c>
      <c r="I23" s="10">
        <v>10</v>
      </c>
      <c r="J23" s="4">
        <f t="shared" si="0"/>
        <v>1996</v>
      </c>
      <c r="K23" s="145">
        <f t="shared" si="1"/>
        <v>1996.4166666666667</v>
      </c>
      <c r="L23" s="29">
        <v>1034.8800000000001</v>
      </c>
      <c r="M23" s="29">
        <f t="shared" si="2"/>
        <v>1034.8800000000001</v>
      </c>
      <c r="N23" s="29">
        <f t="shared" si="4"/>
        <v>8.6240000000000006</v>
      </c>
      <c r="O23" s="29">
        <f t="shared" si="5"/>
        <v>103.488</v>
      </c>
      <c r="P23" s="29">
        <f t="shared" si="6"/>
        <v>0</v>
      </c>
      <c r="Q23" s="29"/>
      <c r="R23" s="29">
        <f t="shared" si="7"/>
        <v>1034.8800000000001</v>
      </c>
      <c r="S23" s="29">
        <f t="shared" si="8"/>
        <v>1034.8800000000001</v>
      </c>
      <c r="T23" s="29">
        <f t="shared" si="9"/>
        <v>0</v>
      </c>
    </row>
    <row r="24" spans="1:20" s="1" customFormat="1" ht="13.5" customHeight="1">
      <c r="C24" s="1">
        <v>1</v>
      </c>
      <c r="D24" s="1" t="str">
        <f>D19</f>
        <v>Containers 1</v>
      </c>
      <c r="E24" s="10">
        <v>1986</v>
      </c>
      <c r="F24" s="1">
        <v>6</v>
      </c>
      <c r="G24" s="50">
        <v>0</v>
      </c>
      <c r="H24" s="10" t="s">
        <v>92</v>
      </c>
      <c r="I24" s="10">
        <v>10</v>
      </c>
      <c r="J24" s="4">
        <f t="shared" si="0"/>
        <v>1996</v>
      </c>
      <c r="K24" s="145">
        <f t="shared" si="1"/>
        <v>1996.5</v>
      </c>
      <c r="L24" s="29">
        <v>315.85000000000002</v>
      </c>
      <c r="M24" s="29">
        <f t="shared" si="2"/>
        <v>315.85000000000002</v>
      </c>
      <c r="N24" s="29">
        <f t="shared" si="4"/>
        <v>2.6320833333333336</v>
      </c>
      <c r="O24" s="29">
        <f t="shared" si="5"/>
        <v>31.585000000000001</v>
      </c>
      <c r="P24" s="29">
        <f t="shared" si="6"/>
        <v>0</v>
      </c>
      <c r="Q24" s="29"/>
      <c r="R24" s="29">
        <f t="shared" si="7"/>
        <v>315.85000000000002</v>
      </c>
      <c r="S24" s="29">
        <f t="shared" si="8"/>
        <v>315.85000000000002</v>
      </c>
      <c r="T24" s="29">
        <f t="shared" si="9"/>
        <v>0</v>
      </c>
    </row>
    <row r="25" spans="1:20" s="1" customFormat="1" ht="13.5" customHeight="1">
      <c r="C25" s="1">
        <v>6</v>
      </c>
      <c r="D25" s="27" t="s">
        <v>148</v>
      </c>
      <c r="E25" s="10">
        <v>1986</v>
      </c>
      <c r="F25" s="1">
        <v>9</v>
      </c>
      <c r="G25" s="50">
        <v>0</v>
      </c>
      <c r="H25" s="10" t="s">
        <v>92</v>
      </c>
      <c r="I25" s="10">
        <v>10</v>
      </c>
      <c r="J25" s="4">
        <f t="shared" si="0"/>
        <v>1996</v>
      </c>
      <c r="K25" s="145">
        <f t="shared" si="1"/>
        <v>1996.75</v>
      </c>
      <c r="L25" s="29">
        <v>1519.23</v>
      </c>
      <c r="M25" s="29">
        <f t="shared" si="2"/>
        <v>1519.23</v>
      </c>
      <c r="N25" s="29">
        <f t="shared" si="4"/>
        <v>12.66025</v>
      </c>
      <c r="O25" s="29">
        <f t="shared" si="5"/>
        <v>151.923</v>
      </c>
      <c r="P25" s="29">
        <f t="shared" si="6"/>
        <v>0</v>
      </c>
      <c r="Q25" s="29"/>
      <c r="R25" s="29">
        <f t="shared" si="7"/>
        <v>1519.23</v>
      </c>
      <c r="S25" s="29">
        <f t="shared" si="8"/>
        <v>1519.23</v>
      </c>
      <c r="T25" s="29">
        <f t="shared" si="9"/>
        <v>0</v>
      </c>
    </row>
    <row r="26" spans="1:20" s="1" customFormat="1" ht="13.5" customHeight="1">
      <c r="C26" s="1">
        <v>6</v>
      </c>
      <c r="D26" s="1" t="str">
        <f>D25</f>
        <v>Containers 6</v>
      </c>
      <c r="E26" s="10">
        <v>1986</v>
      </c>
      <c r="F26" s="1">
        <v>12</v>
      </c>
      <c r="G26" s="50">
        <v>0</v>
      </c>
      <c r="H26" s="10" t="s">
        <v>92</v>
      </c>
      <c r="I26" s="10">
        <v>10</v>
      </c>
      <c r="J26" s="4">
        <f t="shared" si="0"/>
        <v>1996</v>
      </c>
      <c r="K26" s="145">
        <f t="shared" si="1"/>
        <v>1997</v>
      </c>
      <c r="L26" s="29">
        <v>517.44000000000005</v>
      </c>
      <c r="M26" s="29">
        <f t="shared" si="2"/>
        <v>517.44000000000005</v>
      </c>
      <c r="N26" s="29">
        <f t="shared" si="4"/>
        <v>4.3120000000000003</v>
      </c>
      <c r="O26" s="29">
        <f t="shared" si="5"/>
        <v>51.744</v>
      </c>
      <c r="P26" s="29">
        <f t="shared" si="6"/>
        <v>0</v>
      </c>
      <c r="Q26" s="29"/>
      <c r="R26" s="29">
        <f t="shared" si="7"/>
        <v>517.44000000000005</v>
      </c>
      <c r="S26" s="29">
        <f t="shared" si="8"/>
        <v>517.44000000000005</v>
      </c>
      <c r="T26" s="29">
        <f t="shared" si="9"/>
        <v>0</v>
      </c>
    </row>
    <row r="27" spans="1:20" s="1" customFormat="1" ht="13.5" customHeight="1">
      <c r="D27" s="27" t="s">
        <v>149</v>
      </c>
      <c r="E27" s="10">
        <v>1987</v>
      </c>
      <c r="F27" s="1">
        <v>7</v>
      </c>
      <c r="G27" s="50">
        <v>0</v>
      </c>
      <c r="H27" s="10" t="s">
        <v>92</v>
      </c>
      <c r="I27" s="10">
        <v>10</v>
      </c>
      <c r="J27" s="4">
        <f t="shared" si="0"/>
        <v>1997</v>
      </c>
      <c r="K27" s="145">
        <f t="shared" si="1"/>
        <v>1997.5833333333333</v>
      </c>
      <c r="L27" s="29">
        <v>13853.19</v>
      </c>
      <c r="M27" s="29">
        <f t="shared" si="2"/>
        <v>13853.19</v>
      </c>
      <c r="N27" s="29">
        <f t="shared" si="4"/>
        <v>115.44324999999999</v>
      </c>
      <c r="O27" s="29">
        <f t="shared" si="5"/>
        <v>1385.319</v>
      </c>
      <c r="P27" s="29">
        <f t="shared" si="6"/>
        <v>0</v>
      </c>
      <c r="Q27" s="29"/>
      <c r="R27" s="29">
        <f t="shared" si="7"/>
        <v>13853.19</v>
      </c>
      <c r="S27" s="29">
        <f t="shared" si="8"/>
        <v>13853.19</v>
      </c>
      <c r="T27" s="29">
        <f t="shared" si="9"/>
        <v>0</v>
      </c>
    </row>
    <row r="28" spans="1:20" s="1" customFormat="1" ht="13.5" customHeight="1">
      <c r="C28" s="1">
        <v>13</v>
      </c>
      <c r="D28" s="27" t="s">
        <v>150</v>
      </c>
      <c r="E28" s="10">
        <v>1988</v>
      </c>
      <c r="F28" s="1">
        <v>9</v>
      </c>
      <c r="G28" s="50">
        <v>0</v>
      </c>
      <c r="H28" s="10" t="s">
        <v>92</v>
      </c>
      <c r="I28" s="10">
        <v>10</v>
      </c>
      <c r="J28" s="4">
        <f t="shared" si="0"/>
        <v>1998</v>
      </c>
      <c r="K28" s="145">
        <f t="shared" si="1"/>
        <v>1998.75</v>
      </c>
      <c r="L28" s="29">
        <v>17908.66</v>
      </c>
      <c r="M28" s="29">
        <f t="shared" si="2"/>
        <v>17908.66</v>
      </c>
      <c r="N28" s="29">
        <f t="shared" si="4"/>
        <v>149.23883333333333</v>
      </c>
      <c r="O28" s="29">
        <f t="shared" si="5"/>
        <v>1790.866</v>
      </c>
      <c r="P28" s="29">
        <f t="shared" si="6"/>
        <v>0</v>
      </c>
      <c r="Q28" s="29"/>
      <c r="R28" s="29">
        <f t="shared" si="7"/>
        <v>17908.66</v>
      </c>
      <c r="S28" s="29">
        <f t="shared" si="8"/>
        <v>17908.66</v>
      </c>
      <c r="T28" s="29">
        <f t="shared" si="9"/>
        <v>0</v>
      </c>
    </row>
    <row r="29" spans="1:20" s="1" customFormat="1" ht="13.5" customHeight="1">
      <c r="C29" s="1">
        <v>43</v>
      </c>
      <c r="D29" s="27" t="s">
        <v>151</v>
      </c>
      <c r="E29" s="10">
        <v>1989</v>
      </c>
      <c r="F29" s="1">
        <v>5</v>
      </c>
      <c r="G29" s="50">
        <v>0</v>
      </c>
      <c r="H29" s="10" t="s">
        <v>92</v>
      </c>
      <c r="I29" s="10">
        <v>5</v>
      </c>
      <c r="J29" s="4">
        <f t="shared" si="0"/>
        <v>1994</v>
      </c>
      <c r="K29" s="145">
        <f t="shared" si="1"/>
        <v>1994.4166666666667</v>
      </c>
      <c r="L29" s="29">
        <v>14625.21</v>
      </c>
      <c r="M29" s="29">
        <f t="shared" si="2"/>
        <v>14625.21</v>
      </c>
      <c r="N29" s="29">
        <f t="shared" si="4"/>
        <v>243.7535</v>
      </c>
      <c r="O29" s="29">
        <f t="shared" si="5"/>
        <v>2925.0419999999999</v>
      </c>
      <c r="P29" s="29">
        <f t="shared" si="6"/>
        <v>0</v>
      </c>
      <c r="Q29" s="29"/>
      <c r="R29" s="29">
        <f t="shared" si="7"/>
        <v>14625.21</v>
      </c>
      <c r="S29" s="29">
        <f t="shared" si="8"/>
        <v>14625.21</v>
      </c>
      <c r="T29" s="29">
        <f t="shared" si="9"/>
        <v>0</v>
      </c>
    </row>
    <row r="30" spans="1:20" s="1" customFormat="1" ht="13.5" customHeight="1">
      <c r="C30" s="1">
        <v>1</v>
      </c>
      <c r="D30" s="27" t="s">
        <v>144</v>
      </c>
      <c r="E30" s="10">
        <v>1990</v>
      </c>
      <c r="F30" s="1">
        <v>1</v>
      </c>
      <c r="G30" s="50">
        <v>0</v>
      </c>
      <c r="H30" s="10" t="s">
        <v>92</v>
      </c>
      <c r="I30" s="10">
        <v>5</v>
      </c>
      <c r="J30" s="4">
        <f t="shared" si="0"/>
        <v>1995</v>
      </c>
      <c r="K30" s="145">
        <f t="shared" si="1"/>
        <v>1995.0833333333333</v>
      </c>
      <c r="L30" s="29">
        <v>1075</v>
      </c>
      <c r="M30" s="29">
        <f t="shared" si="2"/>
        <v>1075</v>
      </c>
      <c r="N30" s="29">
        <f t="shared" si="4"/>
        <v>17.916666666666668</v>
      </c>
      <c r="O30" s="29">
        <f t="shared" si="5"/>
        <v>215</v>
      </c>
      <c r="P30" s="29">
        <f t="shared" si="6"/>
        <v>0</v>
      </c>
      <c r="Q30" s="29"/>
      <c r="R30" s="29">
        <f t="shared" si="7"/>
        <v>1075</v>
      </c>
      <c r="S30" s="29">
        <f t="shared" si="8"/>
        <v>1075</v>
      </c>
      <c r="T30" s="29">
        <f t="shared" si="9"/>
        <v>0</v>
      </c>
    </row>
    <row r="31" spans="1:20" s="1" customFormat="1" ht="13.5" customHeight="1">
      <c r="C31" s="1">
        <v>1</v>
      </c>
      <c r="D31" s="1" t="str">
        <f>D30</f>
        <v>Containers 1</v>
      </c>
      <c r="E31" s="10">
        <v>1990</v>
      </c>
      <c r="F31" s="1">
        <v>2</v>
      </c>
      <c r="G31" s="50">
        <v>0</v>
      </c>
      <c r="H31" s="10" t="s">
        <v>92</v>
      </c>
      <c r="I31" s="10">
        <v>5</v>
      </c>
      <c r="J31" s="4">
        <f t="shared" si="0"/>
        <v>1995</v>
      </c>
      <c r="K31" s="145">
        <f t="shared" si="1"/>
        <v>1995.1666666666667</v>
      </c>
      <c r="L31" s="29">
        <v>1336.4</v>
      </c>
      <c r="M31" s="29">
        <f t="shared" si="2"/>
        <v>1336.4</v>
      </c>
      <c r="N31" s="29">
        <f t="shared" si="4"/>
        <v>22.273333333333337</v>
      </c>
      <c r="O31" s="29">
        <f t="shared" si="5"/>
        <v>267.28000000000003</v>
      </c>
      <c r="P31" s="29">
        <f t="shared" si="6"/>
        <v>0</v>
      </c>
      <c r="Q31" s="29"/>
      <c r="R31" s="29">
        <f t="shared" si="7"/>
        <v>1336.4</v>
      </c>
      <c r="S31" s="29">
        <f t="shared" si="8"/>
        <v>1336.4</v>
      </c>
      <c r="T31" s="29">
        <f t="shared" si="9"/>
        <v>0</v>
      </c>
    </row>
    <row r="32" spans="1:20" s="1" customFormat="1" ht="13.5" customHeight="1">
      <c r="A32" s="1">
        <v>118261</v>
      </c>
      <c r="C32" s="1">
        <v>6</v>
      </c>
      <c r="D32" s="27" t="s">
        <v>148</v>
      </c>
      <c r="E32" s="10">
        <v>1990</v>
      </c>
      <c r="F32" s="1">
        <v>3</v>
      </c>
      <c r="G32" s="50">
        <v>0</v>
      </c>
      <c r="H32" s="10" t="s">
        <v>92</v>
      </c>
      <c r="I32" s="10">
        <v>5</v>
      </c>
      <c r="J32" s="4">
        <f t="shared" si="0"/>
        <v>1995</v>
      </c>
      <c r="K32" s="145">
        <f t="shared" si="1"/>
        <v>1995.25</v>
      </c>
      <c r="L32" s="29">
        <v>1662.8</v>
      </c>
      <c r="M32" s="29">
        <f t="shared" si="2"/>
        <v>1662.8</v>
      </c>
      <c r="N32" s="29">
        <f t="shared" si="4"/>
        <v>27.713333333333335</v>
      </c>
      <c r="O32" s="29">
        <f t="shared" si="5"/>
        <v>332.56</v>
      </c>
      <c r="P32" s="29">
        <f t="shared" si="6"/>
        <v>0</v>
      </c>
      <c r="Q32" s="29"/>
      <c r="R32" s="29">
        <f t="shared" si="7"/>
        <v>1662.8</v>
      </c>
      <c r="S32" s="29">
        <f t="shared" si="8"/>
        <v>1662.8</v>
      </c>
      <c r="T32" s="29">
        <f t="shared" si="9"/>
        <v>0</v>
      </c>
    </row>
    <row r="33" spans="1:20" s="1" customFormat="1" ht="13.5" customHeight="1">
      <c r="A33" s="1">
        <v>126344</v>
      </c>
      <c r="C33" s="1">
        <v>1</v>
      </c>
      <c r="D33" s="27" t="s">
        <v>152</v>
      </c>
      <c r="E33" s="10">
        <v>1990</v>
      </c>
      <c r="F33" s="1">
        <v>3</v>
      </c>
      <c r="G33" s="50">
        <v>0</v>
      </c>
      <c r="H33" s="10" t="s">
        <v>92</v>
      </c>
      <c r="I33" s="10">
        <v>10</v>
      </c>
      <c r="J33" s="4">
        <f t="shared" si="0"/>
        <v>2000</v>
      </c>
      <c r="K33" s="145">
        <f t="shared" si="1"/>
        <v>2000.25</v>
      </c>
      <c r="L33" s="29">
        <v>4996</v>
      </c>
      <c r="M33" s="29">
        <f t="shared" si="2"/>
        <v>4996</v>
      </c>
      <c r="N33" s="29">
        <f t="shared" si="4"/>
        <v>41.633333333333333</v>
      </c>
      <c r="O33" s="29">
        <f t="shared" si="5"/>
        <v>499.6</v>
      </c>
      <c r="P33" s="29">
        <f t="shared" si="6"/>
        <v>0</v>
      </c>
      <c r="Q33" s="29"/>
      <c r="R33" s="29">
        <f t="shared" si="7"/>
        <v>4996</v>
      </c>
      <c r="S33" s="29">
        <f t="shared" si="8"/>
        <v>4996</v>
      </c>
      <c r="T33" s="29">
        <f t="shared" si="9"/>
        <v>0</v>
      </c>
    </row>
    <row r="34" spans="1:20" s="1" customFormat="1" ht="13.5" customHeight="1">
      <c r="A34" s="1">
        <v>167242</v>
      </c>
      <c r="C34" s="1">
        <v>6</v>
      </c>
      <c r="D34" s="1" t="str">
        <f>D33</f>
        <v>Rolloff 1</v>
      </c>
      <c r="E34" s="10">
        <v>1990</v>
      </c>
      <c r="F34" s="1">
        <v>4</v>
      </c>
      <c r="G34" s="50">
        <v>0</v>
      </c>
      <c r="H34" s="10" t="s">
        <v>92</v>
      </c>
      <c r="I34" s="10">
        <v>5</v>
      </c>
      <c r="J34" s="4">
        <f t="shared" si="0"/>
        <v>1995</v>
      </c>
      <c r="K34" s="145">
        <f t="shared" si="1"/>
        <v>1995.3333333333333</v>
      </c>
      <c r="L34" s="29">
        <v>1662.28</v>
      </c>
      <c r="M34" s="29">
        <f t="shared" si="2"/>
        <v>1662.28</v>
      </c>
      <c r="N34" s="29">
        <f t="shared" si="4"/>
        <v>27.704666666666668</v>
      </c>
      <c r="O34" s="29">
        <f t="shared" si="5"/>
        <v>332.45600000000002</v>
      </c>
      <c r="P34" s="29">
        <f t="shared" si="6"/>
        <v>0</v>
      </c>
      <c r="Q34" s="29"/>
      <c r="R34" s="29">
        <f t="shared" si="7"/>
        <v>1662.28</v>
      </c>
      <c r="S34" s="29">
        <f t="shared" si="8"/>
        <v>1662.28</v>
      </c>
      <c r="T34" s="29">
        <f t="shared" si="9"/>
        <v>0</v>
      </c>
    </row>
    <row r="35" spans="1:20" s="1" customFormat="1" ht="13.5" customHeight="1">
      <c r="C35" s="1">
        <v>2</v>
      </c>
      <c r="D35" s="27" t="s">
        <v>147</v>
      </c>
      <c r="E35" s="10">
        <v>1990</v>
      </c>
      <c r="F35" s="1">
        <v>5</v>
      </c>
      <c r="G35" s="50">
        <v>0</v>
      </c>
      <c r="H35" s="10" t="s">
        <v>92</v>
      </c>
      <c r="I35" s="10">
        <v>5</v>
      </c>
      <c r="J35" s="4">
        <f t="shared" si="0"/>
        <v>1995</v>
      </c>
      <c r="K35" s="145">
        <f t="shared" si="1"/>
        <v>1995.4166666666667</v>
      </c>
      <c r="L35" s="29">
        <v>1489.8</v>
      </c>
      <c r="M35" s="29">
        <f t="shared" si="2"/>
        <v>1489.8</v>
      </c>
      <c r="N35" s="29">
        <f t="shared" si="4"/>
        <v>24.83</v>
      </c>
      <c r="O35" s="29">
        <f t="shared" si="5"/>
        <v>297.95999999999998</v>
      </c>
      <c r="P35" s="29">
        <f t="shared" si="6"/>
        <v>0</v>
      </c>
      <c r="Q35" s="29"/>
      <c r="R35" s="29">
        <f t="shared" si="7"/>
        <v>1489.8</v>
      </c>
      <c r="S35" s="29">
        <f t="shared" si="8"/>
        <v>1489.8</v>
      </c>
      <c r="T35" s="29">
        <f t="shared" si="9"/>
        <v>0</v>
      </c>
    </row>
    <row r="36" spans="1:20" s="1" customFormat="1" ht="13.5" customHeight="1">
      <c r="A36" s="1">
        <v>168823</v>
      </c>
      <c r="C36" s="1">
        <v>1</v>
      </c>
      <c r="D36" s="27" t="s">
        <v>152</v>
      </c>
      <c r="E36" s="10">
        <v>1990</v>
      </c>
      <c r="F36" s="1">
        <v>5</v>
      </c>
      <c r="G36" s="50">
        <v>0</v>
      </c>
      <c r="H36" s="10" t="s">
        <v>92</v>
      </c>
      <c r="I36" s="10">
        <v>5</v>
      </c>
      <c r="J36" s="4">
        <f t="shared" si="0"/>
        <v>1995</v>
      </c>
      <c r="K36" s="145">
        <f t="shared" si="1"/>
        <v>1995.4166666666667</v>
      </c>
      <c r="L36" s="29">
        <v>4931.8500000000004</v>
      </c>
      <c r="M36" s="29">
        <f t="shared" si="2"/>
        <v>4931.8500000000004</v>
      </c>
      <c r="N36" s="29">
        <f t="shared" si="4"/>
        <v>82.197500000000005</v>
      </c>
      <c r="O36" s="29">
        <f t="shared" si="5"/>
        <v>986.37000000000012</v>
      </c>
      <c r="P36" s="29">
        <f t="shared" si="6"/>
        <v>0</v>
      </c>
      <c r="Q36" s="29"/>
      <c r="R36" s="29">
        <f t="shared" si="7"/>
        <v>4931.8500000000004</v>
      </c>
      <c r="S36" s="29">
        <f t="shared" si="8"/>
        <v>4931.8500000000004</v>
      </c>
      <c r="T36" s="29">
        <f t="shared" si="9"/>
        <v>0</v>
      </c>
    </row>
    <row r="37" spans="1:20" s="1" customFormat="1" ht="13.5" customHeight="1">
      <c r="A37" s="1">
        <v>168824</v>
      </c>
      <c r="C37" s="1">
        <v>2</v>
      </c>
      <c r="D37" s="1" t="str">
        <f>D36</f>
        <v>Rolloff 1</v>
      </c>
      <c r="E37" s="10">
        <v>1990</v>
      </c>
      <c r="F37" s="1">
        <v>6</v>
      </c>
      <c r="G37" s="50">
        <v>0</v>
      </c>
      <c r="H37" s="10" t="s">
        <v>92</v>
      </c>
      <c r="I37" s="10">
        <v>5</v>
      </c>
      <c r="J37" s="4">
        <f t="shared" si="0"/>
        <v>1995</v>
      </c>
      <c r="K37" s="145">
        <f t="shared" si="1"/>
        <v>1995.5</v>
      </c>
      <c r="L37" s="29">
        <v>554.1</v>
      </c>
      <c r="M37" s="29">
        <f t="shared" si="2"/>
        <v>554.1</v>
      </c>
      <c r="N37" s="29">
        <f t="shared" si="4"/>
        <v>9.2350000000000012</v>
      </c>
      <c r="O37" s="29">
        <f t="shared" si="5"/>
        <v>110.82000000000002</v>
      </c>
      <c r="P37" s="29">
        <f t="shared" si="6"/>
        <v>0</v>
      </c>
      <c r="Q37" s="29"/>
      <c r="R37" s="29">
        <f t="shared" si="7"/>
        <v>554.1</v>
      </c>
      <c r="S37" s="29">
        <f t="shared" si="8"/>
        <v>554.1</v>
      </c>
      <c r="T37" s="29">
        <f t="shared" si="9"/>
        <v>0</v>
      </c>
    </row>
    <row r="38" spans="1:20" s="1" customFormat="1" ht="13.5" customHeight="1">
      <c r="C38" s="1">
        <v>4</v>
      </c>
      <c r="D38" s="27" t="s">
        <v>141</v>
      </c>
      <c r="E38" s="10">
        <v>1990</v>
      </c>
      <c r="F38" s="1">
        <v>7</v>
      </c>
      <c r="G38" s="50">
        <v>0</v>
      </c>
      <c r="H38" s="10" t="s">
        <v>92</v>
      </c>
      <c r="I38" s="10">
        <v>5</v>
      </c>
      <c r="J38" s="4">
        <f t="shared" si="0"/>
        <v>1995</v>
      </c>
      <c r="K38" s="145">
        <f t="shared" si="1"/>
        <v>1995.5833333333333</v>
      </c>
      <c r="L38" s="29">
        <v>2397.48</v>
      </c>
      <c r="M38" s="29">
        <f t="shared" si="2"/>
        <v>2397.48</v>
      </c>
      <c r="N38" s="29">
        <f t="shared" si="4"/>
        <v>39.957999999999998</v>
      </c>
      <c r="O38" s="29">
        <f t="shared" si="5"/>
        <v>479.49599999999998</v>
      </c>
      <c r="P38" s="29">
        <f t="shared" si="6"/>
        <v>0</v>
      </c>
      <c r="Q38" s="29"/>
      <c r="R38" s="29">
        <f t="shared" si="7"/>
        <v>2397.48</v>
      </c>
      <c r="S38" s="29">
        <f t="shared" si="8"/>
        <v>2397.48</v>
      </c>
      <c r="T38" s="29">
        <f t="shared" si="9"/>
        <v>0</v>
      </c>
    </row>
    <row r="39" spans="1:20" s="1" customFormat="1" ht="13.5" customHeight="1">
      <c r="A39" s="1">
        <v>168825</v>
      </c>
      <c r="C39" s="1">
        <v>2</v>
      </c>
      <c r="D39" s="1" t="str">
        <f>D37</f>
        <v>Rolloff 1</v>
      </c>
      <c r="E39" s="10">
        <v>1990</v>
      </c>
      <c r="F39" s="1">
        <v>8</v>
      </c>
      <c r="G39" s="50">
        <v>0</v>
      </c>
      <c r="H39" s="10" t="s">
        <v>92</v>
      </c>
      <c r="I39" s="10">
        <v>5</v>
      </c>
      <c r="J39" s="4">
        <f t="shared" si="0"/>
        <v>1995</v>
      </c>
      <c r="K39" s="145">
        <f t="shared" si="1"/>
        <v>1995.6666666666667</v>
      </c>
      <c r="L39" s="29">
        <v>728.19</v>
      </c>
      <c r="M39" s="29">
        <f t="shared" si="2"/>
        <v>728.19</v>
      </c>
      <c r="N39" s="29">
        <f t="shared" si="4"/>
        <v>12.1365</v>
      </c>
      <c r="O39" s="29">
        <f t="shared" si="5"/>
        <v>145.63800000000001</v>
      </c>
      <c r="P39" s="29">
        <f t="shared" si="6"/>
        <v>0</v>
      </c>
      <c r="Q39" s="29"/>
      <c r="R39" s="29">
        <f t="shared" si="7"/>
        <v>728.19</v>
      </c>
      <c r="S39" s="29">
        <f t="shared" si="8"/>
        <v>728.19</v>
      </c>
      <c r="T39" s="29">
        <f t="shared" si="9"/>
        <v>0</v>
      </c>
    </row>
    <row r="40" spans="1:20" s="1" customFormat="1" ht="13.5" customHeight="1">
      <c r="C40" s="1">
        <v>4</v>
      </c>
      <c r="D40" s="1" t="str">
        <f>D38</f>
        <v>Containers 4</v>
      </c>
      <c r="E40" s="10">
        <v>1990</v>
      </c>
      <c r="F40" s="1">
        <v>9</v>
      </c>
      <c r="G40" s="50">
        <v>0</v>
      </c>
      <c r="H40" s="10" t="s">
        <v>92</v>
      </c>
      <c r="I40" s="10">
        <v>5</v>
      </c>
      <c r="J40" s="4">
        <f t="shared" si="0"/>
        <v>1995</v>
      </c>
      <c r="K40" s="145">
        <f t="shared" si="1"/>
        <v>1995.75</v>
      </c>
      <c r="L40" s="29">
        <v>1108.19</v>
      </c>
      <c r="M40" s="29">
        <f t="shared" si="2"/>
        <v>1108.19</v>
      </c>
      <c r="N40" s="29">
        <f t="shared" si="4"/>
        <v>18.469833333333334</v>
      </c>
      <c r="O40" s="29">
        <f t="shared" si="5"/>
        <v>221.63800000000001</v>
      </c>
      <c r="P40" s="29">
        <f t="shared" si="6"/>
        <v>0</v>
      </c>
      <c r="Q40" s="29"/>
      <c r="R40" s="29">
        <f t="shared" si="7"/>
        <v>1108.19</v>
      </c>
      <c r="S40" s="29">
        <f t="shared" si="8"/>
        <v>1108.19</v>
      </c>
      <c r="T40" s="29">
        <f t="shared" si="9"/>
        <v>0</v>
      </c>
    </row>
    <row r="41" spans="1:20" s="1" customFormat="1" ht="13.5" customHeight="1">
      <c r="C41" s="1">
        <v>1</v>
      </c>
      <c r="D41" s="1" t="str">
        <f>D31</f>
        <v>Containers 1</v>
      </c>
      <c r="E41" s="10">
        <v>1990</v>
      </c>
      <c r="F41" s="1">
        <v>12</v>
      </c>
      <c r="G41" s="50">
        <v>0</v>
      </c>
      <c r="H41" s="10" t="s">
        <v>92</v>
      </c>
      <c r="I41" s="10">
        <v>5</v>
      </c>
      <c r="J41" s="4">
        <f t="shared" si="0"/>
        <v>1995</v>
      </c>
      <c r="K41" s="145">
        <f t="shared" si="1"/>
        <v>1996</v>
      </c>
      <c r="L41" s="29">
        <v>855.53</v>
      </c>
      <c r="M41" s="29">
        <f t="shared" si="2"/>
        <v>855.53</v>
      </c>
      <c r="N41" s="29">
        <f t="shared" si="4"/>
        <v>14.258833333333333</v>
      </c>
      <c r="O41" s="29">
        <f t="shared" si="5"/>
        <v>171.10599999999999</v>
      </c>
      <c r="P41" s="29">
        <f t="shared" si="6"/>
        <v>0</v>
      </c>
      <c r="Q41" s="29"/>
      <c r="R41" s="29">
        <f t="shared" si="7"/>
        <v>855.53</v>
      </c>
      <c r="S41" s="29">
        <f t="shared" si="8"/>
        <v>855.53</v>
      </c>
      <c r="T41" s="29">
        <f t="shared" si="9"/>
        <v>0</v>
      </c>
    </row>
    <row r="42" spans="1:20" s="1" customFormat="1" ht="13.5" customHeight="1">
      <c r="C42" s="1">
        <v>1</v>
      </c>
      <c r="D42" s="1" t="str">
        <f>D41</f>
        <v>Containers 1</v>
      </c>
      <c r="E42" s="10">
        <v>1991</v>
      </c>
      <c r="F42" s="1">
        <v>2</v>
      </c>
      <c r="G42" s="50">
        <v>0</v>
      </c>
      <c r="H42" s="10" t="s">
        <v>92</v>
      </c>
      <c r="I42" s="10">
        <v>10</v>
      </c>
      <c r="J42" s="4">
        <f t="shared" si="0"/>
        <v>2001</v>
      </c>
      <c r="K42" s="145">
        <f t="shared" si="1"/>
        <v>2001.1666666666667</v>
      </c>
      <c r="L42" s="29">
        <v>4521.01</v>
      </c>
      <c r="M42" s="29">
        <f t="shared" si="2"/>
        <v>4521.01</v>
      </c>
      <c r="N42" s="29">
        <f t="shared" si="4"/>
        <v>37.675083333333333</v>
      </c>
      <c r="O42" s="29">
        <f t="shared" si="5"/>
        <v>452.101</v>
      </c>
      <c r="P42" s="29">
        <f t="shared" si="6"/>
        <v>0</v>
      </c>
      <c r="Q42" s="29"/>
      <c r="R42" s="29">
        <f t="shared" si="7"/>
        <v>4521.01</v>
      </c>
      <c r="S42" s="29">
        <f t="shared" si="8"/>
        <v>4521.01</v>
      </c>
      <c r="T42" s="29">
        <f t="shared" si="9"/>
        <v>0</v>
      </c>
    </row>
    <row r="43" spans="1:20" s="1" customFormat="1" ht="13.5" customHeight="1">
      <c r="C43" s="1">
        <v>1</v>
      </c>
      <c r="D43" s="1" t="str">
        <f>D41</f>
        <v>Containers 1</v>
      </c>
      <c r="E43" s="10">
        <v>1991</v>
      </c>
      <c r="F43" s="1">
        <v>2</v>
      </c>
      <c r="G43" s="50">
        <v>0</v>
      </c>
      <c r="H43" s="10" t="s">
        <v>92</v>
      </c>
      <c r="I43" s="10">
        <v>5</v>
      </c>
      <c r="J43" s="4">
        <f t="shared" si="0"/>
        <v>1996</v>
      </c>
      <c r="K43" s="145">
        <f t="shared" si="1"/>
        <v>1996.1666666666667</v>
      </c>
      <c r="L43" s="29">
        <v>295.64999999999998</v>
      </c>
      <c r="M43" s="29">
        <f t="shared" si="2"/>
        <v>295.64999999999998</v>
      </c>
      <c r="N43" s="29">
        <f t="shared" si="4"/>
        <v>4.9274999999999993</v>
      </c>
      <c r="O43" s="29">
        <f t="shared" si="5"/>
        <v>59.129999999999995</v>
      </c>
      <c r="P43" s="29">
        <f t="shared" si="6"/>
        <v>0</v>
      </c>
      <c r="Q43" s="29"/>
      <c r="R43" s="29">
        <f t="shared" si="7"/>
        <v>295.64999999999998</v>
      </c>
      <c r="S43" s="29">
        <f t="shared" si="8"/>
        <v>295.64999999999998</v>
      </c>
      <c r="T43" s="29">
        <f t="shared" si="9"/>
        <v>0</v>
      </c>
    </row>
    <row r="44" spans="1:20" s="1" customFormat="1" ht="13.5" customHeight="1">
      <c r="C44" s="1">
        <v>2</v>
      </c>
      <c r="D44" s="27" t="s">
        <v>147</v>
      </c>
      <c r="E44" s="10">
        <v>1991</v>
      </c>
      <c r="F44" s="1">
        <v>4</v>
      </c>
      <c r="G44" s="50">
        <v>0</v>
      </c>
      <c r="H44" s="10" t="s">
        <v>92</v>
      </c>
      <c r="I44" s="10">
        <v>5</v>
      </c>
      <c r="J44" s="4">
        <f t="shared" si="0"/>
        <v>1996</v>
      </c>
      <c r="K44" s="145">
        <f t="shared" si="1"/>
        <v>1996.3333333333333</v>
      </c>
      <c r="L44" s="29">
        <v>554.61</v>
      </c>
      <c r="M44" s="29">
        <f t="shared" si="2"/>
        <v>554.61</v>
      </c>
      <c r="N44" s="29">
        <f t="shared" si="4"/>
        <v>9.2434999999999992</v>
      </c>
      <c r="O44" s="29">
        <f t="shared" si="5"/>
        <v>110.922</v>
      </c>
      <c r="P44" s="29">
        <f t="shared" si="6"/>
        <v>0</v>
      </c>
      <c r="Q44" s="29"/>
      <c r="R44" s="29">
        <f t="shared" si="7"/>
        <v>554.61</v>
      </c>
      <c r="S44" s="29">
        <f t="shared" si="8"/>
        <v>554.61</v>
      </c>
      <c r="T44" s="29">
        <f t="shared" si="9"/>
        <v>0</v>
      </c>
    </row>
    <row r="45" spans="1:20" s="1" customFormat="1" ht="13.5" customHeight="1">
      <c r="C45" s="1">
        <v>1</v>
      </c>
      <c r="D45" s="1" t="str">
        <f>D43</f>
        <v>Containers 1</v>
      </c>
      <c r="E45" s="10">
        <v>1991</v>
      </c>
      <c r="F45" s="1">
        <v>5</v>
      </c>
      <c r="G45" s="50">
        <v>0</v>
      </c>
      <c r="H45" s="10" t="s">
        <v>92</v>
      </c>
      <c r="I45" s="10">
        <v>5</v>
      </c>
      <c r="J45" s="4">
        <f t="shared" ref="J45:J76" si="10">E45+I45</f>
        <v>1996</v>
      </c>
      <c r="K45" s="145">
        <f t="shared" ref="K45:K76" si="11">+J45+(F45/12)</f>
        <v>1996.4166666666667</v>
      </c>
      <c r="L45" s="29">
        <v>622.04999999999995</v>
      </c>
      <c r="M45" s="29">
        <f t="shared" ref="M45:M76" si="12">L45-L45*G45</f>
        <v>622.04999999999995</v>
      </c>
      <c r="N45" s="29">
        <f t="shared" si="4"/>
        <v>10.3675</v>
      </c>
      <c r="O45" s="29">
        <f t="shared" si="5"/>
        <v>124.41</v>
      </c>
      <c r="P45" s="29">
        <f t="shared" si="6"/>
        <v>0</v>
      </c>
      <c r="Q45" s="29"/>
      <c r="R45" s="29">
        <f t="shared" si="7"/>
        <v>622.04999999999995</v>
      </c>
      <c r="S45" s="29">
        <f t="shared" si="8"/>
        <v>622.04999999999995</v>
      </c>
      <c r="T45" s="29">
        <f t="shared" si="9"/>
        <v>0</v>
      </c>
    </row>
    <row r="46" spans="1:20" s="1" customFormat="1" ht="13.5" customHeight="1">
      <c r="A46" s="1">
        <v>126208</v>
      </c>
      <c r="D46" s="27" t="s">
        <v>153</v>
      </c>
      <c r="E46" s="10">
        <v>1991</v>
      </c>
      <c r="F46" s="1">
        <v>8</v>
      </c>
      <c r="G46" s="50">
        <v>0</v>
      </c>
      <c r="H46" s="10" t="s">
        <v>92</v>
      </c>
      <c r="I46" s="10">
        <v>5</v>
      </c>
      <c r="J46" s="4">
        <f t="shared" si="10"/>
        <v>1996</v>
      </c>
      <c r="K46" s="145">
        <f t="shared" si="11"/>
        <v>1996.6666666666667</v>
      </c>
      <c r="L46" s="29">
        <v>464.19</v>
      </c>
      <c r="M46" s="29">
        <f t="shared" si="12"/>
        <v>464.19</v>
      </c>
      <c r="N46" s="29">
        <f t="shared" si="4"/>
        <v>7.7364999999999995</v>
      </c>
      <c r="O46" s="29">
        <f t="shared" si="5"/>
        <v>92.837999999999994</v>
      </c>
      <c r="P46" s="29">
        <f t="shared" si="6"/>
        <v>0</v>
      </c>
      <c r="Q46" s="29"/>
      <c r="R46" s="29">
        <f t="shared" si="7"/>
        <v>464.19</v>
      </c>
      <c r="S46" s="29">
        <f t="shared" si="8"/>
        <v>464.19</v>
      </c>
      <c r="T46" s="29">
        <f t="shared" si="9"/>
        <v>0</v>
      </c>
    </row>
    <row r="47" spans="1:20" s="1" customFormat="1" ht="13.5" customHeight="1">
      <c r="C47" s="1">
        <v>2</v>
      </c>
      <c r="D47" s="1" t="str">
        <f>D44</f>
        <v>Containers 2</v>
      </c>
      <c r="E47" s="10">
        <v>1991</v>
      </c>
      <c r="F47" s="1">
        <v>9</v>
      </c>
      <c r="G47" s="50">
        <v>0</v>
      </c>
      <c r="H47" s="10" t="s">
        <v>92</v>
      </c>
      <c r="I47" s="10">
        <v>5</v>
      </c>
      <c r="J47" s="4">
        <f t="shared" si="10"/>
        <v>1996</v>
      </c>
      <c r="K47" s="145">
        <f t="shared" si="11"/>
        <v>1996.75</v>
      </c>
      <c r="L47" s="29">
        <v>3608.18</v>
      </c>
      <c r="M47" s="29">
        <f t="shared" si="12"/>
        <v>3608.18</v>
      </c>
      <c r="N47" s="29">
        <f t="shared" si="4"/>
        <v>60.136333333333333</v>
      </c>
      <c r="O47" s="29">
        <f t="shared" si="5"/>
        <v>721.63599999999997</v>
      </c>
      <c r="P47" s="29">
        <f t="shared" si="6"/>
        <v>0</v>
      </c>
      <c r="Q47" s="29"/>
      <c r="R47" s="29">
        <f t="shared" si="7"/>
        <v>3608.18</v>
      </c>
      <c r="S47" s="29">
        <f t="shared" si="8"/>
        <v>3608.18</v>
      </c>
      <c r="T47" s="29">
        <f t="shared" si="9"/>
        <v>0</v>
      </c>
    </row>
    <row r="48" spans="1:20" s="1" customFormat="1" ht="13.5" customHeight="1">
      <c r="A48" s="1">
        <v>189674</v>
      </c>
      <c r="D48" s="27" t="s">
        <v>154</v>
      </c>
      <c r="E48" s="10">
        <v>1991</v>
      </c>
      <c r="F48" s="1">
        <v>10</v>
      </c>
      <c r="G48" s="50">
        <v>0</v>
      </c>
      <c r="H48" s="10" t="s">
        <v>92</v>
      </c>
      <c r="I48" s="10">
        <v>5</v>
      </c>
      <c r="J48" s="4">
        <f t="shared" si="10"/>
        <v>1996</v>
      </c>
      <c r="K48" s="145">
        <f t="shared" si="11"/>
        <v>1996.8333333333333</v>
      </c>
      <c r="L48" s="29">
        <v>439.16</v>
      </c>
      <c r="M48" s="29">
        <f t="shared" si="12"/>
        <v>439.16</v>
      </c>
      <c r="N48" s="29">
        <f t="shared" si="4"/>
        <v>7.3193333333333337</v>
      </c>
      <c r="O48" s="29">
        <f t="shared" si="5"/>
        <v>87.832000000000008</v>
      </c>
      <c r="P48" s="29">
        <f t="shared" si="6"/>
        <v>0</v>
      </c>
      <c r="Q48" s="29"/>
      <c r="R48" s="29">
        <f t="shared" si="7"/>
        <v>439.16</v>
      </c>
      <c r="S48" s="29">
        <f t="shared" si="8"/>
        <v>439.16</v>
      </c>
      <c r="T48" s="29">
        <f t="shared" si="9"/>
        <v>0</v>
      </c>
    </row>
    <row r="49" spans="1:20" s="1" customFormat="1" ht="13.5" customHeight="1">
      <c r="C49" s="1">
        <v>1</v>
      </c>
      <c r="D49" s="27" t="s">
        <v>155</v>
      </c>
      <c r="E49" s="10">
        <v>1992</v>
      </c>
      <c r="F49" s="1">
        <v>2</v>
      </c>
      <c r="G49" s="50">
        <v>0</v>
      </c>
      <c r="H49" s="10" t="s">
        <v>92</v>
      </c>
      <c r="I49" s="10">
        <v>10</v>
      </c>
      <c r="J49" s="4">
        <f t="shared" si="10"/>
        <v>2002</v>
      </c>
      <c r="K49" s="145">
        <f t="shared" si="11"/>
        <v>2002.1666666666667</v>
      </c>
      <c r="L49" s="29">
        <v>969</v>
      </c>
      <c r="M49" s="29">
        <f t="shared" si="12"/>
        <v>969</v>
      </c>
      <c r="N49" s="29">
        <f t="shared" si="4"/>
        <v>8.0750000000000011</v>
      </c>
      <c r="O49" s="29">
        <f t="shared" si="5"/>
        <v>96.9</v>
      </c>
      <c r="P49" s="29">
        <f t="shared" si="6"/>
        <v>0</v>
      </c>
      <c r="Q49" s="29"/>
      <c r="R49" s="29">
        <f t="shared" si="7"/>
        <v>969</v>
      </c>
      <c r="S49" s="29">
        <f t="shared" si="8"/>
        <v>969</v>
      </c>
      <c r="T49" s="29">
        <f t="shared" si="9"/>
        <v>0</v>
      </c>
    </row>
    <row r="50" spans="1:20" s="1" customFormat="1" ht="13.5" customHeight="1">
      <c r="C50" s="1">
        <v>1</v>
      </c>
      <c r="D50" s="1" t="str">
        <f>D49</f>
        <v>6 Yd. Containers 1</v>
      </c>
      <c r="E50" s="10">
        <v>1992</v>
      </c>
      <c r="F50" s="1">
        <v>2</v>
      </c>
      <c r="G50" s="50">
        <v>0</v>
      </c>
      <c r="H50" s="10" t="s">
        <v>92</v>
      </c>
      <c r="I50" s="10">
        <v>10</v>
      </c>
      <c r="J50" s="4">
        <f t="shared" si="10"/>
        <v>2002</v>
      </c>
      <c r="K50" s="145">
        <f t="shared" si="11"/>
        <v>2002.1666666666667</v>
      </c>
      <c r="L50" s="29">
        <v>969</v>
      </c>
      <c r="M50" s="29">
        <f t="shared" si="12"/>
        <v>969</v>
      </c>
      <c r="N50" s="29">
        <f t="shared" si="4"/>
        <v>8.0750000000000011</v>
      </c>
      <c r="O50" s="29">
        <f t="shared" si="5"/>
        <v>96.9</v>
      </c>
      <c r="P50" s="29">
        <f t="shared" si="6"/>
        <v>0</v>
      </c>
      <c r="Q50" s="29"/>
      <c r="R50" s="29">
        <f t="shared" si="7"/>
        <v>969</v>
      </c>
      <c r="S50" s="29">
        <f t="shared" si="8"/>
        <v>969</v>
      </c>
      <c r="T50" s="29">
        <f t="shared" si="9"/>
        <v>0</v>
      </c>
    </row>
    <row r="51" spans="1:20" s="1" customFormat="1" ht="13.5" customHeight="1">
      <c r="D51" s="27" t="s">
        <v>156</v>
      </c>
      <c r="E51" s="10">
        <v>1992</v>
      </c>
      <c r="F51" s="1">
        <v>4</v>
      </c>
      <c r="G51" s="50">
        <v>0</v>
      </c>
      <c r="H51" s="10" t="s">
        <v>92</v>
      </c>
      <c r="I51" s="10">
        <v>5</v>
      </c>
      <c r="J51" s="4">
        <f t="shared" si="10"/>
        <v>1997</v>
      </c>
      <c r="K51" s="145">
        <f t="shared" si="11"/>
        <v>1997.3333333333333</v>
      </c>
      <c r="L51" s="29">
        <v>75.8</v>
      </c>
      <c r="M51" s="29">
        <f t="shared" si="12"/>
        <v>75.8</v>
      </c>
      <c r="N51" s="29">
        <f t="shared" si="4"/>
        <v>1.2633333333333334</v>
      </c>
      <c r="O51" s="29">
        <f t="shared" si="5"/>
        <v>15.16</v>
      </c>
      <c r="P51" s="29">
        <f t="shared" si="6"/>
        <v>0</v>
      </c>
      <c r="Q51" s="29"/>
      <c r="R51" s="29">
        <f t="shared" si="7"/>
        <v>75.8</v>
      </c>
      <c r="S51" s="29">
        <f t="shared" si="8"/>
        <v>75.8</v>
      </c>
      <c r="T51" s="29">
        <f t="shared" si="9"/>
        <v>0</v>
      </c>
    </row>
    <row r="52" spans="1:20" s="1" customFormat="1" ht="13.5" customHeight="1">
      <c r="C52" s="1">
        <v>1</v>
      </c>
      <c r="D52" s="1" t="str">
        <f>D50</f>
        <v>6 Yd. Containers 1</v>
      </c>
      <c r="E52" s="10">
        <v>1992</v>
      </c>
      <c r="F52" s="1">
        <v>7</v>
      </c>
      <c r="G52" s="50">
        <v>0</v>
      </c>
      <c r="H52" s="10" t="s">
        <v>92</v>
      </c>
      <c r="I52" s="10">
        <v>10</v>
      </c>
      <c r="J52" s="4">
        <f t="shared" si="10"/>
        <v>2002</v>
      </c>
      <c r="K52" s="145">
        <f t="shared" si="11"/>
        <v>2002.5833333333333</v>
      </c>
      <c r="L52" s="29">
        <v>968.76</v>
      </c>
      <c r="M52" s="29">
        <f t="shared" si="12"/>
        <v>968.76</v>
      </c>
      <c r="N52" s="29">
        <f t="shared" si="4"/>
        <v>8.0730000000000004</v>
      </c>
      <c r="O52" s="29">
        <f t="shared" si="5"/>
        <v>96.876000000000005</v>
      </c>
      <c r="P52" s="29">
        <f t="shared" si="6"/>
        <v>0</v>
      </c>
      <c r="Q52" s="29"/>
      <c r="R52" s="29">
        <f t="shared" si="7"/>
        <v>968.76</v>
      </c>
      <c r="S52" s="29">
        <f t="shared" si="8"/>
        <v>968.76</v>
      </c>
      <c r="T52" s="29">
        <f t="shared" si="9"/>
        <v>0</v>
      </c>
    </row>
    <row r="53" spans="1:20" s="1" customFormat="1" ht="13.5" customHeight="1">
      <c r="C53" s="1">
        <v>1</v>
      </c>
      <c r="D53" s="1" t="str">
        <f>D52</f>
        <v>6 Yd. Containers 1</v>
      </c>
      <c r="E53" s="10">
        <v>1992</v>
      </c>
      <c r="F53" s="1">
        <v>9</v>
      </c>
      <c r="G53" s="50">
        <v>0</v>
      </c>
      <c r="H53" s="10" t="s">
        <v>92</v>
      </c>
      <c r="I53" s="10">
        <v>10</v>
      </c>
      <c r="J53" s="4">
        <f t="shared" si="10"/>
        <v>2002</v>
      </c>
      <c r="K53" s="145">
        <f t="shared" si="11"/>
        <v>2002.75</v>
      </c>
      <c r="L53" s="29">
        <v>1050</v>
      </c>
      <c r="M53" s="29">
        <f t="shared" si="12"/>
        <v>1050</v>
      </c>
      <c r="N53" s="29">
        <f t="shared" si="4"/>
        <v>8.75</v>
      </c>
      <c r="O53" s="29">
        <f t="shared" si="5"/>
        <v>105</v>
      </c>
      <c r="P53" s="29">
        <f t="shared" si="6"/>
        <v>0</v>
      </c>
      <c r="Q53" s="29"/>
      <c r="R53" s="29">
        <f t="shared" si="7"/>
        <v>1050</v>
      </c>
      <c r="S53" s="29">
        <f t="shared" si="8"/>
        <v>1050</v>
      </c>
      <c r="T53" s="29">
        <f t="shared" si="9"/>
        <v>0</v>
      </c>
    </row>
    <row r="54" spans="1:20" s="1" customFormat="1" ht="13.5" customHeight="1">
      <c r="C54" s="1">
        <v>1</v>
      </c>
      <c r="D54" s="1" t="str">
        <f>D53</f>
        <v>6 Yd. Containers 1</v>
      </c>
      <c r="E54" s="10">
        <v>1992</v>
      </c>
      <c r="F54" s="1">
        <v>11</v>
      </c>
      <c r="G54" s="50">
        <v>0</v>
      </c>
      <c r="H54" s="10" t="s">
        <v>92</v>
      </c>
      <c r="I54" s="10">
        <v>10</v>
      </c>
      <c r="J54" s="4">
        <f t="shared" si="10"/>
        <v>2002</v>
      </c>
      <c r="K54" s="145">
        <f t="shared" si="11"/>
        <v>2002.9166666666667</v>
      </c>
      <c r="L54" s="29">
        <v>1025</v>
      </c>
      <c r="M54" s="29">
        <f t="shared" si="12"/>
        <v>1025</v>
      </c>
      <c r="N54" s="29">
        <f t="shared" si="4"/>
        <v>8.5416666666666661</v>
      </c>
      <c r="O54" s="29">
        <f t="shared" si="5"/>
        <v>102.5</v>
      </c>
      <c r="P54" s="29">
        <f t="shared" si="6"/>
        <v>0</v>
      </c>
      <c r="Q54" s="29"/>
      <c r="R54" s="29">
        <f t="shared" si="7"/>
        <v>1025</v>
      </c>
      <c r="S54" s="29">
        <f t="shared" si="8"/>
        <v>1025</v>
      </c>
      <c r="T54" s="29">
        <f t="shared" si="9"/>
        <v>0</v>
      </c>
    </row>
    <row r="55" spans="1:20" s="1" customFormat="1" ht="13.5" customHeight="1">
      <c r="A55" s="1">
        <v>126342</v>
      </c>
      <c r="D55" s="27" t="s">
        <v>157</v>
      </c>
      <c r="E55" s="10">
        <v>1993</v>
      </c>
      <c r="F55" s="1">
        <v>2</v>
      </c>
      <c r="G55" s="50">
        <v>0</v>
      </c>
      <c r="H55" s="10" t="s">
        <v>92</v>
      </c>
      <c r="I55" s="10">
        <v>10</v>
      </c>
      <c r="J55" s="4">
        <f t="shared" si="10"/>
        <v>2003</v>
      </c>
      <c r="K55" s="145">
        <f t="shared" si="11"/>
        <v>2003.1666666666667</v>
      </c>
      <c r="L55" s="29">
        <v>577.79999999999995</v>
      </c>
      <c r="M55" s="29">
        <f t="shared" si="12"/>
        <v>577.79999999999995</v>
      </c>
      <c r="N55" s="29">
        <f t="shared" si="4"/>
        <v>4.8149999999999995</v>
      </c>
      <c r="O55" s="29">
        <f t="shared" si="5"/>
        <v>57.779999999999994</v>
      </c>
      <c r="P55" s="29">
        <f t="shared" si="6"/>
        <v>0</v>
      </c>
      <c r="Q55" s="29"/>
      <c r="R55" s="29">
        <f t="shared" si="7"/>
        <v>577.79999999999995</v>
      </c>
      <c r="S55" s="29">
        <f t="shared" si="8"/>
        <v>577.79999999999995</v>
      </c>
      <c r="T55" s="29">
        <f t="shared" si="9"/>
        <v>0</v>
      </c>
    </row>
    <row r="56" spans="1:20" s="1" customFormat="1" ht="13.5" customHeight="1">
      <c r="C56" s="1">
        <v>1</v>
      </c>
      <c r="D56" s="27" t="s">
        <v>158</v>
      </c>
      <c r="E56" s="10">
        <v>1993</v>
      </c>
      <c r="F56" s="1">
        <v>4</v>
      </c>
      <c r="G56" s="50">
        <v>0</v>
      </c>
      <c r="H56" s="10" t="s">
        <v>92</v>
      </c>
      <c r="I56" s="10">
        <v>10</v>
      </c>
      <c r="J56" s="4">
        <f t="shared" si="10"/>
        <v>2003</v>
      </c>
      <c r="K56" s="145">
        <f t="shared" si="11"/>
        <v>2003.3333333333333</v>
      </c>
      <c r="L56" s="29">
        <v>720</v>
      </c>
      <c r="M56" s="29">
        <f t="shared" si="12"/>
        <v>720</v>
      </c>
      <c r="N56" s="29">
        <f t="shared" si="4"/>
        <v>6</v>
      </c>
      <c r="O56" s="29">
        <f t="shared" si="5"/>
        <v>72</v>
      </c>
      <c r="P56" s="29">
        <f t="shared" si="6"/>
        <v>0</v>
      </c>
      <c r="Q56" s="29"/>
      <c r="R56" s="29">
        <f t="shared" si="7"/>
        <v>720</v>
      </c>
      <c r="S56" s="29">
        <f t="shared" si="8"/>
        <v>720</v>
      </c>
      <c r="T56" s="29">
        <f t="shared" si="9"/>
        <v>0</v>
      </c>
    </row>
    <row r="57" spans="1:20" s="1" customFormat="1" ht="13.5" customHeight="1">
      <c r="D57" s="27" t="s">
        <v>149</v>
      </c>
      <c r="E57" s="10">
        <v>1993</v>
      </c>
      <c r="F57" s="1">
        <v>4</v>
      </c>
      <c r="G57" s="50">
        <v>0</v>
      </c>
      <c r="H57" s="10" t="s">
        <v>92</v>
      </c>
      <c r="I57" s="10">
        <v>10</v>
      </c>
      <c r="J57" s="4">
        <f t="shared" si="10"/>
        <v>2003</v>
      </c>
      <c r="K57" s="145">
        <f t="shared" si="11"/>
        <v>2003.3333333333333</v>
      </c>
      <c r="L57" s="29">
        <v>6339.6</v>
      </c>
      <c r="M57" s="29">
        <f t="shared" si="12"/>
        <v>6339.6</v>
      </c>
      <c r="N57" s="29">
        <f t="shared" si="4"/>
        <v>52.830000000000005</v>
      </c>
      <c r="O57" s="29">
        <f t="shared" si="5"/>
        <v>633.96</v>
      </c>
      <c r="P57" s="29">
        <f t="shared" si="6"/>
        <v>0</v>
      </c>
      <c r="Q57" s="29"/>
      <c r="R57" s="29">
        <f t="shared" si="7"/>
        <v>6339.6</v>
      </c>
      <c r="S57" s="29">
        <f t="shared" si="8"/>
        <v>6339.6</v>
      </c>
      <c r="T57" s="29">
        <f t="shared" si="9"/>
        <v>0</v>
      </c>
    </row>
    <row r="58" spans="1:20" s="1" customFormat="1" ht="13.5" customHeight="1">
      <c r="A58" s="1">
        <v>118263</v>
      </c>
      <c r="D58" s="27" t="s">
        <v>159</v>
      </c>
      <c r="E58" s="10">
        <v>1993</v>
      </c>
      <c r="F58" s="1">
        <v>4</v>
      </c>
      <c r="G58" s="50">
        <v>0</v>
      </c>
      <c r="H58" s="10" t="s">
        <v>92</v>
      </c>
      <c r="I58" s="10">
        <v>10</v>
      </c>
      <c r="J58" s="4">
        <f t="shared" si="10"/>
        <v>2003</v>
      </c>
      <c r="K58" s="145">
        <f t="shared" si="11"/>
        <v>2003.3333333333333</v>
      </c>
      <c r="L58" s="29">
        <v>388.8</v>
      </c>
      <c r="M58" s="29">
        <f t="shared" si="12"/>
        <v>388.8</v>
      </c>
      <c r="N58" s="29">
        <f t="shared" si="4"/>
        <v>3.24</v>
      </c>
      <c r="O58" s="29">
        <f t="shared" si="5"/>
        <v>38.880000000000003</v>
      </c>
      <c r="P58" s="29">
        <f t="shared" si="6"/>
        <v>0</v>
      </c>
      <c r="Q58" s="29"/>
      <c r="R58" s="29">
        <f t="shared" si="7"/>
        <v>388.8</v>
      </c>
      <c r="S58" s="29">
        <f t="shared" si="8"/>
        <v>388.8</v>
      </c>
      <c r="T58" s="29">
        <f t="shared" si="9"/>
        <v>0</v>
      </c>
    </row>
    <row r="59" spans="1:20" s="1" customFormat="1" ht="13.5" customHeight="1">
      <c r="A59" s="1">
        <v>118264</v>
      </c>
      <c r="C59" s="1">
        <v>1</v>
      </c>
      <c r="D59" s="1" t="str">
        <f>D58</f>
        <v>Lids</v>
      </c>
      <c r="E59" s="10">
        <v>1993</v>
      </c>
      <c r="F59" s="1">
        <v>5</v>
      </c>
      <c r="G59" s="50">
        <v>0</v>
      </c>
      <c r="H59" s="10" t="s">
        <v>92</v>
      </c>
      <c r="I59" s="10">
        <v>10</v>
      </c>
      <c r="J59" s="4">
        <f t="shared" si="10"/>
        <v>2003</v>
      </c>
      <c r="K59" s="145">
        <f t="shared" si="11"/>
        <v>2003.4166666666667</v>
      </c>
      <c r="L59" s="29">
        <v>5373</v>
      </c>
      <c r="M59" s="29">
        <f t="shared" si="12"/>
        <v>5373</v>
      </c>
      <c r="N59" s="29">
        <f t="shared" si="4"/>
        <v>44.774999999999999</v>
      </c>
      <c r="O59" s="29">
        <f t="shared" si="5"/>
        <v>537.29999999999995</v>
      </c>
      <c r="P59" s="29">
        <f t="shared" si="6"/>
        <v>0</v>
      </c>
      <c r="Q59" s="29"/>
      <c r="R59" s="29">
        <f t="shared" si="7"/>
        <v>5373</v>
      </c>
      <c r="S59" s="29">
        <f t="shared" si="8"/>
        <v>5373</v>
      </c>
      <c r="T59" s="29">
        <f t="shared" si="9"/>
        <v>0</v>
      </c>
    </row>
    <row r="60" spans="1:20" s="1" customFormat="1" ht="13.5" customHeight="1">
      <c r="C60" s="1">
        <v>1</v>
      </c>
      <c r="D60" s="27" t="s">
        <v>160</v>
      </c>
      <c r="E60" s="10">
        <v>1993</v>
      </c>
      <c r="F60" s="1">
        <v>8</v>
      </c>
      <c r="G60" s="50">
        <v>0</v>
      </c>
      <c r="H60" s="10" t="s">
        <v>92</v>
      </c>
      <c r="I60" s="10">
        <v>10</v>
      </c>
      <c r="J60" s="4">
        <f t="shared" si="10"/>
        <v>2003</v>
      </c>
      <c r="K60" s="145">
        <f t="shared" si="11"/>
        <v>2003.6666666666667</v>
      </c>
      <c r="L60" s="29">
        <v>478.44</v>
      </c>
      <c r="M60" s="29">
        <f t="shared" si="12"/>
        <v>478.44</v>
      </c>
      <c r="N60" s="29">
        <f t="shared" si="4"/>
        <v>3.9870000000000001</v>
      </c>
      <c r="O60" s="29">
        <f t="shared" si="5"/>
        <v>47.844000000000001</v>
      </c>
      <c r="P60" s="29">
        <f t="shared" si="6"/>
        <v>0</v>
      </c>
      <c r="Q60" s="29"/>
      <c r="R60" s="29">
        <f t="shared" si="7"/>
        <v>478.44</v>
      </c>
      <c r="S60" s="29">
        <f t="shared" si="8"/>
        <v>478.44</v>
      </c>
      <c r="T60" s="29">
        <f t="shared" si="9"/>
        <v>0</v>
      </c>
    </row>
    <row r="61" spans="1:20" s="1" customFormat="1" ht="13.5" customHeight="1">
      <c r="A61" s="1">
        <v>126206</v>
      </c>
      <c r="C61" s="1">
        <v>1</v>
      </c>
      <c r="D61" s="1" t="str">
        <f>D60</f>
        <v>4 Yd. Cont.</v>
      </c>
      <c r="E61" s="10">
        <v>1993</v>
      </c>
      <c r="F61" s="1">
        <v>8</v>
      </c>
      <c r="G61" s="50">
        <v>0</v>
      </c>
      <c r="H61" s="10" t="s">
        <v>92</v>
      </c>
      <c r="I61" s="10">
        <v>10</v>
      </c>
      <c r="J61" s="4">
        <f t="shared" si="10"/>
        <v>2003</v>
      </c>
      <c r="K61" s="145">
        <f t="shared" si="11"/>
        <v>2003.6666666666667</v>
      </c>
      <c r="L61" s="29">
        <v>3781.31</v>
      </c>
      <c r="M61" s="29">
        <f t="shared" si="12"/>
        <v>3781.31</v>
      </c>
      <c r="N61" s="29">
        <f t="shared" si="4"/>
        <v>31.510916666666663</v>
      </c>
      <c r="O61" s="29">
        <f t="shared" si="5"/>
        <v>378.13099999999997</v>
      </c>
      <c r="P61" s="29">
        <f t="shared" si="6"/>
        <v>0</v>
      </c>
      <c r="Q61" s="29"/>
      <c r="R61" s="29">
        <f t="shared" si="7"/>
        <v>3781.31</v>
      </c>
      <c r="S61" s="29">
        <f t="shared" si="8"/>
        <v>3781.31</v>
      </c>
      <c r="T61" s="29">
        <f t="shared" si="9"/>
        <v>0</v>
      </c>
    </row>
    <row r="62" spans="1:20" s="1" customFormat="1" ht="13.5" customHeight="1">
      <c r="C62" s="1">
        <v>1</v>
      </c>
      <c r="D62" s="27" t="s">
        <v>161</v>
      </c>
      <c r="E62" s="10">
        <v>1994</v>
      </c>
      <c r="F62" s="1">
        <v>11</v>
      </c>
      <c r="G62" s="50">
        <v>0</v>
      </c>
      <c r="H62" s="10" t="s">
        <v>92</v>
      </c>
      <c r="I62" s="10">
        <v>10</v>
      </c>
      <c r="J62" s="4">
        <f t="shared" si="10"/>
        <v>2004</v>
      </c>
      <c r="K62" s="145">
        <f t="shared" si="11"/>
        <v>2004.9166666666667</v>
      </c>
      <c r="L62" s="29">
        <v>621</v>
      </c>
      <c r="M62" s="29">
        <f t="shared" si="12"/>
        <v>621</v>
      </c>
      <c r="N62" s="29">
        <f t="shared" si="4"/>
        <v>5.1749999999999998</v>
      </c>
      <c r="O62" s="29">
        <f t="shared" si="5"/>
        <v>62.099999999999994</v>
      </c>
      <c r="P62" s="29">
        <f t="shared" si="6"/>
        <v>0</v>
      </c>
      <c r="Q62" s="29"/>
      <c r="R62" s="29">
        <f t="shared" si="7"/>
        <v>621</v>
      </c>
      <c r="S62" s="29">
        <f t="shared" si="8"/>
        <v>621</v>
      </c>
      <c r="T62" s="29">
        <f t="shared" si="9"/>
        <v>0</v>
      </c>
    </row>
    <row r="63" spans="1:20" s="1" customFormat="1" ht="13.5" customHeight="1">
      <c r="D63" s="39" t="s">
        <v>162</v>
      </c>
      <c r="E63" s="10">
        <v>1995</v>
      </c>
      <c r="F63" s="1">
        <v>6</v>
      </c>
      <c r="G63" s="50">
        <v>0</v>
      </c>
      <c r="H63" s="10" t="s">
        <v>92</v>
      </c>
      <c r="I63" s="10">
        <v>10</v>
      </c>
      <c r="J63" s="4">
        <f t="shared" si="10"/>
        <v>2005</v>
      </c>
      <c r="K63" s="145">
        <f t="shared" si="11"/>
        <v>2005.5</v>
      </c>
      <c r="L63" s="29">
        <v>407</v>
      </c>
      <c r="M63" s="29">
        <f t="shared" si="12"/>
        <v>407</v>
      </c>
      <c r="N63" s="29">
        <f t="shared" si="4"/>
        <v>3.3916666666666671</v>
      </c>
      <c r="O63" s="29">
        <f t="shared" si="5"/>
        <v>40.700000000000003</v>
      </c>
      <c r="P63" s="29">
        <f t="shared" si="6"/>
        <v>0</v>
      </c>
      <c r="Q63" s="29"/>
      <c r="R63" s="29">
        <f t="shared" si="7"/>
        <v>407</v>
      </c>
      <c r="S63" s="29">
        <f t="shared" si="8"/>
        <v>407</v>
      </c>
      <c r="T63" s="29">
        <f t="shared" si="9"/>
        <v>0</v>
      </c>
    </row>
    <row r="64" spans="1:20" s="1" customFormat="1" ht="13.5" customHeight="1">
      <c r="C64" s="1">
        <v>4</v>
      </c>
      <c r="D64" s="39" t="s">
        <v>163</v>
      </c>
      <c r="E64" s="10">
        <v>1996</v>
      </c>
      <c r="F64" s="1">
        <v>7</v>
      </c>
      <c r="G64" s="50">
        <v>0</v>
      </c>
      <c r="H64" s="10" t="s">
        <v>92</v>
      </c>
      <c r="I64" s="10">
        <v>10</v>
      </c>
      <c r="J64" s="4">
        <f t="shared" si="10"/>
        <v>2006</v>
      </c>
      <c r="K64" s="145">
        <f t="shared" si="11"/>
        <v>2006.5833333333333</v>
      </c>
      <c r="L64" s="29">
        <v>1526</v>
      </c>
      <c r="M64" s="29">
        <f t="shared" si="12"/>
        <v>1526</v>
      </c>
      <c r="N64" s="29">
        <f t="shared" si="4"/>
        <v>12.716666666666667</v>
      </c>
      <c r="O64" s="29">
        <f t="shared" si="5"/>
        <v>152.6</v>
      </c>
      <c r="P64" s="29">
        <f t="shared" si="6"/>
        <v>0</v>
      </c>
      <c r="Q64" s="29"/>
      <c r="R64" s="29">
        <f t="shared" si="7"/>
        <v>1526</v>
      </c>
      <c r="S64" s="29">
        <f t="shared" si="8"/>
        <v>1526</v>
      </c>
      <c r="T64" s="29">
        <f t="shared" si="9"/>
        <v>0</v>
      </c>
    </row>
    <row r="65" spans="1:20" s="1" customFormat="1" ht="13.5" customHeight="1">
      <c r="C65" s="1">
        <v>6</v>
      </c>
      <c r="D65" s="39" t="s">
        <v>164</v>
      </c>
      <c r="E65" s="10">
        <v>1996</v>
      </c>
      <c r="F65" s="1">
        <v>9</v>
      </c>
      <c r="G65" s="50">
        <v>0</v>
      </c>
      <c r="H65" s="10" t="s">
        <v>92</v>
      </c>
      <c r="I65" s="10">
        <v>10</v>
      </c>
      <c r="J65" s="4">
        <f t="shared" si="10"/>
        <v>2006</v>
      </c>
      <c r="K65" s="145">
        <f t="shared" si="11"/>
        <v>2006.75</v>
      </c>
      <c r="L65" s="29">
        <v>2205.2399999999998</v>
      </c>
      <c r="M65" s="29">
        <f t="shared" si="12"/>
        <v>2205.2399999999998</v>
      </c>
      <c r="N65" s="29">
        <f t="shared" si="4"/>
        <v>18.376999999999999</v>
      </c>
      <c r="O65" s="29">
        <f t="shared" si="5"/>
        <v>220.524</v>
      </c>
      <c r="P65" s="29">
        <f t="shared" si="6"/>
        <v>0</v>
      </c>
      <c r="Q65" s="29"/>
      <c r="R65" s="29">
        <f t="shared" si="7"/>
        <v>2205.2399999999998</v>
      </c>
      <c r="S65" s="29">
        <f t="shared" si="8"/>
        <v>2205.2399999999998</v>
      </c>
      <c r="T65" s="29">
        <f t="shared" si="9"/>
        <v>0</v>
      </c>
    </row>
    <row r="66" spans="1:20" s="1" customFormat="1" ht="13.5" customHeight="1">
      <c r="C66" s="1">
        <v>10</v>
      </c>
      <c r="D66" s="27" t="s">
        <v>165</v>
      </c>
      <c r="E66" s="10">
        <v>1997</v>
      </c>
      <c r="F66" s="1">
        <v>6</v>
      </c>
      <c r="G66" s="50">
        <v>0</v>
      </c>
      <c r="H66" s="10" t="s">
        <v>92</v>
      </c>
      <c r="I66" s="10">
        <v>10</v>
      </c>
      <c r="J66" s="4">
        <f t="shared" si="10"/>
        <v>2007</v>
      </c>
      <c r="K66" s="145">
        <f t="shared" si="11"/>
        <v>2007.5</v>
      </c>
      <c r="L66" s="29">
        <v>8162</v>
      </c>
      <c r="M66" s="29">
        <f t="shared" si="12"/>
        <v>8162</v>
      </c>
      <c r="N66" s="29">
        <f t="shared" si="4"/>
        <v>68.016666666666666</v>
      </c>
      <c r="O66" s="29">
        <f t="shared" si="5"/>
        <v>816.2</v>
      </c>
      <c r="P66" s="29">
        <f t="shared" si="6"/>
        <v>0</v>
      </c>
      <c r="Q66" s="29"/>
      <c r="R66" s="29">
        <f t="shared" si="7"/>
        <v>8162</v>
      </c>
      <c r="S66" s="29">
        <f t="shared" si="8"/>
        <v>8162</v>
      </c>
      <c r="T66" s="29">
        <f t="shared" si="9"/>
        <v>0</v>
      </c>
    </row>
    <row r="67" spans="1:20" s="1" customFormat="1" ht="13.5" customHeight="1">
      <c r="C67" s="1">
        <v>1</v>
      </c>
      <c r="D67" s="27" t="s">
        <v>166</v>
      </c>
      <c r="E67" s="10">
        <v>1997</v>
      </c>
      <c r="F67" s="1">
        <v>7</v>
      </c>
      <c r="G67" s="50">
        <v>0</v>
      </c>
      <c r="H67" s="10" t="s">
        <v>92</v>
      </c>
      <c r="I67" s="10">
        <v>10</v>
      </c>
      <c r="J67" s="4">
        <f t="shared" si="10"/>
        <v>2007</v>
      </c>
      <c r="K67" s="145">
        <f t="shared" si="11"/>
        <v>2007.5833333333333</v>
      </c>
      <c r="L67" s="29">
        <v>529</v>
      </c>
      <c r="M67" s="29">
        <f t="shared" si="12"/>
        <v>529</v>
      </c>
      <c r="N67" s="29">
        <f t="shared" si="4"/>
        <v>4.4083333333333332</v>
      </c>
      <c r="O67" s="29">
        <f t="shared" si="5"/>
        <v>52.9</v>
      </c>
      <c r="P67" s="29">
        <f t="shared" si="6"/>
        <v>0</v>
      </c>
      <c r="Q67" s="29"/>
      <c r="R67" s="29">
        <f t="shared" si="7"/>
        <v>529</v>
      </c>
      <c r="S67" s="29">
        <f t="shared" si="8"/>
        <v>529</v>
      </c>
      <c r="T67" s="29">
        <f t="shared" si="9"/>
        <v>0</v>
      </c>
    </row>
    <row r="68" spans="1:20" s="1" customFormat="1" ht="13.5" customHeight="1">
      <c r="C68" s="1">
        <v>2</v>
      </c>
      <c r="D68" s="27" t="s">
        <v>167</v>
      </c>
      <c r="E68" s="10">
        <v>1997</v>
      </c>
      <c r="F68" s="1">
        <v>11</v>
      </c>
      <c r="G68" s="50">
        <v>0</v>
      </c>
      <c r="H68" s="10" t="s">
        <v>92</v>
      </c>
      <c r="I68" s="10">
        <v>10</v>
      </c>
      <c r="J68" s="4">
        <f t="shared" si="10"/>
        <v>2007</v>
      </c>
      <c r="K68" s="145">
        <f t="shared" si="11"/>
        <v>2007.9166666666667</v>
      </c>
      <c r="L68" s="29">
        <v>1650</v>
      </c>
      <c r="M68" s="29">
        <f t="shared" si="12"/>
        <v>1650</v>
      </c>
      <c r="N68" s="29">
        <f t="shared" si="4"/>
        <v>13.75</v>
      </c>
      <c r="O68" s="29">
        <f t="shared" si="5"/>
        <v>165</v>
      </c>
      <c r="P68" s="29">
        <f t="shared" si="6"/>
        <v>0</v>
      </c>
      <c r="Q68" s="29"/>
      <c r="R68" s="29">
        <f t="shared" si="7"/>
        <v>1650</v>
      </c>
      <c r="S68" s="29">
        <f t="shared" si="8"/>
        <v>1650</v>
      </c>
      <c r="T68" s="29">
        <f t="shared" si="9"/>
        <v>0</v>
      </c>
    </row>
    <row r="69" spans="1:20" s="1" customFormat="1" ht="13.5" customHeight="1">
      <c r="A69" s="1">
        <v>189676</v>
      </c>
      <c r="D69" s="27" t="s">
        <v>168</v>
      </c>
      <c r="E69" s="10">
        <v>1997</v>
      </c>
      <c r="F69" s="1">
        <v>12</v>
      </c>
      <c r="G69" s="50">
        <v>0</v>
      </c>
      <c r="H69" s="10" t="s">
        <v>92</v>
      </c>
      <c r="I69" s="10">
        <v>10</v>
      </c>
      <c r="J69" s="4">
        <f t="shared" si="10"/>
        <v>2007</v>
      </c>
      <c r="K69" s="145">
        <f t="shared" si="11"/>
        <v>2008</v>
      </c>
      <c r="L69" s="29">
        <v>145</v>
      </c>
      <c r="M69" s="29">
        <f t="shared" si="12"/>
        <v>145</v>
      </c>
      <c r="N69" s="29">
        <f t="shared" si="4"/>
        <v>1.2083333333333333</v>
      </c>
      <c r="O69" s="29">
        <f t="shared" si="5"/>
        <v>14.5</v>
      </c>
      <c r="P69" s="29">
        <f t="shared" si="6"/>
        <v>0</v>
      </c>
      <c r="Q69" s="29"/>
      <c r="R69" s="29">
        <f t="shared" si="7"/>
        <v>145</v>
      </c>
      <c r="S69" s="29">
        <f t="shared" si="8"/>
        <v>145</v>
      </c>
      <c r="T69" s="29">
        <f t="shared" si="9"/>
        <v>0</v>
      </c>
    </row>
    <row r="70" spans="1:20" s="1" customFormat="1" ht="13.5" customHeight="1">
      <c r="C70" s="1">
        <v>1</v>
      </c>
      <c r="D70" s="27" t="s">
        <v>169</v>
      </c>
      <c r="E70" s="10">
        <v>1998</v>
      </c>
      <c r="F70" s="1">
        <v>2</v>
      </c>
      <c r="G70" s="50">
        <v>0</v>
      </c>
      <c r="H70" s="10" t="s">
        <v>92</v>
      </c>
      <c r="I70" s="10">
        <v>10</v>
      </c>
      <c r="J70" s="4">
        <f t="shared" si="10"/>
        <v>2008</v>
      </c>
      <c r="K70" s="145">
        <f t="shared" si="11"/>
        <v>2008.1666666666667</v>
      </c>
      <c r="L70" s="29">
        <v>1732</v>
      </c>
      <c r="M70" s="29">
        <f t="shared" si="12"/>
        <v>1732</v>
      </c>
      <c r="N70" s="29">
        <f t="shared" si="4"/>
        <v>14.433333333333332</v>
      </c>
      <c r="O70" s="29">
        <f t="shared" si="5"/>
        <v>173.2</v>
      </c>
      <c r="P70" s="29">
        <f t="shared" si="6"/>
        <v>0</v>
      </c>
      <c r="Q70" s="29"/>
      <c r="R70" s="29">
        <f t="shared" si="7"/>
        <v>1732</v>
      </c>
      <c r="S70" s="29">
        <f t="shared" si="8"/>
        <v>1732</v>
      </c>
      <c r="T70" s="29">
        <f t="shared" si="9"/>
        <v>0</v>
      </c>
    </row>
    <row r="71" spans="1:20" s="1" customFormat="1" ht="13.5" customHeight="1">
      <c r="C71" s="1">
        <v>1</v>
      </c>
      <c r="D71" s="27" t="str">
        <f>+D70</f>
        <v>Containers</v>
      </c>
      <c r="E71" s="10">
        <v>1998</v>
      </c>
      <c r="F71" s="1">
        <v>4</v>
      </c>
      <c r="G71" s="50">
        <v>0</v>
      </c>
      <c r="H71" s="10" t="s">
        <v>92</v>
      </c>
      <c r="I71" s="10">
        <v>10</v>
      </c>
      <c r="J71" s="4">
        <f t="shared" si="10"/>
        <v>2008</v>
      </c>
      <c r="K71" s="145">
        <f t="shared" si="11"/>
        <v>2008.3333333333333</v>
      </c>
      <c r="L71" s="29">
        <v>2971</v>
      </c>
      <c r="M71" s="29">
        <f t="shared" si="12"/>
        <v>2971</v>
      </c>
      <c r="N71" s="29">
        <f t="shared" si="4"/>
        <v>24.758333333333336</v>
      </c>
      <c r="O71" s="29">
        <f t="shared" si="5"/>
        <v>297.10000000000002</v>
      </c>
      <c r="P71" s="29">
        <f t="shared" si="6"/>
        <v>0</v>
      </c>
      <c r="Q71" s="29"/>
      <c r="R71" s="29">
        <f t="shared" si="7"/>
        <v>2971</v>
      </c>
      <c r="S71" s="29">
        <f t="shared" si="8"/>
        <v>2971</v>
      </c>
      <c r="T71" s="29">
        <f t="shared" si="9"/>
        <v>0</v>
      </c>
    </row>
    <row r="72" spans="1:20" s="1" customFormat="1" ht="13.5" customHeight="1">
      <c r="A72" s="1">
        <v>126207</v>
      </c>
      <c r="C72" s="1">
        <v>1</v>
      </c>
      <c r="D72" s="27" t="str">
        <f>+D60</f>
        <v>4 Yd. Cont.</v>
      </c>
      <c r="E72" s="10">
        <v>1998</v>
      </c>
      <c r="F72" s="1">
        <v>8</v>
      </c>
      <c r="G72" s="50">
        <v>0</v>
      </c>
      <c r="H72" s="10" t="s">
        <v>92</v>
      </c>
      <c r="I72" s="10">
        <v>10</v>
      </c>
      <c r="J72" s="4">
        <f t="shared" si="10"/>
        <v>2008</v>
      </c>
      <c r="K72" s="145">
        <f t="shared" si="11"/>
        <v>2008.6666666666667</v>
      </c>
      <c r="L72" s="29">
        <v>1692</v>
      </c>
      <c r="M72" s="29">
        <f t="shared" si="12"/>
        <v>1692</v>
      </c>
      <c r="N72" s="29">
        <f t="shared" si="4"/>
        <v>14.1</v>
      </c>
      <c r="O72" s="29">
        <f t="shared" si="5"/>
        <v>169.2</v>
      </c>
      <c r="P72" s="29">
        <f t="shared" si="6"/>
        <v>0</v>
      </c>
      <c r="Q72" s="29"/>
      <c r="R72" s="29">
        <f t="shared" si="7"/>
        <v>1692</v>
      </c>
      <c r="S72" s="29">
        <f t="shared" si="8"/>
        <v>1692</v>
      </c>
      <c r="T72" s="29">
        <f t="shared" si="9"/>
        <v>0</v>
      </c>
    </row>
    <row r="73" spans="1:20" s="1" customFormat="1" ht="13.5" customHeight="1">
      <c r="C73" s="1">
        <v>1</v>
      </c>
      <c r="D73" s="27" t="str">
        <f>+D71</f>
        <v>Containers</v>
      </c>
      <c r="E73" s="10">
        <v>1998</v>
      </c>
      <c r="F73" s="1">
        <v>10</v>
      </c>
      <c r="G73" s="50">
        <v>0</v>
      </c>
      <c r="H73" s="10" t="s">
        <v>92</v>
      </c>
      <c r="I73" s="10">
        <v>10</v>
      </c>
      <c r="J73" s="4">
        <f t="shared" si="10"/>
        <v>2008</v>
      </c>
      <c r="K73" s="145">
        <f t="shared" si="11"/>
        <v>2008.8333333333333</v>
      </c>
      <c r="L73" s="29">
        <v>4494</v>
      </c>
      <c r="M73" s="29">
        <f t="shared" si="12"/>
        <v>4494</v>
      </c>
      <c r="N73" s="29">
        <f t="shared" si="4"/>
        <v>37.449999999999996</v>
      </c>
      <c r="O73" s="29">
        <f t="shared" si="5"/>
        <v>449.4</v>
      </c>
      <c r="P73" s="29">
        <f t="shared" si="6"/>
        <v>0</v>
      </c>
      <c r="Q73" s="29"/>
      <c r="R73" s="29">
        <f t="shared" si="7"/>
        <v>4494</v>
      </c>
      <c r="S73" s="29">
        <f t="shared" si="8"/>
        <v>4494</v>
      </c>
      <c r="T73" s="29">
        <f t="shared" si="9"/>
        <v>0</v>
      </c>
    </row>
    <row r="74" spans="1:20" s="1" customFormat="1" ht="13.5" customHeight="1">
      <c r="D74" s="27" t="str">
        <f>+D73</f>
        <v>Containers</v>
      </c>
      <c r="E74" s="10">
        <v>1999</v>
      </c>
      <c r="F74" s="1">
        <v>3</v>
      </c>
      <c r="G74" s="50">
        <v>0</v>
      </c>
      <c r="H74" s="10" t="s">
        <v>92</v>
      </c>
      <c r="I74" s="10">
        <v>10</v>
      </c>
      <c r="J74" s="4">
        <f t="shared" si="10"/>
        <v>2009</v>
      </c>
      <c r="K74" s="145">
        <f t="shared" si="11"/>
        <v>2009.25</v>
      </c>
      <c r="L74" s="29">
        <v>2751</v>
      </c>
      <c r="M74" s="29">
        <f t="shared" si="12"/>
        <v>2751</v>
      </c>
      <c r="N74" s="29">
        <f t="shared" si="4"/>
        <v>22.925000000000001</v>
      </c>
      <c r="O74" s="29">
        <f t="shared" si="5"/>
        <v>275.10000000000002</v>
      </c>
      <c r="P74" s="29">
        <f t="shared" si="6"/>
        <v>0</v>
      </c>
      <c r="Q74" s="29"/>
      <c r="R74" s="29">
        <f t="shared" si="7"/>
        <v>2751</v>
      </c>
      <c r="S74" s="29">
        <f t="shared" si="8"/>
        <v>2751</v>
      </c>
      <c r="T74" s="29">
        <f t="shared" si="9"/>
        <v>0</v>
      </c>
    </row>
    <row r="75" spans="1:20" s="1" customFormat="1" ht="13.5" customHeight="1">
      <c r="D75" s="27" t="str">
        <f>+D74</f>
        <v>Containers</v>
      </c>
      <c r="E75" s="10">
        <v>1999</v>
      </c>
      <c r="F75" s="1">
        <v>7</v>
      </c>
      <c r="G75" s="50">
        <v>0</v>
      </c>
      <c r="H75" s="10" t="s">
        <v>92</v>
      </c>
      <c r="I75" s="10">
        <v>10</v>
      </c>
      <c r="J75" s="4">
        <f t="shared" si="10"/>
        <v>2009</v>
      </c>
      <c r="K75" s="145">
        <f t="shared" si="11"/>
        <v>2009.5833333333333</v>
      </c>
      <c r="L75" s="29">
        <v>1740</v>
      </c>
      <c r="M75" s="29">
        <f t="shared" si="12"/>
        <v>1740</v>
      </c>
      <c r="N75" s="29">
        <f t="shared" si="4"/>
        <v>14.5</v>
      </c>
      <c r="O75" s="29">
        <f t="shared" si="5"/>
        <v>174</v>
      </c>
      <c r="P75" s="29">
        <f t="shared" si="6"/>
        <v>0</v>
      </c>
      <c r="Q75" s="29"/>
      <c r="R75" s="29">
        <f t="shared" si="7"/>
        <v>1740</v>
      </c>
      <c r="S75" s="29">
        <f t="shared" si="8"/>
        <v>1740</v>
      </c>
      <c r="T75" s="29">
        <f t="shared" si="9"/>
        <v>0</v>
      </c>
    </row>
    <row r="76" spans="1:20" s="1" customFormat="1" ht="13.5" customHeight="1">
      <c r="A76" s="1">
        <v>189675</v>
      </c>
      <c r="D76" s="27" t="s">
        <v>170</v>
      </c>
      <c r="E76" s="10">
        <v>1999</v>
      </c>
      <c r="F76" s="1">
        <v>9</v>
      </c>
      <c r="G76" s="50">
        <v>0</v>
      </c>
      <c r="H76" s="10" t="s">
        <v>92</v>
      </c>
      <c r="I76" s="10">
        <v>10</v>
      </c>
      <c r="J76" s="4">
        <f t="shared" si="10"/>
        <v>2009</v>
      </c>
      <c r="K76" s="145">
        <f t="shared" si="11"/>
        <v>2009.75</v>
      </c>
      <c r="L76" s="29">
        <v>9489</v>
      </c>
      <c r="M76" s="29">
        <f t="shared" si="12"/>
        <v>9489</v>
      </c>
      <c r="N76" s="29">
        <f t="shared" si="4"/>
        <v>79.075000000000003</v>
      </c>
      <c r="O76" s="29">
        <f t="shared" si="5"/>
        <v>948.90000000000009</v>
      </c>
      <c r="P76" s="29">
        <f t="shared" si="6"/>
        <v>0</v>
      </c>
      <c r="Q76" s="29"/>
      <c r="R76" s="29">
        <f t="shared" si="7"/>
        <v>9489</v>
      </c>
      <c r="S76" s="29">
        <f t="shared" si="8"/>
        <v>9489</v>
      </c>
      <c r="T76" s="29">
        <f t="shared" si="9"/>
        <v>0</v>
      </c>
    </row>
    <row r="77" spans="1:20" s="1" customFormat="1" ht="13.5" customHeight="1">
      <c r="D77" s="27" t="s">
        <v>171</v>
      </c>
      <c r="E77" s="10">
        <v>1999</v>
      </c>
      <c r="F77" s="1">
        <v>12</v>
      </c>
      <c r="G77" s="50">
        <v>0</v>
      </c>
      <c r="H77" s="10" t="s">
        <v>92</v>
      </c>
      <c r="I77" s="10">
        <v>10</v>
      </c>
      <c r="J77" s="4">
        <f t="shared" ref="J77:J108" si="13">E77+I77</f>
        <v>2009</v>
      </c>
      <c r="K77" s="145">
        <f t="shared" ref="K77:K108" si="14">+J77+(F77/12)</f>
        <v>2010</v>
      </c>
      <c r="L77" s="29">
        <v>1199.9100000000001</v>
      </c>
      <c r="M77" s="29">
        <f t="shared" ref="M77:M108" si="15">L77-L77*G77</f>
        <v>1199.9100000000001</v>
      </c>
      <c r="N77" s="29">
        <f t="shared" si="4"/>
        <v>9.9992500000000017</v>
      </c>
      <c r="O77" s="29">
        <f t="shared" si="5"/>
        <v>119.99100000000001</v>
      </c>
      <c r="P77" s="29">
        <f t="shared" si="6"/>
        <v>0</v>
      </c>
      <c r="Q77" s="29"/>
      <c r="R77" s="29">
        <f t="shared" si="7"/>
        <v>1199.9100000000001</v>
      </c>
      <c r="S77" s="29">
        <f t="shared" si="8"/>
        <v>1199.9100000000001</v>
      </c>
      <c r="T77" s="29">
        <f t="shared" si="9"/>
        <v>0</v>
      </c>
    </row>
    <row r="78" spans="1:20" s="1" customFormat="1" ht="13.5" customHeight="1">
      <c r="D78" s="27" t="s">
        <v>172</v>
      </c>
      <c r="E78" s="10">
        <v>1999</v>
      </c>
      <c r="F78" s="1">
        <v>12</v>
      </c>
      <c r="G78" s="50">
        <v>0</v>
      </c>
      <c r="H78" s="10" t="s">
        <v>92</v>
      </c>
      <c r="I78" s="10">
        <v>10</v>
      </c>
      <c r="J78" s="4">
        <f t="shared" si="13"/>
        <v>2009</v>
      </c>
      <c r="K78" s="145">
        <f t="shared" si="14"/>
        <v>2010</v>
      </c>
      <c r="L78" s="29">
        <v>2578.19</v>
      </c>
      <c r="M78" s="29">
        <f t="shared" si="15"/>
        <v>2578.19</v>
      </c>
      <c r="N78" s="29">
        <f t="shared" ref="N78:N141" si="16">M78/I78/12</f>
        <v>21.484916666666667</v>
      </c>
      <c r="O78" s="29">
        <f t="shared" ref="O78:O141" si="17">+N78*12</f>
        <v>257.81900000000002</v>
      </c>
      <c r="P78" s="29">
        <f t="shared" ref="P78:P141" si="18">+IF($K78&lt;$N$7,0,IF($K78&gt;$N$6,$O78,((($K78-$N$7)*12)*$N78)))</f>
        <v>0</v>
      </c>
      <c r="Q78" s="29"/>
      <c r="R78" s="29">
        <f t="shared" ref="R78:R141" si="19">+IF($K78&lt;=$N$7,$L78,IF(($E78+($F78/12))&gt;=$N$7,0,((($M78-((($K78-$N$7)*12)*$N78))))))</f>
        <v>2578.19</v>
      </c>
      <c r="S78" s="29">
        <f t="shared" ref="S78:S141" si="20">+IF(P78=0,R78,R78+P78)</f>
        <v>2578.19</v>
      </c>
      <c r="T78" s="29">
        <f t="shared" ref="T78:T141" si="21">+L78-S78</f>
        <v>0</v>
      </c>
    </row>
    <row r="79" spans="1:20" s="1" customFormat="1" ht="13.5" customHeight="1">
      <c r="D79" s="27" t="s">
        <v>173</v>
      </c>
      <c r="E79" s="10">
        <v>1999</v>
      </c>
      <c r="F79" s="1">
        <v>12</v>
      </c>
      <c r="G79" s="50">
        <v>0</v>
      </c>
      <c r="H79" s="10" t="s">
        <v>92</v>
      </c>
      <c r="I79" s="10">
        <v>10</v>
      </c>
      <c r="J79" s="4">
        <f t="shared" si="13"/>
        <v>2009</v>
      </c>
      <c r="K79" s="145">
        <f t="shared" si="14"/>
        <v>2010</v>
      </c>
      <c r="L79" s="29">
        <v>4367.96</v>
      </c>
      <c r="M79" s="29">
        <f t="shared" si="15"/>
        <v>4367.96</v>
      </c>
      <c r="N79" s="29">
        <f t="shared" si="16"/>
        <v>36.399666666666668</v>
      </c>
      <c r="O79" s="29">
        <f t="shared" si="17"/>
        <v>436.79600000000005</v>
      </c>
      <c r="P79" s="29">
        <f t="shared" si="18"/>
        <v>0</v>
      </c>
      <c r="Q79" s="29"/>
      <c r="R79" s="29">
        <f t="shared" si="19"/>
        <v>4367.96</v>
      </c>
      <c r="S79" s="29">
        <f t="shared" si="20"/>
        <v>4367.96</v>
      </c>
      <c r="T79" s="29">
        <f t="shared" si="21"/>
        <v>0</v>
      </c>
    </row>
    <row r="80" spans="1:20" ht="13.5" customHeight="1">
      <c r="C80" s="1"/>
      <c r="D80" s="113" t="s">
        <v>174</v>
      </c>
      <c r="E80" s="100">
        <v>2000</v>
      </c>
      <c r="F80" s="95">
        <v>7</v>
      </c>
      <c r="G80" s="129">
        <v>0</v>
      </c>
      <c r="H80" s="100" t="s">
        <v>92</v>
      </c>
      <c r="I80" s="100">
        <v>10</v>
      </c>
      <c r="J80" s="97">
        <f t="shared" si="13"/>
        <v>2010</v>
      </c>
      <c r="K80" s="144">
        <f t="shared" si="14"/>
        <v>2010.5833333333333</v>
      </c>
      <c r="L80" s="115">
        <v>1491.78</v>
      </c>
      <c r="M80" s="115">
        <f t="shared" si="15"/>
        <v>1491.78</v>
      </c>
      <c r="N80" s="115">
        <f t="shared" si="16"/>
        <v>12.4315</v>
      </c>
      <c r="O80" s="115">
        <f t="shared" si="17"/>
        <v>149.178</v>
      </c>
      <c r="P80" s="115">
        <f t="shared" si="18"/>
        <v>0</v>
      </c>
      <c r="Q80" s="115"/>
      <c r="R80" s="115">
        <f t="shared" si="19"/>
        <v>1491.78</v>
      </c>
      <c r="S80" s="115">
        <f t="shared" si="20"/>
        <v>1491.78</v>
      </c>
      <c r="T80" s="115">
        <f t="shared" si="21"/>
        <v>0</v>
      </c>
    </row>
    <row r="81" spans="1:20" ht="13.5" customHeight="1">
      <c r="C81" s="1"/>
      <c r="D81" s="113" t="s">
        <v>175</v>
      </c>
      <c r="E81" s="100">
        <v>2000</v>
      </c>
      <c r="F81" s="95">
        <v>8</v>
      </c>
      <c r="G81" s="129">
        <v>0</v>
      </c>
      <c r="H81" s="100" t="s">
        <v>92</v>
      </c>
      <c r="I81" s="100">
        <v>10</v>
      </c>
      <c r="J81" s="97">
        <f t="shared" si="13"/>
        <v>2010</v>
      </c>
      <c r="K81" s="144">
        <f t="shared" si="14"/>
        <v>2010.6666666666667</v>
      </c>
      <c r="L81" s="115">
        <v>713.46</v>
      </c>
      <c r="M81" s="115">
        <f t="shared" si="15"/>
        <v>713.46</v>
      </c>
      <c r="N81" s="115">
        <f t="shared" si="16"/>
        <v>5.9455</v>
      </c>
      <c r="O81" s="115">
        <f t="shared" si="17"/>
        <v>71.346000000000004</v>
      </c>
      <c r="P81" s="115">
        <f t="shared" si="18"/>
        <v>0</v>
      </c>
      <c r="Q81" s="115"/>
      <c r="R81" s="115">
        <f t="shared" si="19"/>
        <v>713.46</v>
      </c>
      <c r="S81" s="115">
        <f t="shared" si="20"/>
        <v>713.46</v>
      </c>
      <c r="T81" s="115">
        <f t="shared" si="21"/>
        <v>0</v>
      </c>
    </row>
    <row r="82" spans="1:20" ht="13.5" customHeight="1">
      <c r="C82" s="1"/>
      <c r="D82" s="113" t="s">
        <v>176</v>
      </c>
      <c r="E82" s="100">
        <v>2000</v>
      </c>
      <c r="F82" s="95">
        <v>8</v>
      </c>
      <c r="G82" s="129">
        <v>0</v>
      </c>
      <c r="H82" s="100" t="s">
        <v>92</v>
      </c>
      <c r="I82" s="100">
        <v>10</v>
      </c>
      <c r="J82" s="97">
        <f t="shared" si="13"/>
        <v>2010</v>
      </c>
      <c r="K82" s="144">
        <f t="shared" si="14"/>
        <v>2010.6666666666667</v>
      </c>
      <c r="L82" s="115">
        <v>778.32</v>
      </c>
      <c r="M82" s="115">
        <f t="shared" si="15"/>
        <v>778.32</v>
      </c>
      <c r="N82" s="115">
        <f t="shared" si="16"/>
        <v>6.4860000000000007</v>
      </c>
      <c r="O82" s="115">
        <f t="shared" si="17"/>
        <v>77.832000000000008</v>
      </c>
      <c r="P82" s="115">
        <f t="shared" si="18"/>
        <v>0</v>
      </c>
      <c r="Q82" s="115"/>
      <c r="R82" s="115">
        <f t="shared" si="19"/>
        <v>778.32</v>
      </c>
      <c r="S82" s="115">
        <f t="shared" si="20"/>
        <v>778.32</v>
      </c>
      <c r="T82" s="115">
        <f t="shared" si="21"/>
        <v>0</v>
      </c>
    </row>
    <row r="83" spans="1:20" ht="13.5" customHeight="1">
      <c r="C83" s="1"/>
      <c r="D83" s="113" t="s">
        <v>169</v>
      </c>
      <c r="E83" s="100">
        <v>2000</v>
      </c>
      <c r="F83" s="95">
        <v>8</v>
      </c>
      <c r="G83" s="129">
        <v>0</v>
      </c>
      <c r="H83" s="100" t="s">
        <v>92</v>
      </c>
      <c r="I83" s="100">
        <v>10</v>
      </c>
      <c r="J83" s="97">
        <f t="shared" si="13"/>
        <v>2010</v>
      </c>
      <c r="K83" s="144">
        <f t="shared" si="14"/>
        <v>2010.6666666666667</v>
      </c>
      <c r="L83" s="115">
        <v>6739.42</v>
      </c>
      <c r="M83" s="115">
        <f t="shared" si="15"/>
        <v>6739.42</v>
      </c>
      <c r="N83" s="115">
        <f t="shared" si="16"/>
        <v>56.161833333333334</v>
      </c>
      <c r="O83" s="115">
        <f t="shared" si="17"/>
        <v>673.94200000000001</v>
      </c>
      <c r="P83" s="115">
        <f t="shared" si="18"/>
        <v>0</v>
      </c>
      <c r="Q83" s="115"/>
      <c r="R83" s="115">
        <f t="shared" si="19"/>
        <v>6739.42</v>
      </c>
      <c r="S83" s="115">
        <f t="shared" si="20"/>
        <v>6739.42</v>
      </c>
      <c r="T83" s="115">
        <f t="shared" si="21"/>
        <v>0</v>
      </c>
    </row>
    <row r="84" spans="1:20" ht="13.5" customHeight="1">
      <c r="C84" s="1"/>
      <c r="D84" s="113" t="s">
        <v>174</v>
      </c>
      <c r="E84" s="100">
        <v>2000</v>
      </c>
      <c r="F84" s="95">
        <v>10</v>
      </c>
      <c r="G84" s="129">
        <v>0</v>
      </c>
      <c r="H84" s="100" t="s">
        <v>92</v>
      </c>
      <c r="I84" s="100">
        <v>10</v>
      </c>
      <c r="J84" s="97">
        <f t="shared" si="13"/>
        <v>2010</v>
      </c>
      <c r="K84" s="144">
        <f t="shared" si="14"/>
        <v>2010.8333333333333</v>
      </c>
      <c r="L84" s="115">
        <v>1459.35</v>
      </c>
      <c r="M84" s="115">
        <f t="shared" si="15"/>
        <v>1459.35</v>
      </c>
      <c r="N84" s="115">
        <f t="shared" si="16"/>
        <v>12.161250000000001</v>
      </c>
      <c r="O84" s="115">
        <f t="shared" si="17"/>
        <v>145.935</v>
      </c>
      <c r="P84" s="115">
        <f t="shared" si="18"/>
        <v>0</v>
      </c>
      <c r="Q84" s="115"/>
      <c r="R84" s="115">
        <f t="shared" si="19"/>
        <v>1459.35</v>
      </c>
      <c r="S84" s="115">
        <f t="shared" si="20"/>
        <v>1459.35</v>
      </c>
      <c r="T84" s="115">
        <f t="shared" si="21"/>
        <v>0</v>
      </c>
    </row>
    <row r="85" spans="1:20" ht="13.5" customHeight="1">
      <c r="C85" s="1"/>
      <c r="D85" s="113" t="s">
        <v>177</v>
      </c>
      <c r="E85" s="100">
        <v>2000</v>
      </c>
      <c r="F85" s="95">
        <v>11</v>
      </c>
      <c r="G85" s="129">
        <v>0</v>
      </c>
      <c r="H85" s="100" t="s">
        <v>92</v>
      </c>
      <c r="I85" s="100">
        <v>10</v>
      </c>
      <c r="J85" s="97">
        <f t="shared" si="13"/>
        <v>2010</v>
      </c>
      <c r="K85" s="144">
        <f t="shared" si="14"/>
        <v>2010.9166666666667</v>
      </c>
      <c r="L85" s="115">
        <f>610*1.081</f>
        <v>659.41</v>
      </c>
      <c r="M85" s="115">
        <f t="shared" si="15"/>
        <v>659.41</v>
      </c>
      <c r="N85" s="115">
        <f t="shared" si="16"/>
        <v>5.4950833333333335</v>
      </c>
      <c r="O85" s="115">
        <f t="shared" si="17"/>
        <v>65.941000000000003</v>
      </c>
      <c r="P85" s="115">
        <f t="shared" si="18"/>
        <v>0</v>
      </c>
      <c r="Q85" s="115"/>
      <c r="R85" s="115">
        <f t="shared" si="19"/>
        <v>659.41</v>
      </c>
      <c r="S85" s="115">
        <f t="shared" si="20"/>
        <v>659.41</v>
      </c>
      <c r="T85" s="115">
        <f t="shared" si="21"/>
        <v>0</v>
      </c>
    </row>
    <row r="86" spans="1:20" ht="13.5" customHeight="1">
      <c r="C86" s="1"/>
      <c r="D86" s="113" t="s">
        <v>178</v>
      </c>
      <c r="E86" s="100">
        <v>2000</v>
      </c>
      <c r="F86" s="95">
        <v>11</v>
      </c>
      <c r="G86" s="129">
        <v>0</v>
      </c>
      <c r="H86" s="100" t="s">
        <v>92</v>
      </c>
      <c r="I86" s="100">
        <v>10</v>
      </c>
      <c r="J86" s="97">
        <f t="shared" si="13"/>
        <v>2010</v>
      </c>
      <c r="K86" s="144">
        <f t="shared" si="14"/>
        <v>2010.9166666666667</v>
      </c>
      <c r="L86" s="115">
        <f>740*1.081</f>
        <v>799.93999999999994</v>
      </c>
      <c r="M86" s="115">
        <f t="shared" si="15"/>
        <v>799.93999999999994</v>
      </c>
      <c r="N86" s="115">
        <f t="shared" si="16"/>
        <v>6.6661666666666664</v>
      </c>
      <c r="O86" s="115">
        <f t="shared" si="17"/>
        <v>79.994</v>
      </c>
      <c r="P86" s="115">
        <f t="shared" si="18"/>
        <v>0</v>
      </c>
      <c r="Q86" s="115"/>
      <c r="R86" s="115">
        <f t="shared" si="19"/>
        <v>799.93999999999994</v>
      </c>
      <c r="S86" s="115">
        <f t="shared" si="20"/>
        <v>799.93999999999994</v>
      </c>
      <c r="T86" s="115">
        <f t="shared" si="21"/>
        <v>0</v>
      </c>
    </row>
    <row r="87" spans="1:20" ht="13.5" customHeight="1">
      <c r="C87" s="1"/>
      <c r="D87" s="123" t="s">
        <v>179</v>
      </c>
      <c r="E87" s="100">
        <v>2000</v>
      </c>
      <c r="F87" s="95">
        <v>12</v>
      </c>
      <c r="G87" s="129">
        <v>0</v>
      </c>
      <c r="H87" s="100" t="s">
        <v>92</v>
      </c>
      <c r="I87" s="100">
        <v>10</v>
      </c>
      <c r="J87" s="97">
        <f t="shared" si="13"/>
        <v>2010</v>
      </c>
      <c r="K87" s="144">
        <f t="shared" si="14"/>
        <v>2011</v>
      </c>
      <c r="L87" s="115">
        <v>2788.98</v>
      </c>
      <c r="M87" s="115">
        <f t="shared" si="15"/>
        <v>2788.98</v>
      </c>
      <c r="N87" s="115">
        <f t="shared" si="16"/>
        <v>23.241500000000002</v>
      </c>
      <c r="O87" s="115">
        <f t="shared" si="17"/>
        <v>278.89800000000002</v>
      </c>
      <c r="P87" s="115">
        <f t="shared" si="18"/>
        <v>0</v>
      </c>
      <c r="Q87" s="115"/>
      <c r="R87" s="115">
        <f t="shared" si="19"/>
        <v>2788.98</v>
      </c>
      <c r="S87" s="115">
        <f t="shared" si="20"/>
        <v>2788.98</v>
      </c>
      <c r="T87" s="115">
        <f t="shared" si="21"/>
        <v>0</v>
      </c>
    </row>
    <row r="88" spans="1:20" ht="13.5" customHeight="1">
      <c r="C88" s="1"/>
      <c r="D88" s="113" t="s">
        <v>180</v>
      </c>
      <c r="E88" s="100">
        <v>2001</v>
      </c>
      <c r="F88" s="95">
        <v>3</v>
      </c>
      <c r="G88" s="129">
        <v>0</v>
      </c>
      <c r="H88" s="100" t="s">
        <v>92</v>
      </c>
      <c r="I88" s="100">
        <v>10</v>
      </c>
      <c r="J88" s="97">
        <f t="shared" si="13"/>
        <v>2011</v>
      </c>
      <c r="K88" s="144">
        <f t="shared" si="14"/>
        <v>2011.25</v>
      </c>
      <c r="L88" s="115">
        <f>795*1.081</f>
        <v>859.39499999999998</v>
      </c>
      <c r="M88" s="115">
        <f t="shared" si="15"/>
        <v>859.39499999999998</v>
      </c>
      <c r="N88" s="115">
        <f t="shared" si="16"/>
        <v>7.1616249999999999</v>
      </c>
      <c r="O88" s="115">
        <f t="shared" si="17"/>
        <v>85.939499999999995</v>
      </c>
      <c r="P88" s="115">
        <f t="shared" si="18"/>
        <v>0</v>
      </c>
      <c r="Q88" s="115"/>
      <c r="R88" s="115">
        <f t="shared" si="19"/>
        <v>859.39499999999998</v>
      </c>
      <c r="S88" s="115">
        <f t="shared" si="20"/>
        <v>859.39499999999998</v>
      </c>
      <c r="T88" s="115">
        <f t="shared" si="21"/>
        <v>0</v>
      </c>
    </row>
    <row r="89" spans="1:20" ht="13.5" customHeight="1">
      <c r="C89" s="1"/>
      <c r="D89" s="113" t="s">
        <v>181</v>
      </c>
      <c r="E89" s="100">
        <v>2001</v>
      </c>
      <c r="F89" s="95">
        <v>3</v>
      </c>
      <c r="G89" s="129">
        <v>0</v>
      </c>
      <c r="H89" s="100" t="s">
        <v>92</v>
      </c>
      <c r="I89" s="100">
        <v>10</v>
      </c>
      <c r="J89" s="97">
        <f t="shared" si="13"/>
        <v>2011</v>
      </c>
      <c r="K89" s="144">
        <f t="shared" si="14"/>
        <v>2011.25</v>
      </c>
      <c r="L89" s="115">
        <f>1440*1.081</f>
        <v>1556.6399999999999</v>
      </c>
      <c r="M89" s="115">
        <f t="shared" si="15"/>
        <v>1556.6399999999999</v>
      </c>
      <c r="N89" s="115">
        <f t="shared" si="16"/>
        <v>12.972</v>
      </c>
      <c r="O89" s="115">
        <f t="shared" si="17"/>
        <v>155.66399999999999</v>
      </c>
      <c r="P89" s="115">
        <f t="shared" si="18"/>
        <v>0</v>
      </c>
      <c r="Q89" s="115"/>
      <c r="R89" s="115">
        <f t="shared" si="19"/>
        <v>1556.6399999999999</v>
      </c>
      <c r="S89" s="115">
        <f t="shared" si="20"/>
        <v>1556.6399999999999</v>
      </c>
      <c r="T89" s="115">
        <f t="shared" si="21"/>
        <v>0</v>
      </c>
    </row>
    <row r="90" spans="1:20" ht="13.5" customHeight="1">
      <c r="C90" s="1">
        <v>3</v>
      </c>
      <c r="D90" s="113" t="s">
        <v>182</v>
      </c>
      <c r="E90" s="100">
        <v>2003</v>
      </c>
      <c r="F90" s="95">
        <v>2</v>
      </c>
      <c r="G90" s="129">
        <v>0</v>
      </c>
      <c r="H90" s="100" t="s">
        <v>92</v>
      </c>
      <c r="I90" s="100">
        <v>10</v>
      </c>
      <c r="J90" s="97">
        <f t="shared" si="13"/>
        <v>2013</v>
      </c>
      <c r="K90" s="144">
        <f t="shared" si="14"/>
        <v>2013.1666666666667</v>
      </c>
      <c r="L90" s="115">
        <v>1261</v>
      </c>
      <c r="M90" s="115">
        <f t="shared" si="15"/>
        <v>1261</v>
      </c>
      <c r="N90" s="115">
        <f t="shared" si="16"/>
        <v>10.508333333333333</v>
      </c>
      <c r="O90" s="115">
        <f t="shared" si="17"/>
        <v>126.1</v>
      </c>
      <c r="P90" s="115">
        <f t="shared" si="18"/>
        <v>0</v>
      </c>
      <c r="Q90" s="115"/>
      <c r="R90" s="115">
        <f t="shared" si="19"/>
        <v>1261</v>
      </c>
      <c r="S90" s="115">
        <f t="shared" si="20"/>
        <v>1261</v>
      </c>
      <c r="T90" s="115">
        <f t="shared" si="21"/>
        <v>0</v>
      </c>
    </row>
    <row r="91" spans="1:20" ht="13.5" customHeight="1">
      <c r="C91" s="1">
        <v>15</v>
      </c>
      <c r="D91" s="113" t="s">
        <v>183</v>
      </c>
      <c r="E91" s="100">
        <v>2003</v>
      </c>
      <c r="F91" s="95">
        <v>5</v>
      </c>
      <c r="G91" s="129">
        <v>0</v>
      </c>
      <c r="H91" s="100" t="s">
        <v>92</v>
      </c>
      <c r="I91" s="100">
        <v>10</v>
      </c>
      <c r="J91" s="97">
        <f t="shared" si="13"/>
        <v>2013</v>
      </c>
      <c r="K91" s="144">
        <f t="shared" si="14"/>
        <v>2013.4166666666667</v>
      </c>
      <c r="L91" s="115">
        <v>6180.08</v>
      </c>
      <c r="M91" s="115">
        <f t="shared" si="15"/>
        <v>6180.08</v>
      </c>
      <c r="N91" s="115">
        <f t="shared" si="16"/>
        <v>51.500666666666667</v>
      </c>
      <c r="O91" s="115">
        <f t="shared" si="17"/>
        <v>618.00800000000004</v>
      </c>
      <c r="P91" s="115">
        <f t="shared" si="18"/>
        <v>0</v>
      </c>
      <c r="Q91" s="115"/>
      <c r="R91" s="115">
        <f t="shared" si="19"/>
        <v>6180.08</v>
      </c>
      <c r="S91" s="115">
        <f t="shared" si="20"/>
        <v>6180.08</v>
      </c>
      <c r="T91" s="115">
        <f t="shared" si="21"/>
        <v>0</v>
      </c>
    </row>
    <row r="92" spans="1:20" ht="13.5" customHeight="1">
      <c r="C92" s="1">
        <v>2</v>
      </c>
      <c r="D92" s="113" t="s">
        <v>184</v>
      </c>
      <c r="E92" s="100">
        <v>2003</v>
      </c>
      <c r="F92" s="95">
        <v>5</v>
      </c>
      <c r="G92" s="129">
        <v>0</v>
      </c>
      <c r="H92" s="100" t="s">
        <v>92</v>
      </c>
      <c r="I92" s="100">
        <v>10</v>
      </c>
      <c r="J92" s="97">
        <f t="shared" si="13"/>
        <v>2013</v>
      </c>
      <c r="K92" s="144">
        <f t="shared" si="14"/>
        <v>2013.4166666666667</v>
      </c>
      <c r="L92" s="115">
        <v>778.32</v>
      </c>
      <c r="M92" s="115">
        <f t="shared" si="15"/>
        <v>778.32</v>
      </c>
      <c r="N92" s="115">
        <f t="shared" si="16"/>
        <v>6.4860000000000007</v>
      </c>
      <c r="O92" s="115">
        <f t="shared" si="17"/>
        <v>77.832000000000008</v>
      </c>
      <c r="P92" s="115">
        <f t="shared" si="18"/>
        <v>0</v>
      </c>
      <c r="Q92" s="115"/>
      <c r="R92" s="115">
        <f t="shared" si="19"/>
        <v>778.32</v>
      </c>
      <c r="S92" s="115">
        <f t="shared" si="20"/>
        <v>778.32</v>
      </c>
      <c r="T92" s="115">
        <f t="shared" si="21"/>
        <v>0</v>
      </c>
    </row>
    <row r="93" spans="1:20" ht="13.5" customHeight="1">
      <c r="C93" s="1">
        <v>13</v>
      </c>
      <c r="D93" s="113" t="s">
        <v>185</v>
      </c>
      <c r="E93" s="100">
        <v>2003</v>
      </c>
      <c r="F93" s="95">
        <v>7</v>
      </c>
      <c r="G93" s="129">
        <v>0</v>
      </c>
      <c r="H93" s="100" t="s">
        <v>92</v>
      </c>
      <c r="I93" s="100">
        <v>7</v>
      </c>
      <c r="J93" s="97">
        <f t="shared" si="13"/>
        <v>2010</v>
      </c>
      <c r="K93" s="144">
        <f t="shared" si="14"/>
        <v>2010.5833333333333</v>
      </c>
      <c r="L93" s="115">
        <v>2425.92</v>
      </c>
      <c r="M93" s="115">
        <f t="shared" si="15"/>
        <v>2425.92</v>
      </c>
      <c r="N93" s="115">
        <f t="shared" si="16"/>
        <v>28.88</v>
      </c>
      <c r="O93" s="115">
        <f t="shared" si="17"/>
        <v>346.56</v>
      </c>
      <c r="P93" s="115">
        <f t="shared" si="18"/>
        <v>0</v>
      </c>
      <c r="Q93" s="115"/>
      <c r="R93" s="115">
        <f t="shared" si="19"/>
        <v>2425.92</v>
      </c>
      <c r="S93" s="115">
        <f t="shared" si="20"/>
        <v>2425.92</v>
      </c>
      <c r="T93" s="115">
        <f t="shared" si="21"/>
        <v>0</v>
      </c>
    </row>
    <row r="94" spans="1:20" ht="13.5" customHeight="1">
      <c r="C94" s="1">
        <v>1</v>
      </c>
      <c r="D94" s="113" t="s">
        <v>186</v>
      </c>
      <c r="E94" s="100">
        <v>2003</v>
      </c>
      <c r="F94" s="95">
        <v>7</v>
      </c>
      <c r="G94" s="129">
        <v>0</v>
      </c>
      <c r="H94" s="100" t="s">
        <v>92</v>
      </c>
      <c r="I94" s="100">
        <v>10</v>
      </c>
      <c r="J94" s="97">
        <f t="shared" si="13"/>
        <v>2013</v>
      </c>
      <c r="K94" s="144">
        <f t="shared" si="14"/>
        <v>2013.5833333333333</v>
      </c>
      <c r="L94" s="115">
        <v>989.12</v>
      </c>
      <c r="M94" s="115">
        <f t="shared" si="15"/>
        <v>989.12</v>
      </c>
      <c r="N94" s="115">
        <f t="shared" si="16"/>
        <v>8.2426666666666666</v>
      </c>
      <c r="O94" s="115">
        <f t="shared" si="17"/>
        <v>98.912000000000006</v>
      </c>
      <c r="P94" s="115">
        <f t="shared" si="18"/>
        <v>0</v>
      </c>
      <c r="Q94" s="115"/>
      <c r="R94" s="115">
        <f t="shared" si="19"/>
        <v>989.12</v>
      </c>
      <c r="S94" s="115">
        <f t="shared" si="20"/>
        <v>989.12</v>
      </c>
      <c r="T94" s="115">
        <f t="shared" si="21"/>
        <v>0</v>
      </c>
    </row>
    <row r="95" spans="1:20" ht="13.5" customHeight="1">
      <c r="A95" s="95">
        <v>126343</v>
      </c>
      <c r="C95" s="1"/>
      <c r="D95" s="113" t="s">
        <v>187</v>
      </c>
      <c r="E95" s="100">
        <v>2003</v>
      </c>
      <c r="F95" s="95">
        <v>7</v>
      </c>
      <c r="G95" s="129">
        <v>0</v>
      </c>
      <c r="H95" s="100" t="s">
        <v>92</v>
      </c>
      <c r="I95" s="100">
        <v>10</v>
      </c>
      <c r="J95" s="97">
        <f t="shared" si="13"/>
        <v>2013</v>
      </c>
      <c r="K95" s="144">
        <f t="shared" si="14"/>
        <v>2013.5833333333333</v>
      </c>
      <c r="L95" s="115">
        <v>4763.8500000000004</v>
      </c>
      <c r="M95" s="115">
        <f t="shared" si="15"/>
        <v>4763.8500000000004</v>
      </c>
      <c r="N95" s="115">
        <f t="shared" si="16"/>
        <v>39.698750000000004</v>
      </c>
      <c r="O95" s="115">
        <f t="shared" si="17"/>
        <v>476.38500000000005</v>
      </c>
      <c r="P95" s="115">
        <f t="shared" si="18"/>
        <v>0</v>
      </c>
      <c r="Q95" s="115"/>
      <c r="R95" s="115">
        <f t="shared" si="19"/>
        <v>4763.8500000000004</v>
      </c>
      <c r="S95" s="115">
        <f t="shared" si="20"/>
        <v>4763.8500000000004</v>
      </c>
      <c r="T95" s="115">
        <f t="shared" si="21"/>
        <v>0</v>
      </c>
    </row>
    <row r="96" spans="1:20" ht="13.5" customHeight="1">
      <c r="C96" s="1">
        <v>2</v>
      </c>
      <c r="D96" s="113" t="s">
        <v>188</v>
      </c>
      <c r="E96" s="100">
        <v>2003</v>
      </c>
      <c r="F96" s="95">
        <v>9</v>
      </c>
      <c r="G96" s="129">
        <v>0</v>
      </c>
      <c r="H96" s="100" t="s">
        <v>92</v>
      </c>
      <c r="I96" s="100">
        <v>10</v>
      </c>
      <c r="J96" s="97">
        <f t="shared" si="13"/>
        <v>2013</v>
      </c>
      <c r="K96" s="144">
        <f t="shared" si="14"/>
        <v>2013.75</v>
      </c>
      <c r="L96" s="115">
        <v>1563.13</v>
      </c>
      <c r="M96" s="115">
        <f t="shared" si="15"/>
        <v>1563.13</v>
      </c>
      <c r="N96" s="115">
        <f t="shared" si="16"/>
        <v>13.026083333333334</v>
      </c>
      <c r="O96" s="115">
        <f t="shared" si="17"/>
        <v>156.31300000000002</v>
      </c>
      <c r="P96" s="115">
        <f t="shared" si="18"/>
        <v>0</v>
      </c>
      <c r="Q96" s="115"/>
      <c r="R96" s="115">
        <f t="shared" si="19"/>
        <v>1563.13</v>
      </c>
      <c r="S96" s="115">
        <f t="shared" si="20"/>
        <v>1563.13</v>
      </c>
      <c r="T96" s="115">
        <f t="shared" si="21"/>
        <v>0</v>
      </c>
    </row>
    <row r="97" spans="3:20" ht="13.5" customHeight="1">
      <c r="C97" s="1">
        <v>2</v>
      </c>
      <c r="D97" s="113" t="s">
        <v>167</v>
      </c>
      <c r="E97" s="100">
        <v>2003</v>
      </c>
      <c r="F97" s="95">
        <v>9</v>
      </c>
      <c r="G97" s="129">
        <v>0</v>
      </c>
      <c r="H97" s="100" t="s">
        <v>92</v>
      </c>
      <c r="I97" s="100">
        <v>10</v>
      </c>
      <c r="J97" s="97">
        <f t="shared" si="13"/>
        <v>2013</v>
      </c>
      <c r="K97" s="144">
        <f t="shared" si="14"/>
        <v>2013.75</v>
      </c>
      <c r="L97" s="115">
        <v>1714.47</v>
      </c>
      <c r="M97" s="115">
        <f t="shared" si="15"/>
        <v>1714.47</v>
      </c>
      <c r="N97" s="115">
        <f t="shared" si="16"/>
        <v>14.28725</v>
      </c>
      <c r="O97" s="115">
        <f t="shared" si="17"/>
        <v>171.447</v>
      </c>
      <c r="P97" s="115">
        <f t="shared" si="18"/>
        <v>0</v>
      </c>
      <c r="Q97" s="115"/>
      <c r="R97" s="115">
        <f t="shared" si="19"/>
        <v>1714.47</v>
      </c>
      <c r="S97" s="115">
        <f t="shared" si="20"/>
        <v>1714.47</v>
      </c>
      <c r="T97" s="115">
        <f t="shared" si="21"/>
        <v>0</v>
      </c>
    </row>
    <row r="98" spans="3:20" ht="13.5" customHeight="1">
      <c r="C98" s="1">
        <v>3</v>
      </c>
      <c r="D98" s="113" t="s">
        <v>182</v>
      </c>
      <c r="E98" s="100">
        <v>2003</v>
      </c>
      <c r="F98" s="95">
        <v>9</v>
      </c>
      <c r="G98" s="129">
        <v>0</v>
      </c>
      <c r="H98" s="100" t="s">
        <v>92</v>
      </c>
      <c r="I98" s="100">
        <v>10</v>
      </c>
      <c r="J98" s="97">
        <f t="shared" si="13"/>
        <v>2013</v>
      </c>
      <c r="K98" s="144">
        <f t="shared" si="14"/>
        <v>2013.75</v>
      </c>
      <c r="L98" s="115">
        <v>1092.8900000000001</v>
      </c>
      <c r="M98" s="115">
        <f t="shared" si="15"/>
        <v>1092.8900000000001</v>
      </c>
      <c r="N98" s="115">
        <f t="shared" si="16"/>
        <v>9.1074166666666674</v>
      </c>
      <c r="O98" s="115">
        <f t="shared" si="17"/>
        <v>109.28900000000002</v>
      </c>
      <c r="P98" s="115">
        <f t="shared" si="18"/>
        <v>0</v>
      </c>
      <c r="Q98" s="115"/>
      <c r="R98" s="115">
        <f t="shared" si="19"/>
        <v>1092.8900000000001</v>
      </c>
      <c r="S98" s="115">
        <f t="shared" si="20"/>
        <v>1092.8900000000001</v>
      </c>
      <c r="T98" s="115">
        <f t="shared" si="21"/>
        <v>0</v>
      </c>
    </row>
    <row r="99" spans="3:20" ht="13.5" customHeight="1">
      <c r="C99" s="1">
        <v>10</v>
      </c>
      <c r="D99" s="113" t="s">
        <v>189</v>
      </c>
      <c r="E99" s="100">
        <v>2004</v>
      </c>
      <c r="F99" s="95">
        <v>7</v>
      </c>
      <c r="G99" s="129">
        <v>0</v>
      </c>
      <c r="H99" s="100" t="s">
        <v>92</v>
      </c>
      <c r="I99" s="100">
        <v>10</v>
      </c>
      <c r="J99" s="97">
        <f t="shared" si="13"/>
        <v>2014</v>
      </c>
      <c r="K99" s="144">
        <f t="shared" si="14"/>
        <v>2014.5833333333333</v>
      </c>
      <c r="L99" s="115">
        <v>3950</v>
      </c>
      <c r="M99" s="115">
        <f t="shared" si="15"/>
        <v>3950</v>
      </c>
      <c r="N99" s="115">
        <f t="shared" si="16"/>
        <v>32.916666666666664</v>
      </c>
      <c r="O99" s="115">
        <f t="shared" si="17"/>
        <v>395</v>
      </c>
      <c r="P99" s="115">
        <f t="shared" si="18"/>
        <v>0</v>
      </c>
      <c r="Q99" s="115"/>
      <c r="R99" s="115">
        <f t="shared" si="19"/>
        <v>3950</v>
      </c>
      <c r="S99" s="115">
        <f t="shared" si="20"/>
        <v>3950</v>
      </c>
      <c r="T99" s="115">
        <f t="shared" si="21"/>
        <v>0</v>
      </c>
    </row>
    <row r="100" spans="3:20" ht="13.5" customHeight="1">
      <c r="C100" s="1">
        <v>4</v>
      </c>
      <c r="D100" s="113" t="s">
        <v>190</v>
      </c>
      <c r="E100" s="100">
        <v>2004</v>
      </c>
      <c r="F100" s="95">
        <v>7</v>
      </c>
      <c r="G100" s="129">
        <v>0</v>
      </c>
      <c r="H100" s="100" t="s">
        <v>92</v>
      </c>
      <c r="I100" s="100">
        <v>10</v>
      </c>
      <c r="J100" s="97">
        <f t="shared" si="13"/>
        <v>2014</v>
      </c>
      <c r="K100" s="144">
        <f t="shared" si="14"/>
        <v>2014.5833333333333</v>
      </c>
      <c r="L100" s="115">
        <v>3040</v>
      </c>
      <c r="M100" s="115">
        <f t="shared" si="15"/>
        <v>3040</v>
      </c>
      <c r="N100" s="115">
        <f t="shared" si="16"/>
        <v>25.333333333333332</v>
      </c>
      <c r="O100" s="115">
        <f t="shared" si="17"/>
        <v>304</v>
      </c>
      <c r="P100" s="115">
        <f t="shared" si="18"/>
        <v>0</v>
      </c>
      <c r="Q100" s="115"/>
      <c r="R100" s="115">
        <f t="shared" si="19"/>
        <v>3040</v>
      </c>
      <c r="S100" s="115">
        <f t="shared" si="20"/>
        <v>3040</v>
      </c>
      <c r="T100" s="115">
        <f t="shared" si="21"/>
        <v>0</v>
      </c>
    </row>
    <row r="101" spans="3:20" ht="13.5" customHeight="1">
      <c r="C101" s="1">
        <v>5</v>
      </c>
      <c r="D101" s="113" t="s">
        <v>191</v>
      </c>
      <c r="E101" s="100">
        <v>2004</v>
      </c>
      <c r="F101" s="95">
        <v>7</v>
      </c>
      <c r="G101" s="129">
        <v>0</v>
      </c>
      <c r="H101" s="100" t="s">
        <v>92</v>
      </c>
      <c r="I101" s="100">
        <v>10</v>
      </c>
      <c r="J101" s="97">
        <f t="shared" si="13"/>
        <v>2014</v>
      </c>
      <c r="K101" s="144">
        <f t="shared" si="14"/>
        <v>2014.5833333333333</v>
      </c>
      <c r="L101" s="115">
        <v>1925</v>
      </c>
      <c r="M101" s="115">
        <f t="shared" si="15"/>
        <v>1925</v>
      </c>
      <c r="N101" s="115">
        <f t="shared" si="16"/>
        <v>16.041666666666668</v>
      </c>
      <c r="O101" s="115">
        <f t="shared" si="17"/>
        <v>192.5</v>
      </c>
      <c r="P101" s="115">
        <f t="shared" si="18"/>
        <v>0</v>
      </c>
      <c r="Q101" s="115"/>
      <c r="R101" s="115">
        <f t="shared" si="19"/>
        <v>1925</v>
      </c>
      <c r="S101" s="115">
        <f t="shared" si="20"/>
        <v>1925</v>
      </c>
      <c r="T101" s="115">
        <f t="shared" si="21"/>
        <v>0</v>
      </c>
    </row>
    <row r="102" spans="3:20" ht="13.5" customHeight="1">
      <c r="C102" s="1">
        <v>6</v>
      </c>
      <c r="D102" s="113" t="s">
        <v>192</v>
      </c>
      <c r="E102" s="100">
        <v>2004</v>
      </c>
      <c r="F102" s="95">
        <v>7</v>
      </c>
      <c r="G102" s="129">
        <v>0</v>
      </c>
      <c r="H102" s="100" t="s">
        <v>92</v>
      </c>
      <c r="I102" s="100">
        <v>10</v>
      </c>
      <c r="J102" s="97">
        <f t="shared" si="13"/>
        <v>2014</v>
      </c>
      <c r="K102" s="144">
        <f t="shared" si="14"/>
        <v>2014.5833333333333</v>
      </c>
      <c r="L102" s="115">
        <v>4590</v>
      </c>
      <c r="M102" s="115">
        <f t="shared" si="15"/>
        <v>4590</v>
      </c>
      <c r="N102" s="115">
        <f t="shared" si="16"/>
        <v>38.25</v>
      </c>
      <c r="O102" s="115">
        <f t="shared" si="17"/>
        <v>459</v>
      </c>
      <c r="P102" s="115">
        <f t="shared" si="18"/>
        <v>0</v>
      </c>
      <c r="Q102" s="115"/>
      <c r="R102" s="115">
        <f t="shared" si="19"/>
        <v>4590</v>
      </c>
      <c r="S102" s="115">
        <f t="shared" si="20"/>
        <v>4590</v>
      </c>
      <c r="T102" s="115">
        <f t="shared" si="21"/>
        <v>0</v>
      </c>
    </row>
    <row r="103" spans="3:20" ht="13.5" customHeight="1">
      <c r="C103" s="1">
        <v>3</v>
      </c>
      <c r="D103" s="113" t="s">
        <v>193</v>
      </c>
      <c r="E103" s="100">
        <v>2004</v>
      </c>
      <c r="F103" s="95">
        <v>8</v>
      </c>
      <c r="G103" s="129">
        <v>0</v>
      </c>
      <c r="H103" s="100" t="s">
        <v>92</v>
      </c>
      <c r="I103" s="100">
        <v>10</v>
      </c>
      <c r="J103" s="97">
        <f t="shared" si="13"/>
        <v>2014</v>
      </c>
      <c r="K103" s="144">
        <f t="shared" si="14"/>
        <v>2014.6666666666667</v>
      </c>
      <c r="L103" s="115">
        <v>2745</v>
      </c>
      <c r="M103" s="115">
        <f t="shared" si="15"/>
        <v>2745</v>
      </c>
      <c r="N103" s="115">
        <f t="shared" si="16"/>
        <v>22.875</v>
      </c>
      <c r="O103" s="115">
        <f t="shared" si="17"/>
        <v>274.5</v>
      </c>
      <c r="P103" s="115">
        <f t="shared" si="18"/>
        <v>0</v>
      </c>
      <c r="Q103" s="115"/>
      <c r="R103" s="115">
        <f t="shared" si="19"/>
        <v>2745</v>
      </c>
      <c r="S103" s="115">
        <f t="shared" si="20"/>
        <v>2745</v>
      </c>
      <c r="T103" s="115">
        <f t="shared" si="21"/>
        <v>0</v>
      </c>
    </row>
    <row r="104" spans="3:20" ht="13.5" customHeight="1">
      <c r="C104" s="1">
        <v>8</v>
      </c>
      <c r="D104" s="123" t="s">
        <v>194</v>
      </c>
      <c r="E104" s="100">
        <v>2005</v>
      </c>
      <c r="F104" s="95">
        <v>3</v>
      </c>
      <c r="G104" s="129">
        <v>0</v>
      </c>
      <c r="H104" s="100" t="s">
        <v>92</v>
      </c>
      <c r="I104" s="100">
        <v>10</v>
      </c>
      <c r="J104" s="97">
        <f t="shared" si="13"/>
        <v>2015</v>
      </c>
      <c r="K104" s="144">
        <f t="shared" si="14"/>
        <v>2015.25</v>
      </c>
      <c r="L104" s="115">
        <v>6400</v>
      </c>
      <c r="M104" s="115">
        <f t="shared" si="15"/>
        <v>6400</v>
      </c>
      <c r="N104" s="115">
        <f t="shared" si="16"/>
        <v>53.333333333333336</v>
      </c>
      <c r="O104" s="115">
        <f t="shared" si="17"/>
        <v>640</v>
      </c>
      <c r="P104" s="115">
        <f t="shared" si="18"/>
        <v>0</v>
      </c>
      <c r="Q104" s="115"/>
      <c r="R104" s="115">
        <f t="shared" si="19"/>
        <v>6400</v>
      </c>
      <c r="S104" s="115">
        <f t="shared" si="20"/>
        <v>6400</v>
      </c>
      <c r="T104" s="115">
        <f t="shared" si="21"/>
        <v>0</v>
      </c>
    </row>
    <row r="105" spans="3:20" ht="13.5" customHeight="1">
      <c r="C105" s="1">
        <v>3</v>
      </c>
      <c r="D105" s="113" t="s">
        <v>195</v>
      </c>
      <c r="E105" s="100">
        <v>2005</v>
      </c>
      <c r="F105" s="95">
        <v>5</v>
      </c>
      <c r="G105" s="129">
        <v>0</v>
      </c>
      <c r="H105" s="100" t="s">
        <v>92</v>
      </c>
      <c r="I105" s="100">
        <v>10</v>
      </c>
      <c r="J105" s="97">
        <f t="shared" si="13"/>
        <v>2015</v>
      </c>
      <c r="K105" s="144">
        <f t="shared" si="14"/>
        <v>2015.4166666666667</v>
      </c>
      <c r="L105" s="115">
        <v>2469</v>
      </c>
      <c r="M105" s="115">
        <f t="shared" si="15"/>
        <v>2469</v>
      </c>
      <c r="N105" s="115">
        <f t="shared" si="16"/>
        <v>20.574999999999999</v>
      </c>
      <c r="O105" s="115">
        <f t="shared" si="17"/>
        <v>246.89999999999998</v>
      </c>
      <c r="P105" s="115">
        <f t="shared" si="18"/>
        <v>0</v>
      </c>
      <c r="Q105" s="115"/>
      <c r="R105" s="115">
        <f t="shared" si="19"/>
        <v>2469</v>
      </c>
      <c r="S105" s="115">
        <f t="shared" si="20"/>
        <v>2469</v>
      </c>
      <c r="T105" s="115">
        <f t="shared" si="21"/>
        <v>0</v>
      </c>
    </row>
    <row r="106" spans="3:20" ht="13.5" customHeight="1">
      <c r="C106" s="1">
        <v>2</v>
      </c>
      <c r="D106" s="113" t="s">
        <v>196</v>
      </c>
      <c r="E106" s="100">
        <v>2005</v>
      </c>
      <c r="F106" s="95">
        <v>5</v>
      </c>
      <c r="G106" s="129">
        <v>0</v>
      </c>
      <c r="H106" s="100" t="s">
        <v>92</v>
      </c>
      <c r="I106" s="100">
        <v>10</v>
      </c>
      <c r="J106" s="97">
        <f t="shared" si="13"/>
        <v>2015</v>
      </c>
      <c r="K106" s="144">
        <f t="shared" si="14"/>
        <v>2015.4166666666667</v>
      </c>
      <c r="L106" s="115">
        <v>863</v>
      </c>
      <c r="M106" s="115">
        <f t="shared" si="15"/>
        <v>863</v>
      </c>
      <c r="N106" s="115">
        <f t="shared" si="16"/>
        <v>7.1916666666666664</v>
      </c>
      <c r="O106" s="115">
        <f t="shared" si="17"/>
        <v>86.3</v>
      </c>
      <c r="P106" s="115">
        <f t="shared" si="18"/>
        <v>0</v>
      </c>
      <c r="Q106" s="115"/>
      <c r="R106" s="115">
        <f t="shared" si="19"/>
        <v>863</v>
      </c>
      <c r="S106" s="115">
        <f t="shared" si="20"/>
        <v>863</v>
      </c>
      <c r="T106" s="115">
        <f t="shared" si="21"/>
        <v>0</v>
      </c>
    </row>
    <row r="107" spans="3:20" ht="13.5" customHeight="1">
      <c r="C107" s="1">
        <v>3</v>
      </c>
      <c r="D107" s="113" t="s">
        <v>195</v>
      </c>
      <c r="E107" s="100">
        <v>2005</v>
      </c>
      <c r="F107" s="95">
        <v>8</v>
      </c>
      <c r="G107" s="129">
        <v>0</v>
      </c>
      <c r="H107" s="100" t="s">
        <v>92</v>
      </c>
      <c r="I107" s="100">
        <v>10</v>
      </c>
      <c r="J107" s="97">
        <f t="shared" si="13"/>
        <v>2015</v>
      </c>
      <c r="K107" s="144">
        <f t="shared" si="14"/>
        <v>2015.6666666666667</v>
      </c>
      <c r="L107" s="115">
        <v>2469</v>
      </c>
      <c r="M107" s="115">
        <f t="shared" si="15"/>
        <v>2469</v>
      </c>
      <c r="N107" s="115">
        <f t="shared" si="16"/>
        <v>20.574999999999999</v>
      </c>
      <c r="O107" s="115">
        <f t="shared" si="17"/>
        <v>246.89999999999998</v>
      </c>
      <c r="P107" s="115">
        <f t="shared" si="18"/>
        <v>0</v>
      </c>
      <c r="Q107" s="115"/>
      <c r="R107" s="115">
        <f t="shared" si="19"/>
        <v>2469</v>
      </c>
      <c r="S107" s="115">
        <f t="shared" si="20"/>
        <v>2469</v>
      </c>
      <c r="T107" s="115">
        <f t="shared" si="21"/>
        <v>0</v>
      </c>
    </row>
    <row r="108" spans="3:20" ht="13.5" customHeight="1">
      <c r="C108" s="1">
        <v>4</v>
      </c>
      <c r="D108" s="113" t="s">
        <v>195</v>
      </c>
      <c r="E108" s="100">
        <v>2006</v>
      </c>
      <c r="F108" s="95">
        <v>2</v>
      </c>
      <c r="G108" s="129">
        <v>0</v>
      </c>
      <c r="H108" s="100" t="s">
        <v>92</v>
      </c>
      <c r="I108" s="100">
        <v>10</v>
      </c>
      <c r="J108" s="97">
        <f t="shared" si="13"/>
        <v>2016</v>
      </c>
      <c r="K108" s="144">
        <f t="shared" si="14"/>
        <v>2016.1666666666667</v>
      </c>
      <c r="L108" s="115">
        <v>2588.33</v>
      </c>
      <c r="M108" s="115">
        <f t="shared" si="15"/>
        <v>2588.33</v>
      </c>
      <c r="N108" s="115">
        <f t="shared" si="16"/>
        <v>21.569416666666665</v>
      </c>
      <c r="O108" s="115">
        <f t="shared" si="17"/>
        <v>258.83299999999997</v>
      </c>
      <c r="P108" s="115">
        <f t="shared" si="18"/>
        <v>0</v>
      </c>
      <c r="Q108" s="115"/>
      <c r="R108" s="115">
        <f t="shared" si="19"/>
        <v>2588.33</v>
      </c>
      <c r="S108" s="115">
        <f t="shared" si="20"/>
        <v>2588.33</v>
      </c>
      <c r="T108" s="115">
        <f t="shared" si="21"/>
        <v>0</v>
      </c>
    </row>
    <row r="109" spans="3:20" ht="13.5" customHeight="1">
      <c r="C109" s="1">
        <v>4</v>
      </c>
      <c r="D109" s="113" t="s">
        <v>196</v>
      </c>
      <c r="E109" s="100">
        <v>2006</v>
      </c>
      <c r="F109" s="95">
        <v>2</v>
      </c>
      <c r="G109" s="129">
        <v>0</v>
      </c>
      <c r="H109" s="100" t="s">
        <v>92</v>
      </c>
      <c r="I109" s="100">
        <v>10</v>
      </c>
      <c r="J109" s="97">
        <f t="shared" ref="J109:J140" si="22">E109+I109</f>
        <v>2016</v>
      </c>
      <c r="K109" s="144">
        <f t="shared" ref="K109:K140" si="23">+J109+(F109/12)</f>
        <v>2016.1666666666667</v>
      </c>
      <c r="L109" s="115">
        <v>3127.61</v>
      </c>
      <c r="M109" s="115">
        <f t="shared" ref="M109:M140" si="24">L109-L109*G109</f>
        <v>3127.61</v>
      </c>
      <c r="N109" s="115">
        <f t="shared" si="16"/>
        <v>26.063416666666669</v>
      </c>
      <c r="O109" s="115">
        <f t="shared" si="17"/>
        <v>312.76100000000002</v>
      </c>
      <c r="P109" s="115">
        <f t="shared" si="18"/>
        <v>0</v>
      </c>
      <c r="Q109" s="115"/>
      <c r="R109" s="115">
        <f t="shared" si="19"/>
        <v>3127.61</v>
      </c>
      <c r="S109" s="115">
        <f t="shared" si="20"/>
        <v>3127.61</v>
      </c>
      <c r="T109" s="115">
        <f t="shared" si="21"/>
        <v>0</v>
      </c>
    </row>
    <row r="110" spans="3:20" ht="13.5" customHeight="1">
      <c r="C110" s="1">
        <v>8</v>
      </c>
      <c r="D110" s="113" t="s">
        <v>197</v>
      </c>
      <c r="E110" s="100">
        <v>2006</v>
      </c>
      <c r="F110" s="95">
        <v>3</v>
      </c>
      <c r="G110" s="129">
        <v>0</v>
      </c>
      <c r="H110" s="100" t="s">
        <v>92</v>
      </c>
      <c r="I110" s="100">
        <v>10</v>
      </c>
      <c r="J110" s="97">
        <f t="shared" si="22"/>
        <v>2016</v>
      </c>
      <c r="K110" s="144">
        <f t="shared" si="23"/>
        <v>2016.25</v>
      </c>
      <c r="L110" s="115">
        <v>3749.76</v>
      </c>
      <c r="M110" s="115">
        <f t="shared" si="24"/>
        <v>3749.76</v>
      </c>
      <c r="N110" s="115">
        <f t="shared" si="16"/>
        <v>31.248000000000001</v>
      </c>
      <c r="O110" s="115">
        <f t="shared" si="17"/>
        <v>374.976</v>
      </c>
      <c r="P110" s="115">
        <f t="shared" si="18"/>
        <v>0</v>
      </c>
      <c r="Q110" s="115"/>
      <c r="R110" s="115">
        <f t="shared" si="19"/>
        <v>3749.76</v>
      </c>
      <c r="S110" s="115">
        <f t="shared" si="20"/>
        <v>3749.76</v>
      </c>
      <c r="T110" s="115">
        <f t="shared" si="21"/>
        <v>0</v>
      </c>
    </row>
    <row r="111" spans="3:20" ht="13.5" customHeight="1">
      <c r="C111" s="1">
        <v>13</v>
      </c>
      <c r="D111" s="113" t="s">
        <v>198</v>
      </c>
      <c r="E111" s="100">
        <v>2006</v>
      </c>
      <c r="F111" s="95">
        <v>4</v>
      </c>
      <c r="G111" s="129">
        <v>0</v>
      </c>
      <c r="H111" s="100" t="s">
        <v>92</v>
      </c>
      <c r="I111" s="100">
        <v>10</v>
      </c>
      <c r="J111" s="97">
        <f t="shared" si="22"/>
        <v>2016</v>
      </c>
      <c r="K111" s="144">
        <f t="shared" si="23"/>
        <v>2016.3333333333333</v>
      </c>
      <c r="L111" s="115">
        <f>5005+430.43</f>
        <v>5435.43</v>
      </c>
      <c r="M111" s="115">
        <f t="shared" si="24"/>
        <v>5435.43</v>
      </c>
      <c r="N111" s="115">
        <f t="shared" si="16"/>
        <v>45.295250000000003</v>
      </c>
      <c r="O111" s="115">
        <f t="shared" si="17"/>
        <v>543.54300000000001</v>
      </c>
      <c r="P111" s="115">
        <f t="shared" si="18"/>
        <v>0</v>
      </c>
      <c r="Q111" s="115"/>
      <c r="R111" s="115">
        <f t="shared" si="19"/>
        <v>5435.43</v>
      </c>
      <c r="S111" s="115">
        <f t="shared" si="20"/>
        <v>5435.43</v>
      </c>
      <c r="T111" s="115">
        <f t="shared" si="21"/>
        <v>0</v>
      </c>
    </row>
    <row r="112" spans="3:20" ht="13.5" customHeight="1">
      <c r="C112" s="1">
        <v>5</v>
      </c>
      <c r="D112" s="113" t="s">
        <v>199</v>
      </c>
      <c r="E112" s="100">
        <v>2006</v>
      </c>
      <c r="F112" s="95">
        <v>4</v>
      </c>
      <c r="G112" s="129">
        <v>0</v>
      </c>
      <c r="H112" s="100" t="s">
        <v>92</v>
      </c>
      <c r="I112" s="100">
        <v>10</v>
      </c>
      <c r="J112" s="97">
        <f t="shared" si="22"/>
        <v>2016</v>
      </c>
      <c r="K112" s="144">
        <f t="shared" si="23"/>
        <v>2016.3333333333333</v>
      </c>
      <c r="L112" s="115">
        <f>2075+178.45</f>
        <v>2253.4499999999998</v>
      </c>
      <c r="M112" s="115">
        <f t="shared" si="24"/>
        <v>2253.4499999999998</v>
      </c>
      <c r="N112" s="115">
        <f t="shared" si="16"/>
        <v>18.778749999999999</v>
      </c>
      <c r="O112" s="115">
        <f t="shared" si="17"/>
        <v>225.34499999999997</v>
      </c>
      <c r="P112" s="115">
        <f t="shared" si="18"/>
        <v>0</v>
      </c>
      <c r="Q112" s="115"/>
      <c r="R112" s="115">
        <f t="shared" si="19"/>
        <v>2253.4499999999998</v>
      </c>
      <c r="S112" s="115">
        <f t="shared" si="20"/>
        <v>2253.4499999999998</v>
      </c>
      <c r="T112" s="115">
        <f t="shared" si="21"/>
        <v>0</v>
      </c>
    </row>
    <row r="113" spans="3:20" ht="13.5" customHeight="1">
      <c r="C113" s="1">
        <v>2</v>
      </c>
      <c r="D113" s="113" t="s">
        <v>195</v>
      </c>
      <c r="E113" s="100">
        <v>2006</v>
      </c>
      <c r="F113" s="95">
        <v>4</v>
      </c>
      <c r="G113" s="129">
        <v>0</v>
      </c>
      <c r="H113" s="100" t="s">
        <v>92</v>
      </c>
      <c r="I113" s="100">
        <v>10</v>
      </c>
      <c r="J113" s="97">
        <f t="shared" si="22"/>
        <v>2016</v>
      </c>
      <c r="K113" s="144">
        <f t="shared" si="23"/>
        <v>2016.3333333333333</v>
      </c>
      <c r="L113" s="115">
        <f>1660+142.76</f>
        <v>1802.76</v>
      </c>
      <c r="M113" s="115">
        <f t="shared" si="24"/>
        <v>1802.76</v>
      </c>
      <c r="N113" s="115">
        <f t="shared" si="16"/>
        <v>15.023000000000001</v>
      </c>
      <c r="O113" s="115">
        <f t="shared" si="17"/>
        <v>180.27600000000001</v>
      </c>
      <c r="P113" s="115">
        <f t="shared" si="18"/>
        <v>0</v>
      </c>
      <c r="Q113" s="115"/>
      <c r="R113" s="115">
        <f t="shared" si="19"/>
        <v>1802.76</v>
      </c>
      <c r="S113" s="115">
        <f t="shared" si="20"/>
        <v>1802.76</v>
      </c>
      <c r="T113" s="115">
        <f t="shared" si="21"/>
        <v>0</v>
      </c>
    </row>
    <row r="114" spans="3:20" s="1" customFormat="1" ht="13.5" customHeight="1">
      <c r="C114" s="1">
        <v>8</v>
      </c>
      <c r="D114" s="27" t="s">
        <v>195</v>
      </c>
      <c r="E114" s="10">
        <v>2006</v>
      </c>
      <c r="F114" s="1">
        <v>8</v>
      </c>
      <c r="G114" s="50">
        <v>0</v>
      </c>
      <c r="H114" s="10" t="s">
        <v>92</v>
      </c>
      <c r="I114" s="10">
        <v>10</v>
      </c>
      <c r="J114" s="4">
        <f t="shared" si="22"/>
        <v>2016</v>
      </c>
      <c r="K114" s="144">
        <f t="shared" si="23"/>
        <v>2016.6666666666667</v>
      </c>
      <c r="L114" s="29">
        <v>4912</v>
      </c>
      <c r="M114" s="29">
        <f t="shared" si="24"/>
        <v>4912</v>
      </c>
      <c r="N114" s="29">
        <f t="shared" si="16"/>
        <v>40.93333333333333</v>
      </c>
      <c r="O114" s="29">
        <f t="shared" si="17"/>
        <v>491.19999999999993</v>
      </c>
      <c r="P114" s="29">
        <f t="shared" si="18"/>
        <v>0</v>
      </c>
      <c r="Q114" s="29"/>
      <c r="R114" s="29">
        <f t="shared" si="19"/>
        <v>4912</v>
      </c>
      <c r="S114" s="29">
        <f t="shared" si="20"/>
        <v>4912</v>
      </c>
      <c r="T114" s="29">
        <f t="shared" si="21"/>
        <v>0</v>
      </c>
    </row>
    <row r="115" spans="3:20" s="1" customFormat="1" ht="13.5" customHeight="1">
      <c r="C115" s="1">
        <v>2</v>
      </c>
      <c r="D115" s="27" t="s">
        <v>196</v>
      </c>
      <c r="E115" s="10">
        <v>2006</v>
      </c>
      <c r="F115" s="1">
        <v>8</v>
      </c>
      <c r="G115" s="50">
        <v>0</v>
      </c>
      <c r="H115" s="10" t="s">
        <v>92</v>
      </c>
      <c r="I115" s="10">
        <v>10</v>
      </c>
      <c r="J115" s="4">
        <f t="shared" si="22"/>
        <v>2016</v>
      </c>
      <c r="K115" s="144">
        <f t="shared" si="23"/>
        <v>2016.6666666666667</v>
      </c>
      <c r="L115" s="29">
        <v>1454</v>
      </c>
      <c r="M115" s="29">
        <f t="shared" si="24"/>
        <v>1454</v>
      </c>
      <c r="N115" s="29">
        <f t="shared" si="16"/>
        <v>12.116666666666667</v>
      </c>
      <c r="O115" s="29">
        <f t="shared" si="17"/>
        <v>145.4</v>
      </c>
      <c r="P115" s="29">
        <f t="shared" si="18"/>
        <v>0</v>
      </c>
      <c r="Q115" s="29"/>
      <c r="R115" s="29">
        <f t="shared" si="19"/>
        <v>1454</v>
      </c>
      <c r="S115" s="29">
        <f t="shared" si="20"/>
        <v>1454</v>
      </c>
      <c r="T115" s="29">
        <f t="shared" si="21"/>
        <v>0</v>
      </c>
    </row>
    <row r="116" spans="3:20" s="1" customFormat="1" ht="13.5" customHeight="1">
      <c r="C116" s="1">
        <v>2</v>
      </c>
      <c r="D116" s="27" t="s">
        <v>198</v>
      </c>
      <c r="E116" s="10">
        <v>2007</v>
      </c>
      <c r="F116" s="1">
        <v>1</v>
      </c>
      <c r="G116" s="50">
        <v>0</v>
      </c>
      <c r="H116" s="10" t="s">
        <v>92</v>
      </c>
      <c r="I116" s="10">
        <v>10</v>
      </c>
      <c r="J116" s="4">
        <f t="shared" si="22"/>
        <v>2017</v>
      </c>
      <c r="K116" s="144">
        <f t="shared" si="23"/>
        <v>2017.0833333333333</v>
      </c>
      <c r="L116" s="29">
        <v>860</v>
      </c>
      <c r="M116" s="29">
        <f t="shared" si="24"/>
        <v>860</v>
      </c>
      <c r="N116" s="29">
        <f t="shared" si="16"/>
        <v>7.166666666666667</v>
      </c>
      <c r="O116" s="29">
        <f t="shared" si="17"/>
        <v>86</v>
      </c>
      <c r="P116" s="29">
        <f t="shared" si="18"/>
        <v>0</v>
      </c>
      <c r="Q116" s="29"/>
      <c r="R116" s="29">
        <f t="shared" si="19"/>
        <v>860</v>
      </c>
      <c r="S116" s="29">
        <f t="shared" si="20"/>
        <v>860</v>
      </c>
      <c r="T116" s="29">
        <f t="shared" si="21"/>
        <v>0</v>
      </c>
    </row>
    <row r="117" spans="3:20" s="1" customFormat="1" ht="13.5" customHeight="1">
      <c r="C117" s="1">
        <v>2</v>
      </c>
      <c r="D117" s="27" t="s">
        <v>199</v>
      </c>
      <c r="E117" s="10">
        <v>2007</v>
      </c>
      <c r="F117" s="1">
        <v>1</v>
      </c>
      <c r="G117" s="50">
        <v>0</v>
      </c>
      <c r="H117" s="10" t="s">
        <v>92</v>
      </c>
      <c r="I117" s="10">
        <v>10</v>
      </c>
      <c r="J117" s="4">
        <f t="shared" si="22"/>
        <v>2017</v>
      </c>
      <c r="K117" s="144">
        <f t="shared" si="23"/>
        <v>2017.0833333333333</v>
      </c>
      <c r="L117" s="29">
        <v>900</v>
      </c>
      <c r="M117" s="29">
        <f t="shared" si="24"/>
        <v>900</v>
      </c>
      <c r="N117" s="29">
        <f t="shared" si="16"/>
        <v>7.5</v>
      </c>
      <c r="O117" s="29">
        <f t="shared" si="17"/>
        <v>90</v>
      </c>
      <c r="P117" s="29">
        <f t="shared" si="18"/>
        <v>0</v>
      </c>
      <c r="Q117" s="29"/>
      <c r="R117" s="29">
        <f t="shared" si="19"/>
        <v>900</v>
      </c>
      <c r="S117" s="29">
        <f t="shared" si="20"/>
        <v>900</v>
      </c>
      <c r="T117" s="29">
        <f t="shared" si="21"/>
        <v>0</v>
      </c>
    </row>
    <row r="118" spans="3:20" s="1" customFormat="1" ht="13.5" customHeight="1">
      <c r="C118" s="1">
        <v>3</v>
      </c>
      <c r="D118" s="27" t="s">
        <v>197</v>
      </c>
      <c r="E118" s="10">
        <v>2007</v>
      </c>
      <c r="F118" s="1">
        <v>1</v>
      </c>
      <c r="G118" s="50">
        <v>0</v>
      </c>
      <c r="H118" s="10" t="s">
        <v>92</v>
      </c>
      <c r="I118" s="10">
        <v>10</v>
      </c>
      <c r="J118" s="4">
        <f t="shared" si="22"/>
        <v>2017</v>
      </c>
      <c r="K118" s="144">
        <f t="shared" si="23"/>
        <v>2017.0833333333333</v>
      </c>
      <c r="L118" s="29">
        <v>1410</v>
      </c>
      <c r="M118" s="29">
        <f t="shared" si="24"/>
        <v>1410</v>
      </c>
      <c r="N118" s="29">
        <f t="shared" si="16"/>
        <v>11.75</v>
      </c>
      <c r="O118" s="29">
        <f t="shared" si="17"/>
        <v>141</v>
      </c>
      <c r="P118" s="29">
        <f t="shared" si="18"/>
        <v>0</v>
      </c>
      <c r="Q118" s="29"/>
      <c r="R118" s="29">
        <f t="shared" si="19"/>
        <v>1410</v>
      </c>
      <c r="S118" s="29">
        <f t="shared" si="20"/>
        <v>1410</v>
      </c>
      <c r="T118" s="29">
        <f t="shared" si="21"/>
        <v>0</v>
      </c>
    </row>
    <row r="119" spans="3:20" s="1" customFormat="1" ht="13.5" customHeight="1">
      <c r="C119" s="1">
        <v>12</v>
      </c>
      <c r="D119" s="27" t="s">
        <v>198</v>
      </c>
      <c r="E119" s="10">
        <v>2007</v>
      </c>
      <c r="F119" s="1">
        <v>7</v>
      </c>
      <c r="G119" s="50">
        <v>0</v>
      </c>
      <c r="H119" s="10" t="s">
        <v>92</v>
      </c>
      <c r="I119" s="10">
        <v>10</v>
      </c>
      <c r="J119" s="4">
        <f t="shared" si="22"/>
        <v>2017</v>
      </c>
      <c r="K119" s="144">
        <f t="shared" si="23"/>
        <v>2017.5833333333333</v>
      </c>
      <c r="L119" s="29">
        <v>5539</v>
      </c>
      <c r="M119" s="29">
        <f t="shared" si="24"/>
        <v>5539</v>
      </c>
      <c r="N119" s="29">
        <f t="shared" si="16"/>
        <v>46.158333333333331</v>
      </c>
      <c r="O119" s="29">
        <f t="shared" si="17"/>
        <v>553.9</v>
      </c>
      <c r="P119" s="29">
        <f t="shared" si="18"/>
        <v>0</v>
      </c>
      <c r="Q119" s="29"/>
      <c r="R119" s="29">
        <f t="shared" si="19"/>
        <v>5539</v>
      </c>
      <c r="S119" s="29">
        <f t="shared" si="20"/>
        <v>5539</v>
      </c>
      <c r="T119" s="29">
        <f t="shared" si="21"/>
        <v>0</v>
      </c>
    </row>
    <row r="120" spans="3:20" s="1" customFormat="1" ht="13.5" customHeight="1">
      <c r="C120" s="1">
        <v>3</v>
      </c>
      <c r="D120" s="27" t="s">
        <v>199</v>
      </c>
      <c r="E120" s="10">
        <v>2007</v>
      </c>
      <c r="F120" s="1">
        <v>7</v>
      </c>
      <c r="G120" s="50">
        <v>0</v>
      </c>
      <c r="H120" s="10" t="s">
        <v>92</v>
      </c>
      <c r="I120" s="10">
        <v>10</v>
      </c>
      <c r="J120" s="4">
        <f t="shared" si="22"/>
        <v>2017</v>
      </c>
      <c r="K120" s="144">
        <f t="shared" si="23"/>
        <v>2017.5833333333333</v>
      </c>
      <c r="L120" s="29">
        <f>1335*1.086</f>
        <v>1449.8100000000002</v>
      </c>
      <c r="M120" s="29">
        <f t="shared" si="24"/>
        <v>1449.8100000000002</v>
      </c>
      <c r="N120" s="29">
        <f t="shared" si="16"/>
        <v>12.081750000000001</v>
      </c>
      <c r="O120" s="29">
        <f t="shared" si="17"/>
        <v>144.98100000000002</v>
      </c>
      <c r="P120" s="29">
        <f t="shared" si="18"/>
        <v>0</v>
      </c>
      <c r="Q120" s="29"/>
      <c r="R120" s="29">
        <f t="shared" si="19"/>
        <v>1449.8100000000002</v>
      </c>
      <c r="S120" s="29">
        <f t="shared" si="20"/>
        <v>1449.8100000000002</v>
      </c>
      <c r="T120" s="29">
        <f t="shared" si="21"/>
        <v>0</v>
      </c>
    </row>
    <row r="121" spans="3:20" s="1" customFormat="1" ht="13.5" customHeight="1">
      <c r="C121" s="1">
        <v>2</v>
      </c>
      <c r="D121" s="27" t="s">
        <v>197</v>
      </c>
      <c r="E121" s="10">
        <v>2007</v>
      </c>
      <c r="F121" s="1">
        <v>7</v>
      </c>
      <c r="G121" s="50">
        <v>0</v>
      </c>
      <c r="H121" s="10" t="s">
        <v>92</v>
      </c>
      <c r="I121" s="10">
        <v>10</v>
      </c>
      <c r="J121" s="4">
        <f t="shared" si="22"/>
        <v>2017</v>
      </c>
      <c r="K121" s="144">
        <f t="shared" si="23"/>
        <v>2017.5833333333333</v>
      </c>
      <c r="L121" s="29">
        <f>930*1.086</f>
        <v>1009.98</v>
      </c>
      <c r="M121" s="29">
        <f t="shared" si="24"/>
        <v>1009.98</v>
      </c>
      <c r="N121" s="29">
        <f t="shared" si="16"/>
        <v>8.416500000000001</v>
      </c>
      <c r="O121" s="29">
        <f t="shared" si="17"/>
        <v>100.99800000000002</v>
      </c>
      <c r="P121" s="29">
        <f t="shared" si="18"/>
        <v>0</v>
      </c>
      <c r="Q121" s="29"/>
      <c r="R121" s="29">
        <f t="shared" si="19"/>
        <v>1009.98</v>
      </c>
      <c r="S121" s="29">
        <f t="shared" si="20"/>
        <v>1009.98</v>
      </c>
      <c r="T121" s="29">
        <f t="shared" si="21"/>
        <v>0</v>
      </c>
    </row>
    <row r="122" spans="3:20" s="1" customFormat="1" ht="13.5" customHeight="1">
      <c r="C122" s="1">
        <v>2</v>
      </c>
      <c r="D122" s="27" t="s">
        <v>197</v>
      </c>
      <c r="E122" s="10">
        <v>2007</v>
      </c>
      <c r="F122" s="1">
        <v>7</v>
      </c>
      <c r="G122" s="50">
        <v>0</v>
      </c>
      <c r="H122" s="10" t="s">
        <v>92</v>
      </c>
      <c r="I122" s="10">
        <v>10</v>
      </c>
      <c r="J122" s="4">
        <f t="shared" si="22"/>
        <v>2017</v>
      </c>
      <c r="K122" s="144">
        <f t="shared" si="23"/>
        <v>2017.5833333333333</v>
      </c>
      <c r="L122" s="29">
        <f>930*1.086</f>
        <v>1009.98</v>
      </c>
      <c r="M122" s="29">
        <f t="shared" si="24"/>
        <v>1009.98</v>
      </c>
      <c r="N122" s="29">
        <f t="shared" si="16"/>
        <v>8.416500000000001</v>
      </c>
      <c r="O122" s="29">
        <f t="shared" si="17"/>
        <v>100.99800000000002</v>
      </c>
      <c r="P122" s="29">
        <f t="shared" si="18"/>
        <v>0</v>
      </c>
      <c r="Q122" s="29"/>
      <c r="R122" s="29">
        <f t="shared" si="19"/>
        <v>1009.98</v>
      </c>
      <c r="S122" s="29">
        <f t="shared" si="20"/>
        <v>1009.98</v>
      </c>
      <c r="T122" s="29">
        <f t="shared" si="21"/>
        <v>0</v>
      </c>
    </row>
    <row r="123" spans="3:20" s="1" customFormat="1" ht="13.5" customHeight="1">
      <c r="C123" s="1">
        <v>3</v>
      </c>
      <c r="D123" s="27" t="s">
        <v>195</v>
      </c>
      <c r="E123" s="10">
        <v>2007</v>
      </c>
      <c r="F123" s="1">
        <v>8</v>
      </c>
      <c r="G123" s="50">
        <v>0</v>
      </c>
      <c r="H123" s="10" t="s">
        <v>92</v>
      </c>
      <c r="I123" s="10">
        <v>10</v>
      </c>
      <c r="J123" s="4">
        <f t="shared" si="22"/>
        <v>2017</v>
      </c>
      <c r="K123" s="144">
        <f t="shared" si="23"/>
        <v>2017.6666666666667</v>
      </c>
      <c r="L123" s="29">
        <f>1668+148.32+127.14</f>
        <v>1943.46</v>
      </c>
      <c r="M123" s="29">
        <f t="shared" si="24"/>
        <v>1943.46</v>
      </c>
      <c r="N123" s="29">
        <f t="shared" si="16"/>
        <v>16.195499999999999</v>
      </c>
      <c r="O123" s="29">
        <f t="shared" si="17"/>
        <v>194.346</v>
      </c>
      <c r="P123" s="29">
        <f t="shared" si="18"/>
        <v>0</v>
      </c>
      <c r="Q123" s="29"/>
      <c r="R123" s="29">
        <f t="shared" si="19"/>
        <v>1943.46</v>
      </c>
      <c r="S123" s="29">
        <f t="shared" si="20"/>
        <v>1943.46</v>
      </c>
      <c r="T123" s="29">
        <f t="shared" si="21"/>
        <v>0</v>
      </c>
    </row>
    <row r="124" spans="3:20" s="1" customFormat="1" ht="13.5" customHeight="1">
      <c r="C124" s="1">
        <v>6</v>
      </c>
      <c r="D124" s="27" t="s">
        <v>196</v>
      </c>
      <c r="E124" s="10">
        <v>2007</v>
      </c>
      <c r="F124" s="1">
        <v>8</v>
      </c>
      <c r="G124" s="50">
        <v>0</v>
      </c>
      <c r="H124" s="10" t="s">
        <v>92</v>
      </c>
      <c r="I124" s="10">
        <v>10</v>
      </c>
      <c r="J124" s="4">
        <f t="shared" si="22"/>
        <v>2017</v>
      </c>
      <c r="K124" s="144">
        <f t="shared" si="23"/>
        <v>2017.6666666666667</v>
      </c>
      <c r="L124" s="29">
        <f>6639.35-L123</f>
        <v>4695.8900000000003</v>
      </c>
      <c r="M124" s="29">
        <f t="shared" si="24"/>
        <v>4695.8900000000003</v>
      </c>
      <c r="N124" s="29">
        <f t="shared" si="16"/>
        <v>39.132416666666671</v>
      </c>
      <c r="O124" s="29">
        <f t="shared" si="17"/>
        <v>469.58900000000006</v>
      </c>
      <c r="P124" s="29">
        <f t="shared" si="18"/>
        <v>0</v>
      </c>
      <c r="Q124" s="29"/>
      <c r="R124" s="29">
        <f t="shared" si="19"/>
        <v>4695.8900000000003</v>
      </c>
      <c r="S124" s="29">
        <f t="shared" si="20"/>
        <v>4695.8900000000003</v>
      </c>
      <c r="T124" s="29">
        <f t="shared" si="21"/>
        <v>0</v>
      </c>
    </row>
    <row r="125" spans="3:20" s="1" customFormat="1" ht="13.5" customHeight="1">
      <c r="C125" s="1">
        <v>10</v>
      </c>
      <c r="D125" s="27" t="s">
        <v>200</v>
      </c>
      <c r="E125" s="10">
        <v>2009</v>
      </c>
      <c r="F125" s="1">
        <v>4</v>
      </c>
      <c r="G125" s="50">
        <v>0</v>
      </c>
      <c r="H125" s="10" t="s">
        <v>92</v>
      </c>
      <c r="I125" s="10">
        <v>5</v>
      </c>
      <c r="J125" s="4">
        <f t="shared" si="22"/>
        <v>2014</v>
      </c>
      <c r="K125" s="144">
        <f t="shared" si="23"/>
        <v>2014.3333333333333</v>
      </c>
      <c r="L125" s="29">
        <v>1005</v>
      </c>
      <c r="M125" s="29">
        <f t="shared" si="24"/>
        <v>1005</v>
      </c>
      <c r="N125" s="29">
        <f t="shared" si="16"/>
        <v>16.75</v>
      </c>
      <c r="O125" s="29">
        <f t="shared" si="17"/>
        <v>201</v>
      </c>
      <c r="P125" s="29">
        <f t="shared" si="18"/>
        <v>0</v>
      </c>
      <c r="Q125" s="29"/>
      <c r="R125" s="29">
        <f t="shared" si="19"/>
        <v>1005</v>
      </c>
      <c r="S125" s="29">
        <f t="shared" si="20"/>
        <v>1005</v>
      </c>
      <c r="T125" s="29">
        <f t="shared" si="21"/>
        <v>0</v>
      </c>
    </row>
    <row r="126" spans="3:20" s="1" customFormat="1" ht="13.5" customHeight="1">
      <c r="C126" s="1">
        <v>5</v>
      </c>
      <c r="D126" s="27" t="s">
        <v>201</v>
      </c>
      <c r="E126" s="10">
        <v>2009</v>
      </c>
      <c r="F126" s="1">
        <v>4</v>
      </c>
      <c r="G126" s="50">
        <v>0</v>
      </c>
      <c r="H126" s="10" t="s">
        <v>92</v>
      </c>
      <c r="I126" s="10">
        <v>5</v>
      </c>
      <c r="J126" s="4">
        <f t="shared" si="22"/>
        <v>2014</v>
      </c>
      <c r="K126" s="144">
        <f t="shared" si="23"/>
        <v>2014.3333333333333</v>
      </c>
      <c r="L126" s="29">
        <v>588</v>
      </c>
      <c r="M126" s="29">
        <f t="shared" si="24"/>
        <v>588</v>
      </c>
      <c r="N126" s="29">
        <f t="shared" si="16"/>
        <v>9.7999999999999989</v>
      </c>
      <c r="O126" s="29">
        <f t="shared" si="17"/>
        <v>117.6</v>
      </c>
      <c r="P126" s="29">
        <f t="shared" si="18"/>
        <v>0</v>
      </c>
      <c r="Q126" s="29"/>
      <c r="R126" s="29">
        <f t="shared" si="19"/>
        <v>588</v>
      </c>
      <c r="S126" s="29">
        <f t="shared" si="20"/>
        <v>588</v>
      </c>
      <c r="T126" s="29">
        <f t="shared" si="21"/>
        <v>0</v>
      </c>
    </row>
    <row r="127" spans="3:20" s="1" customFormat="1" ht="13.5" customHeight="1">
      <c r="C127" s="1">
        <v>4</v>
      </c>
      <c r="D127" s="27" t="s">
        <v>202</v>
      </c>
      <c r="E127" s="10">
        <v>2009</v>
      </c>
      <c r="F127" s="1">
        <v>4</v>
      </c>
      <c r="G127" s="50">
        <v>0</v>
      </c>
      <c r="H127" s="10" t="s">
        <v>92</v>
      </c>
      <c r="I127" s="10">
        <v>5</v>
      </c>
      <c r="J127" s="4">
        <f t="shared" si="22"/>
        <v>2014</v>
      </c>
      <c r="K127" s="144">
        <f t="shared" si="23"/>
        <v>2014.3333333333333</v>
      </c>
      <c r="L127" s="29">
        <v>873</v>
      </c>
      <c r="M127" s="29">
        <f t="shared" si="24"/>
        <v>873</v>
      </c>
      <c r="N127" s="29">
        <f t="shared" si="16"/>
        <v>14.549999999999999</v>
      </c>
      <c r="O127" s="29">
        <f t="shared" si="17"/>
        <v>174.6</v>
      </c>
      <c r="P127" s="29">
        <f t="shared" si="18"/>
        <v>0</v>
      </c>
      <c r="Q127" s="29"/>
      <c r="R127" s="29">
        <f t="shared" si="19"/>
        <v>873</v>
      </c>
      <c r="S127" s="29">
        <f t="shared" si="20"/>
        <v>873</v>
      </c>
      <c r="T127" s="29">
        <f t="shared" si="21"/>
        <v>0</v>
      </c>
    </row>
    <row r="128" spans="3:20" s="1" customFormat="1" ht="13.5" customHeight="1">
      <c r="C128" s="1">
        <v>6</v>
      </c>
      <c r="D128" s="27" t="s">
        <v>203</v>
      </c>
      <c r="E128" s="10">
        <v>2009</v>
      </c>
      <c r="F128" s="1">
        <v>4</v>
      </c>
      <c r="G128" s="50">
        <v>0</v>
      </c>
      <c r="H128" s="10" t="s">
        <v>92</v>
      </c>
      <c r="I128" s="10">
        <v>5</v>
      </c>
      <c r="J128" s="4">
        <f t="shared" si="22"/>
        <v>2014</v>
      </c>
      <c r="K128" s="144">
        <f t="shared" si="23"/>
        <v>2014.3333333333333</v>
      </c>
      <c r="L128" s="29">
        <v>1560</v>
      </c>
      <c r="M128" s="29">
        <f t="shared" si="24"/>
        <v>1560</v>
      </c>
      <c r="N128" s="29">
        <f t="shared" si="16"/>
        <v>26</v>
      </c>
      <c r="O128" s="29">
        <f t="shared" si="17"/>
        <v>312</v>
      </c>
      <c r="P128" s="29">
        <f t="shared" si="18"/>
        <v>0</v>
      </c>
      <c r="Q128" s="29"/>
      <c r="R128" s="29">
        <f t="shared" si="19"/>
        <v>1560</v>
      </c>
      <c r="S128" s="29">
        <f t="shared" si="20"/>
        <v>1560</v>
      </c>
      <c r="T128" s="29">
        <f t="shared" si="21"/>
        <v>0</v>
      </c>
    </row>
    <row r="129" spans="3:20" s="1" customFormat="1" ht="13.5" customHeight="1">
      <c r="C129" s="1">
        <v>7</v>
      </c>
      <c r="D129" s="27" t="s">
        <v>198</v>
      </c>
      <c r="E129" s="10">
        <v>2010</v>
      </c>
      <c r="F129" s="1">
        <v>5</v>
      </c>
      <c r="G129" s="50">
        <v>0</v>
      </c>
      <c r="H129" s="10" t="s">
        <v>92</v>
      </c>
      <c r="I129" s="10">
        <v>10</v>
      </c>
      <c r="J129" s="4">
        <f t="shared" si="22"/>
        <v>2020</v>
      </c>
      <c r="K129" s="144">
        <f t="shared" si="23"/>
        <v>2020.4166666666667</v>
      </c>
      <c r="L129" s="29">
        <v>2792</v>
      </c>
      <c r="M129" s="29">
        <f t="shared" si="24"/>
        <v>2792</v>
      </c>
      <c r="N129" s="29">
        <f t="shared" si="16"/>
        <v>23.266666666666666</v>
      </c>
      <c r="O129" s="29">
        <f t="shared" si="17"/>
        <v>279.2</v>
      </c>
      <c r="P129" s="29">
        <f t="shared" si="18"/>
        <v>0</v>
      </c>
      <c r="Q129" s="29"/>
      <c r="R129" s="29">
        <f t="shared" si="19"/>
        <v>2792</v>
      </c>
      <c r="S129" s="29">
        <f t="shared" si="20"/>
        <v>2792</v>
      </c>
      <c r="T129" s="29">
        <f t="shared" si="21"/>
        <v>0</v>
      </c>
    </row>
    <row r="130" spans="3:20" s="1" customFormat="1" ht="13.5" customHeight="1">
      <c r="C130" s="1">
        <v>3</v>
      </c>
      <c r="D130" s="27" t="s">
        <v>199</v>
      </c>
      <c r="E130" s="10">
        <v>2010</v>
      </c>
      <c r="F130" s="1">
        <v>5</v>
      </c>
      <c r="G130" s="50">
        <v>0</v>
      </c>
      <c r="H130" s="10" t="s">
        <v>92</v>
      </c>
      <c r="I130" s="10">
        <v>10</v>
      </c>
      <c r="J130" s="4">
        <f t="shared" si="22"/>
        <v>2020</v>
      </c>
      <c r="K130" s="144">
        <f t="shared" si="23"/>
        <v>2020.4166666666667</v>
      </c>
      <c r="L130" s="29">
        <v>1294</v>
      </c>
      <c r="M130" s="29">
        <f t="shared" si="24"/>
        <v>1294</v>
      </c>
      <c r="N130" s="29">
        <f t="shared" si="16"/>
        <v>10.783333333333333</v>
      </c>
      <c r="O130" s="29">
        <f t="shared" si="17"/>
        <v>129.4</v>
      </c>
      <c r="P130" s="29">
        <f t="shared" si="18"/>
        <v>0</v>
      </c>
      <c r="Q130" s="29"/>
      <c r="R130" s="29">
        <f t="shared" si="19"/>
        <v>1294</v>
      </c>
      <c r="S130" s="29">
        <f t="shared" si="20"/>
        <v>1294</v>
      </c>
      <c r="T130" s="29">
        <f t="shared" si="21"/>
        <v>0</v>
      </c>
    </row>
    <row r="131" spans="3:20" s="1" customFormat="1" ht="13.5" customHeight="1">
      <c r="C131" s="1">
        <v>3</v>
      </c>
      <c r="D131" s="27" t="s">
        <v>199</v>
      </c>
      <c r="E131" s="10">
        <v>2011</v>
      </c>
      <c r="F131" s="1">
        <v>1</v>
      </c>
      <c r="G131" s="50">
        <v>0</v>
      </c>
      <c r="H131" s="10" t="s">
        <v>92</v>
      </c>
      <c r="I131" s="10">
        <v>10</v>
      </c>
      <c r="J131" s="4">
        <f t="shared" si="22"/>
        <v>2021</v>
      </c>
      <c r="K131" s="144">
        <f t="shared" si="23"/>
        <v>2021.0833333333333</v>
      </c>
      <c r="L131" s="29">
        <v>1623.47</v>
      </c>
      <c r="M131" s="29">
        <f t="shared" si="24"/>
        <v>1623.47</v>
      </c>
      <c r="N131" s="29">
        <f t="shared" si="16"/>
        <v>13.528916666666667</v>
      </c>
      <c r="O131" s="29">
        <f t="shared" si="17"/>
        <v>162.34700000000001</v>
      </c>
      <c r="P131" s="29">
        <f t="shared" si="18"/>
        <v>0</v>
      </c>
      <c r="Q131" s="29"/>
      <c r="R131" s="29">
        <f t="shared" si="19"/>
        <v>1623.47</v>
      </c>
      <c r="S131" s="29">
        <f t="shared" si="20"/>
        <v>1623.47</v>
      </c>
      <c r="T131" s="29">
        <f t="shared" si="21"/>
        <v>0</v>
      </c>
    </row>
    <row r="132" spans="3:20" s="1" customFormat="1" ht="13.5" customHeight="1">
      <c r="C132" s="1">
        <v>2</v>
      </c>
      <c r="D132" s="27" t="s">
        <v>197</v>
      </c>
      <c r="E132" s="10">
        <v>2011</v>
      </c>
      <c r="F132" s="1">
        <v>1</v>
      </c>
      <c r="G132" s="50">
        <v>0</v>
      </c>
      <c r="H132" s="10" t="s">
        <v>92</v>
      </c>
      <c r="I132" s="10">
        <v>10</v>
      </c>
      <c r="J132" s="4">
        <f t="shared" si="22"/>
        <v>2021</v>
      </c>
      <c r="K132" s="144">
        <f t="shared" si="23"/>
        <v>2021.0833333333333</v>
      </c>
      <c r="L132" s="29">
        <v>1636.4</v>
      </c>
      <c r="M132" s="29">
        <f t="shared" si="24"/>
        <v>1636.4</v>
      </c>
      <c r="N132" s="29">
        <f t="shared" si="16"/>
        <v>13.636666666666668</v>
      </c>
      <c r="O132" s="29">
        <f t="shared" si="17"/>
        <v>163.64000000000001</v>
      </c>
      <c r="P132" s="29">
        <f t="shared" si="18"/>
        <v>0</v>
      </c>
      <c r="Q132" s="29"/>
      <c r="R132" s="29">
        <f t="shared" si="19"/>
        <v>1636.4</v>
      </c>
      <c r="S132" s="29">
        <f t="shared" si="20"/>
        <v>1636.4</v>
      </c>
      <c r="T132" s="29">
        <f t="shared" si="21"/>
        <v>0</v>
      </c>
    </row>
    <row r="133" spans="3:20" s="1" customFormat="1" ht="13.5" customHeight="1">
      <c r="C133" s="1">
        <v>4</v>
      </c>
      <c r="D133" s="27" t="s">
        <v>199</v>
      </c>
      <c r="E133" s="10">
        <v>2011</v>
      </c>
      <c r="F133" s="1">
        <v>12</v>
      </c>
      <c r="G133" s="50">
        <v>0</v>
      </c>
      <c r="H133" s="10" t="s">
        <v>92</v>
      </c>
      <c r="I133" s="10">
        <v>10</v>
      </c>
      <c r="J133" s="4">
        <f t="shared" si="22"/>
        <v>2021</v>
      </c>
      <c r="K133" s="144">
        <f t="shared" si="23"/>
        <v>2022</v>
      </c>
      <c r="L133" s="29">
        <v>2165</v>
      </c>
      <c r="M133" s="29">
        <f t="shared" si="24"/>
        <v>2165</v>
      </c>
      <c r="N133" s="29">
        <f t="shared" si="16"/>
        <v>18.041666666666668</v>
      </c>
      <c r="O133" s="29">
        <f t="shared" si="17"/>
        <v>216.5</v>
      </c>
      <c r="P133" s="29">
        <f t="shared" si="18"/>
        <v>0</v>
      </c>
      <c r="Q133" s="29"/>
      <c r="R133" s="29">
        <f t="shared" si="19"/>
        <v>2165</v>
      </c>
      <c r="S133" s="29">
        <f t="shared" si="20"/>
        <v>2165</v>
      </c>
      <c r="T133" s="29">
        <f t="shared" si="21"/>
        <v>0</v>
      </c>
    </row>
    <row r="134" spans="3:20" s="1" customFormat="1" ht="13.5" customHeight="1">
      <c r="C134" s="1">
        <v>4</v>
      </c>
      <c r="D134" s="27" t="s">
        <v>195</v>
      </c>
      <c r="E134" s="10">
        <v>2011</v>
      </c>
      <c r="F134" s="1">
        <v>12</v>
      </c>
      <c r="G134" s="50">
        <v>0</v>
      </c>
      <c r="H134" s="10" t="s">
        <v>92</v>
      </c>
      <c r="I134" s="10">
        <v>10</v>
      </c>
      <c r="J134" s="4">
        <f t="shared" si="22"/>
        <v>2021</v>
      </c>
      <c r="K134" s="144">
        <f t="shared" si="23"/>
        <v>2022</v>
      </c>
      <c r="L134" s="29">
        <v>3060.43</v>
      </c>
      <c r="M134" s="29">
        <f t="shared" si="24"/>
        <v>3060.43</v>
      </c>
      <c r="N134" s="29">
        <f t="shared" si="16"/>
        <v>25.503583333333335</v>
      </c>
      <c r="O134" s="29">
        <f t="shared" si="17"/>
        <v>306.04300000000001</v>
      </c>
      <c r="P134" s="29">
        <f t="shared" si="18"/>
        <v>0</v>
      </c>
      <c r="Q134" s="29"/>
      <c r="R134" s="29">
        <f t="shared" si="19"/>
        <v>3060.43</v>
      </c>
      <c r="S134" s="29">
        <f t="shared" si="20"/>
        <v>3060.43</v>
      </c>
      <c r="T134" s="29">
        <f t="shared" si="21"/>
        <v>0</v>
      </c>
    </row>
    <row r="135" spans="3:20" s="1" customFormat="1" ht="13.5" customHeight="1">
      <c r="C135" s="1">
        <v>3</v>
      </c>
      <c r="D135" s="27" t="s">
        <v>196</v>
      </c>
      <c r="E135" s="10">
        <v>2011</v>
      </c>
      <c r="F135" s="1">
        <v>12</v>
      </c>
      <c r="G135" s="50">
        <v>0</v>
      </c>
      <c r="H135" s="10" t="s">
        <v>92</v>
      </c>
      <c r="I135" s="10">
        <v>10</v>
      </c>
      <c r="J135" s="4">
        <f t="shared" si="22"/>
        <v>2021</v>
      </c>
      <c r="K135" s="144">
        <f t="shared" si="23"/>
        <v>2022</v>
      </c>
      <c r="L135" s="29">
        <v>2347.9499999999998</v>
      </c>
      <c r="M135" s="29">
        <f t="shared" si="24"/>
        <v>2347.9499999999998</v>
      </c>
      <c r="N135" s="29">
        <f t="shared" si="16"/>
        <v>19.56625</v>
      </c>
      <c r="O135" s="29">
        <f t="shared" si="17"/>
        <v>234.79500000000002</v>
      </c>
      <c r="P135" s="29">
        <f t="shared" si="18"/>
        <v>0</v>
      </c>
      <c r="Q135" s="29"/>
      <c r="R135" s="29">
        <f t="shared" si="19"/>
        <v>2347.9499999999998</v>
      </c>
      <c r="S135" s="29">
        <f t="shared" si="20"/>
        <v>2347.9499999999998</v>
      </c>
      <c r="T135" s="29">
        <f t="shared" si="21"/>
        <v>0</v>
      </c>
    </row>
    <row r="136" spans="3:20" s="1" customFormat="1" ht="13.5" customHeight="1">
      <c r="C136" s="1">
        <v>3</v>
      </c>
      <c r="D136" s="27" t="s">
        <v>198</v>
      </c>
      <c r="E136" s="10">
        <v>2012</v>
      </c>
      <c r="F136" s="1">
        <v>11</v>
      </c>
      <c r="G136" s="50">
        <v>0</v>
      </c>
      <c r="H136" s="10" t="s">
        <v>92</v>
      </c>
      <c r="I136" s="10">
        <v>10</v>
      </c>
      <c r="J136" s="4">
        <f t="shared" si="22"/>
        <v>2022</v>
      </c>
      <c r="K136" s="144">
        <f t="shared" si="23"/>
        <v>2022.9166666666667</v>
      </c>
      <c r="L136" s="29">
        <v>1342</v>
      </c>
      <c r="M136" s="29">
        <f t="shared" si="24"/>
        <v>1342</v>
      </c>
      <c r="N136" s="29">
        <f t="shared" si="16"/>
        <v>11.183333333333332</v>
      </c>
      <c r="O136" s="29">
        <f t="shared" si="17"/>
        <v>134.19999999999999</v>
      </c>
      <c r="P136" s="29">
        <f t="shared" si="18"/>
        <v>111.83333333335366</v>
      </c>
      <c r="Q136" s="29"/>
      <c r="R136" s="29">
        <f t="shared" si="19"/>
        <v>1230.1666666666463</v>
      </c>
      <c r="S136" s="29">
        <f t="shared" si="20"/>
        <v>1342</v>
      </c>
      <c r="T136" s="29">
        <f t="shared" si="21"/>
        <v>0</v>
      </c>
    </row>
    <row r="137" spans="3:20" s="1" customFormat="1" ht="13.5" customHeight="1">
      <c r="C137" s="1">
        <v>5</v>
      </c>
      <c r="D137" s="27" t="s">
        <v>197</v>
      </c>
      <c r="E137" s="10">
        <v>2012</v>
      </c>
      <c r="F137" s="1">
        <v>11</v>
      </c>
      <c r="G137" s="50">
        <v>0</v>
      </c>
      <c r="H137" s="10" t="s">
        <v>92</v>
      </c>
      <c r="I137" s="10">
        <v>10</v>
      </c>
      <c r="J137" s="4">
        <f t="shared" si="22"/>
        <v>2022</v>
      </c>
      <c r="K137" s="144">
        <f t="shared" si="23"/>
        <v>2022.9166666666667</v>
      </c>
      <c r="L137" s="29">
        <v>2485</v>
      </c>
      <c r="M137" s="29">
        <f t="shared" si="24"/>
        <v>2485</v>
      </c>
      <c r="N137" s="29">
        <f t="shared" si="16"/>
        <v>20.708333333333332</v>
      </c>
      <c r="O137" s="29">
        <f t="shared" si="17"/>
        <v>248.5</v>
      </c>
      <c r="P137" s="29">
        <f t="shared" si="18"/>
        <v>207.083333333371</v>
      </c>
      <c r="Q137" s="29"/>
      <c r="R137" s="29">
        <f t="shared" si="19"/>
        <v>2277.9166666666288</v>
      </c>
      <c r="S137" s="29">
        <f t="shared" si="20"/>
        <v>2485</v>
      </c>
      <c r="T137" s="29">
        <f t="shared" si="21"/>
        <v>0</v>
      </c>
    </row>
    <row r="138" spans="3:20" s="1" customFormat="1" ht="13.5" customHeight="1">
      <c r="C138" s="1">
        <v>8</v>
      </c>
      <c r="D138" s="27" t="s">
        <v>198</v>
      </c>
      <c r="E138" s="10">
        <v>2014</v>
      </c>
      <c r="F138" s="1">
        <v>12</v>
      </c>
      <c r="G138" s="50">
        <v>0</v>
      </c>
      <c r="H138" s="10" t="s">
        <v>92</v>
      </c>
      <c r="I138" s="10">
        <v>10</v>
      </c>
      <c r="J138" s="4">
        <f t="shared" si="22"/>
        <v>2024</v>
      </c>
      <c r="K138" s="144">
        <f t="shared" si="23"/>
        <v>2025</v>
      </c>
      <c r="L138" s="29">
        <v>4064.06</v>
      </c>
      <c r="M138" s="29">
        <f t="shared" si="24"/>
        <v>4064.06</v>
      </c>
      <c r="N138" s="29">
        <f t="shared" si="16"/>
        <v>33.86716666666667</v>
      </c>
      <c r="O138" s="29">
        <f t="shared" si="17"/>
        <v>406.40600000000006</v>
      </c>
      <c r="P138" s="29">
        <f t="shared" si="18"/>
        <v>406.40600000000006</v>
      </c>
      <c r="Q138" s="29"/>
      <c r="R138" s="29">
        <f t="shared" si="19"/>
        <v>2878.7091666666356</v>
      </c>
      <c r="S138" s="29">
        <f t="shared" si="20"/>
        <v>3285.1151666666356</v>
      </c>
      <c r="T138" s="29">
        <f t="shared" si="21"/>
        <v>778.94483333336439</v>
      </c>
    </row>
    <row r="139" spans="3:20" s="1" customFormat="1" ht="13.5" customHeight="1">
      <c r="C139" s="1">
        <v>3</v>
      </c>
      <c r="D139" s="27" t="s">
        <v>199</v>
      </c>
      <c r="E139" s="10">
        <v>2014</v>
      </c>
      <c r="F139" s="1">
        <v>12</v>
      </c>
      <c r="G139" s="50">
        <v>0</v>
      </c>
      <c r="H139" s="10" t="s">
        <v>92</v>
      </c>
      <c r="I139" s="10">
        <v>10</v>
      </c>
      <c r="J139" s="4">
        <f t="shared" si="22"/>
        <v>2024</v>
      </c>
      <c r="K139" s="144">
        <f t="shared" si="23"/>
        <v>2025</v>
      </c>
      <c r="L139" s="29">
        <v>1656.89</v>
      </c>
      <c r="M139" s="29">
        <f t="shared" si="24"/>
        <v>1656.89</v>
      </c>
      <c r="N139" s="29">
        <f t="shared" si="16"/>
        <v>13.807416666666668</v>
      </c>
      <c r="O139" s="29">
        <f t="shared" si="17"/>
        <v>165.68900000000002</v>
      </c>
      <c r="P139" s="29">
        <f t="shared" si="18"/>
        <v>165.68900000000002</v>
      </c>
      <c r="Q139" s="29"/>
      <c r="R139" s="29">
        <f t="shared" si="19"/>
        <v>1173.6304166666541</v>
      </c>
      <c r="S139" s="29">
        <f t="shared" si="20"/>
        <v>1339.3194166666542</v>
      </c>
      <c r="T139" s="29">
        <f t="shared" si="21"/>
        <v>317.57058333334589</v>
      </c>
    </row>
    <row r="140" spans="3:20" s="1" customFormat="1" ht="13.5" customHeight="1">
      <c r="C140" s="1">
        <v>2</v>
      </c>
      <c r="D140" s="27" t="s">
        <v>195</v>
      </c>
      <c r="E140" s="10">
        <v>2014</v>
      </c>
      <c r="F140" s="1">
        <v>12</v>
      </c>
      <c r="G140" s="50">
        <v>0</v>
      </c>
      <c r="H140" s="10" t="s">
        <v>92</v>
      </c>
      <c r="I140" s="10">
        <v>10</v>
      </c>
      <c r="J140" s="4">
        <f t="shared" si="22"/>
        <v>2024</v>
      </c>
      <c r="K140" s="144">
        <f t="shared" si="23"/>
        <v>2025</v>
      </c>
      <c r="L140" s="29">
        <v>1621.31</v>
      </c>
      <c r="M140" s="29">
        <f t="shared" si="24"/>
        <v>1621.31</v>
      </c>
      <c r="N140" s="29">
        <f t="shared" si="16"/>
        <v>13.510916666666667</v>
      </c>
      <c r="O140" s="29">
        <f t="shared" si="17"/>
        <v>162.131</v>
      </c>
      <c r="P140" s="29">
        <f t="shared" si="18"/>
        <v>162.131</v>
      </c>
      <c r="Q140" s="29"/>
      <c r="R140" s="29">
        <f t="shared" si="19"/>
        <v>1148.4279166666543</v>
      </c>
      <c r="S140" s="29">
        <f t="shared" si="20"/>
        <v>1310.5589166666543</v>
      </c>
      <c r="T140" s="29">
        <f t="shared" si="21"/>
        <v>310.7510833333456</v>
      </c>
    </row>
    <row r="141" spans="3:20" s="1" customFormat="1" ht="13.5" customHeight="1">
      <c r="C141" s="1">
        <v>2</v>
      </c>
      <c r="D141" s="27" t="s">
        <v>196</v>
      </c>
      <c r="E141" s="10">
        <v>2014</v>
      </c>
      <c r="F141" s="1">
        <v>12</v>
      </c>
      <c r="G141" s="50">
        <v>0</v>
      </c>
      <c r="H141" s="10" t="s">
        <v>92</v>
      </c>
      <c r="I141" s="10">
        <v>10</v>
      </c>
      <c r="J141" s="4">
        <f t="shared" ref="J141:J169" si="25">E141+I141</f>
        <v>2024</v>
      </c>
      <c r="K141" s="144">
        <f t="shared" ref="K141:K169" si="26">+J141+(F141/12)</f>
        <v>2025</v>
      </c>
      <c r="L141" s="29">
        <v>1892.97</v>
      </c>
      <c r="M141" s="29">
        <f t="shared" ref="M141:M170" si="27">L141-L141*G141</f>
        <v>1892.97</v>
      </c>
      <c r="N141" s="29">
        <f t="shared" si="16"/>
        <v>15.774749999999999</v>
      </c>
      <c r="O141" s="29">
        <f t="shared" si="17"/>
        <v>189.297</v>
      </c>
      <c r="P141" s="29">
        <f t="shared" si="18"/>
        <v>189.297</v>
      </c>
      <c r="Q141" s="29"/>
      <c r="R141" s="29">
        <f t="shared" si="19"/>
        <v>1340.8537499999857</v>
      </c>
      <c r="S141" s="29">
        <f t="shared" si="20"/>
        <v>1530.1507499999857</v>
      </c>
      <c r="T141" s="29">
        <f t="shared" si="21"/>
        <v>362.81925000001434</v>
      </c>
    </row>
    <row r="142" spans="3:20" s="1" customFormat="1" ht="13.5" customHeight="1">
      <c r="C142" s="1">
        <v>6</v>
      </c>
      <c r="D142" s="27" t="s">
        <v>207</v>
      </c>
      <c r="E142" s="10">
        <v>2015</v>
      </c>
      <c r="F142" s="1">
        <v>10</v>
      </c>
      <c r="G142" s="50">
        <v>0</v>
      </c>
      <c r="H142" s="10" t="s">
        <v>92</v>
      </c>
      <c r="I142" s="10">
        <v>10</v>
      </c>
      <c r="J142" s="4">
        <f t="shared" si="25"/>
        <v>2025</v>
      </c>
      <c r="K142" s="144">
        <f t="shared" si="26"/>
        <v>2025.8333333333333</v>
      </c>
      <c r="L142" s="29">
        <v>2781.24</v>
      </c>
      <c r="M142" s="29">
        <f t="shared" si="27"/>
        <v>2781.24</v>
      </c>
      <c r="N142" s="29">
        <f t="shared" ref="N142:N181" si="28">M142/I142/12</f>
        <v>23.176999999999996</v>
      </c>
      <c r="O142" s="29">
        <f t="shared" ref="O142:O181" si="29">+N142*12</f>
        <v>278.12399999999997</v>
      </c>
      <c r="P142" s="29">
        <f t="shared" ref="P142:P181" si="30">+IF($K142&lt;$N$7,0,IF($K142&gt;$N$6,$O142,((($K142-$N$7)*12)*$N142)))</f>
        <v>278.12399999999997</v>
      </c>
      <c r="Q142" s="29"/>
      <c r="R142" s="29">
        <f t="shared" ref="R142:R181" si="31">+IF($K142&lt;=$N$7,$L142,IF(($E142+($F142/12))&gt;=$N$7,0,((($M142-((($K142-$N$7)*12)*$N142))))))</f>
        <v>1738.2749999999999</v>
      </c>
      <c r="S142" s="29">
        <f t="shared" ref="S142:S181" si="32">+IF(P142=0,R142,R142+P142)</f>
        <v>2016.3989999999999</v>
      </c>
      <c r="T142" s="29">
        <f t="shared" ref="T142:T181" si="33">+L142-S142</f>
        <v>764.84099999999989</v>
      </c>
    </row>
    <row r="143" spans="3:20" s="1" customFormat="1" ht="13.5" customHeight="1">
      <c r="C143" s="1">
        <v>6</v>
      </c>
      <c r="D143" s="27" t="s">
        <v>204</v>
      </c>
      <c r="E143" s="10">
        <v>2015</v>
      </c>
      <c r="F143" s="1">
        <v>10</v>
      </c>
      <c r="G143" s="50">
        <v>0</v>
      </c>
      <c r="H143" s="10" t="s">
        <v>92</v>
      </c>
      <c r="I143" s="10">
        <v>10</v>
      </c>
      <c r="J143" s="4">
        <f t="shared" si="25"/>
        <v>2025</v>
      </c>
      <c r="K143" s="144">
        <f t="shared" si="26"/>
        <v>2025.8333333333333</v>
      </c>
      <c r="L143" s="29">
        <v>3148.08</v>
      </c>
      <c r="M143" s="29">
        <f t="shared" si="27"/>
        <v>3148.08</v>
      </c>
      <c r="N143" s="29">
        <f t="shared" si="28"/>
        <v>26.233999999999998</v>
      </c>
      <c r="O143" s="29">
        <f t="shared" si="29"/>
        <v>314.80799999999999</v>
      </c>
      <c r="P143" s="29">
        <f t="shared" si="30"/>
        <v>314.80799999999999</v>
      </c>
      <c r="Q143" s="29"/>
      <c r="R143" s="29">
        <f t="shared" si="31"/>
        <v>1967.55</v>
      </c>
      <c r="S143" s="29">
        <f t="shared" si="32"/>
        <v>2282.3580000000002</v>
      </c>
      <c r="T143" s="29">
        <f t="shared" si="33"/>
        <v>865.72199999999975</v>
      </c>
    </row>
    <row r="144" spans="3:20" s="1" customFormat="1" ht="13.5" customHeight="1">
      <c r="C144" s="1">
        <v>6</v>
      </c>
      <c r="D144" s="27" t="s">
        <v>205</v>
      </c>
      <c r="E144" s="10">
        <v>2015</v>
      </c>
      <c r="F144" s="1">
        <v>10</v>
      </c>
      <c r="G144" s="50">
        <v>0</v>
      </c>
      <c r="H144" s="10" t="s">
        <v>92</v>
      </c>
      <c r="I144" s="10">
        <v>10</v>
      </c>
      <c r="J144" s="4">
        <f t="shared" si="25"/>
        <v>2025</v>
      </c>
      <c r="K144" s="144">
        <f t="shared" si="26"/>
        <v>2025.8333333333333</v>
      </c>
      <c r="L144" s="29">
        <v>4592.3999999999996</v>
      </c>
      <c r="M144" s="29">
        <f t="shared" si="27"/>
        <v>4592.3999999999996</v>
      </c>
      <c r="N144" s="29">
        <f t="shared" si="28"/>
        <v>38.269999999999996</v>
      </c>
      <c r="O144" s="29">
        <f t="shared" si="29"/>
        <v>459.23999999999995</v>
      </c>
      <c r="P144" s="29">
        <f t="shared" si="30"/>
        <v>459.23999999999995</v>
      </c>
      <c r="Q144" s="29"/>
      <c r="R144" s="29">
        <f t="shared" si="31"/>
        <v>2870.25</v>
      </c>
      <c r="S144" s="29">
        <f t="shared" si="32"/>
        <v>3329.49</v>
      </c>
      <c r="T144" s="29">
        <f t="shared" si="33"/>
        <v>1262.9099999999999</v>
      </c>
    </row>
    <row r="145" spans="2:20" s="1" customFormat="1" ht="13.5" customHeight="1">
      <c r="C145" s="1">
        <v>4</v>
      </c>
      <c r="D145" s="27" t="s">
        <v>206</v>
      </c>
      <c r="E145" s="10">
        <v>2015</v>
      </c>
      <c r="F145" s="1">
        <v>10</v>
      </c>
      <c r="G145" s="50">
        <v>0</v>
      </c>
      <c r="H145" s="10" t="s">
        <v>92</v>
      </c>
      <c r="I145" s="10">
        <v>10</v>
      </c>
      <c r="J145" s="4">
        <f t="shared" si="25"/>
        <v>2025</v>
      </c>
      <c r="K145" s="144">
        <f t="shared" si="26"/>
        <v>2025.8333333333333</v>
      </c>
      <c r="L145" s="29">
        <v>3647.51</v>
      </c>
      <c r="M145" s="29">
        <f t="shared" si="27"/>
        <v>3647.51</v>
      </c>
      <c r="N145" s="29">
        <f t="shared" si="28"/>
        <v>30.395916666666668</v>
      </c>
      <c r="O145" s="29">
        <f t="shared" si="29"/>
        <v>364.75100000000003</v>
      </c>
      <c r="P145" s="29">
        <f t="shared" si="30"/>
        <v>364.75100000000003</v>
      </c>
      <c r="Q145" s="29"/>
      <c r="R145" s="29">
        <f t="shared" si="31"/>
        <v>2279.6937500000004</v>
      </c>
      <c r="S145" s="29">
        <f t="shared" si="32"/>
        <v>2644.4447500000006</v>
      </c>
      <c r="T145" s="29">
        <f t="shared" si="33"/>
        <v>1003.0652499999997</v>
      </c>
    </row>
    <row r="146" spans="2:20" s="1" customFormat="1" ht="13.5" customHeight="1">
      <c r="C146" s="1">
        <v>10</v>
      </c>
      <c r="D146" s="27" t="s">
        <v>209</v>
      </c>
      <c r="E146" s="10">
        <v>2015</v>
      </c>
      <c r="F146" s="1">
        <v>10</v>
      </c>
      <c r="G146" s="50">
        <v>0</v>
      </c>
      <c r="H146" s="10" t="s">
        <v>92</v>
      </c>
      <c r="I146" s="10">
        <v>10</v>
      </c>
      <c r="J146" s="4">
        <f t="shared" si="25"/>
        <v>2025</v>
      </c>
      <c r="K146" s="144">
        <f t="shared" si="26"/>
        <v>2025.8333333333333</v>
      </c>
      <c r="L146" s="29">
        <v>14261.94</v>
      </c>
      <c r="M146" s="29">
        <f t="shared" si="27"/>
        <v>14261.94</v>
      </c>
      <c r="N146" s="29">
        <f t="shared" si="28"/>
        <v>118.84949999999999</v>
      </c>
      <c r="O146" s="29">
        <f t="shared" si="29"/>
        <v>1426.194</v>
      </c>
      <c r="P146" s="29">
        <f t="shared" si="30"/>
        <v>1426.194</v>
      </c>
      <c r="Q146" s="29"/>
      <c r="R146" s="29">
        <f t="shared" si="31"/>
        <v>8913.7125000000015</v>
      </c>
      <c r="S146" s="29">
        <f t="shared" si="32"/>
        <v>10339.906500000001</v>
      </c>
      <c r="T146" s="29">
        <f t="shared" si="33"/>
        <v>3922.0334999999995</v>
      </c>
    </row>
    <row r="147" spans="2:20" s="1" customFormat="1" ht="13.5" customHeight="1">
      <c r="C147" s="1">
        <v>1</v>
      </c>
      <c r="D147" s="27" t="s">
        <v>208</v>
      </c>
      <c r="E147" s="10">
        <v>2015</v>
      </c>
      <c r="F147" s="1">
        <v>10</v>
      </c>
      <c r="G147" s="50">
        <v>0</v>
      </c>
      <c r="H147" s="10" t="s">
        <v>92</v>
      </c>
      <c r="I147" s="10">
        <v>10</v>
      </c>
      <c r="J147" s="4">
        <f t="shared" si="25"/>
        <v>2025</v>
      </c>
      <c r="K147" s="144">
        <f t="shared" si="26"/>
        <v>2025.8333333333333</v>
      </c>
      <c r="L147" s="29">
        <v>1588.97</v>
      </c>
      <c r="M147" s="29">
        <f t="shared" si="27"/>
        <v>1588.97</v>
      </c>
      <c r="N147" s="29">
        <f t="shared" si="28"/>
        <v>13.241416666666666</v>
      </c>
      <c r="O147" s="29">
        <f t="shared" si="29"/>
        <v>158.89699999999999</v>
      </c>
      <c r="P147" s="29">
        <f t="shared" si="30"/>
        <v>158.89699999999999</v>
      </c>
      <c r="Q147" s="29"/>
      <c r="R147" s="29">
        <f t="shared" si="31"/>
        <v>993.10625000000005</v>
      </c>
      <c r="S147" s="29">
        <f t="shared" si="32"/>
        <v>1152.00325</v>
      </c>
      <c r="T147" s="29">
        <f t="shared" si="33"/>
        <v>436.96675000000005</v>
      </c>
    </row>
    <row r="148" spans="2:20" s="1" customFormat="1" ht="13.5" customHeight="1">
      <c r="C148" s="1">
        <v>6</v>
      </c>
      <c r="D148" s="27" t="s">
        <v>281</v>
      </c>
      <c r="E148" s="10">
        <v>2016</v>
      </c>
      <c r="F148" s="1">
        <v>9</v>
      </c>
      <c r="G148" s="50">
        <v>0</v>
      </c>
      <c r="H148" s="10" t="s">
        <v>92</v>
      </c>
      <c r="I148" s="10">
        <v>12</v>
      </c>
      <c r="J148" s="4">
        <f t="shared" si="25"/>
        <v>2028</v>
      </c>
      <c r="K148" s="144">
        <f t="shared" si="26"/>
        <v>2028.75</v>
      </c>
      <c r="L148" s="29">
        <v>3945.48</v>
      </c>
      <c r="M148" s="29">
        <f t="shared" si="27"/>
        <v>3945.48</v>
      </c>
      <c r="N148" s="29">
        <f t="shared" si="28"/>
        <v>27.39916666666667</v>
      </c>
      <c r="O148" s="29">
        <f t="shared" si="29"/>
        <v>328.79</v>
      </c>
      <c r="P148" s="29">
        <f t="shared" si="30"/>
        <v>328.79</v>
      </c>
      <c r="Q148" s="29"/>
      <c r="R148" s="29">
        <f t="shared" si="31"/>
        <v>1753.5466666666416</v>
      </c>
      <c r="S148" s="29">
        <f t="shared" si="32"/>
        <v>2082.3366666666416</v>
      </c>
      <c r="T148" s="29">
        <f t="shared" si="33"/>
        <v>1863.1433333333584</v>
      </c>
    </row>
    <row r="149" spans="2:20" s="1" customFormat="1" ht="13.5" customHeight="1">
      <c r="C149" s="1">
        <v>25</v>
      </c>
      <c r="D149" s="27" t="s">
        <v>284</v>
      </c>
      <c r="E149" s="10">
        <v>2016</v>
      </c>
      <c r="F149" s="1">
        <v>10</v>
      </c>
      <c r="G149" s="50">
        <v>0</v>
      </c>
      <c r="H149" s="10" t="s">
        <v>92</v>
      </c>
      <c r="I149" s="10">
        <v>12</v>
      </c>
      <c r="J149" s="4">
        <f t="shared" si="25"/>
        <v>2028</v>
      </c>
      <c r="K149" s="144">
        <f t="shared" si="26"/>
        <v>2028.8333333333333</v>
      </c>
      <c r="L149" s="29">
        <v>13420.74</v>
      </c>
      <c r="M149" s="29">
        <f t="shared" si="27"/>
        <v>13420.74</v>
      </c>
      <c r="N149" s="29">
        <f t="shared" si="28"/>
        <v>93.199583333333337</v>
      </c>
      <c r="O149" s="29">
        <f t="shared" si="29"/>
        <v>1118.395</v>
      </c>
      <c r="P149" s="29">
        <f t="shared" si="30"/>
        <v>1118.395</v>
      </c>
      <c r="Q149" s="29"/>
      <c r="R149" s="29">
        <f t="shared" si="31"/>
        <v>5871.5737499999996</v>
      </c>
      <c r="S149" s="29">
        <f t="shared" si="32"/>
        <v>6989.96875</v>
      </c>
      <c r="T149" s="29">
        <f t="shared" si="33"/>
        <v>6430.7712499999998</v>
      </c>
    </row>
    <row r="150" spans="2:20" s="1" customFormat="1" ht="13.5" customHeight="1">
      <c r="C150" s="1">
        <v>15</v>
      </c>
      <c r="D150" s="27" t="s">
        <v>204</v>
      </c>
      <c r="E150" s="10">
        <v>2016</v>
      </c>
      <c r="F150" s="1">
        <v>10</v>
      </c>
      <c r="G150" s="50">
        <v>0</v>
      </c>
      <c r="H150" s="10" t="s">
        <v>92</v>
      </c>
      <c r="I150" s="10">
        <v>12</v>
      </c>
      <c r="J150" s="4">
        <f t="shared" si="25"/>
        <v>2028</v>
      </c>
      <c r="K150" s="144">
        <f t="shared" si="26"/>
        <v>2028.8333333333333</v>
      </c>
      <c r="L150" s="29">
        <v>8418.82</v>
      </c>
      <c r="M150" s="29">
        <f t="shared" si="27"/>
        <v>8418.82</v>
      </c>
      <c r="N150" s="29">
        <f t="shared" si="28"/>
        <v>58.464027777777773</v>
      </c>
      <c r="O150" s="29">
        <f t="shared" si="29"/>
        <v>701.56833333333327</v>
      </c>
      <c r="P150" s="29">
        <f t="shared" si="30"/>
        <v>701.56833333333327</v>
      </c>
      <c r="Q150" s="29"/>
      <c r="R150" s="29">
        <f t="shared" si="31"/>
        <v>3683.2337500000003</v>
      </c>
      <c r="S150" s="29">
        <f t="shared" si="32"/>
        <v>4384.8020833333339</v>
      </c>
      <c r="T150" s="29">
        <f t="shared" si="33"/>
        <v>4034.0179166666658</v>
      </c>
    </row>
    <row r="151" spans="2:20" s="1" customFormat="1" ht="13.5" customHeight="1">
      <c r="C151" s="1">
        <v>6</v>
      </c>
      <c r="D151" s="27" t="s">
        <v>205</v>
      </c>
      <c r="E151" s="10">
        <v>2016</v>
      </c>
      <c r="F151" s="1">
        <v>10</v>
      </c>
      <c r="G151" s="50">
        <v>0</v>
      </c>
      <c r="H151" s="10" t="s">
        <v>92</v>
      </c>
      <c r="I151" s="10">
        <v>12</v>
      </c>
      <c r="J151" s="4">
        <f t="shared" si="25"/>
        <v>2028</v>
      </c>
      <c r="K151" s="144">
        <f t="shared" si="26"/>
        <v>2028.8333333333333</v>
      </c>
      <c r="L151" s="29">
        <v>5116.91</v>
      </c>
      <c r="M151" s="29">
        <f t="shared" si="27"/>
        <v>5116.91</v>
      </c>
      <c r="N151" s="29">
        <f t="shared" si="28"/>
        <v>35.534097222222222</v>
      </c>
      <c r="O151" s="29">
        <f t="shared" si="29"/>
        <v>426.40916666666669</v>
      </c>
      <c r="P151" s="29">
        <f t="shared" si="30"/>
        <v>426.40916666666669</v>
      </c>
      <c r="Q151" s="29"/>
      <c r="R151" s="29">
        <f t="shared" si="31"/>
        <v>2238.6481249999997</v>
      </c>
      <c r="S151" s="29">
        <f t="shared" si="32"/>
        <v>2665.0572916666665</v>
      </c>
      <c r="T151" s="29">
        <f t="shared" si="33"/>
        <v>2451.8527083333333</v>
      </c>
    </row>
    <row r="152" spans="2:20" s="1" customFormat="1" ht="13.5" customHeight="1">
      <c r="C152" s="1">
        <v>8</v>
      </c>
      <c r="D152" s="27" t="s">
        <v>305</v>
      </c>
      <c r="E152" s="10">
        <v>2017</v>
      </c>
      <c r="F152" s="1">
        <v>11</v>
      </c>
      <c r="G152" s="50">
        <v>0</v>
      </c>
      <c r="H152" s="10" t="s">
        <v>92</v>
      </c>
      <c r="I152" s="10">
        <v>12</v>
      </c>
      <c r="J152" s="4">
        <f t="shared" si="25"/>
        <v>2029</v>
      </c>
      <c r="K152" s="145">
        <f t="shared" si="26"/>
        <v>2029.9166666666667</v>
      </c>
      <c r="L152" s="29">
        <v>10857.62</v>
      </c>
      <c r="M152" s="29">
        <f t="shared" si="27"/>
        <v>10857.62</v>
      </c>
      <c r="N152" s="29">
        <f t="shared" si="28"/>
        <v>75.40013888888889</v>
      </c>
      <c r="O152" s="29">
        <f t="shared" si="29"/>
        <v>904.80166666666673</v>
      </c>
      <c r="P152" s="29">
        <f t="shared" si="30"/>
        <v>904.80166666666673</v>
      </c>
      <c r="Q152" s="29"/>
      <c r="R152" s="29">
        <f t="shared" si="31"/>
        <v>3770.0069444443079</v>
      </c>
      <c r="S152" s="29">
        <f t="shared" si="32"/>
        <v>4674.8086111109751</v>
      </c>
      <c r="T152" s="29">
        <f t="shared" si="33"/>
        <v>6182.8113888890257</v>
      </c>
    </row>
    <row r="153" spans="2:20" s="1" customFormat="1" ht="13.5" customHeight="1">
      <c r="C153" s="1">
        <v>2</v>
      </c>
      <c r="D153" s="27" t="s">
        <v>307</v>
      </c>
      <c r="E153" s="10">
        <v>2017</v>
      </c>
      <c r="F153" s="1">
        <v>11</v>
      </c>
      <c r="G153" s="50">
        <v>0</v>
      </c>
      <c r="H153" s="10" t="s">
        <v>92</v>
      </c>
      <c r="I153" s="10">
        <v>12</v>
      </c>
      <c r="J153" s="4">
        <f t="shared" si="25"/>
        <v>2029</v>
      </c>
      <c r="K153" s="145">
        <f t="shared" si="26"/>
        <v>2029.9166666666667</v>
      </c>
      <c r="L153" s="29">
        <v>4012.32</v>
      </c>
      <c r="M153" s="29">
        <f t="shared" si="27"/>
        <v>4012.32</v>
      </c>
      <c r="N153" s="29">
        <f t="shared" si="28"/>
        <v>27.863333333333333</v>
      </c>
      <c r="O153" s="29">
        <f t="shared" si="29"/>
        <v>334.36</v>
      </c>
      <c r="P153" s="29">
        <f t="shared" si="30"/>
        <v>334.36</v>
      </c>
      <c r="Q153" s="29"/>
      <c r="R153" s="29">
        <f t="shared" si="31"/>
        <v>1393.166666666616</v>
      </c>
      <c r="S153" s="29">
        <f t="shared" si="32"/>
        <v>1727.5266666666162</v>
      </c>
      <c r="T153" s="29">
        <f t="shared" si="33"/>
        <v>2284.793333333384</v>
      </c>
    </row>
    <row r="154" spans="2:20" s="1" customFormat="1" ht="13.5" customHeight="1">
      <c r="C154" s="1">
        <v>1</v>
      </c>
      <c r="D154" s="27" t="s">
        <v>306</v>
      </c>
      <c r="E154" s="10">
        <v>2017</v>
      </c>
      <c r="F154" s="1">
        <v>11</v>
      </c>
      <c r="G154" s="50">
        <v>0</v>
      </c>
      <c r="H154" s="10" t="s">
        <v>92</v>
      </c>
      <c r="I154" s="10">
        <v>12</v>
      </c>
      <c r="J154" s="4">
        <f t="shared" si="25"/>
        <v>2029</v>
      </c>
      <c r="K154" s="145">
        <f t="shared" si="26"/>
        <v>2029.9166666666667</v>
      </c>
      <c r="L154" s="29">
        <v>2696.08</v>
      </c>
      <c r="M154" s="29">
        <f t="shared" si="27"/>
        <v>2696.08</v>
      </c>
      <c r="N154" s="29">
        <f t="shared" si="28"/>
        <v>18.722777777777775</v>
      </c>
      <c r="O154" s="29">
        <f t="shared" si="29"/>
        <v>224.67333333333329</v>
      </c>
      <c r="P154" s="29">
        <f t="shared" si="30"/>
        <v>224.67333333333329</v>
      </c>
      <c r="Q154" s="29"/>
      <c r="R154" s="29">
        <f t="shared" si="31"/>
        <v>936.13888888885504</v>
      </c>
      <c r="S154" s="29">
        <f t="shared" si="32"/>
        <v>1160.8122222221882</v>
      </c>
      <c r="T154" s="29">
        <f t="shared" si="33"/>
        <v>1535.2677777778117</v>
      </c>
    </row>
    <row r="155" spans="2:20" s="1" customFormat="1" ht="13.5" customHeight="1">
      <c r="B155" s="1">
        <v>202948</v>
      </c>
      <c r="C155" s="1">
        <v>12</v>
      </c>
      <c r="D155" s="27" t="s">
        <v>342</v>
      </c>
      <c r="E155" s="10">
        <v>2018</v>
      </c>
      <c r="F155" s="1">
        <v>9</v>
      </c>
      <c r="G155" s="50">
        <v>0</v>
      </c>
      <c r="H155" s="10" t="s">
        <v>92</v>
      </c>
      <c r="I155" s="10">
        <v>12</v>
      </c>
      <c r="J155" s="4">
        <f t="shared" si="25"/>
        <v>2030</v>
      </c>
      <c r="K155" s="145">
        <f t="shared" si="26"/>
        <v>2030.75</v>
      </c>
      <c r="L155" s="29">
        <v>7602.06</v>
      </c>
      <c r="M155" s="29">
        <f t="shared" si="27"/>
        <v>7602.06</v>
      </c>
      <c r="N155" s="29">
        <f t="shared" si="28"/>
        <v>52.792083333333331</v>
      </c>
      <c r="O155" s="29">
        <f t="shared" si="29"/>
        <v>633.505</v>
      </c>
      <c r="P155" s="29">
        <f t="shared" si="30"/>
        <v>633.505</v>
      </c>
      <c r="Q155" s="29"/>
      <c r="R155" s="29">
        <f t="shared" si="31"/>
        <v>2111.6833333332861</v>
      </c>
      <c r="S155" s="29">
        <f t="shared" si="32"/>
        <v>2745.1883333332862</v>
      </c>
      <c r="T155" s="29">
        <f t="shared" si="33"/>
        <v>4856.8716666667142</v>
      </c>
    </row>
    <row r="156" spans="2:20" s="1" customFormat="1" ht="13.5" customHeight="1">
      <c r="B156" s="1">
        <v>202947</v>
      </c>
      <c r="C156" s="1">
        <v>20</v>
      </c>
      <c r="D156" s="27" t="s">
        <v>207</v>
      </c>
      <c r="E156" s="10">
        <v>2018</v>
      </c>
      <c r="F156" s="1">
        <v>9</v>
      </c>
      <c r="G156" s="50">
        <v>0</v>
      </c>
      <c r="H156" s="10" t="s">
        <v>92</v>
      </c>
      <c r="I156" s="10">
        <v>12</v>
      </c>
      <c r="J156" s="4">
        <f t="shared" si="25"/>
        <v>2030</v>
      </c>
      <c r="K156" s="145">
        <f t="shared" si="26"/>
        <v>2030.75</v>
      </c>
      <c r="L156" s="29">
        <v>12220.21</v>
      </c>
      <c r="M156" s="29">
        <f t="shared" si="27"/>
        <v>12220.21</v>
      </c>
      <c r="N156" s="29">
        <f t="shared" si="28"/>
        <v>84.862569444444446</v>
      </c>
      <c r="O156" s="29">
        <f t="shared" si="29"/>
        <v>1018.3508333333334</v>
      </c>
      <c r="P156" s="29">
        <f t="shared" si="30"/>
        <v>1018.3508333333334</v>
      </c>
      <c r="Q156" s="29"/>
      <c r="R156" s="29">
        <f t="shared" si="31"/>
        <v>3394.5027777776995</v>
      </c>
      <c r="S156" s="29">
        <f t="shared" si="32"/>
        <v>4412.8536111110334</v>
      </c>
      <c r="T156" s="29">
        <f t="shared" si="33"/>
        <v>7807.3563888889657</v>
      </c>
    </row>
    <row r="157" spans="2:20" s="1" customFormat="1" ht="13.5" customHeight="1">
      <c r="B157" s="1">
        <v>202949</v>
      </c>
      <c r="C157" s="1">
        <v>12</v>
      </c>
      <c r="D157" s="27" t="s">
        <v>341</v>
      </c>
      <c r="E157" s="10">
        <v>2018</v>
      </c>
      <c r="F157" s="1">
        <v>9</v>
      </c>
      <c r="G157" s="50">
        <v>0</v>
      </c>
      <c r="H157" s="10" t="s">
        <v>92</v>
      </c>
      <c r="I157" s="10">
        <v>12</v>
      </c>
      <c r="J157" s="4">
        <f t="shared" si="25"/>
        <v>2030</v>
      </c>
      <c r="K157" s="145">
        <f t="shared" si="26"/>
        <v>2030.75</v>
      </c>
      <c r="L157" s="29">
        <v>7964.26</v>
      </c>
      <c r="M157" s="29">
        <f t="shared" si="27"/>
        <v>7964.26</v>
      </c>
      <c r="N157" s="29">
        <f t="shared" si="28"/>
        <v>55.307361111111113</v>
      </c>
      <c r="O157" s="29">
        <f t="shared" si="29"/>
        <v>663.68833333333339</v>
      </c>
      <c r="P157" s="29">
        <f t="shared" si="30"/>
        <v>663.68833333333339</v>
      </c>
      <c r="Q157" s="29"/>
      <c r="R157" s="29">
        <f t="shared" si="31"/>
        <v>2212.2944444443938</v>
      </c>
      <c r="S157" s="29">
        <f t="shared" si="32"/>
        <v>2875.9827777777273</v>
      </c>
      <c r="T157" s="29">
        <f t="shared" si="33"/>
        <v>5088.2772222222729</v>
      </c>
    </row>
    <row r="158" spans="2:20" s="1" customFormat="1" ht="13.5" customHeight="1">
      <c r="B158" s="1">
        <v>202950</v>
      </c>
      <c r="C158" s="1">
        <v>6</v>
      </c>
      <c r="D158" s="27" t="s">
        <v>340</v>
      </c>
      <c r="E158" s="10">
        <v>2018</v>
      </c>
      <c r="F158" s="1">
        <v>9</v>
      </c>
      <c r="G158" s="50">
        <v>0</v>
      </c>
      <c r="H158" s="10" t="s">
        <v>92</v>
      </c>
      <c r="I158" s="10">
        <v>12</v>
      </c>
      <c r="J158" s="4">
        <f t="shared" si="25"/>
        <v>2030</v>
      </c>
      <c r="K158" s="145">
        <f t="shared" si="26"/>
        <v>2030.75</v>
      </c>
      <c r="L158" s="29">
        <v>5441.74</v>
      </c>
      <c r="M158" s="29">
        <f t="shared" si="27"/>
        <v>5441.74</v>
      </c>
      <c r="N158" s="29">
        <f t="shared" si="28"/>
        <v>37.789861111111108</v>
      </c>
      <c r="O158" s="29">
        <f t="shared" si="29"/>
        <v>453.4783333333333</v>
      </c>
      <c r="P158" s="29">
        <f t="shared" si="30"/>
        <v>453.4783333333333</v>
      </c>
      <c r="Q158" s="29"/>
      <c r="R158" s="29">
        <f t="shared" si="31"/>
        <v>1511.5944444444103</v>
      </c>
      <c r="S158" s="29">
        <f t="shared" si="32"/>
        <v>1965.0727777777436</v>
      </c>
      <c r="T158" s="29">
        <f t="shared" si="33"/>
        <v>3476.667222222256</v>
      </c>
    </row>
    <row r="159" spans="2:20" s="1" customFormat="1" ht="13.5" customHeight="1">
      <c r="B159" s="1">
        <v>221694</v>
      </c>
      <c r="C159" s="1">
        <v>1</v>
      </c>
      <c r="D159" s="27" t="s">
        <v>209</v>
      </c>
      <c r="E159" s="10">
        <v>2019</v>
      </c>
      <c r="F159" s="1">
        <v>10</v>
      </c>
      <c r="G159" s="50">
        <v>0</v>
      </c>
      <c r="H159" s="10" t="s">
        <v>92</v>
      </c>
      <c r="I159" s="10">
        <v>12</v>
      </c>
      <c r="J159" s="4">
        <f t="shared" si="25"/>
        <v>2031</v>
      </c>
      <c r="K159" s="145">
        <f t="shared" si="26"/>
        <v>2031.8333333333333</v>
      </c>
      <c r="L159" s="29">
        <v>1871.41</v>
      </c>
      <c r="M159" s="29">
        <f t="shared" si="27"/>
        <v>1871.41</v>
      </c>
      <c r="N159" s="29">
        <f t="shared" si="28"/>
        <v>12.995902777777779</v>
      </c>
      <c r="O159" s="29">
        <f t="shared" si="29"/>
        <v>155.95083333333335</v>
      </c>
      <c r="P159" s="29">
        <f t="shared" si="30"/>
        <v>155.95083333333335</v>
      </c>
      <c r="Q159" s="29"/>
      <c r="R159" s="29">
        <f t="shared" si="31"/>
        <v>350.88937499999997</v>
      </c>
      <c r="S159" s="29">
        <f t="shared" si="32"/>
        <v>506.84020833333329</v>
      </c>
      <c r="T159" s="29">
        <f t="shared" si="33"/>
        <v>1364.5697916666668</v>
      </c>
    </row>
    <row r="160" spans="2:20" s="1" customFormat="1" ht="13.5" customHeight="1">
      <c r="B160" s="1">
        <v>219598</v>
      </c>
      <c r="C160" s="1">
        <v>10</v>
      </c>
      <c r="D160" s="27" t="s">
        <v>376</v>
      </c>
      <c r="E160" s="10">
        <v>2019</v>
      </c>
      <c r="F160" s="1">
        <v>9</v>
      </c>
      <c r="G160" s="50">
        <v>0</v>
      </c>
      <c r="H160" s="10" t="s">
        <v>92</v>
      </c>
      <c r="I160" s="10">
        <v>12</v>
      </c>
      <c r="J160" s="4">
        <f t="shared" si="25"/>
        <v>2031</v>
      </c>
      <c r="K160" s="145">
        <f t="shared" si="26"/>
        <v>2031.75</v>
      </c>
      <c r="L160" s="29">
        <v>9238.4599999999991</v>
      </c>
      <c r="M160" s="29">
        <f t="shared" si="27"/>
        <v>9238.4599999999991</v>
      </c>
      <c r="N160" s="29">
        <f t="shared" si="28"/>
        <v>64.155972222222218</v>
      </c>
      <c r="O160" s="29">
        <f t="shared" si="29"/>
        <v>769.87166666666667</v>
      </c>
      <c r="P160" s="29">
        <f t="shared" si="30"/>
        <v>769.87166666666667</v>
      </c>
      <c r="Q160" s="29"/>
      <c r="R160" s="29">
        <f t="shared" si="31"/>
        <v>1796.3672222221639</v>
      </c>
      <c r="S160" s="29">
        <f t="shared" si="32"/>
        <v>2566.2388888888308</v>
      </c>
      <c r="T160" s="29">
        <f t="shared" si="33"/>
        <v>6672.2211111111683</v>
      </c>
    </row>
    <row r="161" spans="2:20" s="1" customFormat="1" ht="13.5" customHeight="1">
      <c r="B161" s="1">
        <v>219597</v>
      </c>
      <c r="C161" s="1">
        <v>5</v>
      </c>
      <c r="D161" s="27" t="s">
        <v>377</v>
      </c>
      <c r="E161" s="10">
        <v>2019</v>
      </c>
      <c r="F161" s="1">
        <v>9</v>
      </c>
      <c r="G161" s="50">
        <v>0</v>
      </c>
      <c r="H161" s="10" t="s">
        <v>92</v>
      </c>
      <c r="I161" s="10">
        <v>12</v>
      </c>
      <c r="J161" s="4">
        <f t="shared" si="25"/>
        <v>2031</v>
      </c>
      <c r="K161" s="145">
        <f t="shared" si="26"/>
        <v>2031.75</v>
      </c>
      <c r="L161" s="29">
        <v>4209.59</v>
      </c>
      <c r="M161" s="29">
        <f t="shared" si="27"/>
        <v>4209.59</v>
      </c>
      <c r="N161" s="29">
        <f t="shared" si="28"/>
        <v>29.233263888888889</v>
      </c>
      <c r="O161" s="29">
        <f t="shared" si="29"/>
        <v>350.79916666666668</v>
      </c>
      <c r="P161" s="29">
        <f t="shared" si="30"/>
        <v>350.79916666666668</v>
      </c>
      <c r="Q161" s="29"/>
      <c r="R161" s="29">
        <f t="shared" si="31"/>
        <v>818.53138888886269</v>
      </c>
      <c r="S161" s="29">
        <f t="shared" si="32"/>
        <v>1169.3305555555294</v>
      </c>
      <c r="T161" s="29">
        <f t="shared" si="33"/>
        <v>3040.2594444444708</v>
      </c>
    </row>
    <row r="162" spans="2:20" s="1" customFormat="1" ht="13.5" customHeight="1">
      <c r="B162" s="1">
        <v>219596</v>
      </c>
      <c r="C162" s="1">
        <v>5</v>
      </c>
      <c r="D162" s="27" t="s">
        <v>378</v>
      </c>
      <c r="E162" s="10">
        <v>2019</v>
      </c>
      <c r="F162" s="1">
        <v>9</v>
      </c>
      <c r="G162" s="50">
        <v>0</v>
      </c>
      <c r="H162" s="10" t="s">
        <v>92</v>
      </c>
      <c r="I162" s="10">
        <v>12</v>
      </c>
      <c r="J162" s="4">
        <f t="shared" si="25"/>
        <v>2031</v>
      </c>
      <c r="K162" s="145">
        <f t="shared" si="26"/>
        <v>2031.75</v>
      </c>
      <c r="L162" s="29">
        <v>3013.01</v>
      </c>
      <c r="M162" s="29">
        <f t="shared" si="27"/>
        <v>3013.01</v>
      </c>
      <c r="N162" s="29">
        <f t="shared" si="28"/>
        <v>20.923680555555556</v>
      </c>
      <c r="O162" s="29">
        <f t="shared" si="29"/>
        <v>251.08416666666668</v>
      </c>
      <c r="P162" s="29">
        <f t="shared" si="30"/>
        <v>251.08416666666668</v>
      </c>
      <c r="Q162" s="29"/>
      <c r="R162" s="29">
        <f t="shared" si="31"/>
        <v>585.86305555553645</v>
      </c>
      <c r="S162" s="29">
        <f t="shared" si="32"/>
        <v>836.9472222222031</v>
      </c>
      <c r="T162" s="29">
        <f t="shared" si="33"/>
        <v>2176.0627777777972</v>
      </c>
    </row>
    <row r="163" spans="2:20" s="1" customFormat="1" ht="13.5" customHeight="1">
      <c r="B163" s="1">
        <v>219595</v>
      </c>
      <c r="C163" s="1">
        <v>10</v>
      </c>
      <c r="D163" s="27" t="s">
        <v>207</v>
      </c>
      <c r="E163" s="10">
        <v>2019</v>
      </c>
      <c r="F163" s="1">
        <v>9</v>
      </c>
      <c r="G163" s="50">
        <v>0</v>
      </c>
      <c r="H163" s="10" t="s">
        <v>92</v>
      </c>
      <c r="I163" s="10">
        <v>12</v>
      </c>
      <c r="J163" s="4">
        <f t="shared" si="25"/>
        <v>2031</v>
      </c>
      <c r="K163" s="145">
        <f t="shared" si="26"/>
        <v>2031.75</v>
      </c>
      <c r="L163" s="29">
        <v>5627.16</v>
      </c>
      <c r="M163" s="29">
        <f t="shared" si="27"/>
        <v>5627.16</v>
      </c>
      <c r="N163" s="29">
        <f t="shared" si="28"/>
        <v>39.077500000000001</v>
      </c>
      <c r="O163" s="29">
        <f t="shared" si="29"/>
        <v>468.93</v>
      </c>
      <c r="P163" s="29">
        <f t="shared" si="30"/>
        <v>468.93</v>
      </c>
      <c r="Q163" s="29"/>
      <c r="R163" s="29">
        <f t="shared" si="31"/>
        <v>1094.1699999999646</v>
      </c>
      <c r="S163" s="29">
        <f t="shared" si="32"/>
        <v>1563.0999999999647</v>
      </c>
      <c r="T163" s="29">
        <f t="shared" si="33"/>
        <v>4064.060000000035</v>
      </c>
    </row>
    <row r="164" spans="2:20" s="1" customFormat="1" ht="13.5" customHeight="1">
      <c r="B164" s="1">
        <v>219448</v>
      </c>
      <c r="C164" s="1">
        <v>4</v>
      </c>
      <c r="D164" s="27" t="s">
        <v>379</v>
      </c>
      <c r="E164" s="10">
        <v>2006</v>
      </c>
      <c r="F164" s="1">
        <v>6</v>
      </c>
      <c r="G164" s="50">
        <v>0</v>
      </c>
      <c r="H164" s="10" t="s">
        <v>92</v>
      </c>
      <c r="I164" s="10">
        <v>12</v>
      </c>
      <c r="J164" s="4">
        <f t="shared" si="25"/>
        <v>2018</v>
      </c>
      <c r="K164" s="145">
        <f t="shared" si="26"/>
        <v>2018.5</v>
      </c>
      <c r="L164" s="29">
        <v>1624.66</v>
      </c>
      <c r="M164" s="29">
        <f t="shared" si="27"/>
        <v>1624.66</v>
      </c>
      <c r="N164" s="29">
        <f t="shared" si="28"/>
        <v>11.282361111111113</v>
      </c>
      <c r="O164" s="29">
        <f t="shared" si="29"/>
        <v>135.38833333333335</v>
      </c>
      <c r="P164" s="29">
        <f t="shared" si="30"/>
        <v>0</v>
      </c>
      <c r="Q164" s="29"/>
      <c r="R164" s="29">
        <f t="shared" si="31"/>
        <v>1624.66</v>
      </c>
      <c r="S164" s="29">
        <f t="shared" si="32"/>
        <v>1624.66</v>
      </c>
      <c r="T164" s="29">
        <f t="shared" si="33"/>
        <v>0</v>
      </c>
    </row>
    <row r="165" spans="2:20" s="1" customFormat="1" ht="13.5" customHeight="1">
      <c r="B165" s="1">
        <v>219447</v>
      </c>
      <c r="C165" s="1">
        <v>2</v>
      </c>
      <c r="D165" s="27" t="s">
        <v>380</v>
      </c>
      <c r="E165" s="10">
        <v>2004</v>
      </c>
      <c r="F165" s="1">
        <v>5</v>
      </c>
      <c r="G165" s="50">
        <v>0</v>
      </c>
      <c r="H165" s="10" t="s">
        <v>92</v>
      </c>
      <c r="I165" s="10">
        <v>12</v>
      </c>
      <c r="J165" s="4">
        <f t="shared" si="25"/>
        <v>2016</v>
      </c>
      <c r="K165" s="145">
        <f t="shared" si="26"/>
        <v>2016.4166666666667</v>
      </c>
      <c r="L165" s="29">
        <v>129.96</v>
      </c>
      <c r="M165" s="29">
        <f t="shared" si="27"/>
        <v>129.96</v>
      </c>
      <c r="N165" s="29">
        <f t="shared" si="28"/>
        <v>0.90249999999999997</v>
      </c>
      <c r="O165" s="29">
        <f t="shared" si="29"/>
        <v>10.83</v>
      </c>
      <c r="P165" s="29">
        <f t="shared" si="30"/>
        <v>0</v>
      </c>
      <c r="Q165" s="29"/>
      <c r="R165" s="29">
        <f t="shared" si="31"/>
        <v>129.96</v>
      </c>
      <c r="S165" s="29">
        <f t="shared" si="32"/>
        <v>129.96</v>
      </c>
      <c r="T165" s="29">
        <f t="shared" si="33"/>
        <v>0</v>
      </c>
    </row>
    <row r="166" spans="2:20" s="1" customFormat="1" ht="13.5" customHeight="1">
      <c r="B166" s="1">
        <v>219446</v>
      </c>
      <c r="C166" s="1">
        <v>1</v>
      </c>
      <c r="D166" s="27" t="s">
        <v>381</v>
      </c>
      <c r="E166" s="10">
        <v>2006</v>
      </c>
      <c r="F166" s="1">
        <v>5</v>
      </c>
      <c r="G166" s="50">
        <v>0</v>
      </c>
      <c r="H166" s="10" t="s">
        <v>92</v>
      </c>
      <c r="I166" s="10">
        <v>12</v>
      </c>
      <c r="J166" s="4">
        <f t="shared" si="25"/>
        <v>2018</v>
      </c>
      <c r="K166" s="145">
        <f t="shared" si="26"/>
        <v>2018.4166666666667</v>
      </c>
      <c r="L166" s="29">
        <v>974.14</v>
      </c>
      <c r="M166" s="29">
        <f t="shared" si="27"/>
        <v>974.14</v>
      </c>
      <c r="N166" s="29">
        <f t="shared" si="28"/>
        <v>6.7648611111111103</v>
      </c>
      <c r="O166" s="29">
        <f t="shared" si="29"/>
        <v>81.178333333333327</v>
      </c>
      <c r="P166" s="29">
        <f t="shared" si="30"/>
        <v>0</v>
      </c>
      <c r="Q166" s="29"/>
      <c r="R166" s="29">
        <f t="shared" si="31"/>
        <v>974.14</v>
      </c>
      <c r="S166" s="29">
        <f t="shared" si="32"/>
        <v>974.14</v>
      </c>
      <c r="T166" s="29">
        <f t="shared" si="33"/>
        <v>0</v>
      </c>
    </row>
    <row r="167" spans="2:20" s="1" customFormat="1" ht="13.5" customHeight="1">
      <c r="B167" s="1">
        <v>219444</v>
      </c>
      <c r="C167" s="1">
        <v>10</v>
      </c>
      <c r="D167" s="27" t="s">
        <v>383</v>
      </c>
      <c r="E167" s="10">
        <v>2000</v>
      </c>
      <c r="F167" s="1">
        <v>2</v>
      </c>
      <c r="G167" s="50">
        <v>0</v>
      </c>
      <c r="H167" s="10" t="s">
        <v>92</v>
      </c>
      <c r="I167" s="10">
        <v>12</v>
      </c>
      <c r="J167" s="4">
        <f t="shared" si="25"/>
        <v>2012</v>
      </c>
      <c r="K167" s="145">
        <f t="shared" si="26"/>
        <v>2012.1666666666667</v>
      </c>
      <c r="L167" s="29">
        <v>360.6</v>
      </c>
      <c r="M167" s="29">
        <f t="shared" si="27"/>
        <v>360.6</v>
      </c>
      <c r="N167" s="29">
        <f t="shared" si="28"/>
        <v>2.5041666666666669</v>
      </c>
      <c r="O167" s="29">
        <f t="shared" si="29"/>
        <v>30.050000000000004</v>
      </c>
      <c r="P167" s="29">
        <f t="shared" si="30"/>
        <v>0</v>
      </c>
      <c r="Q167" s="29"/>
      <c r="R167" s="29">
        <f t="shared" si="31"/>
        <v>360.6</v>
      </c>
      <c r="S167" s="29">
        <f t="shared" si="32"/>
        <v>360.6</v>
      </c>
      <c r="T167" s="29">
        <f t="shared" si="33"/>
        <v>0</v>
      </c>
    </row>
    <row r="168" spans="2:20" s="1" customFormat="1" ht="13.5" customHeight="1">
      <c r="B168" s="1">
        <v>236068</v>
      </c>
      <c r="C168" s="1">
        <v>7</v>
      </c>
      <c r="D168" s="27" t="s">
        <v>381</v>
      </c>
      <c r="E168" s="10">
        <v>2020</v>
      </c>
      <c r="F168" s="1">
        <v>7</v>
      </c>
      <c r="G168" s="50">
        <v>0</v>
      </c>
      <c r="H168" s="10" t="s">
        <v>92</v>
      </c>
      <c r="I168" s="10">
        <v>12</v>
      </c>
      <c r="J168" s="4">
        <f t="shared" si="25"/>
        <v>2032</v>
      </c>
      <c r="K168" s="145">
        <f t="shared" si="26"/>
        <v>2032.5833333333333</v>
      </c>
      <c r="L168" s="29">
        <v>6040.61</v>
      </c>
      <c r="M168" s="29">
        <f t="shared" si="27"/>
        <v>6040.61</v>
      </c>
      <c r="N168" s="29">
        <f t="shared" si="28"/>
        <v>41.948680555555555</v>
      </c>
      <c r="O168" s="29">
        <f t="shared" si="29"/>
        <v>503.38416666666666</v>
      </c>
      <c r="P168" s="29">
        <f t="shared" si="30"/>
        <v>503.38416666666666</v>
      </c>
      <c r="Q168" s="29"/>
      <c r="R168" s="29">
        <f t="shared" si="31"/>
        <v>755.07625000000007</v>
      </c>
      <c r="S168" s="29">
        <f t="shared" si="32"/>
        <v>1258.4604166666668</v>
      </c>
      <c r="T168" s="29">
        <f t="shared" si="33"/>
        <v>4782.1495833333329</v>
      </c>
    </row>
    <row r="169" spans="2:20" s="1" customFormat="1" ht="13.5" customHeight="1">
      <c r="B169" s="1">
        <v>236067</v>
      </c>
      <c r="C169" s="1">
        <v>7</v>
      </c>
      <c r="D169" s="27" t="s">
        <v>393</v>
      </c>
      <c r="E169" s="10">
        <v>2020</v>
      </c>
      <c r="F169" s="1">
        <v>7</v>
      </c>
      <c r="G169" s="50">
        <v>0</v>
      </c>
      <c r="H169" s="10" t="s">
        <v>92</v>
      </c>
      <c r="I169" s="10">
        <v>12</v>
      </c>
      <c r="J169" s="4">
        <f t="shared" si="25"/>
        <v>2032</v>
      </c>
      <c r="K169" s="145">
        <f t="shared" si="26"/>
        <v>2032.5833333333333</v>
      </c>
      <c r="L169" s="29">
        <v>4241.6000000000004</v>
      </c>
      <c r="M169" s="29">
        <f t="shared" si="27"/>
        <v>4241.6000000000004</v>
      </c>
      <c r="N169" s="29">
        <f t="shared" si="28"/>
        <v>29.455555555555559</v>
      </c>
      <c r="O169" s="29">
        <f t="shared" si="29"/>
        <v>353.4666666666667</v>
      </c>
      <c r="P169" s="29">
        <f t="shared" si="30"/>
        <v>353.4666666666667</v>
      </c>
      <c r="Q169" s="29"/>
      <c r="R169" s="29">
        <f t="shared" si="31"/>
        <v>530.19999999999982</v>
      </c>
      <c r="S169" s="29">
        <f t="shared" si="32"/>
        <v>883.66666666666652</v>
      </c>
      <c r="T169" s="29">
        <f t="shared" si="33"/>
        <v>3357.9333333333338</v>
      </c>
    </row>
    <row r="170" spans="2:20" s="1" customFormat="1" ht="13.5" customHeight="1">
      <c r="B170" s="1">
        <v>236066</v>
      </c>
      <c r="C170" s="1">
        <v>7</v>
      </c>
      <c r="D170" s="27" t="s">
        <v>379</v>
      </c>
      <c r="E170" s="10">
        <v>2020</v>
      </c>
      <c r="F170" s="1">
        <v>7</v>
      </c>
      <c r="G170" s="50">
        <v>0</v>
      </c>
      <c r="H170" s="10" t="s">
        <v>92</v>
      </c>
      <c r="I170" s="10">
        <v>12</v>
      </c>
      <c r="J170" s="4">
        <f t="shared" ref="J170:J171" si="34">E170+I170</f>
        <v>2032</v>
      </c>
      <c r="K170" s="145">
        <f t="shared" ref="K170:K171" si="35">+J170+(F170/12)</f>
        <v>2032.5833333333333</v>
      </c>
      <c r="L170" s="29">
        <v>4157.6000000000004</v>
      </c>
      <c r="M170" s="29">
        <f t="shared" si="27"/>
        <v>4157.6000000000004</v>
      </c>
      <c r="N170" s="29">
        <f t="shared" si="28"/>
        <v>28.872222222222224</v>
      </c>
      <c r="O170" s="29">
        <f t="shared" si="29"/>
        <v>346.4666666666667</v>
      </c>
      <c r="P170" s="29">
        <f t="shared" si="30"/>
        <v>346.4666666666667</v>
      </c>
      <c r="Q170" s="29"/>
      <c r="R170" s="29">
        <f t="shared" si="31"/>
        <v>519.70000000000027</v>
      </c>
      <c r="S170" s="29">
        <f t="shared" si="32"/>
        <v>866.16666666666697</v>
      </c>
      <c r="T170" s="29">
        <f t="shared" si="33"/>
        <v>3291.4333333333334</v>
      </c>
    </row>
    <row r="171" spans="2:20" s="1" customFormat="1" ht="13.5" customHeight="1">
      <c r="B171" s="1">
        <v>254644</v>
      </c>
      <c r="C171" s="1">
        <v>8</v>
      </c>
      <c r="D171" s="27" t="s">
        <v>405</v>
      </c>
      <c r="E171" s="10">
        <v>1998</v>
      </c>
      <c r="F171" s="1">
        <v>9</v>
      </c>
      <c r="G171" s="50">
        <v>0</v>
      </c>
      <c r="H171" s="10" t="s">
        <v>92</v>
      </c>
      <c r="I171" s="10">
        <v>12</v>
      </c>
      <c r="J171" s="4">
        <f t="shared" si="34"/>
        <v>2010</v>
      </c>
      <c r="K171" s="145">
        <f t="shared" si="35"/>
        <v>2010.75</v>
      </c>
      <c r="L171" s="29">
        <v>600</v>
      </c>
      <c r="M171" s="29">
        <f t="shared" ref="M171:M181" si="36">L171-L171*G171</f>
        <v>600</v>
      </c>
      <c r="N171" s="29">
        <f t="shared" si="28"/>
        <v>4.166666666666667</v>
      </c>
      <c r="O171" s="29">
        <f t="shared" si="29"/>
        <v>50</v>
      </c>
      <c r="P171" s="29">
        <f t="shared" si="30"/>
        <v>0</v>
      </c>
      <c r="Q171" s="29"/>
      <c r="R171" s="29">
        <f t="shared" si="31"/>
        <v>600</v>
      </c>
      <c r="S171" s="29">
        <f t="shared" si="32"/>
        <v>600</v>
      </c>
      <c r="T171" s="29">
        <f t="shared" si="33"/>
        <v>0</v>
      </c>
    </row>
    <row r="172" spans="2:20" s="1" customFormat="1" ht="13.5" customHeight="1">
      <c r="B172" s="1">
        <v>254643</v>
      </c>
      <c r="C172" s="1">
        <v>3</v>
      </c>
      <c r="D172" s="27" t="s">
        <v>379</v>
      </c>
      <c r="E172" s="10">
        <v>2006</v>
      </c>
      <c r="F172" s="1">
        <v>5</v>
      </c>
      <c r="G172" s="50">
        <v>0</v>
      </c>
      <c r="H172" s="10" t="s">
        <v>92</v>
      </c>
      <c r="I172" s="10">
        <v>12</v>
      </c>
      <c r="J172" s="4">
        <f t="shared" ref="J172:J181" si="37">E172+I172</f>
        <v>2018</v>
      </c>
      <c r="K172" s="145">
        <f t="shared" ref="K172:K181" si="38">+J172+(F172/12)</f>
        <v>2018.4166666666667</v>
      </c>
      <c r="L172" s="29">
        <v>1218.49</v>
      </c>
      <c r="M172" s="29">
        <f t="shared" si="36"/>
        <v>1218.49</v>
      </c>
      <c r="N172" s="29">
        <f t="shared" si="28"/>
        <v>8.4617361111111116</v>
      </c>
      <c r="O172" s="29">
        <f t="shared" si="29"/>
        <v>101.54083333333334</v>
      </c>
      <c r="P172" s="29">
        <f t="shared" si="30"/>
        <v>0</v>
      </c>
      <c r="Q172" s="29"/>
      <c r="R172" s="29">
        <f t="shared" si="31"/>
        <v>1218.49</v>
      </c>
      <c r="S172" s="29">
        <f t="shared" si="32"/>
        <v>1218.49</v>
      </c>
      <c r="T172" s="29">
        <f t="shared" si="33"/>
        <v>0</v>
      </c>
    </row>
    <row r="173" spans="2:20" s="1" customFormat="1" ht="13.5" customHeight="1">
      <c r="B173" s="1">
        <v>254642</v>
      </c>
      <c r="C173" s="1">
        <v>1</v>
      </c>
      <c r="D173" s="27" t="s">
        <v>406</v>
      </c>
      <c r="E173" s="10">
        <v>2010</v>
      </c>
      <c r="F173" s="1">
        <v>4</v>
      </c>
      <c r="G173" s="50">
        <v>0</v>
      </c>
      <c r="H173" s="10" t="s">
        <v>92</v>
      </c>
      <c r="I173" s="10">
        <v>12</v>
      </c>
      <c r="J173" s="4">
        <f t="shared" si="37"/>
        <v>2022</v>
      </c>
      <c r="K173" s="145">
        <f t="shared" si="38"/>
        <v>2022.3333333333333</v>
      </c>
      <c r="L173" s="29">
        <v>468.15</v>
      </c>
      <c r="M173" s="29">
        <f t="shared" si="36"/>
        <v>468.15</v>
      </c>
      <c r="N173" s="29">
        <f t="shared" si="28"/>
        <v>3.2510416666666662</v>
      </c>
      <c r="O173" s="29">
        <f t="shared" si="29"/>
        <v>39.012499999999996</v>
      </c>
      <c r="P173" s="29">
        <f t="shared" si="30"/>
        <v>9.7531249999999989</v>
      </c>
      <c r="Q173" s="29"/>
      <c r="R173" s="29">
        <f t="shared" si="31"/>
        <v>458.39687499999997</v>
      </c>
      <c r="S173" s="29">
        <f t="shared" si="32"/>
        <v>468.15</v>
      </c>
      <c r="T173" s="29">
        <f t="shared" si="33"/>
        <v>0</v>
      </c>
    </row>
    <row r="174" spans="2:20" s="1" customFormat="1" ht="13.5" customHeight="1">
      <c r="B174" s="1">
        <v>254641</v>
      </c>
      <c r="C174" s="1">
        <v>2</v>
      </c>
      <c r="D174" s="27" t="s">
        <v>407</v>
      </c>
      <c r="E174" s="10">
        <v>2000</v>
      </c>
      <c r="F174" s="1">
        <v>2</v>
      </c>
      <c r="G174" s="50">
        <v>0</v>
      </c>
      <c r="H174" s="10" t="s">
        <v>92</v>
      </c>
      <c r="I174" s="10">
        <v>12</v>
      </c>
      <c r="J174" s="4">
        <f t="shared" si="37"/>
        <v>2012</v>
      </c>
      <c r="K174" s="145">
        <f t="shared" si="38"/>
        <v>2012.1666666666667</v>
      </c>
      <c r="L174" s="29">
        <v>72.12</v>
      </c>
      <c r="M174" s="29">
        <f t="shared" si="36"/>
        <v>72.12</v>
      </c>
      <c r="N174" s="29">
        <f t="shared" si="28"/>
        <v>0.50083333333333335</v>
      </c>
      <c r="O174" s="29">
        <f t="shared" si="29"/>
        <v>6.01</v>
      </c>
      <c r="P174" s="29">
        <f t="shared" si="30"/>
        <v>0</v>
      </c>
      <c r="Q174" s="29"/>
      <c r="R174" s="29">
        <f t="shared" si="31"/>
        <v>72.12</v>
      </c>
      <c r="S174" s="29">
        <f t="shared" si="32"/>
        <v>72.12</v>
      </c>
      <c r="T174" s="29">
        <f t="shared" si="33"/>
        <v>0</v>
      </c>
    </row>
    <row r="175" spans="2:20" s="1" customFormat="1" ht="13.5" customHeight="1">
      <c r="B175" s="1">
        <v>253601</v>
      </c>
      <c r="C175" s="1">
        <v>4</v>
      </c>
      <c r="D175" s="27" t="s">
        <v>408</v>
      </c>
      <c r="E175" s="10">
        <v>2011</v>
      </c>
      <c r="F175" s="1">
        <v>12</v>
      </c>
      <c r="G175" s="50">
        <v>0</v>
      </c>
      <c r="H175" s="10" t="s">
        <v>92</v>
      </c>
      <c r="I175" s="10">
        <v>12</v>
      </c>
      <c r="J175" s="4">
        <f t="shared" si="37"/>
        <v>2023</v>
      </c>
      <c r="K175" s="145">
        <f t="shared" si="38"/>
        <v>2024</v>
      </c>
      <c r="L175" s="29">
        <v>2753.82</v>
      </c>
      <c r="M175" s="29">
        <f t="shared" si="36"/>
        <v>2753.82</v>
      </c>
      <c r="N175" s="29">
        <f t="shared" si="28"/>
        <v>19.123750000000001</v>
      </c>
      <c r="O175" s="29">
        <f t="shared" si="29"/>
        <v>229.48500000000001</v>
      </c>
      <c r="P175" s="29">
        <f t="shared" si="30"/>
        <v>229.48500000000001</v>
      </c>
      <c r="Q175" s="29"/>
      <c r="R175" s="29">
        <f t="shared" si="31"/>
        <v>2313.9737499999828</v>
      </c>
      <c r="S175" s="29">
        <f t="shared" si="32"/>
        <v>2543.458749999983</v>
      </c>
      <c r="T175" s="29">
        <f t="shared" si="33"/>
        <v>210.36125000001721</v>
      </c>
    </row>
    <row r="176" spans="2:20" s="1" customFormat="1" ht="13.5" customHeight="1">
      <c r="B176" s="1">
        <v>253600</v>
      </c>
      <c r="C176" s="1">
        <v>4</v>
      </c>
      <c r="D176" s="27" t="s">
        <v>409</v>
      </c>
      <c r="E176" s="10">
        <v>2011</v>
      </c>
      <c r="F176" s="1">
        <v>12</v>
      </c>
      <c r="G176" s="50">
        <v>0</v>
      </c>
      <c r="H176" s="10" t="s">
        <v>92</v>
      </c>
      <c r="I176" s="10">
        <v>12</v>
      </c>
      <c r="J176" s="4">
        <f t="shared" si="37"/>
        <v>2023</v>
      </c>
      <c r="K176" s="145">
        <f t="shared" si="38"/>
        <v>2024</v>
      </c>
      <c r="L176" s="29">
        <v>2753.82</v>
      </c>
      <c r="M176" s="29">
        <f t="shared" si="36"/>
        <v>2753.82</v>
      </c>
      <c r="N176" s="29">
        <f t="shared" si="28"/>
        <v>19.123750000000001</v>
      </c>
      <c r="O176" s="29">
        <f t="shared" si="29"/>
        <v>229.48500000000001</v>
      </c>
      <c r="P176" s="29">
        <f t="shared" si="30"/>
        <v>229.48500000000001</v>
      </c>
      <c r="Q176" s="29"/>
      <c r="R176" s="29">
        <f t="shared" si="31"/>
        <v>2313.9737499999828</v>
      </c>
      <c r="S176" s="29">
        <f t="shared" si="32"/>
        <v>2543.458749999983</v>
      </c>
      <c r="T176" s="29">
        <f t="shared" si="33"/>
        <v>210.36125000001721</v>
      </c>
    </row>
    <row r="177" spans="2:20" s="82" customFormat="1" ht="13.5" customHeight="1">
      <c r="B177" s="82">
        <v>251867</v>
      </c>
      <c r="C177" s="82">
        <v>3</v>
      </c>
      <c r="D177" s="83" t="s">
        <v>410</v>
      </c>
      <c r="E177" s="84">
        <v>2021</v>
      </c>
      <c r="F177" s="82">
        <v>5</v>
      </c>
      <c r="G177" s="85">
        <v>0</v>
      </c>
      <c r="H177" s="84" t="s">
        <v>92</v>
      </c>
      <c r="I177" s="84">
        <v>12</v>
      </c>
      <c r="J177" s="86">
        <f t="shared" si="37"/>
        <v>2033</v>
      </c>
      <c r="K177" s="239">
        <f t="shared" si="38"/>
        <v>2033.4166666666667</v>
      </c>
      <c r="L177" s="88">
        <v>3211.37</v>
      </c>
      <c r="M177" s="88">
        <f t="shared" si="36"/>
        <v>3211.37</v>
      </c>
      <c r="N177" s="88">
        <f t="shared" si="28"/>
        <v>22.301180555555558</v>
      </c>
      <c r="O177" s="88">
        <f t="shared" si="29"/>
        <v>267.61416666666668</v>
      </c>
      <c r="P177" s="88">
        <f t="shared" si="30"/>
        <v>267.61416666666668</v>
      </c>
      <c r="Q177" s="88"/>
      <c r="R177" s="88">
        <f t="shared" si="31"/>
        <v>178.40944444440356</v>
      </c>
      <c r="S177" s="88">
        <f t="shared" si="32"/>
        <v>446.02361111107024</v>
      </c>
      <c r="T177" s="88">
        <f t="shared" si="33"/>
        <v>2765.3463888889296</v>
      </c>
    </row>
    <row r="178" spans="2:20" s="82" customFormat="1" ht="13.5" customHeight="1">
      <c r="B178" s="82">
        <v>251866</v>
      </c>
      <c r="C178" s="82">
        <v>12</v>
      </c>
      <c r="D178" s="83" t="s">
        <v>411</v>
      </c>
      <c r="E178" s="84">
        <v>2021</v>
      </c>
      <c r="F178" s="82">
        <v>5</v>
      </c>
      <c r="G178" s="85">
        <v>0</v>
      </c>
      <c r="H178" s="84" t="s">
        <v>92</v>
      </c>
      <c r="I178" s="84">
        <v>12</v>
      </c>
      <c r="J178" s="86">
        <f t="shared" si="37"/>
        <v>2033</v>
      </c>
      <c r="K178" s="239">
        <f t="shared" si="38"/>
        <v>2033.4166666666667</v>
      </c>
      <c r="L178" s="88">
        <v>8132.43</v>
      </c>
      <c r="M178" s="88">
        <f t="shared" si="36"/>
        <v>8132.43</v>
      </c>
      <c r="N178" s="88">
        <f t="shared" si="28"/>
        <v>56.475208333333335</v>
      </c>
      <c r="O178" s="88">
        <f t="shared" si="29"/>
        <v>677.70249999999999</v>
      </c>
      <c r="P178" s="88">
        <f t="shared" si="30"/>
        <v>677.70249999999999</v>
      </c>
      <c r="Q178" s="88"/>
      <c r="R178" s="88">
        <f t="shared" si="31"/>
        <v>451.80166666656442</v>
      </c>
      <c r="S178" s="88">
        <f t="shared" si="32"/>
        <v>1129.5041666665643</v>
      </c>
      <c r="T178" s="88">
        <f t="shared" si="33"/>
        <v>7002.9258333334365</v>
      </c>
    </row>
    <row r="179" spans="2:20" s="82" customFormat="1" ht="13.5" customHeight="1">
      <c r="B179" s="82">
        <v>251865</v>
      </c>
      <c r="C179" s="82">
        <v>12</v>
      </c>
      <c r="D179" s="83" t="s">
        <v>412</v>
      </c>
      <c r="E179" s="84">
        <v>2021</v>
      </c>
      <c r="F179" s="82">
        <v>5</v>
      </c>
      <c r="G179" s="85">
        <v>0</v>
      </c>
      <c r="H179" s="84" t="s">
        <v>92</v>
      </c>
      <c r="I179" s="84">
        <v>12</v>
      </c>
      <c r="J179" s="86">
        <f t="shared" si="37"/>
        <v>2033</v>
      </c>
      <c r="K179" s="239">
        <f t="shared" si="38"/>
        <v>2033.4166666666667</v>
      </c>
      <c r="L179" s="88">
        <v>7744.35</v>
      </c>
      <c r="M179" s="88">
        <f t="shared" si="36"/>
        <v>7744.35</v>
      </c>
      <c r="N179" s="88">
        <f t="shared" si="28"/>
        <v>53.780208333333341</v>
      </c>
      <c r="O179" s="88">
        <f t="shared" si="29"/>
        <v>645.36250000000007</v>
      </c>
      <c r="P179" s="88">
        <f t="shared" si="30"/>
        <v>645.36250000000007</v>
      </c>
      <c r="Q179" s="88"/>
      <c r="R179" s="88">
        <f t="shared" si="31"/>
        <v>430.24166666656856</v>
      </c>
      <c r="S179" s="88">
        <f t="shared" si="32"/>
        <v>1075.6041666665687</v>
      </c>
      <c r="T179" s="88">
        <f t="shared" si="33"/>
        <v>6668.7458333334316</v>
      </c>
    </row>
    <row r="180" spans="2:20" s="82" customFormat="1" ht="13.5" customHeight="1">
      <c r="B180" s="82">
        <v>251864</v>
      </c>
      <c r="C180" s="82">
        <v>7</v>
      </c>
      <c r="D180" s="83" t="s">
        <v>413</v>
      </c>
      <c r="E180" s="84">
        <v>2021</v>
      </c>
      <c r="F180" s="82">
        <v>5</v>
      </c>
      <c r="G180" s="85">
        <v>0</v>
      </c>
      <c r="H180" s="84" t="s">
        <v>92</v>
      </c>
      <c r="I180" s="84">
        <v>12</v>
      </c>
      <c r="J180" s="86">
        <f t="shared" si="37"/>
        <v>2033</v>
      </c>
      <c r="K180" s="239">
        <f t="shared" si="38"/>
        <v>2033.4166666666667</v>
      </c>
      <c r="L180" s="88">
        <v>10968.66</v>
      </c>
      <c r="M180" s="88">
        <f t="shared" si="36"/>
        <v>10968.66</v>
      </c>
      <c r="N180" s="88">
        <f t="shared" si="28"/>
        <v>76.171250000000001</v>
      </c>
      <c r="O180" s="88">
        <f t="shared" si="29"/>
        <v>914.05500000000006</v>
      </c>
      <c r="P180" s="88">
        <f t="shared" si="30"/>
        <v>914.05500000000006</v>
      </c>
      <c r="Q180" s="88"/>
      <c r="R180" s="88">
        <f t="shared" si="31"/>
        <v>609.36999999986074</v>
      </c>
      <c r="S180" s="88">
        <f t="shared" si="32"/>
        <v>1523.4249999998608</v>
      </c>
      <c r="T180" s="88">
        <f t="shared" si="33"/>
        <v>9445.2350000001388</v>
      </c>
    </row>
    <row r="181" spans="2:20" s="82" customFormat="1" ht="13.5" customHeight="1">
      <c r="B181" s="82">
        <v>251863</v>
      </c>
      <c r="C181" s="82">
        <v>4</v>
      </c>
      <c r="D181" s="83" t="s">
        <v>414</v>
      </c>
      <c r="E181" s="84">
        <v>2021</v>
      </c>
      <c r="F181" s="82">
        <v>5</v>
      </c>
      <c r="G181" s="85">
        <v>0</v>
      </c>
      <c r="H181" s="84" t="s">
        <v>92</v>
      </c>
      <c r="I181" s="84">
        <v>12</v>
      </c>
      <c r="J181" s="86">
        <f t="shared" si="37"/>
        <v>2033</v>
      </c>
      <c r="K181" s="239">
        <f t="shared" si="38"/>
        <v>2033.4166666666667</v>
      </c>
      <c r="L181" s="88">
        <v>4497.42</v>
      </c>
      <c r="M181" s="88">
        <f t="shared" si="36"/>
        <v>4497.42</v>
      </c>
      <c r="N181" s="88">
        <f t="shared" si="28"/>
        <v>31.232083333333335</v>
      </c>
      <c r="O181" s="88">
        <f t="shared" si="29"/>
        <v>374.78500000000003</v>
      </c>
      <c r="P181" s="88">
        <f t="shared" si="30"/>
        <v>374.78500000000003</v>
      </c>
      <c r="Q181" s="88"/>
      <c r="R181" s="88">
        <f t="shared" si="31"/>
        <v>249.85666666660927</v>
      </c>
      <c r="S181" s="88">
        <f t="shared" si="32"/>
        <v>624.64166666660935</v>
      </c>
      <c r="T181" s="88">
        <f t="shared" si="33"/>
        <v>3872.7783333333909</v>
      </c>
    </row>
    <row r="182" spans="2:20" s="1" customFormat="1" ht="13.5" customHeight="1">
      <c r="C182" s="52"/>
      <c r="D182" s="53"/>
      <c r="E182" s="54"/>
      <c r="F182" s="53"/>
      <c r="G182" s="50"/>
      <c r="H182" s="55"/>
      <c r="I182" s="53"/>
      <c r="J182" s="4"/>
      <c r="K182" s="51"/>
      <c r="L182" s="29"/>
      <c r="M182" s="29"/>
      <c r="N182" s="29"/>
      <c r="O182" s="29"/>
      <c r="P182" s="29"/>
      <c r="Q182" s="29"/>
      <c r="R182" s="29"/>
      <c r="S182" s="29"/>
      <c r="T182" s="29"/>
    </row>
    <row r="183" spans="2:20" s="1" customFormat="1" ht="13.5" customHeight="1">
      <c r="C183" s="52"/>
      <c r="D183" s="41" t="s">
        <v>210</v>
      </c>
      <c r="E183" s="56"/>
      <c r="F183" s="57"/>
      <c r="G183" s="43"/>
      <c r="H183" s="43"/>
      <c r="I183" s="42"/>
      <c r="J183" s="58"/>
      <c r="K183" s="59"/>
      <c r="L183" s="60">
        <f>SUM(L13:L182)</f>
        <v>522817.85499999992</v>
      </c>
      <c r="M183" s="60">
        <f>SUM(M13:M182)</f>
        <v>522817.85499999992</v>
      </c>
      <c r="N183" s="60">
        <f>SUM(N13:N182)</f>
        <v>4562.1239285714282</v>
      </c>
      <c r="O183" s="60">
        <f>SUM(O13:O182)</f>
        <v>54745.487142857135</v>
      </c>
      <c r="P183" s="60">
        <f>SUM(P13:P182)</f>
        <v>17600.669291666727</v>
      </c>
      <c r="Q183" s="60"/>
      <c r="R183" s="60">
        <f>SUM(R13:R182)</f>
        <v>390255.28798611014</v>
      </c>
      <c r="S183" s="60">
        <f>SUM(S13:S182)</f>
        <v>407855.95727777679</v>
      </c>
      <c r="T183" s="60">
        <f>SUM(T13:T182)</f>
        <v>114961.89772222335</v>
      </c>
    </row>
    <row r="184" spans="2:20" ht="13.5" customHeight="1">
      <c r="C184" s="131"/>
      <c r="D184" s="104"/>
      <c r="E184" s="135"/>
      <c r="F184" s="131"/>
      <c r="G184" s="95"/>
      <c r="I184" s="100"/>
      <c r="K184" s="136"/>
      <c r="L184" s="137"/>
      <c r="M184" s="137"/>
      <c r="N184" s="137"/>
      <c r="O184" s="137"/>
      <c r="P184" s="137"/>
      <c r="Q184" s="137"/>
      <c r="R184" s="137"/>
      <c r="S184" s="137"/>
      <c r="T184" s="137"/>
    </row>
    <row r="185" spans="2:20" ht="13.5" customHeight="1">
      <c r="L185" s="122"/>
      <c r="M185" s="122"/>
      <c r="N185" s="122"/>
      <c r="O185" s="122"/>
      <c r="P185" s="122"/>
      <c r="Q185" s="122"/>
      <c r="R185" s="122"/>
      <c r="S185" s="122"/>
      <c r="T185" s="122"/>
    </row>
    <row r="186" spans="2:20" ht="13.5" customHeight="1">
      <c r="B186" s="116"/>
      <c r="D186" s="104" t="s">
        <v>211</v>
      </c>
      <c r="L186" s="122"/>
      <c r="M186" s="122"/>
      <c r="N186" s="122"/>
      <c r="O186" s="122"/>
      <c r="P186" s="122"/>
      <c r="Q186" s="122"/>
      <c r="R186" s="122"/>
      <c r="S186" s="122"/>
      <c r="T186" s="122"/>
    </row>
    <row r="187" spans="2:20" ht="13.5" customHeight="1">
      <c r="C187" s="1">
        <v>150</v>
      </c>
      <c r="D187" s="113" t="s">
        <v>213</v>
      </c>
      <c r="E187" s="100">
        <v>2005</v>
      </c>
      <c r="F187" s="95">
        <v>12</v>
      </c>
      <c r="G187" s="129">
        <v>0</v>
      </c>
      <c r="H187" s="100" t="s">
        <v>92</v>
      </c>
      <c r="I187" s="100">
        <v>10</v>
      </c>
      <c r="J187" s="97">
        <f t="shared" ref="J187:J216" si="39">E187+I187</f>
        <v>2015</v>
      </c>
      <c r="K187" s="144">
        <f t="shared" ref="K187:K216" si="40">+J187+(F187/12)</f>
        <v>2016</v>
      </c>
      <c r="L187" s="115">
        <v>10022.94</v>
      </c>
      <c r="M187" s="115">
        <f t="shared" ref="M187:M199" si="41">L187-L187*G187</f>
        <v>10022.94</v>
      </c>
      <c r="N187" s="115">
        <f t="shared" ref="N187:N216" si="42">M187/I187/12</f>
        <v>83.524500000000003</v>
      </c>
      <c r="O187" s="115">
        <f t="shared" ref="O187:O216" si="43">+N187*12</f>
        <v>1002.2940000000001</v>
      </c>
      <c r="P187" s="115">
        <f t="shared" ref="P187:P216" si="44">+IF($K187&lt;$N$7,0,IF($K187&gt;$N$6,$O187,((($K187-$N$7)*12)*$N187)))</f>
        <v>0</v>
      </c>
      <c r="Q187" s="115"/>
      <c r="R187" s="115">
        <f t="shared" ref="R187:R216" si="45">+IF($K187&lt;=$N$7,$L187,IF(($E187+($F187/12))&gt;=$N$7,0,((($M187-((($K187-$N$7)*12)*$N187))))))</f>
        <v>10022.94</v>
      </c>
      <c r="S187" s="115">
        <f t="shared" ref="S187:S216" si="46">+IF(P187=0,R187,R187+P187)</f>
        <v>10022.94</v>
      </c>
      <c r="T187" s="115">
        <f t="shared" ref="T187:T216" si="47">+L187-S187</f>
        <v>0</v>
      </c>
    </row>
    <row r="188" spans="2:20" ht="13.5" customHeight="1">
      <c r="C188" s="1">
        <v>325</v>
      </c>
      <c r="D188" s="113" t="s">
        <v>213</v>
      </c>
      <c r="E188" s="100">
        <v>2006</v>
      </c>
      <c r="F188" s="95">
        <v>2</v>
      </c>
      <c r="G188" s="129">
        <v>0</v>
      </c>
      <c r="H188" s="100" t="s">
        <v>92</v>
      </c>
      <c r="I188" s="100">
        <v>10</v>
      </c>
      <c r="J188" s="97">
        <f t="shared" si="39"/>
        <v>2016</v>
      </c>
      <c r="K188" s="144">
        <f t="shared" si="40"/>
        <v>2016.1666666666667</v>
      </c>
      <c r="L188" s="115">
        <v>17320.62</v>
      </c>
      <c r="M188" s="115">
        <f t="shared" si="41"/>
        <v>17320.62</v>
      </c>
      <c r="N188" s="115">
        <f t="shared" si="42"/>
        <v>144.33849999999998</v>
      </c>
      <c r="O188" s="115">
        <f t="shared" si="43"/>
        <v>1732.0619999999999</v>
      </c>
      <c r="P188" s="115">
        <f t="shared" si="44"/>
        <v>0</v>
      </c>
      <c r="Q188" s="115"/>
      <c r="R188" s="115">
        <f t="shared" si="45"/>
        <v>17320.62</v>
      </c>
      <c r="S188" s="115">
        <f t="shared" si="46"/>
        <v>17320.62</v>
      </c>
      <c r="T188" s="115">
        <f t="shared" si="47"/>
        <v>0</v>
      </c>
    </row>
    <row r="189" spans="2:20" ht="13.5" customHeight="1">
      <c r="C189" s="1">
        <v>427</v>
      </c>
      <c r="D189" s="113" t="s">
        <v>213</v>
      </c>
      <c r="E189" s="100">
        <v>2006</v>
      </c>
      <c r="F189" s="95">
        <v>4</v>
      </c>
      <c r="G189" s="129">
        <v>0</v>
      </c>
      <c r="H189" s="100" t="s">
        <v>92</v>
      </c>
      <c r="I189" s="100">
        <v>10</v>
      </c>
      <c r="J189" s="97">
        <f t="shared" si="39"/>
        <v>2016</v>
      </c>
      <c r="K189" s="144">
        <f t="shared" si="40"/>
        <v>2016.3333333333333</v>
      </c>
      <c r="L189" s="115">
        <v>24016.26</v>
      </c>
      <c r="M189" s="115">
        <f t="shared" si="41"/>
        <v>24016.26</v>
      </c>
      <c r="N189" s="115">
        <f t="shared" si="42"/>
        <v>200.13549999999998</v>
      </c>
      <c r="O189" s="115">
        <f t="shared" si="43"/>
        <v>2401.6259999999997</v>
      </c>
      <c r="P189" s="115">
        <f t="shared" si="44"/>
        <v>0</v>
      </c>
      <c r="Q189" s="115"/>
      <c r="R189" s="115">
        <f t="shared" si="45"/>
        <v>24016.26</v>
      </c>
      <c r="S189" s="115">
        <f t="shared" si="46"/>
        <v>24016.26</v>
      </c>
      <c r="T189" s="115">
        <f t="shared" si="47"/>
        <v>0</v>
      </c>
    </row>
    <row r="190" spans="2:20" ht="13.5" customHeight="1">
      <c r="C190" s="95">
        <v>300</v>
      </c>
      <c r="D190" s="113" t="s">
        <v>213</v>
      </c>
      <c r="E190" s="100">
        <v>2007</v>
      </c>
      <c r="F190" s="95">
        <v>12</v>
      </c>
      <c r="G190" s="129">
        <v>0</v>
      </c>
      <c r="H190" s="100" t="s">
        <v>92</v>
      </c>
      <c r="I190" s="100">
        <v>10</v>
      </c>
      <c r="J190" s="97">
        <f t="shared" si="39"/>
        <v>2017</v>
      </c>
      <c r="K190" s="144">
        <f t="shared" si="40"/>
        <v>2018</v>
      </c>
      <c r="L190" s="115">
        <f>17653.66</f>
        <v>17653.66</v>
      </c>
      <c r="M190" s="115">
        <f t="shared" si="41"/>
        <v>17653.66</v>
      </c>
      <c r="N190" s="115">
        <f t="shared" si="42"/>
        <v>147.11383333333333</v>
      </c>
      <c r="O190" s="115">
        <f t="shared" si="43"/>
        <v>1765.366</v>
      </c>
      <c r="P190" s="115">
        <f t="shared" si="44"/>
        <v>0</v>
      </c>
      <c r="Q190" s="115"/>
      <c r="R190" s="115">
        <f t="shared" si="45"/>
        <v>17653.66</v>
      </c>
      <c r="S190" s="115">
        <f t="shared" si="46"/>
        <v>17653.66</v>
      </c>
      <c r="T190" s="115">
        <f t="shared" si="47"/>
        <v>0</v>
      </c>
    </row>
    <row r="191" spans="2:20" ht="13.5" customHeight="1">
      <c r="C191" s="95">
        <v>289</v>
      </c>
      <c r="D191" s="113" t="s">
        <v>214</v>
      </c>
      <c r="E191" s="100">
        <v>2009</v>
      </c>
      <c r="F191" s="95">
        <v>6</v>
      </c>
      <c r="G191" s="129">
        <v>0</v>
      </c>
      <c r="H191" s="100" t="s">
        <v>92</v>
      </c>
      <c r="I191" s="100">
        <v>10</v>
      </c>
      <c r="J191" s="97">
        <f t="shared" si="39"/>
        <v>2019</v>
      </c>
      <c r="K191" s="144">
        <f t="shared" si="40"/>
        <v>2019.5</v>
      </c>
      <c r="L191" s="115">
        <f>289*51.76</f>
        <v>14958.64</v>
      </c>
      <c r="M191" s="115">
        <f t="shared" si="41"/>
        <v>14958.64</v>
      </c>
      <c r="N191" s="115">
        <f t="shared" si="42"/>
        <v>124.65533333333333</v>
      </c>
      <c r="O191" s="115">
        <f t="shared" si="43"/>
        <v>1495.864</v>
      </c>
      <c r="P191" s="115">
        <f t="shared" si="44"/>
        <v>0</v>
      </c>
      <c r="Q191" s="115"/>
      <c r="R191" s="115">
        <f t="shared" si="45"/>
        <v>14958.64</v>
      </c>
      <c r="S191" s="115">
        <f t="shared" si="46"/>
        <v>14958.64</v>
      </c>
      <c r="T191" s="115">
        <f t="shared" si="47"/>
        <v>0</v>
      </c>
    </row>
    <row r="192" spans="2:20" ht="13.5" customHeight="1">
      <c r="C192" s="95">
        <v>238</v>
      </c>
      <c r="D192" s="113" t="s">
        <v>213</v>
      </c>
      <c r="E192" s="100">
        <v>2011</v>
      </c>
      <c r="F192" s="95">
        <v>11</v>
      </c>
      <c r="G192" s="129">
        <v>0</v>
      </c>
      <c r="H192" s="100" t="s">
        <v>92</v>
      </c>
      <c r="I192" s="100">
        <v>10</v>
      </c>
      <c r="J192" s="97">
        <f t="shared" si="39"/>
        <v>2021</v>
      </c>
      <c r="K192" s="144">
        <f t="shared" si="40"/>
        <v>2021.9166666666667</v>
      </c>
      <c r="L192" s="115">
        <f>11941.29+4.62*238</f>
        <v>13040.85</v>
      </c>
      <c r="M192" s="115">
        <f t="shared" si="41"/>
        <v>13040.85</v>
      </c>
      <c r="N192" s="115">
        <f t="shared" si="42"/>
        <v>108.67375</v>
      </c>
      <c r="O192" s="115">
        <f t="shared" si="43"/>
        <v>1304.085</v>
      </c>
      <c r="P192" s="115">
        <f t="shared" si="44"/>
        <v>0</v>
      </c>
      <c r="Q192" s="115"/>
      <c r="R192" s="115">
        <f t="shared" si="45"/>
        <v>13040.85</v>
      </c>
      <c r="S192" s="115">
        <f t="shared" si="46"/>
        <v>13040.85</v>
      </c>
      <c r="T192" s="115">
        <f t="shared" si="47"/>
        <v>0</v>
      </c>
    </row>
    <row r="193" spans="1:20" ht="13.5" customHeight="1">
      <c r="A193" s="95">
        <v>105993</v>
      </c>
      <c r="C193" s="95">
        <v>90</v>
      </c>
      <c r="D193" s="113" t="s">
        <v>215</v>
      </c>
      <c r="E193" s="100">
        <v>2013</v>
      </c>
      <c r="F193" s="95">
        <v>7</v>
      </c>
      <c r="G193" s="129">
        <v>0</v>
      </c>
      <c r="H193" s="100" t="s">
        <v>92</v>
      </c>
      <c r="I193" s="100">
        <v>10</v>
      </c>
      <c r="J193" s="97">
        <f t="shared" si="39"/>
        <v>2023</v>
      </c>
      <c r="K193" s="144">
        <f t="shared" si="40"/>
        <v>2023.5833333333333</v>
      </c>
      <c r="L193" s="115">
        <v>13689.69</v>
      </c>
      <c r="M193" s="115">
        <f t="shared" si="41"/>
        <v>13689.69</v>
      </c>
      <c r="N193" s="115">
        <f t="shared" si="42"/>
        <v>114.08075000000001</v>
      </c>
      <c r="O193" s="115">
        <f t="shared" si="43"/>
        <v>1368.9690000000001</v>
      </c>
      <c r="P193" s="115">
        <f t="shared" si="44"/>
        <v>1368.9690000000001</v>
      </c>
      <c r="Q193" s="115"/>
      <c r="R193" s="115">
        <f t="shared" si="45"/>
        <v>11636.236500000001</v>
      </c>
      <c r="S193" s="115">
        <f t="shared" si="46"/>
        <v>13005.2055</v>
      </c>
      <c r="T193" s="115">
        <f t="shared" si="47"/>
        <v>684.48450000000048</v>
      </c>
    </row>
    <row r="194" spans="1:20" ht="13.5" customHeight="1">
      <c r="A194" s="95">
        <v>115098</v>
      </c>
      <c r="C194" s="95">
        <v>350</v>
      </c>
      <c r="D194" s="113" t="s">
        <v>215</v>
      </c>
      <c r="E194" s="100">
        <v>2014</v>
      </c>
      <c r="F194" s="95">
        <v>7</v>
      </c>
      <c r="G194" s="129">
        <v>0</v>
      </c>
      <c r="H194" s="100" t="s">
        <v>92</v>
      </c>
      <c r="I194" s="100">
        <v>10</v>
      </c>
      <c r="J194" s="97">
        <f t="shared" si="39"/>
        <v>2024</v>
      </c>
      <c r="K194" s="144">
        <f t="shared" si="40"/>
        <v>2024.5833333333333</v>
      </c>
      <c r="L194" s="115">
        <v>19892.87</v>
      </c>
      <c r="M194" s="115">
        <f t="shared" si="41"/>
        <v>19892.87</v>
      </c>
      <c r="N194" s="115">
        <f t="shared" si="42"/>
        <v>165.77391666666665</v>
      </c>
      <c r="O194" s="115">
        <f t="shared" si="43"/>
        <v>1989.2869999999998</v>
      </c>
      <c r="P194" s="115">
        <f t="shared" si="44"/>
        <v>1989.2869999999998</v>
      </c>
      <c r="Q194" s="115"/>
      <c r="R194" s="115">
        <f t="shared" si="45"/>
        <v>14919.6525</v>
      </c>
      <c r="S194" s="115">
        <f t="shared" si="46"/>
        <v>16908.9395</v>
      </c>
      <c r="T194" s="115">
        <f t="shared" si="47"/>
        <v>2983.9304999999986</v>
      </c>
    </row>
    <row r="195" spans="1:20" ht="13.5" customHeight="1">
      <c r="A195" s="95">
        <v>126735</v>
      </c>
      <c r="C195" s="95">
        <v>100</v>
      </c>
      <c r="D195" s="113" t="s">
        <v>216</v>
      </c>
      <c r="E195" s="100">
        <v>2015</v>
      </c>
      <c r="F195" s="95">
        <v>11</v>
      </c>
      <c r="G195" s="129">
        <v>0</v>
      </c>
      <c r="H195" s="100" t="s">
        <v>92</v>
      </c>
      <c r="I195" s="100">
        <v>10</v>
      </c>
      <c r="J195" s="97">
        <f t="shared" si="39"/>
        <v>2025</v>
      </c>
      <c r="K195" s="144">
        <f t="shared" si="40"/>
        <v>2025.9166666666667</v>
      </c>
      <c r="L195" s="115">
        <v>5641.04</v>
      </c>
      <c r="M195" s="115">
        <f t="shared" si="41"/>
        <v>5641.04</v>
      </c>
      <c r="N195" s="115">
        <f t="shared" si="42"/>
        <v>47.00866666666667</v>
      </c>
      <c r="O195" s="115">
        <f t="shared" si="43"/>
        <v>564.10400000000004</v>
      </c>
      <c r="P195" s="115">
        <f t="shared" si="44"/>
        <v>564.10400000000004</v>
      </c>
      <c r="Q195" s="115"/>
      <c r="R195" s="115">
        <f t="shared" si="45"/>
        <v>3478.6413333332475</v>
      </c>
      <c r="S195" s="115">
        <f t="shared" si="46"/>
        <v>4042.7453333332478</v>
      </c>
      <c r="T195" s="115">
        <f t="shared" si="47"/>
        <v>1598.2946666667522</v>
      </c>
    </row>
    <row r="196" spans="1:20" ht="13.5" customHeight="1">
      <c r="A196" s="95">
        <v>168949</v>
      </c>
      <c r="C196" s="95">
        <v>100</v>
      </c>
      <c r="D196" s="113" t="s">
        <v>285</v>
      </c>
      <c r="E196" s="100">
        <v>2016</v>
      </c>
      <c r="F196" s="95">
        <v>10</v>
      </c>
      <c r="G196" s="129">
        <v>0</v>
      </c>
      <c r="H196" s="100" t="s">
        <v>92</v>
      </c>
      <c r="I196" s="100">
        <v>7</v>
      </c>
      <c r="J196" s="97">
        <f t="shared" si="39"/>
        <v>2023</v>
      </c>
      <c r="K196" s="144">
        <f t="shared" si="40"/>
        <v>2023.8333333333333</v>
      </c>
      <c r="L196" s="115">
        <v>6085.16</v>
      </c>
      <c r="M196" s="115">
        <f t="shared" si="41"/>
        <v>6085.16</v>
      </c>
      <c r="N196" s="115">
        <f t="shared" si="42"/>
        <v>72.442380952380958</v>
      </c>
      <c r="O196" s="115">
        <f t="shared" si="43"/>
        <v>869.30857142857144</v>
      </c>
      <c r="P196" s="115">
        <f t="shared" si="44"/>
        <v>869.30857142857144</v>
      </c>
      <c r="Q196" s="115"/>
      <c r="R196" s="115">
        <f t="shared" si="45"/>
        <v>4563.87</v>
      </c>
      <c r="S196" s="115">
        <f t="shared" si="46"/>
        <v>5433.1785714285716</v>
      </c>
      <c r="T196" s="115">
        <f t="shared" si="47"/>
        <v>651.9814285714283</v>
      </c>
    </row>
    <row r="197" spans="1:20" ht="13.5" customHeight="1">
      <c r="A197" s="95">
        <v>179935</v>
      </c>
      <c r="C197" s="95">
        <v>100</v>
      </c>
      <c r="D197" s="113" t="s">
        <v>296</v>
      </c>
      <c r="E197" s="100">
        <v>2017</v>
      </c>
      <c r="F197" s="95">
        <v>4</v>
      </c>
      <c r="G197" s="129">
        <v>0</v>
      </c>
      <c r="H197" s="100" t="s">
        <v>92</v>
      </c>
      <c r="I197" s="100">
        <v>7</v>
      </c>
      <c r="J197" s="97">
        <f t="shared" si="39"/>
        <v>2024</v>
      </c>
      <c r="K197" s="144">
        <f t="shared" si="40"/>
        <v>2024.3333333333333</v>
      </c>
      <c r="L197" s="115">
        <v>5398.28</v>
      </c>
      <c r="M197" s="115">
        <f t="shared" si="41"/>
        <v>5398.28</v>
      </c>
      <c r="N197" s="115">
        <f t="shared" si="42"/>
        <v>64.265238095238089</v>
      </c>
      <c r="O197" s="115">
        <f t="shared" si="43"/>
        <v>771.18285714285707</v>
      </c>
      <c r="P197" s="115">
        <f t="shared" si="44"/>
        <v>771.18285714285707</v>
      </c>
      <c r="Q197" s="115"/>
      <c r="R197" s="115">
        <f t="shared" si="45"/>
        <v>3663.1185714285712</v>
      </c>
      <c r="S197" s="115">
        <f t="shared" si="46"/>
        <v>4434.301428571428</v>
      </c>
      <c r="T197" s="115">
        <f t="shared" si="47"/>
        <v>963.97857142857174</v>
      </c>
    </row>
    <row r="198" spans="1:20" s="1" customFormat="1" ht="13.5" customHeight="1">
      <c r="A198" s="1">
        <v>179934</v>
      </c>
      <c r="C198" s="1">
        <v>100</v>
      </c>
      <c r="D198" s="27" t="s">
        <v>297</v>
      </c>
      <c r="E198" s="10">
        <v>2017</v>
      </c>
      <c r="F198" s="1">
        <v>4</v>
      </c>
      <c r="G198" s="50">
        <v>0</v>
      </c>
      <c r="H198" s="10" t="s">
        <v>92</v>
      </c>
      <c r="I198" s="10">
        <v>7</v>
      </c>
      <c r="J198" s="4">
        <f t="shared" si="39"/>
        <v>2024</v>
      </c>
      <c r="K198" s="145">
        <f t="shared" si="40"/>
        <v>2024.3333333333333</v>
      </c>
      <c r="L198" s="29">
        <v>5748.27</v>
      </c>
      <c r="M198" s="29">
        <f t="shared" si="41"/>
        <v>5748.27</v>
      </c>
      <c r="N198" s="29">
        <f t="shared" si="42"/>
        <v>68.431785714285724</v>
      </c>
      <c r="O198" s="29">
        <f t="shared" si="43"/>
        <v>821.18142857142868</v>
      </c>
      <c r="P198" s="29">
        <f t="shared" si="44"/>
        <v>821.18142857142868</v>
      </c>
      <c r="Q198" s="29"/>
      <c r="R198" s="29">
        <f t="shared" si="45"/>
        <v>3900.6117857142858</v>
      </c>
      <c r="S198" s="29">
        <f t="shared" si="46"/>
        <v>4721.7932142857144</v>
      </c>
      <c r="T198" s="29">
        <f t="shared" si="47"/>
        <v>1026.4767857142861</v>
      </c>
    </row>
    <row r="199" spans="1:20" s="1" customFormat="1" ht="13.5" customHeight="1">
      <c r="A199" s="1">
        <v>185930</v>
      </c>
      <c r="C199" s="1">
        <v>100</v>
      </c>
      <c r="D199" s="27" t="s">
        <v>297</v>
      </c>
      <c r="E199" s="10">
        <v>2017</v>
      </c>
      <c r="F199" s="1">
        <v>7</v>
      </c>
      <c r="G199" s="50">
        <v>0</v>
      </c>
      <c r="H199" s="10" t="s">
        <v>92</v>
      </c>
      <c r="I199" s="10">
        <v>7</v>
      </c>
      <c r="J199" s="4">
        <f t="shared" si="39"/>
        <v>2024</v>
      </c>
      <c r="K199" s="145">
        <f t="shared" si="40"/>
        <v>2024.5833333333333</v>
      </c>
      <c r="L199" s="29">
        <v>6159.59</v>
      </c>
      <c r="M199" s="29">
        <f t="shared" si="41"/>
        <v>6159.59</v>
      </c>
      <c r="N199" s="29">
        <f t="shared" si="42"/>
        <v>73.328452380952385</v>
      </c>
      <c r="O199" s="29">
        <f t="shared" si="43"/>
        <v>879.94142857142856</v>
      </c>
      <c r="P199" s="29">
        <f t="shared" si="44"/>
        <v>879.94142857142856</v>
      </c>
      <c r="Q199" s="29"/>
      <c r="R199" s="29">
        <f t="shared" si="45"/>
        <v>3959.7364285714284</v>
      </c>
      <c r="S199" s="29">
        <f t="shared" si="46"/>
        <v>4839.6778571428567</v>
      </c>
      <c r="T199" s="29">
        <f t="shared" si="47"/>
        <v>1319.9121428571434</v>
      </c>
    </row>
    <row r="200" spans="1:20" s="1" customFormat="1" ht="13.5" customHeight="1">
      <c r="B200" s="1">
        <v>191382</v>
      </c>
      <c r="C200" s="1">
        <v>50</v>
      </c>
      <c r="D200" s="27" t="s">
        <v>296</v>
      </c>
      <c r="E200" s="10">
        <v>2018</v>
      </c>
      <c r="F200" s="1">
        <v>1</v>
      </c>
      <c r="G200" s="50">
        <v>0</v>
      </c>
      <c r="H200" s="10" t="s">
        <v>92</v>
      </c>
      <c r="I200" s="10">
        <v>7</v>
      </c>
      <c r="J200" s="4">
        <f t="shared" si="39"/>
        <v>2025</v>
      </c>
      <c r="K200" s="145">
        <f t="shared" si="40"/>
        <v>2025.0833333333333</v>
      </c>
      <c r="L200" s="29">
        <v>2684.44</v>
      </c>
      <c r="M200" s="29">
        <f t="shared" ref="M200:M211" si="48">L200-L200*G200</f>
        <v>2684.44</v>
      </c>
      <c r="N200" s="29">
        <f t="shared" si="42"/>
        <v>31.957619047619048</v>
      </c>
      <c r="O200" s="29">
        <f t="shared" si="43"/>
        <v>383.49142857142857</v>
      </c>
      <c r="P200" s="29">
        <f t="shared" si="44"/>
        <v>383.49142857142857</v>
      </c>
      <c r="Q200" s="29"/>
      <c r="R200" s="29">
        <f t="shared" si="45"/>
        <v>1533.9657142857143</v>
      </c>
      <c r="S200" s="29">
        <f t="shared" si="46"/>
        <v>1917.4571428571428</v>
      </c>
      <c r="T200" s="29">
        <f t="shared" si="47"/>
        <v>766.98285714285726</v>
      </c>
    </row>
    <row r="201" spans="1:20" s="1" customFormat="1" ht="13.5" customHeight="1">
      <c r="B201" s="1">
        <v>191383</v>
      </c>
      <c r="C201" s="1">
        <v>50</v>
      </c>
      <c r="D201" s="27" t="s">
        <v>297</v>
      </c>
      <c r="E201" s="10">
        <v>2018</v>
      </c>
      <c r="F201" s="1">
        <v>1</v>
      </c>
      <c r="G201" s="50">
        <v>0</v>
      </c>
      <c r="H201" s="10" t="s">
        <v>92</v>
      </c>
      <c r="I201" s="10">
        <v>7</v>
      </c>
      <c r="J201" s="4">
        <f t="shared" si="39"/>
        <v>2025</v>
      </c>
      <c r="K201" s="145">
        <f t="shared" si="40"/>
        <v>2025.0833333333333</v>
      </c>
      <c r="L201" s="29">
        <v>2873.08</v>
      </c>
      <c r="M201" s="29">
        <f t="shared" si="48"/>
        <v>2873.08</v>
      </c>
      <c r="N201" s="29">
        <f t="shared" si="42"/>
        <v>34.203333333333333</v>
      </c>
      <c r="O201" s="29">
        <f t="shared" si="43"/>
        <v>410.44</v>
      </c>
      <c r="P201" s="29">
        <f t="shared" si="44"/>
        <v>410.44</v>
      </c>
      <c r="Q201" s="29"/>
      <c r="R201" s="29">
        <f t="shared" si="45"/>
        <v>1641.76</v>
      </c>
      <c r="S201" s="29">
        <f t="shared" si="46"/>
        <v>2052.1999999999998</v>
      </c>
      <c r="T201" s="29">
        <f t="shared" si="47"/>
        <v>820.88000000000011</v>
      </c>
    </row>
    <row r="202" spans="1:20" s="1" customFormat="1" ht="13.5" customHeight="1">
      <c r="B202" s="1">
        <v>195627</v>
      </c>
      <c r="C202" s="1">
        <v>50</v>
      </c>
      <c r="D202" s="27" t="s">
        <v>297</v>
      </c>
      <c r="E202" s="10">
        <v>2018</v>
      </c>
      <c r="F202" s="1">
        <v>4</v>
      </c>
      <c r="G202" s="50">
        <v>0</v>
      </c>
      <c r="H202" s="10" t="s">
        <v>92</v>
      </c>
      <c r="I202" s="10">
        <v>7</v>
      </c>
      <c r="J202" s="4">
        <f t="shared" si="39"/>
        <v>2025</v>
      </c>
      <c r="K202" s="145">
        <f t="shared" si="40"/>
        <v>2025.3333333333333</v>
      </c>
      <c r="L202" s="29">
        <v>4072</v>
      </c>
      <c r="M202" s="29">
        <f t="shared" si="48"/>
        <v>4072</v>
      </c>
      <c r="N202" s="29">
        <f t="shared" si="42"/>
        <v>48.476190476190474</v>
      </c>
      <c r="O202" s="29">
        <f t="shared" si="43"/>
        <v>581.71428571428567</v>
      </c>
      <c r="P202" s="29">
        <f t="shared" si="44"/>
        <v>581.71428571428567</v>
      </c>
      <c r="Q202" s="29"/>
      <c r="R202" s="29">
        <f t="shared" si="45"/>
        <v>2181.4285714285716</v>
      </c>
      <c r="S202" s="29">
        <f t="shared" si="46"/>
        <v>2763.1428571428573</v>
      </c>
      <c r="T202" s="29">
        <f t="shared" si="47"/>
        <v>1308.8571428571427</v>
      </c>
    </row>
    <row r="203" spans="1:20" s="1" customFormat="1" ht="13.5" customHeight="1">
      <c r="B203" s="1">
        <v>195629</v>
      </c>
      <c r="C203" s="1">
        <v>150</v>
      </c>
      <c r="D203" s="27" t="s">
        <v>296</v>
      </c>
      <c r="E203" s="10">
        <v>2018</v>
      </c>
      <c r="F203" s="1">
        <v>4</v>
      </c>
      <c r="G203" s="50">
        <v>0</v>
      </c>
      <c r="H203" s="10" t="s">
        <v>92</v>
      </c>
      <c r="I203" s="10">
        <v>7</v>
      </c>
      <c r="J203" s="4">
        <f t="shared" si="39"/>
        <v>2025</v>
      </c>
      <c r="K203" s="145">
        <f t="shared" si="40"/>
        <v>2025.3333333333333</v>
      </c>
      <c r="L203" s="29">
        <v>7990.68</v>
      </c>
      <c r="M203" s="29">
        <f t="shared" si="48"/>
        <v>7990.68</v>
      </c>
      <c r="N203" s="29">
        <f t="shared" si="42"/>
        <v>95.127142857142857</v>
      </c>
      <c r="O203" s="29">
        <f t="shared" si="43"/>
        <v>1141.5257142857142</v>
      </c>
      <c r="P203" s="29">
        <f t="shared" si="44"/>
        <v>1141.5257142857142</v>
      </c>
      <c r="Q203" s="29"/>
      <c r="R203" s="29">
        <f t="shared" si="45"/>
        <v>4280.721428571429</v>
      </c>
      <c r="S203" s="29">
        <f t="shared" si="46"/>
        <v>5422.2471428571434</v>
      </c>
      <c r="T203" s="29">
        <f t="shared" si="47"/>
        <v>2568.4328571428568</v>
      </c>
    </row>
    <row r="204" spans="1:20" s="1" customFormat="1" ht="13.5" customHeight="1">
      <c r="B204" s="1">
        <v>203788</v>
      </c>
      <c r="C204" s="1">
        <v>100</v>
      </c>
      <c r="D204" s="27" t="s">
        <v>297</v>
      </c>
      <c r="E204" s="10">
        <v>2018</v>
      </c>
      <c r="F204" s="1">
        <v>9</v>
      </c>
      <c r="G204" s="50">
        <v>0</v>
      </c>
      <c r="H204" s="10" t="s">
        <v>92</v>
      </c>
      <c r="I204" s="10">
        <v>7</v>
      </c>
      <c r="J204" s="4">
        <f t="shared" si="39"/>
        <v>2025</v>
      </c>
      <c r="K204" s="145">
        <f t="shared" si="40"/>
        <v>2025.75</v>
      </c>
      <c r="L204" s="29">
        <v>6316.47</v>
      </c>
      <c r="M204" s="29">
        <f t="shared" si="48"/>
        <v>6316.47</v>
      </c>
      <c r="N204" s="29">
        <f t="shared" si="42"/>
        <v>75.196071428571429</v>
      </c>
      <c r="O204" s="29">
        <f t="shared" si="43"/>
        <v>902.35285714285715</v>
      </c>
      <c r="P204" s="29">
        <f t="shared" si="44"/>
        <v>902.35285714285715</v>
      </c>
      <c r="Q204" s="29"/>
      <c r="R204" s="29">
        <f t="shared" si="45"/>
        <v>3007.8428571427889</v>
      </c>
      <c r="S204" s="29">
        <f t="shared" si="46"/>
        <v>3910.1957142856463</v>
      </c>
      <c r="T204" s="29">
        <f t="shared" si="47"/>
        <v>2406.2742857143539</v>
      </c>
    </row>
    <row r="205" spans="1:20" s="1" customFormat="1" ht="13.5" customHeight="1">
      <c r="B205" s="1">
        <v>206422</v>
      </c>
      <c r="C205" s="1">
        <v>112</v>
      </c>
      <c r="D205" s="27" t="s">
        <v>363</v>
      </c>
      <c r="E205" s="10">
        <v>2018</v>
      </c>
      <c r="F205" s="1">
        <v>11</v>
      </c>
      <c r="G205" s="50">
        <v>0</v>
      </c>
      <c r="H205" s="10" t="s">
        <v>92</v>
      </c>
      <c r="I205" s="10">
        <v>7</v>
      </c>
      <c r="J205" s="4">
        <f t="shared" si="39"/>
        <v>2025</v>
      </c>
      <c r="K205" s="145">
        <f t="shared" si="40"/>
        <v>2025.9166666666667</v>
      </c>
      <c r="L205" s="29">
        <v>5155.43</v>
      </c>
      <c r="M205" s="29">
        <f t="shared" si="48"/>
        <v>5155.43</v>
      </c>
      <c r="N205" s="29">
        <f t="shared" si="42"/>
        <v>61.374166666666667</v>
      </c>
      <c r="O205" s="29">
        <f t="shared" si="43"/>
        <v>736.49</v>
      </c>
      <c r="P205" s="29">
        <f t="shared" si="44"/>
        <v>736.49</v>
      </c>
      <c r="Q205" s="29"/>
      <c r="R205" s="29">
        <f t="shared" si="45"/>
        <v>2332.2183333332218</v>
      </c>
      <c r="S205" s="29">
        <f t="shared" si="46"/>
        <v>3068.7083333332221</v>
      </c>
      <c r="T205" s="29">
        <f t="shared" si="47"/>
        <v>2086.7216666667782</v>
      </c>
    </row>
    <row r="206" spans="1:20" s="1" customFormat="1" ht="13.5" customHeight="1">
      <c r="B206" s="1">
        <v>213181</v>
      </c>
      <c r="C206" s="1">
        <v>312</v>
      </c>
      <c r="D206" s="27" t="s">
        <v>369</v>
      </c>
      <c r="E206" s="10">
        <v>2019</v>
      </c>
      <c r="F206" s="1">
        <v>4</v>
      </c>
      <c r="G206" s="50">
        <v>0</v>
      </c>
      <c r="H206" s="10" t="s">
        <v>92</v>
      </c>
      <c r="I206" s="10">
        <v>7</v>
      </c>
      <c r="J206" s="4">
        <f t="shared" si="39"/>
        <v>2026</v>
      </c>
      <c r="K206" s="145">
        <f t="shared" si="40"/>
        <v>2026.3333333333333</v>
      </c>
      <c r="L206" s="29">
        <v>14985</v>
      </c>
      <c r="M206" s="29">
        <f t="shared" si="48"/>
        <v>14985</v>
      </c>
      <c r="N206" s="29">
        <f t="shared" si="42"/>
        <v>178.39285714285714</v>
      </c>
      <c r="O206" s="29">
        <f t="shared" si="43"/>
        <v>2140.7142857142858</v>
      </c>
      <c r="P206" s="29">
        <f t="shared" si="44"/>
        <v>2140.7142857142858</v>
      </c>
      <c r="Q206" s="29"/>
      <c r="R206" s="29">
        <f t="shared" si="45"/>
        <v>5886.9642857142862</v>
      </c>
      <c r="S206" s="29">
        <f t="shared" si="46"/>
        <v>8027.6785714285725</v>
      </c>
      <c r="T206" s="29">
        <f t="shared" si="47"/>
        <v>6957.3214285714275</v>
      </c>
    </row>
    <row r="207" spans="1:20" s="1" customFormat="1" ht="13.5" customHeight="1">
      <c r="B207" s="1">
        <v>224061</v>
      </c>
      <c r="C207" s="1">
        <v>250</v>
      </c>
      <c r="D207" s="27" t="s">
        <v>369</v>
      </c>
      <c r="E207" s="10">
        <v>2019</v>
      </c>
      <c r="F207" s="1">
        <v>11</v>
      </c>
      <c r="G207" s="50">
        <v>0</v>
      </c>
      <c r="H207" s="10" t="s">
        <v>92</v>
      </c>
      <c r="I207" s="10">
        <v>7</v>
      </c>
      <c r="J207" s="4">
        <f t="shared" si="39"/>
        <v>2026</v>
      </c>
      <c r="K207" s="145">
        <f t="shared" si="40"/>
        <v>2026.9166666666667</v>
      </c>
      <c r="L207" s="29">
        <v>11502.26</v>
      </c>
      <c r="M207" s="29">
        <f t="shared" si="48"/>
        <v>11502.26</v>
      </c>
      <c r="N207" s="29">
        <f t="shared" si="42"/>
        <v>136.93166666666667</v>
      </c>
      <c r="O207" s="29">
        <f t="shared" si="43"/>
        <v>1643.18</v>
      </c>
      <c r="P207" s="29">
        <f t="shared" si="44"/>
        <v>1643.18</v>
      </c>
      <c r="Q207" s="29"/>
      <c r="R207" s="29">
        <f t="shared" si="45"/>
        <v>3560.2233333330842</v>
      </c>
      <c r="S207" s="29">
        <f t="shared" si="46"/>
        <v>5203.4033333330844</v>
      </c>
      <c r="T207" s="29">
        <f t="shared" si="47"/>
        <v>6298.8566666669158</v>
      </c>
    </row>
    <row r="208" spans="1:20" s="1" customFormat="1" ht="13.5" customHeight="1">
      <c r="B208" s="1">
        <v>225470</v>
      </c>
      <c r="D208" s="27" t="s">
        <v>373</v>
      </c>
      <c r="E208" s="10">
        <v>2019</v>
      </c>
      <c r="F208" s="1">
        <v>12</v>
      </c>
      <c r="G208" s="50">
        <v>0</v>
      </c>
      <c r="H208" s="10" t="s">
        <v>92</v>
      </c>
      <c r="I208" s="10">
        <v>7</v>
      </c>
      <c r="J208" s="4">
        <f t="shared" si="39"/>
        <v>2026</v>
      </c>
      <c r="K208" s="145">
        <f t="shared" si="40"/>
        <v>2027</v>
      </c>
      <c r="L208" s="29">
        <v>3209.85</v>
      </c>
      <c r="M208" s="29">
        <f t="shared" si="48"/>
        <v>3209.85</v>
      </c>
      <c r="N208" s="29">
        <f t="shared" si="42"/>
        <v>38.212499999999999</v>
      </c>
      <c r="O208" s="29">
        <f t="shared" si="43"/>
        <v>458.54999999999995</v>
      </c>
      <c r="P208" s="29">
        <f t="shared" si="44"/>
        <v>458.54999999999995</v>
      </c>
      <c r="Q208" s="29"/>
      <c r="R208" s="29">
        <f t="shared" si="45"/>
        <v>955.31249999996544</v>
      </c>
      <c r="S208" s="29">
        <f t="shared" si="46"/>
        <v>1413.8624999999654</v>
      </c>
      <c r="T208" s="29">
        <f t="shared" si="47"/>
        <v>1795.9875000000345</v>
      </c>
    </row>
    <row r="209" spans="2:20" s="1" customFormat="1" ht="13.5" customHeight="1">
      <c r="B209" s="1">
        <v>233984</v>
      </c>
      <c r="C209" s="1">
        <v>112</v>
      </c>
      <c r="D209" s="27" t="s">
        <v>363</v>
      </c>
      <c r="E209" s="10">
        <v>2020</v>
      </c>
      <c r="F209" s="1">
        <v>6</v>
      </c>
      <c r="G209" s="50">
        <v>0</v>
      </c>
      <c r="H209" s="10" t="s">
        <v>92</v>
      </c>
      <c r="I209" s="10">
        <v>7</v>
      </c>
      <c r="J209" s="4">
        <f t="shared" si="39"/>
        <v>2027</v>
      </c>
      <c r="K209" s="145">
        <f t="shared" si="40"/>
        <v>2027.5</v>
      </c>
      <c r="L209" s="29">
        <v>4195.58</v>
      </c>
      <c r="M209" s="29">
        <f t="shared" si="48"/>
        <v>4195.58</v>
      </c>
      <c r="N209" s="29">
        <f t="shared" si="42"/>
        <v>49.947380952380946</v>
      </c>
      <c r="O209" s="29">
        <f t="shared" si="43"/>
        <v>599.36857142857139</v>
      </c>
      <c r="P209" s="29">
        <f t="shared" si="44"/>
        <v>599.36857142857139</v>
      </c>
      <c r="Q209" s="29"/>
      <c r="R209" s="29">
        <f t="shared" si="45"/>
        <v>949.0002380951928</v>
      </c>
      <c r="S209" s="29">
        <f t="shared" si="46"/>
        <v>1548.3688095237642</v>
      </c>
      <c r="T209" s="29">
        <f t="shared" si="47"/>
        <v>2647.211190476236</v>
      </c>
    </row>
    <row r="210" spans="2:20" s="1" customFormat="1" ht="13.5" customHeight="1">
      <c r="B210" s="1">
        <v>237469</v>
      </c>
      <c r="C210" s="1">
        <v>112</v>
      </c>
      <c r="D210" s="27" t="s">
        <v>285</v>
      </c>
      <c r="E210" s="10">
        <v>2020</v>
      </c>
      <c r="F210" s="1">
        <v>9</v>
      </c>
      <c r="G210" s="50">
        <v>0</v>
      </c>
      <c r="H210" s="10" t="s">
        <v>92</v>
      </c>
      <c r="I210" s="10">
        <v>7</v>
      </c>
      <c r="J210" s="4">
        <f t="shared" si="39"/>
        <v>2027</v>
      </c>
      <c r="K210" s="145">
        <f t="shared" si="40"/>
        <v>2027.75</v>
      </c>
      <c r="L210" s="29">
        <v>4725.6099999999997</v>
      </c>
      <c r="M210" s="29">
        <f t="shared" si="48"/>
        <v>4725.6099999999997</v>
      </c>
      <c r="N210" s="29">
        <f t="shared" si="42"/>
        <v>56.257261904761897</v>
      </c>
      <c r="O210" s="29">
        <f t="shared" si="43"/>
        <v>675.08714285714279</v>
      </c>
      <c r="P210" s="29">
        <f t="shared" si="44"/>
        <v>675.08714285714279</v>
      </c>
      <c r="Q210" s="29"/>
      <c r="R210" s="29">
        <f t="shared" si="45"/>
        <v>900.11619047613931</v>
      </c>
      <c r="S210" s="29">
        <f t="shared" si="46"/>
        <v>1575.203333333282</v>
      </c>
      <c r="T210" s="29">
        <f t="shared" si="47"/>
        <v>3150.4066666667177</v>
      </c>
    </row>
    <row r="211" spans="2:20" s="1" customFormat="1" ht="13.5" customHeight="1">
      <c r="B211" s="1">
        <v>242993</v>
      </c>
      <c r="C211" s="1">
        <v>112</v>
      </c>
      <c r="D211" s="27" t="s">
        <v>396</v>
      </c>
      <c r="E211" s="10">
        <v>2020</v>
      </c>
      <c r="F211" s="1">
        <v>12</v>
      </c>
      <c r="G211" s="50">
        <v>0</v>
      </c>
      <c r="H211" s="10" t="s">
        <v>92</v>
      </c>
      <c r="I211" s="10">
        <v>7</v>
      </c>
      <c r="J211" s="4">
        <f t="shared" si="39"/>
        <v>2027</v>
      </c>
      <c r="K211" s="145">
        <f t="shared" si="40"/>
        <v>2028</v>
      </c>
      <c r="L211" s="29">
        <v>5015.38</v>
      </c>
      <c r="M211" s="29">
        <f t="shared" si="48"/>
        <v>5015.38</v>
      </c>
      <c r="N211" s="29">
        <f t="shared" si="42"/>
        <v>59.706904761904759</v>
      </c>
      <c r="O211" s="29">
        <f t="shared" si="43"/>
        <v>716.48285714285714</v>
      </c>
      <c r="P211" s="29">
        <f t="shared" si="44"/>
        <v>716.48285714285714</v>
      </c>
      <c r="Q211" s="29"/>
      <c r="R211" s="29">
        <f t="shared" si="45"/>
        <v>776.18976190470767</v>
      </c>
      <c r="S211" s="29">
        <f t="shared" si="46"/>
        <v>1492.6726190475647</v>
      </c>
      <c r="T211" s="29">
        <f t="shared" si="47"/>
        <v>3522.7073809524354</v>
      </c>
    </row>
    <row r="212" spans="2:20" s="1" customFormat="1" ht="13.5" customHeight="1">
      <c r="B212" s="1">
        <v>242994</v>
      </c>
      <c r="C212" s="1">
        <v>112</v>
      </c>
      <c r="D212" s="27" t="s">
        <v>397</v>
      </c>
      <c r="E212" s="10">
        <v>2020</v>
      </c>
      <c r="F212" s="1">
        <v>12</v>
      </c>
      <c r="G212" s="50">
        <v>0</v>
      </c>
      <c r="H212" s="10" t="s">
        <v>92</v>
      </c>
      <c r="I212" s="10">
        <v>7</v>
      </c>
      <c r="J212" s="4">
        <f t="shared" si="39"/>
        <v>2027</v>
      </c>
      <c r="K212" s="145">
        <f t="shared" si="40"/>
        <v>2028</v>
      </c>
      <c r="L212" s="29">
        <v>4411.6899999999996</v>
      </c>
      <c r="M212" s="29">
        <f t="shared" ref="M212:M216" si="49">L212-L212*G212</f>
        <v>4411.6899999999996</v>
      </c>
      <c r="N212" s="29">
        <f t="shared" si="42"/>
        <v>52.52011904761904</v>
      </c>
      <c r="O212" s="29">
        <f t="shared" si="43"/>
        <v>630.24142857142851</v>
      </c>
      <c r="P212" s="29">
        <f t="shared" si="44"/>
        <v>630.24142857142851</v>
      </c>
      <c r="Q212" s="29"/>
      <c r="R212" s="29">
        <f t="shared" si="45"/>
        <v>682.76154761899988</v>
      </c>
      <c r="S212" s="29">
        <f t="shared" si="46"/>
        <v>1313.0029761904284</v>
      </c>
      <c r="T212" s="29">
        <f t="shared" si="47"/>
        <v>3098.6870238095712</v>
      </c>
    </row>
    <row r="213" spans="2:20" s="82" customFormat="1" ht="13.5" customHeight="1">
      <c r="B213" s="82">
        <v>256055</v>
      </c>
      <c r="C213" s="82">
        <v>112</v>
      </c>
      <c r="D213" s="83" t="s">
        <v>415</v>
      </c>
      <c r="E213" s="84">
        <v>2021</v>
      </c>
      <c r="F213" s="82">
        <v>7</v>
      </c>
      <c r="G213" s="85">
        <v>0</v>
      </c>
      <c r="H213" s="84" t="s">
        <v>92</v>
      </c>
      <c r="I213" s="84">
        <v>7</v>
      </c>
      <c r="J213" s="86">
        <f t="shared" si="39"/>
        <v>2028</v>
      </c>
      <c r="K213" s="239">
        <f t="shared" si="40"/>
        <v>2028.5833333333333</v>
      </c>
      <c r="L213" s="88">
        <v>6621.16</v>
      </c>
      <c r="M213" s="88">
        <f t="shared" si="49"/>
        <v>6621.16</v>
      </c>
      <c r="N213" s="88">
        <f t="shared" si="42"/>
        <v>78.823333333333338</v>
      </c>
      <c r="O213" s="88">
        <f t="shared" si="43"/>
        <v>945.88000000000011</v>
      </c>
      <c r="P213" s="88">
        <f t="shared" si="44"/>
        <v>945.88000000000011</v>
      </c>
      <c r="Q213" s="88"/>
      <c r="R213" s="88">
        <f t="shared" si="45"/>
        <v>472.9399999999996</v>
      </c>
      <c r="S213" s="88">
        <f t="shared" si="46"/>
        <v>1418.8199999999997</v>
      </c>
      <c r="T213" s="88">
        <f t="shared" si="47"/>
        <v>5202.34</v>
      </c>
    </row>
    <row r="214" spans="2:20" s="82" customFormat="1" ht="13.5" customHeight="1">
      <c r="B214" s="82">
        <v>256037</v>
      </c>
      <c r="C214" s="82">
        <v>112</v>
      </c>
      <c r="D214" s="83" t="s">
        <v>373</v>
      </c>
      <c r="E214" s="84">
        <v>2021</v>
      </c>
      <c r="F214" s="82">
        <v>7</v>
      </c>
      <c r="G214" s="85">
        <v>0</v>
      </c>
      <c r="H214" s="84" t="s">
        <v>92</v>
      </c>
      <c r="I214" s="84">
        <v>7</v>
      </c>
      <c r="J214" s="86">
        <f t="shared" si="39"/>
        <v>2028</v>
      </c>
      <c r="K214" s="239">
        <f t="shared" si="40"/>
        <v>2028.5833333333333</v>
      </c>
      <c r="L214" s="88">
        <v>5936.59</v>
      </c>
      <c r="M214" s="88">
        <f t="shared" si="49"/>
        <v>5936.59</v>
      </c>
      <c r="N214" s="88">
        <f t="shared" si="42"/>
        <v>70.673690476190487</v>
      </c>
      <c r="O214" s="88">
        <f t="shared" si="43"/>
        <v>848.0842857142859</v>
      </c>
      <c r="P214" s="88">
        <f t="shared" si="44"/>
        <v>848.0842857142859</v>
      </c>
      <c r="Q214" s="88"/>
      <c r="R214" s="88">
        <f t="shared" si="45"/>
        <v>424.04214285714261</v>
      </c>
      <c r="S214" s="88">
        <f t="shared" si="46"/>
        <v>1272.1264285714285</v>
      </c>
      <c r="T214" s="88">
        <f t="shared" si="47"/>
        <v>4664.4635714285714</v>
      </c>
    </row>
    <row r="215" spans="2:20" s="82" customFormat="1" ht="13.5" customHeight="1">
      <c r="B215" s="82">
        <v>250268</v>
      </c>
      <c r="C215" s="82">
        <v>112</v>
      </c>
      <c r="D215" s="83" t="s">
        <v>363</v>
      </c>
      <c r="E215" s="84">
        <v>2021</v>
      </c>
      <c r="F215" s="82">
        <v>4</v>
      </c>
      <c r="G215" s="85">
        <v>0</v>
      </c>
      <c r="H215" s="84" t="s">
        <v>92</v>
      </c>
      <c r="I215" s="84">
        <v>7</v>
      </c>
      <c r="J215" s="86">
        <f t="shared" si="39"/>
        <v>2028</v>
      </c>
      <c r="K215" s="239">
        <f t="shared" si="40"/>
        <v>2028.3333333333333</v>
      </c>
      <c r="L215" s="88">
        <v>5229.07</v>
      </c>
      <c r="M215" s="88">
        <f t="shared" si="49"/>
        <v>5229.07</v>
      </c>
      <c r="N215" s="88">
        <f t="shared" si="42"/>
        <v>62.250833333333333</v>
      </c>
      <c r="O215" s="88">
        <f t="shared" si="43"/>
        <v>747.01</v>
      </c>
      <c r="P215" s="88">
        <f t="shared" si="44"/>
        <v>747.01</v>
      </c>
      <c r="Q215" s="88"/>
      <c r="R215" s="88">
        <f t="shared" si="45"/>
        <v>560.25749999999971</v>
      </c>
      <c r="S215" s="88">
        <f t="shared" si="46"/>
        <v>1307.2674999999997</v>
      </c>
      <c r="T215" s="88">
        <f t="shared" si="47"/>
        <v>3921.8024999999998</v>
      </c>
    </row>
    <row r="216" spans="2:20" s="82" customFormat="1" ht="13.5" customHeight="1">
      <c r="B216" s="82">
        <v>250267</v>
      </c>
      <c r="C216" s="82">
        <v>112</v>
      </c>
      <c r="D216" s="83" t="s">
        <v>285</v>
      </c>
      <c r="E216" s="84">
        <v>2021</v>
      </c>
      <c r="F216" s="82">
        <v>4</v>
      </c>
      <c r="G216" s="85">
        <v>0</v>
      </c>
      <c r="H216" s="84" t="s">
        <v>92</v>
      </c>
      <c r="I216" s="84">
        <v>7</v>
      </c>
      <c r="J216" s="86">
        <f t="shared" si="39"/>
        <v>2028</v>
      </c>
      <c r="K216" s="239">
        <f t="shared" si="40"/>
        <v>2028.3333333333333</v>
      </c>
      <c r="L216" s="88">
        <v>5804.99</v>
      </c>
      <c r="M216" s="88">
        <f t="shared" si="49"/>
        <v>5804.99</v>
      </c>
      <c r="N216" s="88">
        <f t="shared" si="42"/>
        <v>69.10702380952381</v>
      </c>
      <c r="O216" s="88">
        <f t="shared" si="43"/>
        <v>829.28428571428572</v>
      </c>
      <c r="P216" s="88">
        <f t="shared" si="44"/>
        <v>829.28428571428572</v>
      </c>
      <c r="Q216" s="88"/>
      <c r="R216" s="88">
        <f t="shared" si="45"/>
        <v>621.96321428571446</v>
      </c>
      <c r="S216" s="88">
        <f t="shared" si="46"/>
        <v>1451.2475000000002</v>
      </c>
      <c r="T216" s="88">
        <f t="shared" si="47"/>
        <v>4353.7424999999994</v>
      </c>
    </row>
    <row r="217" spans="2:20" s="1" customFormat="1" ht="13.5" customHeight="1">
      <c r="D217" s="27"/>
      <c r="E217" s="10"/>
      <c r="G217" s="28"/>
      <c r="H217" s="10"/>
      <c r="I217" s="10"/>
      <c r="J217" s="14"/>
      <c r="L217" s="29"/>
      <c r="M217" s="29"/>
      <c r="N217" s="29"/>
      <c r="O217" s="29"/>
      <c r="P217" s="29"/>
      <c r="Q217" s="29"/>
      <c r="R217" s="29"/>
      <c r="S217" s="29"/>
      <c r="T217" s="29"/>
    </row>
    <row r="218" spans="2:20" ht="13.5" customHeight="1">
      <c r="D218" s="124" t="s">
        <v>217</v>
      </c>
      <c r="E218" s="125"/>
      <c r="F218" s="126"/>
      <c r="G218" s="127"/>
      <c r="H218" s="125"/>
      <c r="I218" s="125"/>
      <c r="J218" s="128"/>
      <c r="K218" s="126"/>
      <c r="L218" s="120">
        <f>SUM(L187:L217)</f>
        <v>260357.14999999997</v>
      </c>
      <c r="M218" s="120">
        <f t="shared" ref="M218:T218" si="50">SUM(M187:M217)</f>
        <v>260357.14999999997</v>
      </c>
      <c r="N218" s="120">
        <f t="shared" si="50"/>
        <v>2612.9307023809529</v>
      </c>
      <c r="O218" s="120">
        <f t="shared" si="50"/>
        <v>31355.168428571436</v>
      </c>
      <c r="P218" s="120">
        <f>SUM(P187:P217)</f>
        <v>21653.87142857143</v>
      </c>
      <c r="Q218" s="120">
        <f t="shared" si="50"/>
        <v>0</v>
      </c>
      <c r="R218" s="120">
        <f>SUM(R187:R217)</f>
        <v>173902.54473809453</v>
      </c>
      <c r="S218" s="120">
        <f>SUM(S187:S217)</f>
        <v>195556.41616666593</v>
      </c>
      <c r="T218" s="120">
        <f t="shared" si="50"/>
        <v>64800.733833334074</v>
      </c>
    </row>
    <row r="219" spans="2:20" ht="13.5" customHeight="1">
      <c r="L219" s="122"/>
      <c r="M219" s="122"/>
      <c r="N219" s="122"/>
      <c r="O219" s="122"/>
      <c r="P219" s="122"/>
      <c r="Q219" s="122"/>
      <c r="R219" s="122"/>
      <c r="S219" s="122"/>
      <c r="T219" s="122"/>
    </row>
    <row r="220" spans="2:20" ht="13.5" customHeight="1">
      <c r="B220" s="116"/>
      <c r="D220" s="104" t="s">
        <v>218</v>
      </c>
      <c r="L220" s="122"/>
      <c r="M220" s="122"/>
      <c r="N220" s="122"/>
      <c r="O220" s="122"/>
      <c r="P220" s="122"/>
      <c r="Q220" s="122"/>
      <c r="R220" s="122"/>
      <c r="S220" s="122"/>
      <c r="T220" s="122"/>
    </row>
    <row r="221" spans="2:20" ht="13.5" customHeight="1">
      <c r="C221" s="95">
        <v>350</v>
      </c>
      <c r="D221" s="113" t="s">
        <v>219</v>
      </c>
      <c r="E221" s="100">
        <v>2006</v>
      </c>
      <c r="F221" s="95">
        <v>2</v>
      </c>
      <c r="G221" s="129">
        <v>0</v>
      </c>
      <c r="H221" s="100" t="s">
        <v>92</v>
      </c>
      <c r="I221" s="100">
        <v>10</v>
      </c>
      <c r="J221" s="97">
        <f t="shared" ref="J221:J230" si="51">E221+I221</f>
        <v>2016</v>
      </c>
      <c r="K221" s="144">
        <f t="shared" ref="K221:K230" si="52">+J221+(F221/12)</f>
        <v>2016.1666666666667</v>
      </c>
      <c r="L221" s="115">
        <v>17146.62</v>
      </c>
      <c r="M221" s="115">
        <f t="shared" ref="M221:M230" si="53">L221-L221*G221</f>
        <v>17146.62</v>
      </c>
      <c r="N221" s="115">
        <f t="shared" ref="N221:N230" si="54">M221/I221/12</f>
        <v>142.88849999999999</v>
      </c>
      <c r="O221" s="115">
        <f t="shared" ref="O221:O230" si="55">+N221*12</f>
        <v>1714.6619999999998</v>
      </c>
      <c r="P221" s="115">
        <f t="shared" ref="P221:P230" si="56">+IF($K221&lt;$N$7,0,IF($K221&gt;$N$6,$O221,((($K221-$N$7)*12)*$N221)))</f>
        <v>0</v>
      </c>
      <c r="Q221" s="115"/>
      <c r="R221" s="115">
        <f t="shared" ref="R221:R230" si="57">+IF($K221&lt;=$N$7,$L221,IF(($E221+($F221/12))&gt;=$N$7,0,((($M221-((($K221-$N$7)*12)*$N221))))))</f>
        <v>17146.62</v>
      </c>
      <c r="S221" s="115">
        <f t="shared" ref="S221:S230" si="58">+IF(P221=0,R221,R221+P221)</f>
        <v>17146.62</v>
      </c>
      <c r="T221" s="115">
        <f t="shared" ref="T221:T230" si="59">+L221-S221</f>
        <v>0</v>
      </c>
    </row>
    <row r="222" spans="2:20" ht="13.5" customHeight="1">
      <c r="C222" s="95">
        <v>165</v>
      </c>
      <c r="D222" s="113" t="s">
        <v>219</v>
      </c>
      <c r="E222" s="100">
        <v>2007</v>
      </c>
      <c r="F222" s="95">
        <v>12</v>
      </c>
      <c r="G222" s="129">
        <v>0</v>
      </c>
      <c r="H222" s="100" t="s">
        <v>92</v>
      </c>
      <c r="I222" s="100">
        <v>10</v>
      </c>
      <c r="J222" s="97">
        <f t="shared" si="51"/>
        <v>2017</v>
      </c>
      <c r="K222" s="144">
        <f t="shared" si="52"/>
        <v>2018</v>
      </c>
      <c r="L222" s="115">
        <v>8921.85</v>
      </c>
      <c r="M222" s="115">
        <f t="shared" si="53"/>
        <v>8921.85</v>
      </c>
      <c r="N222" s="115">
        <f t="shared" si="54"/>
        <v>74.34875000000001</v>
      </c>
      <c r="O222" s="115">
        <f t="shared" si="55"/>
        <v>892.18500000000017</v>
      </c>
      <c r="P222" s="115">
        <f t="shared" si="56"/>
        <v>0</v>
      </c>
      <c r="Q222" s="115"/>
      <c r="R222" s="115">
        <f t="shared" si="57"/>
        <v>8921.85</v>
      </c>
      <c r="S222" s="115">
        <f t="shared" si="58"/>
        <v>8921.85</v>
      </c>
      <c r="T222" s="115">
        <f t="shared" si="59"/>
        <v>0</v>
      </c>
    </row>
    <row r="223" spans="2:20" ht="13.5" customHeight="1">
      <c r="C223" s="95">
        <v>165</v>
      </c>
      <c r="D223" s="113" t="s">
        <v>220</v>
      </c>
      <c r="E223" s="100">
        <v>2009</v>
      </c>
      <c r="F223" s="95">
        <v>6</v>
      </c>
      <c r="G223" s="129">
        <v>0</v>
      </c>
      <c r="H223" s="100" t="s">
        <v>92</v>
      </c>
      <c r="I223" s="100">
        <v>10</v>
      </c>
      <c r="J223" s="97">
        <f t="shared" si="51"/>
        <v>2019</v>
      </c>
      <c r="K223" s="144">
        <f t="shared" si="52"/>
        <v>2019.5</v>
      </c>
      <c r="L223" s="115">
        <f>165*50.1-3</f>
        <v>8263.5</v>
      </c>
      <c r="M223" s="115">
        <f t="shared" si="53"/>
        <v>8263.5</v>
      </c>
      <c r="N223" s="115">
        <f t="shared" si="54"/>
        <v>68.862499999999997</v>
      </c>
      <c r="O223" s="115">
        <f t="shared" si="55"/>
        <v>826.34999999999991</v>
      </c>
      <c r="P223" s="115">
        <f t="shared" si="56"/>
        <v>0</v>
      </c>
      <c r="Q223" s="115"/>
      <c r="R223" s="115">
        <f t="shared" si="57"/>
        <v>8263.5</v>
      </c>
      <c r="S223" s="115">
        <f t="shared" si="58"/>
        <v>8263.5</v>
      </c>
      <c r="T223" s="115">
        <f t="shared" si="59"/>
        <v>0</v>
      </c>
    </row>
    <row r="224" spans="2:20" ht="13.5" customHeight="1">
      <c r="C224" s="95">
        <v>296</v>
      </c>
      <c r="D224" s="113" t="s">
        <v>219</v>
      </c>
      <c r="E224" s="100">
        <v>2011</v>
      </c>
      <c r="F224" s="95">
        <v>11</v>
      </c>
      <c r="G224" s="129">
        <v>0</v>
      </c>
      <c r="H224" s="100" t="s">
        <v>92</v>
      </c>
      <c r="I224" s="100">
        <v>10</v>
      </c>
      <c r="J224" s="97">
        <f t="shared" si="51"/>
        <v>2021</v>
      </c>
      <c r="K224" s="144">
        <f t="shared" si="52"/>
        <v>2021.9166666666667</v>
      </c>
      <c r="L224" s="115">
        <f>13493.98+4.62*296-1</f>
        <v>14860.5</v>
      </c>
      <c r="M224" s="115">
        <f t="shared" si="53"/>
        <v>14860.5</v>
      </c>
      <c r="N224" s="115">
        <f t="shared" si="54"/>
        <v>123.83749999999999</v>
      </c>
      <c r="O224" s="115">
        <f t="shared" si="55"/>
        <v>1486.05</v>
      </c>
      <c r="P224" s="115">
        <f t="shared" si="56"/>
        <v>0</v>
      </c>
      <c r="Q224" s="115"/>
      <c r="R224" s="115">
        <f t="shared" si="57"/>
        <v>14860.5</v>
      </c>
      <c r="S224" s="115">
        <f t="shared" si="58"/>
        <v>14860.5</v>
      </c>
      <c r="T224" s="115">
        <f t="shared" si="59"/>
        <v>0</v>
      </c>
    </row>
    <row r="225" spans="1:20" ht="13.5" customHeight="1">
      <c r="A225" s="95">
        <v>105994</v>
      </c>
      <c r="C225" s="95">
        <v>90</v>
      </c>
      <c r="D225" s="113" t="s">
        <v>221</v>
      </c>
      <c r="E225" s="100">
        <v>2013</v>
      </c>
      <c r="F225" s="95">
        <v>7</v>
      </c>
      <c r="G225" s="129">
        <v>0</v>
      </c>
      <c r="H225" s="100" t="s">
        <v>92</v>
      </c>
      <c r="I225" s="100">
        <v>10</v>
      </c>
      <c r="J225" s="97">
        <f t="shared" si="51"/>
        <v>2023</v>
      </c>
      <c r="K225" s="144">
        <f t="shared" si="52"/>
        <v>2023.5833333333333</v>
      </c>
      <c r="L225" s="115">
        <v>5310</v>
      </c>
      <c r="M225" s="115">
        <f t="shared" si="53"/>
        <v>5310</v>
      </c>
      <c r="N225" s="115">
        <f t="shared" si="54"/>
        <v>44.25</v>
      </c>
      <c r="O225" s="115">
        <f t="shared" si="55"/>
        <v>531</v>
      </c>
      <c r="P225" s="115">
        <f t="shared" si="56"/>
        <v>531</v>
      </c>
      <c r="Q225" s="115"/>
      <c r="R225" s="115">
        <f t="shared" si="57"/>
        <v>4513.5</v>
      </c>
      <c r="S225" s="115">
        <f t="shared" si="58"/>
        <v>5044.5</v>
      </c>
      <c r="T225" s="115">
        <f t="shared" si="59"/>
        <v>265.5</v>
      </c>
    </row>
    <row r="226" spans="1:20" ht="13.5" customHeight="1">
      <c r="A226" s="95">
        <v>115099</v>
      </c>
      <c r="C226" s="95">
        <v>180</v>
      </c>
      <c r="D226" s="113" t="s">
        <v>221</v>
      </c>
      <c r="E226" s="100">
        <v>2014</v>
      </c>
      <c r="F226" s="95">
        <v>7</v>
      </c>
      <c r="G226" s="129">
        <v>0</v>
      </c>
      <c r="H226" s="100" t="s">
        <v>92</v>
      </c>
      <c r="I226" s="100">
        <v>10</v>
      </c>
      <c r="J226" s="97">
        <f t="shared" si="51"/>
        <v>2024</v>
      </c>
      <c r="K226" s="144">
        <f t="shared" si="52"/>
        <v>2024.5833333333333</v>
      </c>
      <c r="L226" s="115">
        <v>9383</v>
      </c>
      <c r="M226" s="115">
        <f t="shared" si="53"/>
        <v>9383</v>
      </c>
      <c r="N226" s="115">
        <f t="shared" si="54"/>
        <v>78.191666666666663</v>
      </c>
      <c r="O226" s="115">
        <f t="shared" si="55"/>
        <v>938.3</v>
      </c>
      <c r="P226" s="115">
        <f t="shared" si="56"/>
        <v>938.3</v>
      </c>
      <c r="Q226" s="115"/>
      <c r="R226" s="115">
        <f t="shared" si="57"/>
        <v>7037.25</v>
      </c>
      <c r="S226" s="115">
        <f t="shared" si="58"/>
        <v>7975.55</v>
      </c>
      <c r="T226" s="115">
        <f t="shared" si="59"/>
        <v>1407.4499999999998</v>
      </c>
    </row>
    <row r="227" spans="1:20" ht="13.5" customHeight="1">
      <c r="A227" s="95">
        <v>126734</v>
      </c>
      <c r="C227" s="95">
        <v>100</v>
      </c>
      <c r="D227" s="113" t="s">
        <v>222</v>
      </c>
      <c r="E227" s="100">
        <v>2015</v>
      </c>
      <c r="F227" s="95">
        <v>11</v>
      </c>
      <c r="G227" s="129">
        <v>0</v>
      </c>
      <c r="H227" s="100" t="s">
        <v>92</v>
      </c>
      <c r="I227" s="100">
        <v>10</v>
      </c>
      <c r="J227" s="97">
        <f t="shared" si="51"/>
        <v>2025</v>
      </c>
      <c r="K227" s="144">
        <f t="shared" si="52"/>
        <v>2025.9166666666667</v>
      </c>
      <c r="L227" s="115">
        <v>5371.53</v>
      </c>
      <c r="M227" s="115">
        <f t="shared" si="53"/>
        <v>5371.53</v>
      </c>
      <c r="N227" s="115">
        <f t="shared" si="54"/>
        <v>44.762750000000004</v>
      </c>
      <c r="O227" s="115">
        <f t="shared" si="55"/>
        <v>537.15300000000002</v>
      </c>
      <c r="P227" s="115">
        <f t="shared" si="56"/>
        <v>537.15300000000002</v>
      </c>
      <c r="Q227" s="115"/>
      <c r="R227" s="115">
        <f t="shared" si="57"/>
        <v>3312.443499999918</v>
      </c>
      <c r="S227" s="115">
        <f t="shared" si="58"/>
        <v>3849.5964999999178</v>
      </c>
      <c r="T227" s="115">
        <f t="shared" si="59"/>
        <v>1521.9335000000819</v>
      </c>
    </row>
    <row r="228" spans="1:20" ht="13.5" customHeight="1">
      <c r="A228" s="95">
        <v>168948</v>
      </c>
      <c r="C228" s="95">
        <v>100</v>
      </c>
      <c r="D228" s="113" t="s">
        <v>286</v>
      </c>
      <c r="E228" s="100">
        <v>2016</v>
      </c>
      <c r="F228" s="95">
        <v>10</v>
      </c>
      <c r="G228" s="129">
        <v>0</v>
      </c>
      <c r="H228" s="100" t="s">
        <v>92</v>
      </c>
      <c r="I228" s="100">
        <v>7</v>
      </c>
      <c r="J228" s="97">
        <f t="shared" si="51"/>
        <v>2023</v>
      </c>
      <c r="K228" s="144">
        <f t="shared" si="52"/>
        <v>2023.8333333333333</v>
      </c>
      <c r="L228" s="115">
        <v>5818</v>
      </c>
      <c r="M228" s="115">
        <f t="shared" si="53"/>
        <v>5818</v>
      </c>
      <c r="N228" s="115">
        <f t="shared" si="54"/>
        <v>69.261904761904759</v>
      </c>
      <c r="O228" s="115">
        <f t="shared" si="55"/>
        <v>831.14285714285711</v>
      </c>
      <c r="P228" s="115">
        <f t="shared" si="56"/>
        <v>831.14285714285711</v>
      </c>
      <c r="Q228" s="115"/>
      <c r="R228" s="115">
        <f t="shared" si="57"/>
        <v>4363.5</v>
      </c>
      <c r="S228" s="115">
        <f t="shared" si="58"/>
        <v>5194.6428571428569</v>
      </c>
      <c r="T228" s="115">
        <f t="shared" si="59"/>
        <v>623.35714285714312</v>
      </c>
    </row>
    <row r="229" spans="1:20" s="1" customFormat="1" ht="13.5" customHeight="1">
      <c r="C229" s="1">
        <v>25</v>
      </c>
      <c r="D229" s="27" t="s">
        <v>286</v>
      </c>
      <c r="E229" s="10">
        <v>2018</v>
      </c>
      <c r="F229" s="1">
        <v>4</v>
      </c>
      <c r="G229" s="50">
        <v>0</v>
      </c>
      <c r="H229" s="10" t="s">
        <v>92</v>
      </c>
      <c r="I229" s="10">
        <v>7</v>
      </c>
      <c r="J229" s="4">
        <f t="shared" si="51"/>
        <v>2025</v>
      </c>
      <c r="K229" s="145">
        <f t="shared" si="52"/>
        <v>2025.3333333333333</v>
      </c>
      <c r="L229" s="29">
        <v>1224.6300000000001</v>
      </c>
      <c r="M229" s="29">
        <f t="shared" si="53"/>
        <v>1224.6300000000001</v>
      </c>
      <c r="N229" s="29">
        <f t="shared" si="54"/>
        <v>14.578928571428571</v>
      </c>
      <c r="O229" s="29">
        <f t="shared" si="55"/>
        <v>174.94714285714286</v>
      </c>
      <c r="P229" s="29">
        <f t="shared" si="56"/>
        <v>174.94714285714286</v>
      </c>
      <c r="Q229" s="29"/>
      <c r="R229" s="29">
        <f t="shared" si="57"/>
        <v>656.05178571428587</v>
      </c>
      <c r="S229" s="29">
        <f t="shared" si="58"/>
        <v>830.99892857142868</v>
      </c>
      <c r="T229" s="29">
        <f t="shared" si="59"/>
        <v>393.63107142857143</v>
      </c>
    </row>
    <row r="230" spans="1:20" s="1" customFormat="1" ht="13.5" customHeight="1">
      <c r="A230" s="1">
        <v>235383</v>
      </c>
      <c r="C230" s="1">
        <v>35</v>
      </c>
      <c r="D230" s="27" t="s">
        <v>392</v>
      </c>
      <c r="E230" s="10">
        <v>2020</v>
      </c>
      <c r="F230" s="1">
        <v>4</v>
      </c>
      <c r="G230" s="50">
        <v>0</v>
      </c>
      <c r="H230" s="10" t="s">
        <v>92</v>
      </c>
      <c r="I230" s="10">
        <v>7</v>
      </c>
      <c r="J230" s="4">
        <f t="shared" si="51"/>
        <v>2027</v>
      </c>
      <c r="K230" s="145">
        <f t="shared" si="52"/>
        <v>2027.3333333333333</v>
      </c>
      <c r="L230" s="29">
        <v>1225</v>
      </c>
      <c r="M230" s="29">
        <f t="shared" si="53"/>
        <v>1225</v>
      </c>
      <c r="N230" s="29">
        <f t="shared" si="54"/>
        <v>14.583333333333334</v>
      </c>
      <c r="O230" s="29">
        <f t="shared" si="55"/>
        <v>175</v>
      </c>
      <c r="P230" s="29">
        <f t="shared" si="56"/>
        <v>175</v>
      </c>
      <c r="Q230" s="29"/>
      <c r="R230" s="29">
        <f t="shared" si="57"/>
        <v>306.25</v>
      </c>
      <c r="S230" s="29">
        <f t="shared" si="58"/>
        <v>481.25</v>
      </c>
      <c r="T230" s="29">
        <f t="shared" si="59"/>
        <v>743.75</v>
      </c>
    </row>
    <row r="231" spans="1:20" ht="13.5" customHeight="1">
      <c r="D231" s="113"/>
      <c r="E231" s="100"/>
      <c r="G231" s="114"/>
      <c r="H231" s="100"/>
      <c r="I231" s="100"/>
      <c r="J231" s="103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ht="13.5" customHeight="1">
      <c r="D232" s="124" t="s">
        <v>223</v>
      </c>
      <c r="E232" s="125"/>
      <c r="F232" s="126"/>
      <c r="G232" s="127"/>
      <c r="H232" s="125"/>
      <c r="I232" s="125"/>
      <c r="J232" s="128"/>
      <c r="K232" s="126"/>
      <c r="L232" s="120">
        <f>SUM(L221:L231)</f>
        <v>77524.63</v>
      </c>
      <c r="M232" s="120">
        <f t="shared" ref="M232:T232" si="60">SUM(M221:M231)</f>
        <v>77524.63</v>
      </c>
      <c r="N232" s="120">
        <f t="shared" si="60"/>
        <v>675.56583333333344</v>
      </c>
      <c r="O232" s="120">
        <f t="shared" si="60"/>
        <v>8106.79</v>
      </c>
      <c r="P232" s="120">
        <f t="shared" si="60"/>
        <v>3187.5430000000001</v>
      </c>
      <c r="Q232" s="120">
        <f t="shared" si="60"/>
        <v>0</v>
      </c>
      <c r="R232" s="120">
        <f t="shared" si="60"/>
        <v>69381.465285714206</v>
      </c>
      <c r="S232" s="120">
        <f t="shared" si="60"/>
        <v>72569.008285714197</v>
      </c>
      <c r="T232" s="120">
        <f t="shared" si="60"/>
        <v>4955.6217142857968</v>
      </c>
    </row>
    <row r="233" spans="1:20" ht="13.5" customHeight="1">
      <c r="L233" s="122"/>
      <c r="M233" s="122"/>
      <c r="N233" s="122"/>
      <c r="O233" s="122"/>
      <c r="P233" s="122"/>
      <c r="Q233" s="122"/>
      <c r="R233" s="122"/>
      <c r="S233" s="122"/>
      <c r="T233" s="122"/>
    </row>
    <row r="234" spans="1:20" ht="13.5" customHeight="1">
      <c r="G234" s="95"/>
      <c r="H234" s="129"/>
      <c r="I234" s="100"/>
      <c r="J234" s="138"/>
      <c r="K234" s="139"/>
      <c r="L234" s="122"/>
      <c r="M234" s="122"/>
      <c r="N234" s="122"/>
      <c r="O234" s="122"/>
      <c r="P234" s="122"/>
      <c r="Q234" s="122"/>
      <c r="R234" s="122"/>
      <c r="S234" s="122"/>
      <c r="T234" s="122"/>
    </row>
    <row r="235" spans="1:20" ht="13.5" customHeight="1">
      <c r="D235" s="116" t="s">
        <v>118</v>
      </c>
      <c r="E235" s="100"/>
      <c r="G235" s="95"/>
      <c r="I235" s="100"/>
      <c r="K235" s="130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ht="13.5" customHeight="1">
      <c r="C236" s="95">
        <v>1</v>
      </c>
      <c r="D236" s="113" t="s">
        <v>224</v>
      </c>
      <c r="E236" s="100">
        <v>1996</v>
      </c>
      <c r="F236" s="95">
        <v>7</v>
      </c>
      <c r="G236" s="129">
        <v>0</v>
      </c>
      <c r="H236" s="100" t="s">
        <v>92</v>
      </c>
      <c r="I236" s="100">
        <v>10</v>
      </c>
      <c r="J236" s="97">
        <f t="shared" ref="J236:J257" si="61">E236+I236</f>
        <v>2006</v>
      </c>
      <c r="K236" s="144">
        <f t="shared" ref="K236:K257" si="62">+J236+(F236/12)</f>
        <v>2006.5833333333333</v>
      </c>
      <c r="L236" s="122">
        <v>6298</v>
      </c>
      <c r="M236" s="122">
        <f t="shared" ref="M236:M256" si="63">L236-L236*G236</f>
        <v>6298</v>
      </c>
      <c r="N236" s="122">
        <f t="shared" ref="N236:N257" si="64">M236/I236/12</f>
        <v>52.483333333333327</v>
      </c>
      <c r="O236" s="122">
        <f t="shared" ref="O236:O257" si="65">+N236*12</f>
        <v>629.79999999999995</v>
      </c>
      <c r="P236" s="122">
        <f t="shared" ref="P236:P257" si="66">+IF($K236&lt;$N$7,0,IF($K236&gt;$N$6,$O236,((($K236-$N$7)*12)*$N236)))</f>
        <v>0</v>
      </c>
      <c r="Q236" s="122"/>
      <c r="R236" s="122">
        <f t="shared" ref="R236:R257" si="67">+IF($K236&lt;=$N$7,$L236,IF(($E236+($F236/12))&gt;=$N$7,0,((($M236-((($K236-$N$7)*12)*$N236))))))</f>
        <v>6298</v>
      </c>
      <c r="S236" s="122">
        <f t="shared" ref="S236:S257" si="68">+IF(P236=0,R236,R236+P236)</f>
        <v>6298</v>
      </c>
      <c r="T236" s="122">
        <f t="shared" ref="T236:T257" si="69">+L236-S236</f>
        <v>0</v>
      </c>
    </row>
    <row r="237" spans="1:20" ht="13.5" customHeight="1">
      <c r="C237" s="95">
        <v>1</v>
      </c>
      <c r="D237" s="113" t="str">
        <f>+D236</f>
        <v>1-25 Yd Rolloff</v>
      </c>
      <c r="E237" s="100">
        <v>1999</v>
      </c>
      <c r="F237" s="95">
        <v>3</v>
      </c>
      <c r="G237" s="129">
        <v>0</v>
      </c>
      <c r="H237" s="100" t="s">
        <v>92</v>
      </c>
      <c r="I237" s="100">
        <v>10</v>
      </c>
      <c r="J237" s="97">
        <f t="shared" si="61"/>
        <v>2009</v>
      </c>
      <c r="K237" s="144">
        <f t="shared" si="62"/>
        <v>2009.25</v>
      </c>
      <c r="L237" s="122">
        <v>5823.93</v>
      </c>
      <c r="M237" s="122">
        <f t="shared" si="63"/>
        <v>5823.93</v>
      </c>
      <c r="N237" s="122">
        <f t="shared" si="64"/>
        <v>48.53275</v>
      </c>
      <c r="O237" s="122">
        <f t="shared" si="65"/>
        <v>582.39300000000003</v>
      </c>
      <c r="P237" s="122">
        <f t="shared" si="66"/>
        <v>0</v>
      </c>
      <c r="Q237" s="122"/>
      <c r="R237" s="122">
        <f t="shared" si="67"/>
        <v>5823.93</v>
      </c>
      <c r="S237" s="122">
        <f t="shared" si="68"/>
        <v>5823.93</v>
      </c>
      <c r="T237" s="122">
        <f t="shared" si="69"/>
        <v>0</v>
      </c>
    </row>
    <row r="238" spans="1:20" ht="13.5" customHeight="1">
      <c r="C238" s="95">
        <v>1</v>
      </c>
      <c r="D238" s="113" t="str">
        <f>+D237</f>
        <v>1-25 Yd Rolloff</v>
      </c>
      <c r="E238" s="100">
        <v>1999</v>
      </c>
      <c r="F238" s="95">
        <v>4</v>
      </c>
      <c r="G238" s="129">
        <v>0</v>
      </c>
      <c r="H238" s="100" t="s">
        <v>92</v>
      </c>
      <c r="I238" s="100">
        <v>10</v>
      </c>
      <c r="J238" s="97">
        <f t="shared" si="61"/>
        <v>2009</v>
      </c>
      <c r="K238" s="144">
        <f t="shared" si="62"/>
        <v>2009.3333333333333</v>
      </c>
      <c r="L238" s="122">
        <v>5323.93</v>
      </c>
      <c r="M238" s="122">
        <f t="shared" si="63"/>
        <v>5323.93</v>
      </c>
      <c r="N238" s="122">
        <f t="shared" si="64"/>
        <v>44.366083333333336</v>
      </c>
      <c r="O238" s="122">
        <f t="shared" si="65"/>
        <v>532.39300000000003</v>
      </c>
      <c r="P238" s="122">
        <f t="shared" si="66"/>
        <v>0</v>
      </c>
      <c r="Q238" s="122"/>
      <c r="R238" s="122">
        <f t="shared" si="67"/>
        <v>5323.93</v>
      </c>
      <c r="S238" s="122">
        <f t="shared" si="68"/>
        <v>5323.93</v>
      </c>
      <c r="T238" s="122">
        <f t="shared" si="69"/>
        <v>0</v>
      </c>
    </row>
    <row r="239" spans="1:20" s="1" customFormat="1" ht="13.5" customHeight="1">
      <c r="C239" s="1">
        <v>1</v>
      </c>
      <c r="D239" s="27" t="s">
        <v>225</v>
      </c>
      <c r="E239" s="10">
        <v>1999</v>
      </c>
      <c r="F239" s="1">
        <v>11</v>
      </c>
      <c r="G239" s="50">
        <v>0</v>
      </c>
      <c r="H239" s="10" t="s">
        <v>92</v>
      </c>
      <c r="I239" s="10">
        <v>10</v>
      </c>
      <c r="J239" s="4">
        <f t="shared" si="61"/>
        <v>2009</v>
      </c>
      <c r="K239" s="145">
        <f t="shared" si="62"/>
        <v>2009.9166666666667</v>
      </c>
      <c r="L239" s="38">
        <v>6957</v>
      </c>
      <c r="M239" s="38">
        <f t="shared" si="63"/>
        <v>6957</v>
      </c>
      <c r="N239" s="38">
        <f t="shared" si="64"/>
        <v>57.975000000000001</v>
      </c>
      <c r="O239" s="38">
        <f t="shared" si="65"/>
        <v>695.7</v>
      </c>
      <c r="P239" s="38">
        <f t="shared" si="66"/>
        <v>0</v>
      </c>
      <c r="Q239" s="38"/>
      <c r="R239" s="38">
        <f t="shared" si="67"/>
        <v>6957</v>
      </c>
      <c r="S239" s="38">
        <f t="shared" si="68"/>
        <v>6957</v>
      </c>
      <c r="T239" s="38">
        <f t="shared" si="69"/>
        <v>0</v>
      </c>
    </row>
    <row r="240" spans="1:20" s="1" customFormat="1" ht="13.5" customHeight="1">
      <c r="C240" s="1">
        <v>1</v>
      </c>
      <c r="D240" s="27" t="str">
        <f>+D237</f>
        <v>1-25 Yd Rolloff</v>
      </c>
      <c r="E240" s="10">
        <v>2000</v>
      </c>
      <c r="F240" s="1">
        <v>4</v>
      </c>
      <c r="G240" s="50">
        <v>0</v>
      </c>
      <c r="H240" s="10" t="s">
        <v>92</v>
      </c>
      <c r="I240" s="10">
        <v>10</v>
      </c>
      <c r="J240" s="4">
        <f t="shared" si="61"/>
        <v>2010</v>
      </c>
      <c r="K240" s="145">
        <f t="shared" si="62"/>
        <v>2010.3333333333333</v>
      </c>
      <c r="L240" s="38">
        <v>5642.82</v>
      </c>
      <c r="M240" s="38">
        <f t="shared" si="63"/>
        <v>5642.82</v>
      </c>
      <c r="N240" s="38">
        <f t="shared" si="64"/>
        <v>47.023499999999991</v>
      </c>
      <c r="O240" s="38">
        <f t="shared" si="65"/>
        <v>564.28199999999993</v>
      </c>
      <c r="P240" s="38">
        <f t="shared" si="66"/>
        <v>0</v>
      </c>
      <c r="Q240" s="38"/>
      <c r="R240" s="38">
        <f t="shared" si="67"/>
        <v>5642.82</v>
      </c>
      <c r="S240" s="38">
        <f t="shared" si="68"/>
        <v>5642.82</v>
      </c>
      <c r="T240" s="38">
        <f t="shared" si="69"/>
        <v>0</v>
      </c>
    </row>
    <row r="241" spans="1:20" s="1" customFormat="1" ht="13.5" customHeight="1">
      <c r="C241" s="1">
        <v>1</v>
      </c>
      <c r="D241" s="27" t="s">
        <v>226</v>
      </c>
      <c r="E241" s="10">
        <v>2003</v>
      </c>
      <c r="F241" s="1">
        <v>1</v>
      </c>
      <c r="G241" s="50">
        <v>0</v>
      </c>
      <c r="H241" s="10" t="s">
        <v>92</v>
      </c>
      <c r="I241" s="10">
        <v>10</v>
      </c>
      <c r="J241" s="4">
        <f t="shared" si="61"/>
        <v>2013</v>
      </c>
      <c r="K241" s="145">
        <f t="shared" si="62"/>
        <v>2013.0833333333333</v>
      </c>
      <c r="L241" s="38">
        <v>5200</v>
      </c>
      <c r="M241" s="38">
        <f t="shared" si="63"/>
        <v>5200</v>
      </c>
      <c r="N241" s="38">
        <f t="shared" si="64"/>
        <v>43.333333333333336</v>
      </c>
      <c r="O241" s="38">
        <f t="shared" si="65"/>
        <v>520</v>
      </c>
      <c r="P241" s="38">
        <f t="shared" si="66"/>
        <v>0</v>
      </c>
      <c r="Q241" s="38"/>
      <c r="R241" s="38">
        <f t="shared" si="67"/>
        <v>5200</v>
      </c>
      <c r="S241" s="38">
        <f t="shared" si="68"/>
        <v>5200</v>
      </c>
      <c r="T241" s="38">
        <f t="shared" si="69"/>
        <v>0</v>
      </c>
    </row>
    <row r="242" spans="1:20" s="1" customFormat="1" ht="13.5" customHeight="1">
      <c r="C242" s="1">
        <v>3</v>
      </c>
      <c r="D242" s="27" t="s">
        <v>227</v>
      </c>
      <c r="E242" s="10">
        <v>2003</v>
      </c>
      <c r="F242" s="1">
        <v>1</v>
      </c>
      <c r="G242" s="50">
        <v>0</v>
      </c>
      <c r="H242" s="10" t="s">
        <v>92</v>
      </c>
      <c r="I242" s="10">
        <v>10</v>
      </c>
      <c r="J242" s="4">
        <f t="shared" si="61"/>
        <v>2013</v>
      </c>
      <c r="K242" s="145">
        <f t="shared" si="62"/>
        <v>2013.0833333333333</v>
      </c>
      <c r="L242" s="38">
        <f>5400+5400+5400</f>
        <v>16200</v>
      </c>
      <c r="M242" s="38">
        <f t="shared" si="63"/>
        <v>16200</v>
      </c>
      <c r="N242" s="38">
        <f t="shared" si="64"/>
        <v>135</v>
      </c>
      <c r="O242" s="38">
        <f t="shared" si="65"/>
        <v>1620</v>
      </c>
      <c r="P242" s="38">
        <f t="shared" si="66"/>
        <v>0</v>
      </c>
      <c r="Q242" s="38"/>
      <c r="R242" s="38">
        <f t="shared" si="67"/>
        <v>16200</v>
      </c>
      <c r="S242" s="38">
        <f t="shared" si="68"/>
        <v>16200</v>
      </c>
      <c r="T242" s="38">
        <f t="shared" si="69"/>
        <v>0</v>
      </c>
    </row>
    <row r="243" spans="1:20" s="1" customFormat="1" ht="13.5" customHeight="1">
      <c r="C243" s="1">
        <v>1</v>
      </c>
      <c r="D243" s="27" t="s">
        <v>228</v>
      </c>
      <c r="E243" s="10">
        <v>2003</v>
      </c>
      <c r="F243" s="1">
        <v>7</v>
      </c>
      <c r="G243" s="50">
        <v>0</v>
      </c>
      <c r="H243" s="10" t="s">
        <v>92</v>
      </c>
      <c r="I243" s="10">
        <v>10</v>
      </c>
      <c r="J243" s="4">
        <f t="shared" si="61"/>
        <v>2013</v>
      </c>
      <c r="K243" s="145">
        <f t="shared" si="62"/>
        <v>2013.5833333333333</v>
      </c>
      <c r="L243" s="38">
        <v>1096.42</v>
      </c>
      <c r="M243" s="38">
        <f t="shared" si="63"/>
        <v>1096.42</v>
      </c>
      <c r="N243" s="38">
        <f t="shared" si="64"/>
        <v>9.1368333333333336</v>
      </c>
      <c r="O243" s="38">
        <f t="shared" si="65"/>
        <v>109.642</v>
      </c>
      <c r="P243" s="38">
        <f t="shared" si="66"/>
        <v>0</v>
      </c>
      <c r="Q243" s="38"/>
      <c r="R243" s="38">
        <f t="shared" si="67"/>
        <v>1096.42</v>
      </c>
      <c r="S243" s="38">
        <f t="shared" si="68"/>
        <v>1096.42</v>
      </c>
      <c r="T243" s="38">
        <f t="shared" si="69"/>
        <v>0</v>
      </c>
    </row>
    <row r="244" spans="1:20" s="1" customFormat="1" ht="13.5" customHeight="1">
      <c r="C244" s="1">
        <v>1</v>
      </c>
      <c r="D244" s="27" t="s">
        <v>229</v>
      </c>
      <c r="E244" s="10">
        <v>2004</v>
      </c>
      <c r="F244" s="1">
        <v>7</v>
      </c>
      <c r="G244" s="50">
        <v>0</v>
      </c>
      <c r="H244" s="10" t="s">
        <v>92</v>
      </c>
      <c r="I244" s="10">
        <v>10</v>
      </c>
      <c r="J244" s="4">
        <f t="shared" si="61"/>
        <v>2014</v>
      </c>
      <c r="K244" s="145">
        <f t="shared" si="62"/>
        <v>2014.5833333333333</v>
      </c>
      <c r="L244" s="38">
        <v>6750</v>
      </c>
      <c r="M244" s="38">
        <f t="shared" si="63"/>
        <v>6750</v>
      </c>
      <c r="N244" s="38">
        <f t="shared" si="64"/>
        <v>56.25</v>
      </c>
      <c r="O244" s="38">
        <f t="shared" si="65"/>
        <v>675</v>
      </c>
      <c r="P244" s="38">
        <f t="shared" si="66"/>
        <v>0</v>
      </c>
      <c r="Q244" s="38"/>
      <c r="R244" s="38">
        <f t="shared" si="67"/>
        <v>6750</v>
      </c>
      <c r="S244" s="38">
        <f t="shared" si="68"/>
        <v>6750</v>
      </c>
      <c r="T244" s="38">
        <f t="shared" si="69"/>
        <v>0</v>
      </c>
    </row>
    <row r="245" spans="1:20" s="1" customFormat="1" ht="13.5" customHeight="1">
      <c r="C245" s="1">
        <v>1</v>
      </c>
      <c r="D245" s="27" t="s">
        <v>230</v>
      </c>
      <c r="E245" s="10">
        <v>2004</v>
      </c>
      <c r="F245" s="1">
        <v>8</v>
      </c>
      <c r="G245" s="50">
        <v>0</v>
      </c>
      <c r="H245" s="10" t="s">
        <v>92</v>
      </c>
      <c r="I245" s="10">
        <v>10</v>
      </c>
      <c r="J245" s="4">
        <f t="shared" si="61"/>
        <v>2014</v>
      </c>
      <c r="K245" s="145">
        <f t="shared" si="62"/>
        <v>2014.6666666666667</v>
      </c>
      <c r="L245" s="38">
        <v>5500</v>
      </c>
      <c r="M245" s="38">
        <f t="shared" si="63"/>
        <v>5500</v>
      </c>
      <c r="N245" s="38">
        <f t="shared" si="64"/>
        <v>45.833333333333336</v>
      </c>
      <c r="O245" s="38">
        <f t="shared" si="65"/>
        <v>550</v>
      </c>
      <c r="P245" s="38">
        <f t="shared" si="66"/>
        <v>0</v>
      </c>
      <c r="Q245" s="38"/>
      <c r="R245" s="38">
        <f t="shared" si="67"/>
        <v>5500</v>
      </c>
      <c r="S245" s="38">
        <f t="shared" si="68"/>
        <v>5500</v>
      </c>
      <c r="T245" s="38">
        <f t="shared" si="69"/>
        <v>0</v>
      </c>
    </row>
    <row r="246" spans="1:20" s="1" customFormat="1" ht="13.5" customHeight="1">
      <c r="C246" s="1">
        <v>1</v>
      </c>
      <c r="D246" s="27" t="s">
        <v>231</v>
      </c>
      <c r="E246" s="10">
        <v>2004</v>
      </c>
      <c r="F246" s="1">
        <v>8</v>
      </c>
      <c r="G246" s="50">
        <v>0</v>
      </c>
      <c r="H246" s="10" t="s">
        <v>92</v>
      </c>
      <c r="I246" s="10">
        <v>10</v>
      </c>
      <c r="J246" s="4">
        <f t="shared" si="61"/>
        <v>2014</v>
      </c>
      <c r="K246" s="145">
        <f t="shared" si="62"/>
        <v>2014.6666666666667</v>
      </c>
      <c r="L246" s="38">
        <v>1055</v>
      </c>
      <c r="M246" s="38">
        <f t="shared" si="63"/>
        <v>1055</v>
      </c>
      <c r="N246" s="38">
        <f t="shared" si="64"/>
        <v>8.7916666666666661</v>
      </c>
      <c r="O246" s="38">
        <f t="shared" si="65"/>
        <v>105.5</v>
      </c>
      <c r="P246" s="38">
        <f t="shared" si="66"/>
        <v>0</v>
      </c>
      <c r="Q246" s="38"/>
      <c r="R246" s="38">
        <f t="shared" si="67"/>
        <v>1055</v>
      </c>
      <c r="S246" s="38">
        <f t="shared" si="68"/>
        <v>1055</v>
      </c>
      <c r="T246" s="38">
        <f t="shared" si="69"/>
        <v>0</v>
      </c>
    </row>
    <row r="247" spans="1:20" s="1" customFormat="1" ht="13.5" customHeight="1">
      <c r="C247" s="1">
        <v>2</v>
      </c>
      <c r="D247" s="27" t="s">
        <v>230</v>
      </c>
      <c r="E247" s="10">
        <v>2007</v>
      </c>
      <c r="F247" s="1">
        <v>6</v>
      </c>
      <c r="G247" s="50">
        <v>0</v>
      </c>
      <c r="H247" s="10" t="s">
        <v>92</v>
      </c>
      <c r="I247" s="10">
        <v>10</v>
      </c>
      <c r="J247" s="4">
        <f t="shared" si="61"/>
        <v>2017</v>
      </c>
      <c r="K247" s="145">
        <f t="shared" si="62"/>
        <v>2017.5</v>
      </c>
      <c r="L247" s="38">
        <v>13490</v>
      </c>
      <c r="M247" s="38">
        <f t="shared" si="63"/>
        <v>13490</v>
      </c>
      <c r="N247" s="38">
        <f t="shared" si="64"/>
        <v>112.41666666666667</v>
      </c>
      <c r="O247" s="38">
        <f t="shared" si="65"/>
        <v>1349</v>
      </c>
      <c r="P247" s="38">
        <f t="shared" si="66"/>
        <v>0</v>
      </c>
      <c r="Q247" s="38"/>
      <c r="R247" s="38">
        <f t="shared" si="67"/>
        <v>13490</v>
      </c>
      <c r="S247" s="38">
        <f t="shared" si="68"/>
        <v>13490</v>
      </c>
      <c r="T247" s="38">
        <f t="shared" si="69"/>
        <v>0</v>
      </c>
    </row>
    <row r="248" spans="1:20" s="1" customFormat="1" ht="13.5" customHeight="1">
      <c r="C248" s="1">
        <v>1</v>
      </c>
      <c r="D248" s="27" t="s">
        <v>232</v>
      </c>
      <c r="E248" s="10">
        <v>2007</v>
      </c>
      <c r="F248" s="1">
        <v>6</v>
      </c>
      <c r="G248" s="50">
        <v>0</v>
      </c>
      <c r="H248" s="10" t="s">
        <v>92</v>
      </c>
      <c r="I248" s="10">
        <v>10</v>
      </c>
      <c r="J248" s="4">
        <f t="shared" si="61"/>
        <v>2017</v>
      </c>
      <c r="K248" s="145">
        <f t="shared" si="62"/>
        <v>2017.5</v>
      </c>
      <c r="L248" s="38">
        <v>7750</v>
      </c>
      <c r="M248" s="38">
        <f t="shared" si="63"/>
        <v>7750</v>
      </c>
      <c r="N248" s="38">
        <f t="shared" si="64"/>
        <v>64.583333333333329</v>
      </c>
      <c r="O248" s="38">
        <f t="shared" si="65"/>
        <v>775</v>
      </c>
      <c r="P248" s="38">
        <f t="shared" si="66"/>
        <v>0</v>
      </c>
      <c r="Q248" s="38"/>
      <c r="R248" s="38">
        <f t="shared" si="67"/>
        <v>7750</v>
      </c>
      <c r="S248" s="38">
        <f t="shared" si="68"/>
        <v>7750</v>
      </c>
      <c r="T248" s="38">
        <f t="shared" si="69"/>
        <v>0</v>
      </c>
    </row>
    <row r="249" spans="1:20" s="1" customFormat="1" ht="13.5" customHeight="1">
      <c r="A249" s="1">
        <v>118265</v>
      </c>
      <c r="C249" s="1">
        <v>2</v>
      </c>
      <c r="D249" s="27" t="s">
        <v>233</v>
      </c>
      <c r="E249" s="10">
        <v>2014</v>
      </c>
      <c r="F249" s="1">
        <v>12</v>
      </c>
      <c r="G249" s="50">
        <v>0</v>
      </c>
      <c r="H249" s="10" t="s">
        <v>92</v>
      </c>
      <c r="I249" s="10">
        <v>10</v>
      </c>
      <c r="J249" s="4">
        <f t="shared" si="61"/>
        <v>2024</v>
      </c>
      <c r="K249" s="145">
        <f t="shared" si="62"/>
        <v>2025</v>
      </c>
      <c r="L249" s="38">
        <v>16536.52</v>
      </c>
      <c r="M249" s="38">
        <f t="shared" si="63"/>
        <v>16536.52</v>
      </c>
      <c r="N249" s="38">
        <f t="shared" si="64"/>
        <v>137.80433333333335</v>
      </c>
      <c r="O249" s="38">
        <f t="shared" si="65"/>
        <v>1653.652</v>
      </c>
      <c r="P249" s="38">
        <f t="shared" si="66"/>
        <v>1653.652</v>
      </c>
      <c r="Q249" s="38"/>
      <c r="R249" s="38">
        <f t="shared" si="67"/>
        <v>11713.368333333208</v>
      </c>
      <c r="S249" s="38">
        <f t="shared" si="68"/>
        <v>13367.020333333208</v>
      </c>
      <c r="T249" s="38">
        <f t="shared" si="69"/>
        <v>3169.4996666667921</v>
      </c>
    </row>
    <row r="250" spans="1:20" s="1" customFormat="1" ht="13.5" customHeight="1">
      <c r="A250" s="1">
        <v>167243</v>
      </c>
      <c r="C250" s="1">
        <v>2</v>
      </c>
      <c r="D250" s="27" t="s">
        <v>282</v>
      </c>
      <c r="E250" s="10">
        <v>2016</v>
      </c>
      <c r="F250" s="1">
        <v>8</v>
      </c>
      <c r="G250" s="50">
        <v>0</v>
      </c>
      <c r="H250" s="10" t="s">
        <v>92</v>
      </c>
      <c r="I250" s="10">
        <v>12</v>
      </c>
      <c r="J250" s="4">
        <f t="shared" si="61"/>
        <v>2028</v>
      </c>
      <c r="K250" s="145">
        <f t="shared" si="62"/>
        <v>2028.6666666666667</v>
      </c>
      <c r="L250" s="38">
        <v>16326.32</v>
      </c>
      <c r="M250" s="38">
        <f t="shared" si="63"/>
        <v>16326.32</v>
      </c>
      <c r="N250" s="38">
        <f t="shared" si="64"/>
        <v>113.37722222222222</v>
      </c>
      <c r="O250" s="38">
        <f t="shared" si="65"/>
        <v>1360.5266666666666</v>
      </c>
      <c r="P250" s="38">
        <f t="shared" si="66"/>
        <v>1360.5266666666666</v>
      </c>
      <c r="Q250" s="38"/>
      <c r="R250" s="38">
        <f t="shared" si="67"/>
        <v>7369.5194444442386</v>
      </c>
      <c r="S250" s="38">
        <f t="shared" si="68"/>
        <v>8730.0461111109053</v>
      </c>
      <c r="T250" s="38">
        <f t="shared" si="69"/>
        <v>7596.2738888890945</v>
      </c>
    </row>
    <row r="251" spans="1:20" s="1" customFormat="1" ht="13.5" customHeight="1">
      <c r="A251" s="1">
        <v>167672</v>
      </c>
      <c r="C251" s="1">
        <v>2</v>
      </c>
      <c r="D251" s="27" t="s">
        <v>283</v>
      </c>
      <c r="E251" s="10">
        <v>2016</v>
      </c>
      <c r="F251" s="1">
        <v>9</v>
      </c>
      <c r="G251" s="50">
        <v>0</v>
      </c>
      <c r="H251" s="10" t="s">
        <v>92</v>
      </c>
      <c r="I251" s="10">
        <v>12</v>
      </c>
      <c r="J251" s="4">
        <f t="shared" si="61"/>
        <v>2028</v>
      </c>
      <c r="K251" s="145">
        <f t="shared" si="62"/>
        <v>2028.75</v>
      </c>
      <c r="L251" s="38">
        <v>17274.96</v>
      </c>
      <c r="M251" s="38">
        <f t="shared" si="63"/>
        <v>17274.96</v>
      </c>
      <c r="N251" s="38">
        <f t="shared" si="64"/>
        <v>119.96499999999999</v>
      </c>
      <c r="O251" s="38">
        <f t="shared" si="65"/>
        <v>1439.58</v>
      </c>
      <c r="P251" s="38">
        <f t="shared" si="66"/>
        <v>1439.58</v>
      </c>
      <c r="Q251" s="38"/>
      <c r="R251" s="38">
        <f t="shared" si="67"/>
        <v>7677.7599999998911</v>
      </c>
      <c r="S251" s="38">
        <f t="shared" si="68"/>
        <v>9117.339999999891</v>
      </c>
      <c r="T251" s="38">
        <f t="shared" si="69"/>
        <v>8157.6200000001081</v>
      </c>
    </row>
    <row r="252" spans="1:20" s="1" customFormat="1" ht="13.5" customHeight="1">
      <c r="A252" s="1">
        <v>184173</v>
      </c>
      <c r="C252" s="1">
        <v>2</v>
      </c>
      <c r="D252" s="27" t="s">
        <v>295</v>
      </c>
      <c r="E252" s="10">
        <v>2017</v>
      </c>
      <c r="F252" s="1">
        <v>7</v>
      </c>
      <c r="G252" s="50">
        <v>0</v>
      </c>
      <c r="H252" s="10" t="s">
        <v>92</v>
      </c>
      <c r="I252" s="10">
        <v>12</v>
      </c>
      <c r="J252" s="4">
        <f t="shared" si="61"/>
        <v>2029</v>
      </c>
      <c r="K252" s="145">
        <f t="shared" si="62"/>
        <v>2029.5833333333333</v>
      </c>
      <c r="L252" s="38">
        <v>23286</v>
      </c>
      <c r="M252" s="38">
        <f t="shared" si="63"/>
        <v>23286</v>
      </c>
      <c r="N252" s="38">
        <f t="shared" si="64"/>
        <v>161.70833333333334</v>
      </c>
      <c r="O252" s="38">
        <f t="shared" si="65"/>
        <v>1940.5</v>
      </c>
      <c r="P252" s="38">
        <f t="shared" si="66"/>
        <v>1940.5</v>
      </c>
      <c r="Q252" s="38"/>
      <c r="R252" s="38">
        <f t="shared" si="67"/>
        <v>8732.25</v>
      </c>
      <c r="S252" s="38">
        <f t="shared" si="68"/>
        <v>10672.75</v>
      </c>
      <c r="T252" s="38">
        <f t="shared" si="69"/>
        <v>12613.25</v>
      </c>
    </row>
    <row r="253" spans="1:20" s="1" customFormat="1" ht="13.5" customHeight="1">
      <c r="B253" s="1">
        <v>204804</v>
      </c>
      <c r="C253" s="1">
        <v>2</v>
      </c>
      <c r="D253" s="27" t="s">
        <v>365</v>
      </c>
      <c r="E253" s="10">
        <v>2018</v>
      </c>
      <c r="F253" s="1">
        <v>10</v>
      </c>
      <c r="G253" s="50">
        <v>0</v>
      </c>
      <c r="H253" s="10" t="s">
        <v>92</v>
      </c>
      <c r="I253" s="10">
        <v>12</v>
      </c>
      <c r="J253" s="4">
        <f t="shared" si="61"/>
        <v>2030</v>
      </c>
      <c r="K253" s="145">
        <f t="shared" si="62"/>
        <v>2030.8333333333333</v>
      </c>
      <c r="L253" s="38">
        <v>17196.25</v>
      </c>
      <c r="M253" s="38">
        <f t="shared" si="63"/>
        <v>17196.25</v>
      </c>
      <c r="N253" s="38">
        <f t="shared" si="64"/>
        <v>119.41840277777777</v>
      </c>
      <c r="O253" s="38">
        <f t="shared" si="65"/>
        <v>1433.0208333333333</v>
      </c>
      <c r="P253" s="38">
        <f t="shared" si="66"/>
        <v>1433.0208333333333</v>
      </c>
      <c r="Q253" s="38"/>
      <c r="R253" s="38">
        <f t="shared" si="67"/>
        <v>4657.3177083333339</v>
      </c>
      <c r="S253" s="38">
        <f t="shared" si="68"/>
        <v>6090.338541666667</v>
      </c>
      <c r="T253" s="38">
        <f t="shared" si="69"/>
        <v>11105.911458333332</v>
      </c>
    </row>
    <row r="254" spans="1:20" s="1" customFormat="1" ht="13.5" customHeight="1">
      <c r="B254" s="1">
        <v>222838</v>
      </c>
      <c r="C254" s="1">
        <v>1</v>
      </c>
      <c r="D254" s="27" t="s">
        <v>374</v>
      </c>
      <c r="E254" s="10">
        <v>2019</v>
      </c>
      <c r="F254" s="1">
        <v>9</v>
      </c>
      <c r="G254" s="50">
        <v>0</v>
      </c>
      <c r="H254" s="10" t="s">
        <v>92</v>
      </c>
      <c r="I254" s="10">
        <v>12</v>
      </c>
      <c r="J254" s="4">
        <f t="shared" si="61"/>
        <v>2031</v>
      </c>
      <c r="K254" s="145">
        <f t="shared" si="62"/>
        <v>2031.75</v>
      </c>
      <c r="L254" s="38">
        <v>8458</v>
      </c>
      <c r="M254" s="38">
        <f t="shared" si="63"/>
        <v>8458</v>
      </c>
      <c r="N254" s="38">
        <f t="shared" si="64"/>
        <v>58.736111111111114</v>
      </c>
      <c r="O254" s="38">
        <f t="shared" si="65"/>
        <v>704.83333333333337</v>
      </c>
      <c r="P254" s="38">
        <f t="shared" si="66"/>
        <v>704.83333333333337</v>
      </c>
      <c r="Q254" s="38"/>
      <c r="R254" s="38">
        <f t="shared" si="67"/>
        <v>1644.6111111110577</v>
      </c>
      <c r="S254" s="38">
        <f t="shared" si="68"/>
        <v>2349.4444444443911</v>
      </c>
      <c r="T254" s="38">
        <f t="shared" si="69"/>
        <v>6108.5555555556093</v>
      </c>
    </row>
    <row r="255" spans="1:20" s="1" customFormat="1" ht="13.5" customHeight="1">
      <c r="B255" s="1">
        <v>222024</v>
      </c>
      <c r="C255" s="1">
        <v>2</v>
      </c>
      <c r="D255" s="27" t="s">
        <v>375</v>
      </c>
      <c r="E255" s="10">
        <v>2019</v>
      </c>
      <c r="F255" s="1">
        <v>10</v>
      </c>
      <c r="G255" s="50">
        <v>0</v>
      </c>
      <c r="H255" s="10" t="s">
        <v>92</v>
      </c>
      <c r="I255" s="10">
        <v>12</v>
      </c>
      <c r="J255" s="4">
        <f t="shared" si="61"/>
        <v>2031</v>
      </c>
      <c r="K255" s="145">
        <f t="shared" si="62"/>
        <v>2031.8333333333333</v>
      </c>
      <c r="L255" s="38">
        <v>16511.240000000002</v>
      </c>
      <c r="M255" s="38">
        <f t="shared" si="63"/>
        <v>16511.240000000002</v>
      </c>
      <c r="N255" s="38">
        <f t="shared" si="64"/>
        <v>114.66138888888889</v>
      </c>
      <c r="O255" s="38">
        <f t="shared" si="65"/>
        <v>1375.9366666666667</v>
      </c>
      <c r="P255" s="38">
        <f t="shared" si="66"/>
        <v>1375.9366666666667</v>
      </c>
      <c r="Q255" s="38"/>
      <c r="R255" s="38">
        <f t="shared" si="67"/>
        <v>3095.8575000000019</v>
      </c>
      <c r="S255" s="38">
        <f t="shared" si="68"/>
        <v>4471.7941666666684</v>
      </c>
      <c r="T255" s="38">
        <f t="shared" si="69"/>
        <v>12039.445833333333</v>
      </c>
    </row>
    <row r="256" spans="1:20" s="1" customFormat="1" ht="13.5" customHeight="1">
      <c r="B256" s="1">
        <v>241475</v>
      </c>
      <c r="C256" s="1">
        <v>2</v>
      </c>
      <c r="D256" s="27" t="s">
        <v>395</v>
      </c>
      <c r="E256" s="10">
        <v>2020</v>
      </c>
      <c r="F256" s="1">
        <v>11</v>
      </c>
      <c r="G256" s="50">
        <v>0</v>
      </c>
      <c r="H256" s="10" t="s">
        <v>92</v>
      </c>
      <c r="I256" s="10">
        <v>12</v>
      </c>
      <c r="J256" s="4">
        <f t="shared" si="61"/>
        <v>2032</v>
      </c>
      <c r="K256" s="145">
        <f t="shared" si="62"/>
        <v>2032.9166666666667</v>
      </c>
      <c r="L256" s="38">
        <v>16538.68</v>
      </c>
      <c r="M256" s="38">
        <f t="shared" si="63"/>
        <v>16538.68</v>
      </c>
      <c r="N256" s="38">
        <f t="shared" si="64"/>
        <v>114.85194444444444</v>
      </c>
      <c r="O256" s="38">
        <f t="shared" si="65"/>
        <v>1378.2233333333334</v>
      </c>
      <c r="P256" s="38">
        <f t="shared" si="66"/>
        <v>1378.2233333333334</v>
      </c>
      <c r="Q256" s="38"/>
      <c r="R256" s="38">
        <f t="shared" si="67"/>
        <v>1607.9272222220134</v>
      </c>
      <c r="S256" s="38">
        <f t="shared" si="68"/>
        <v>2986.1505555553467</v>
      </c>
      <c r="T256" s="38">
        <f t="shared" si="69"/>
        <v>13552.529444444654</v>
      </c>
    </row>
    <row r="257" spans="1:20" s="82" customFormat="1" ht="13.5" customHeight="1">
      <c r="B257" s="82">
        <v>250034</v>
      </c>
      <c r="C257" s="82">
        <v>3</v>
      </c>
      <c r="D257" s="83" t="s">
        <v>417</v>
      </c>
      <c r="E257" s="84">
        <v>2021</v>
      </c>
      <c r="F257" s="82">
        <v>4</v>
      </c>
      <c r="G257" s="85">
        <v>0</v>
      </c>
      <c r="H257" s="84" t="s">
        <v>92</v>
      </c>
      <c r="I257" s="84">
        <v>12</v>
      </c>
      <c r="J257" s="86">
        <f t="shared" si="61"/>
        <v>2033</v>
      </c>
      <c r="K257" s="239">
        <f t="shared" si="62"/>
        <v>2033.3333333333333</v>
      </c>
      <c r="L257" s="89">
        <v>31493.77</v>
      </c>
      <c r="M257" s="89">
        <f t="shared" ref="M257" si="70">L257-L257*G257</f>
        <v>31493.77</v>
      </c>
      <c r="N257" s="89">
        <f t="shared" si="64"/>
        <v>218.70673611111113</v>
      </c>
      <c r="O257" s="89">
        <f t="shared" si="65"/>
        <v>2624.4808333333335</v>
      </c>
      <c r="P257" s="89">
        <f t="shared" si="66"/>
        <v>2624.4808333333335</v>
      </c>
      <c r="Q257" s="89"/>
      <c r="R257" s="89">
        <f t="shared" si="67"/>
        <v>1968.3606249999975</v>
      </c>
      <c r="S257" s="89">
        <f t="shared" si="68"/>
        <v>4592.8414583333306</v>
      </c>
      <c r="T257" s="89">
        <f t="shared" si="69"/>
        <v>26900.928541666668</v>
      </c>
    </row>
    <row r="258" spans="1:20" s="1" customFormat="1" ht="13.5" customHeight="1">
      <c r="D258" s="27"/>
      <c r="E258" s="10"/>
      <c r="G258" s="50"/>
      <c r="H258" s="10"/>
      <c r="I258" s="10"/>
      <c r="J258" s="4"/>
      <c r="K258" s="66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1:20" s="1" customFormat="1" ht="13.5" customHeight="1">
      <c r="C259" s="31">
        <f>SUM(C236:C248)</f>
        <v>16</v>
      </c>
      <c r="D259" s="41" t="s">
        <v>234</v>
      </c>
      <c r="E259" s="42"/>
      <c r="F259" s="43"/>
      <c r="G259" s="43"/>
      <c r="H259" s="43"/>
      <c r="I259" s="42"/>
      <c r="J259" s="58"/>
      <c r="K259" s="59"/>
      <c r="L259" s="60">
        <f t="shared" ref="L259:T259" si="71">SUM(L235:L258)</f>
        <v>250708.83999999997</v>
      </c>
      <c r="M259" s="60">
        <f t="shared" si="71"/>
        <v>250708.83999999997</v>
      </c>
      <c r="N259" s="60">
        <f t="shared" si="71"/>
        <v>1884.9553055555557</v>
      </c>
      <c r="O259" s="60">
        <f t="shared" si="71"/>
        <v>22619.46366666667</v>
      </c>
      <c r="P259" s="60">
        <f t="shared" si="71"/>
        <v>13910.753666666666</v>
      </c>
      <c r="Q259" s="60">
        <f t="shared" si="71"/>
        <v>0</v>
      </c>
      <c r="R259" s="60">
        <f t="shared" si="71"/>
        <v>135554.07194444374</v>
      </c>
      <c r="S259" s="60">
        <f t="shared" si="71"/>
        <v>149464.8256111104</v>
      </c>
      <c r="T259" s="60">
        <f t="shared" si="71"/>
        <v>101244.01438888958</v>
      </c>
    </row>
    <row r="260" spans="1:20" s="1" customFormat="1" ht="13.5" customHeight="1">
      <c r="C260" s="67"/>
      <c r="D260" s="53"/>
      <c r="E260" s="10"/>
      <c r="I260" s="10"/>
      <c r="J260" s="4"/>
      <c r="K260" s="63"/>
      <c r="L260" s="64"/>
      <c r="M260" s="64"/>
      <c r="N260" s="64"/>
      <c r="O260" s="64"/>
      <c r="P260" s="64"/>
      <c r="Q260" s="64"/>
      <c r="R260" s="64"/>
      <c r="S260" s="64"/>
      <c r="T260" s="64"/>
    </row>
    <row r="261" spans="1:20" s="1" customFormat="1" ht="13.5" customHeight="1">
      <c r="D261" s="15"/>
      <c r="E261" s="10"/>
      <c r="I261" s="10"/>
      <c r="J261" s="4"/>
      <c r="K261" s="63"/>
      <c r="L261" s="64"/>
      <c r="M261" s="64"/>
      <c r="N261" s="64"/>
      <c r="O261" s="64"/>
      <c r="P261" s="64"/>
      <c r="Q261" s="64"/>
      <c r="R261" s="64"/>
      <c r="S261" s="64"/>
      <c r="T261" s="64"/>
    </row>
    <row r="262" spans="1:20" s="1" customFormat="1" ht="13.5" customHeight="1">
      <c r="D262" s="15" t="s">
        <v>235</v>
      </c>
      <c r="E262" s="10"/>
      <c r="I262" s="10"/>
      <c r="J262" s="4"/>
      <c r="K262" s="63"/>
      <c r="L262" s="64"/>
      <c r="M262" s="64"/>
      <c r="N262" s="64"/>
      <c r="O262" s="64"/>
      <c r="P262" s="64"/>
      <c r="Q262" s="64"/>
      <c r="R262" s="64"/>
      <c r="S262" s="64"/>
      <c r="T262" s="64"/>
    </row>
    <row r="263" spans="1:20" s="1" customFormat="1" ht="13.5" customHeight="1">
      <c r="B263" s="1">
        <v>4</v>
      </c>
      <c r="D263" s="27" t="s">
        <v>310</v>
      </c>
      <c r="E263" s="10">
        <v>2004</v>
      </c>
      <c r="F263" s="1">
        <v>8</v>
      </c>
      <c r="G263" s="50">
        <v>0</v>
      </c>
      <c r="H263" s="10" t="s">
        <v>92</v>
      </c>
      <c r="I263" s="10">
        <v>7</v>
      </c>
      <c r="J263" s="4">
        <f>E263+I263</f>
        <v>2011</v>
      </c>
      <c r="K263" s="145">
        <f>+J263+(F263/12)</f>
        <v>2011.6666666666667</v>
      </c>
      <c r="L263" s="29">
        <f>+'2120 Depr - Orig'!P262</f>
        <v>27152</v>
      </c>
      <c r="M263" s="29">
        <f>L263-L263*G263</f>
        <v>27152</v>
      </c>
      <c r="N263" s="29">
        <f t="shared" ref="N263" si="72">M263/I263/12</f>
        <v>323.23809523809524</v>
      </c>
      <c r="O263" s="29">
        <f t="shared" ref="O263:O266" si="73">+N263*12</f>
        <v>3878.8571428571431</v>
      </c>
      <c r="P263" s="29">
        <f t="shared" ref="P263:P266" si="74">+IF($K263&lt;$N$7,0,IF($K263&gt;$N$6,$O263,((($K263-$N$7)*12)*$N263)))</f>
        <v>0</v>
      </c>
      <c r="Q263" s="29"/>
      <c r="R263" s="29">
        <f t="shared" ref="R263:R266" si="75">+IF($K263&lt;=$N$7,$L263,IF(($E263+($F263/12))&gt;=$N$7,0,((($M263-((($K263-$N$7)*12)*$N263))))))</f>
        <v>27152</v>
      </c>
      <c r="S263" s="29">
        <f t="shared" ref="S263" si="76">+IF(P263=0,R263,R263+P263)</f>
        <v>27152</v>
      </c>
      <c r="T263" s="29">
        <f t="shared" ref="T263" si="77">+L263-S263</f>
        <v>0</v>
      </c>
    </row>
    <row r="264" spans="1:20" s="228" customFormat="1" ht="13.5" customHeight="1">
      <c r="B264" s="228">
        <v>4</v>
      </c>
      <c r="D264" s="229" t="s">
        <v>332</v>
      </c>
      <c r="E264" s="230">
        <v>2017</v>
      </c>
      <c r="F264" s="228">
        <v>1</v>
      </c>
      <c r="G264" s="236">
        <v>0</v>
      </c>
      <c r="H264" s="230" t="s">
        <v>92</v>
      </c>
      <c r="I264" s="230">
        <v>3</v>
      </c>
      <c r="J264" s="237">
        <f>E264+I264</f>
        <v>2020</v>
      </c>
      <c r="K264" s="238">
        <f>+J264+(F264/12)</f>
        <v>2020.0833333333333</v>
      </c>
      <c r="L264" s="234">
        <f>+'2120 Depr - Orig'!N262-'Depr - Cont, Shop, Serv, Office'!L263</f>
        <v>6788</v>
      </c>
      <c r="M264" s="234">
        <f>L264-L264*G264</f>
        <v>6788</v>
      </c>
      <c r="N264" s="234">
        <f t="shared" ref="N264:N266" si="78">M264/I264/12</f>
        <v>188.55555555555554</v>
      </c>
      <c r="O264" s="234">
        <f t="shared" si="73"/>
        <v>2262.6666666666665</v>
      </c>
      <c r="P264" s="234">
        <f t="shared" si="74"/>
        <v>0</v>
      </c>
      <c r="Q264" s="234"/>
      <c r="R264" s="234">
        <f t="shared" si="75"/>
        <v>6788</v>
      </c>
      <c r="S264" s="234">
        <f t="shared" ref="S264:S266" si="79">+IF(P264=0,R264,R264+P264)</f>
        <v>6788</v>
      </c>
      <c r="T264" s="234">
        <f t="shared" ref="T264:T266" si="80">+L264-S264</f>
        <v>0</v>
      </c>
    </row>
    <row r="265" spans="1:20" s="1" customFormat="1" ht="13.5" customHeight="1">
      <c r="A265" s="1">
        <v>189671</v>
      </c>
      <c r="B265" s="1">
        <v>3</v>
      </c>
      <c r="D265" s="27" t="s">
        <v>308</v>
      </c>
      <c r="E265" s="10">
        <v>2017</v>
      </c>
      <c r="F265" s="1">
        <v>12</v>
      </c>
      <c r="G265" s="50">
        <v>0</v>
      </c>
      <c r="H265" s="10" t="s">
        <v>92</v>
      </c>
      <c r="I265" s="10">
        <v>5</v>
      </c>
      <c r="J265" s="4">
        <f>E265+I265</f>
        <v>2022</v>
      </c>
      <c r="K265" s="145">
        <f>+J265+(F265/12)</f>
        <v>2023</v>
      </c>
      <c r="L265" s="29">
        <v>39177.08</v>
      </c>
      <c r="M265" s="29">
        <f>L265-L265*G265</f>
        <v>39177.08</v>
      </c>
      <c r="N265" s="29">
        <f t="shared" si="78"/>
        <v>652.95133333333331</v>
      </c>
      <c r="O265" s="29">
        <f t="shared" si="73"/>
        <v>7835.4159999999993</v>
      </c>
      <c r="P265" s="29">
        <f t="shared" si="74"/>
        <v>7182.4646666672606</v>
      </c>
      <c r="Q265" s="29"/>
      <c r="R265" s="29">
        <f t="shared" si="75"/>
        <v>31994.615333332742</v>
      </c>
      <c r="S265" s="29">
        <f t="shared" si="79"/>
        <v>39177.08</v>
      </c>
      <c r="T265" s="29">
        <f t="shared" si="80"/>
        <v>0</v>
      </c>
    </row>
    <row r="266" spans="1:20" s="1" customFormat="1" ht="13.5" customHeight="1">
      <c r="B266" s="1">
        <v>203940</v>
      </c>
      <c r="C266" s="1">
        <v>9</v>
      </c>
      <c r="D266" s="27" t="s">
        <v>364</v>
      </c>
      <c r="E266" s="10">
        <v>2018</v>
      </c>
      <c r="F266" s="1">
        <v>10</v>
      </c>
      <c r="G266" s="50">
        <v>0</v>
      </c>
      <c r="H266" s="10" t="s">
        <v>92</v>
      </c>
      <c r="I266" s="10">
        <v>5</v>
      </c>
      <c r="J266" s="4">
        <f>E266+I266</f>
        <v>2023</v>
      </c>
      <c r="K266" s="145">
        <f>+J266+(F266/12)</f>
        <v>2023.8333333333333</v>
      </c>
      <c r="L266" s="29">
        <v>34219.39</v>
      </c>
      <c r="M266" s="29">
        <f>L266-L266*G266</f>
        <v>34219.39</v>
      </c>
      <c r="N266" s="29">
        <f t="shared" si="78"/>
        <v>570.32316666666668</v>
      </c>
      <c r="O266" s="29">
        <f t="shared" si="73"/>
        <v>6843.8780000000006</v>
      </c>
      <c r="P266" s="29">
        <f t="shared" si="74"/>
        <v>6843.8780000000006</v>
      </c>
      <c r="Q266" s="29"/>
      <c r="R266" s="29">
        <f t="shared" si="75"/>
        <v>22242.603499999997</v>
      </c>
      <c r="S266" s="29">
        <f t="shared" si="79"/>
        <v>29086.481499999998</v>
      </c>
      <c r="T266" s="29">
        <f t="shared" si="80"/>
        <v>5132.9085000000014</v>
      </c>
    </row>
    <row r="267" spans="1:20" s="1" customFormat="1" ht="13.5" customHeight="1">
      <c r="D267" s="27"/>
      <c r="E267" s="10"/>
      <c r="G267" s="50"/>
      <c r="H267" s="10"/>
      <c r="I267" s="10"/>
      <c r="J267" s="4"/>
      <c r="K267" s="51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1:20" s="1" customFormat="1" ht="13.5" customHeight="1">
      <c r="D268" s="41" t="s">
        <v>32</v>
      </c>
      <c r="E268" s="42"/>
      <c r="F268" s="43"/>
      <c r="G268" s="68"/>
      <c r="H268" s="42"/>
      <c r="I268" s="42"/>
      <c r="J268" s="58"/>
      <c r="K268" s="69"/>
      <c r="L268" s="60">
        <f>SUM(L263:L267)</f>
        <v>107336.47</v>
      </c>
      <c r="M268" s="60">
        <f t="shared" ref="M268:T268" si="81">SUM(M263:M267)</f>
        <v>107336.47</v>
      </c>
      <c r="N268" s="60">
        <f t="shared" si="81"/>
        <v>1735.0681507936506</v>
      </c>
      <c r="O268" s="60">
        <f t="shared" si="81"/>
        <v>20820.817809523811</v>
      </c>
      <c r="P268" s="60">
        <f t="shared" si="81"/>
        <v>14026.34266666726</v>
      </c>
      <c r="Q268" s="60">
        <f t="shared" si="81"/>
        <v>0</v>
      </c>
      <c r="R268" s="60">
        <f t="shared" si="81"/>
        <v>88177.218833332736</v>
      </c>
      <c r="S268" s="60">
        <f t="shared" si="81"/>
        <v>102203.5615</v>
      </c>
      <c r="T268" s="60">
        <f t="shared" si="81"/>
        <v>5132.9085000000014</v>
      </c>
    </row>
    <row r="269" spans="1:20" s="1" customFormat="1" ht="13.5" customHeight="1">
      <c r="D269" s="15"/>
      <c r="E269" s="10"/>
      <c r="I269" s="10"/>
      <c r="J269" s="4"/>
      <c r="K269" s="63"/>
      <c r="L269" s="64"/>
      <c r="M269" s="64"/>
      <c r="N269" s="64"/>
      <c r="O269" s="64"/>
      <c r="P269" s="64"/>
      <c r="Q269" s="64"/>
      <c r="R269" s="64"/>
      <c r="S269" s="64"/>
      <c r="T269" s="64"/>
    </row>
    <row r="270" spans="1:20" s="1" customFormat="1" ht="13.5" customHeight="1">
      <c r="E270" s="10"/>
      <c r="I270" s="10"/>
      <c r="J270" s="4"/>
      <c r="K270" s="71"/>
      <c r="L270" s="72"/>
      <c r="M270" s="72"/>
      <c r="N270" s="72"/>
      <c r="O270" s="72"/>
      <c r="P270" s="72"/>
      <c r="Q270" s="72"/>
      <c r="R270" s="72"/>
      <c r="S270" s="72"/>
      <c r="T270" s="72"/>
    </row>
    <row r="271" spans="1:20" s="1" customFormat="1" ht="13.5" customHeight="1">
      <c r="D271" s="15" t="s">
        <v>237</v>
      </c>
      <c r="E271" s="10"/>
      <c r="I271" s="10"/>
      <c r="J271" s="4"/>
      <c r="K271" s="71"/>
      <c r="L271" s="72"/>
      <c r="M271" s="72"/>
      <c r="N271" s="72"/>
      <c r="O271" s="72"/>
      <c r="P271" s="72"/>
      <c r="Q271" s="72"/>
      <c r="R271" s="72"/>
      <c r="S271" s="72"/>
      <c r="T271" s="72"/>
    </row>
    <row r="272" spans="1:20" s="1" customFormat="1" ht="13.5" customHeight="1">
      <c r="B272" s="1">
        <v>2</v>
      </c>
      <c r="D272" s="27" t="s">
        <v>238</v>
      </c>
      <c r="E272" s="10">
        <v>1992</v>
      </c>
      <c r="F272" s="1">
        <v>7</v>
      </c>
      <c r="G272" s="50">
        <v>0</v>
      </c>
      <c r="H272" s="10" t="s">
        <v>92</v>
      </c>
      <c r="I272" s="10">
        <v>7</v>
      </c>
      <c r="J272" s="4">
        <f t="shared" ref="J272:J298" si="82">E272+I272</f>
        <v>1999</v>
      </c>
      <c r="K272" s="145">
        <f t="shared" ref="K272:K298" si="83">+J272+(F272/12)</f>
        <v>1999.5833333333333</v>
      </c>
      <c r="L272" s="29">
        <f>+'2120 Depr - Orig'!P268</f>
        <v>16008</v>
      </c>
      <c r="M272" s="29">
        <f t="shared" ref="M272:M295" si="84">L272-L272*G272</f>
        <v>16008</v>
      </c>
      <c r="N272" s="29">
        <f t="shared" ref="N272:N298" si="85">M272/I272/12</f>
        <v>190.57142857142856</v>
      </c>
      <c r="O272" s="29">
        <f t="shared" ref="O272:O298" si="86">+N272*12</f>
        <v>2286.8571428571427</v>
      </c>
      <c r="P272" s="29">
        <f t="shared" ref="P272:P298" si="87">+IF($K272&lt;$N$7,0,IF($K272&gt;$N$6,$O272,((($K272-$N$7)*12)*$N272)))</f>
        <v>0</v>
      </c>
      <c r="Q272" s="29"/>
      <c r="R272" s="29">
        <f t="shared" ref="R272:R298" si="88">+IF($K272&lt;=$N$7,$L272,IF(($E272+($F272/12))&gt;=$N$7,0,((($M272-((($K272-$N$7)*12)*$N272))))))</f>
        <v>16008</v>
      </c>
      <c r="S272" s="29">
        <f t="shared" ref="S272:S298" si="89">+IF(P272=0,R272,R272+P272)</f>
        <v>16008</v>
      </c>
      <c r="T272" s="29">
        <f t="shared" ref="T272:T298" si="90">+L272-S272</f>
        <v>0</v>
      </c>
    </row>
    <row r="273" spans="1:20" s="228" customFormat="1" ht="13.5" customHeight="1">
      <c r="B273" s="228">
        <v>2</v>
      </c>
      <c r="D273" s="229" t="s">
        <v>333</v>
      </c>
      <c r="E273" s="230">
        <v>2017</v>
      </c>
      <c r="F273" s="228">
        <v>1</v>
      </c>
      <c r="G273" s="236">
        <v>0</v>
      </c>
      <c r="H273" s="230" t="s">
        <v>92</v>
      </c>
      <c r="I273" s="230">
        <v>3</v>
      </c>
      <c r="J273" s="237">
        <f t="shared" si="82"/>
        <v>2020</v>
      </c>
      <c r="K273" s="238">
        <f t="shared" si="83"/>
        <v>2020.0833333333333</v>
      </c>
      <c r="L273" s="234">
        <f>+'2120 Depr - Orig'!N268-'Depr - Cont, Shop, Serv, Office'!L272</f>
        <v>4002</v>
      </c>
      <c r="M273" s="234">
        <f t="shared" si="84"/>
        <v>4002</v>
      </c>
      <c r="N273" s="234">
        <f t="shared" si="85"/>
        <v>111.16666666666667</v>
      </c>
      <c r="O273" s="234">
        <f t="shared" si="86"/>
        <v>1334</v>
      </c>
      <c r="P273" s="234">
        <f t="shared" si="87"/>
        <v>0</v>
      </c>
      <c r="Q273" s="234"/>
      <c r="R273" s="234">
        <f t="shared" si="88"/>
        <v>4002</v>
      </c>
      <c r="S273" s="234">
        <f t="shared" si="89"/>
        <v>4002</v>
      </c>
      <c r="T273" s="234">
        <f t="shared" si="90"/>
        <v>0</v>
      </c>
    </row>
    <row r="274" spans="1:20" s="1" customFormat="1" ht="13.5" customHeight="1">
      <c r="B274" s="1">
        <v>2</v>
      </c>
      <c r="D274" s="27" t="s">
        <v>239</v>
      </c>
      <c r="E274" s="10">
        <v>1992</v>
      </c>
      <c r="F274" s="1">
        <v>5</v>
      </c>
      <c r="G274" s="50">
        <v>0</v>
      </c>
      <c r="H274" s="10" t="s">
        <v>92</v>
      </c>
      <c r="I274" s="10">
        <v>7</v>
      </c>
      <c r="J274" s="4">
        <f t="shared" si="82"/>
        <v>1999</v>
      </c>
      <c r="K274" s="145">
        <f t="shared" si="83"/>
        <v>1999.4166666666667</v>
      </c>
      <c r="L274" s="29">
        <f>+'2120 Depr - Orig'!P269</f>
        <v>35254.400000000001</v>
      </c>
      <c r="M274" s="29">
        <f t="shared" si="84"/>
        <v>35254.400000000001</v>
      </c>
      <c r="N274" s="29">
        <f t="shared" si="85"/>
        <v>419.69523809523815</v>
      </c>
      <c r="O274" s="29">
        <f t="shared" si="86"/>
        <v>5036.3428571428576</v>
      </c>
      <c r="P274" s="29">
        <f t="shared" si="87"/>
        <v>0</v>
      </c>
      <c r="Q274" s="29"/>
      <c r="R274" s="29">
        <f t="shared" si="88"/>
        <v>35254.400000000001</v>
      </c>
      <c r="S274" s="29">
        <f t="shared" si="89"/>
        <v>35254.400000000001</v>
      </c>
      <c r="T274" s="29">
        <f t="shared" si="90"/>
        <v>0</v>
      </c>
    </row>
    <row r="275" spans="1:20" s="228" customFormat="1" ht="13.5" customHeight="1">
      <c r="B275" s="228">
        <v>2</v>
      </c>
      <c r="D275" s="229" t="s">
        <v>334</v>
      </c>
      <c r="E275" s="230">
        <v>2017</v>
      </c>
      <c r="F275" s="228">
        <v>1</v>
      </c>
      <c r="G275" s="236">
        <v>0</v>
      </c>
      <c r="H275" s="230" t="s">
        <v>92</v>
      </c>
      <c r="I275" s="230">
        <v>3</v>
      </c>
      <c r="J275" s="237">
        <f t="shared" si="82"/>
        <v>2020</v>
      </c>
      <c r="K275" s="238">
        <f t="shared" si="83"/>
        <v>2020.0833333333333</v>
      </c>
      <c r="L275" s="234">
        <f>+'2120 Depr - Orig'!N269-'Depr - Cont, Shop, Serv, Office'!L274</f>
        <v>8813.5999999999985</v>
      </c>
      <c r="M275" s="234">
        <f t="shared" si="84"/>
        <v>8813.5999999999985</v>
      </c>
      <c r="N275" s="234">
        <f t="shared" si="85"/>
        <v>244.82222222222219</v>
      </c>
      <c r="O275" s="234">
        <f t="shared" si="86"/>
        <v>2937.8666666666663</v>
      </c>
      <c r="P275" s="234">
        <f t="shared" si="87"/>
        <v>0</v>
      </c>
      <c r="Q275" s="234"/>
      <c r="R275" s="234">
        <f t="shared" si="88"/>
        <v>8813.5999999999985</v>
      </c>
      <c r="S275" s="234">
        <f t="shared" si="89"/>
        <v>8813.5999999999985</v>
      </c>
      <c r="T275" s="234">
        <f t="shared" si="90"/>
        <v>0</v>
      </c>
    </row>
    <row r="276" spans="1:20" s="1" customFormat="1" ht="13.5" customHeight="1">
      <c r="D276" s="27" t="s">
        <v>240</v>
      </c>
      <c r="E276" s="10">
        <v>1996</v>
      </c>
      <c r="F276" s="1">
        <v>12</v>
      </c>
      <c r="G276" s="50">
        <v>0.3</v>
      </c>
      <c r="H276" s="10" t="s">
        <v>92</v>
      </c>
      <c r="I276" s="10">
        <v>7</v>
      </c>
      <c r="J276" s="4">
        <f t="shared" si="82"/>
        <v>2003</v>
      </c>
      <c r="K276" s="145">
        <f t="shared" si="83"/>
        <v>2004</v>
      </c>
      <c r="L276" s="29">
        <v>800</v>
      </c>
      <c r="M276" s="29">
        <f t="shared" si="84"/>
        <v>560</v>
      </c>
      <c r="N276" s="29">
        <f t="shared" si="85"/>
        <v>6.666666666666667</v>
      </c>
      <c r="O276" s="29">
        <f t="shared" si="86"/>
        <v>80</v>
      </c>
      <c r="P276" s="29">
        <f t="shared" si="87"/>
        <v>0</v>
      </c>
      <c r="Q276" s="29"/>
      <c r="R276" s="29">
        <f t="shared" si="88"/>
        <v>800</v>
      </c>
      <c r="S276" s="29">
        <f t="shared" si="89"/>
        <v>800</v>
      </c>
      <c r="T276" s="29">
        <f t="shared" si="90"/>
        <v>0</v>
      </c>
    </row>
    <row r="277" spans="1:20" ht="13.5" customHeight="1">
      <c r="D277" s="113" t="s">
        <v>241</v>
      </c>
      <c r="E277" s="100">
        <v>2001</v>
      </c>
      <c r="F277" s="95">
        <v>2</v>
      </c>
      <c r="G277" s="129">
        <v>0</v>
      </c>
      <c r="H277" s="100" t="s">
        <v>92</v>
      </c>
      <c r="I277" s="100">
        <v>7</v>
      </c>
      <c r="J277" s="97">
        <f t="shared" si="82"/>
        <v>2008</v>
      </c>
      <c r="K277" s="144">
        <f t="shared" si="83"/>
        <v>2008.1666666666667</v>
      </c>
      <c r="L277" s="115">
        <v>4462.29</v>
      </c>
      <c r="M277" s="115">
        <f t="shared" si="84"/>
        <v>4462.29</v>
      </c>
      <c r="N277" s="115">
        <f t="shared" si="85"/>
        <v>53.122500000000002</v>
      </c>
      <c r="O277" s="115">
        <f t="shared" si="86"/>
        <v>637.47</v>
      </c>
      <c r="P277" s="115">
        <f t="shared" si="87"/>
        <v>0</v>
      </c>
      <c r="Q277" s="115"/>
      <c r="R277" s="115">
        <f t="shared" si="88"/>
        <v>4462.29</v>
      </c>
      <c r="S277" s="115">
        <f t="shared" si="89"/>
        <v>4462.29</v>
      </c>
      <c r="T277" s="115">
        <f t="shared" si="90"/>
        <v>0</v>
      </c>
    </row>
    <row r="278" spans="1:20" ht="13.5" customHeight="1">
      <c r="D278" s="95" t="s">
        <v>242</v>
      </c>
      <c r="E278" s="100">
        <v>2002</v>
      </c>
      <c r="F278" s="95">
        <v>1</v>
      </c>
      <c r="G278" s="129">
        <v>0</v>
      </c>
      <c r="H278" s="100" t="s">
        <v>92</v>
      </c>
      <c r="I278" s="100">
        <v>7</v>
      </c>
      <c r="J278" s="97">
        <f t="shared" si="82"/>
        <v>2009</v>
      </c>
      <c r="K278" s="144">
        <f t="shared" si="83"/>
        <v>2009.0833333333333</v>
      </c>
      <c r="L278" s="122">
        <v>5000</v>
      </c>
      <c r="M278" s="122">
        <f t="shared" si="84"/>
        <v>5000</v>
      </c>
      <c r="N278" s="122">
        <f t="shared" si="85"/>
        <v>59.523809523809526</v>
      </c>
      <c r="O278" s="122">
        <f t="shared" si="86"/>
        <v>714.28571428571433</v>
      </c>
      <c r="P278" s="122">
        <f t="shared" si="87"/>
        <v>0</v>
      </c>
      <c r="Q278" s="122"/>
      <c r="R278" s="122">
        <f t="shared" si="88"/>
        <v>5000</v>
      </c>
      <c r="S278" s="122">
        <f t="shared" si="89"/>
        <v>5000</v>
      </c>
      <c r="T278" s="122">
        <f t="shared" si="90"/>
        <v>0</v>
      </c>
    </row>
    <row r="279" spans="1:20" ht="13.5" customHeight="1">
      <c r="D279" s="95" t="s">
        <v>243</v>
      </c>
      <c r="E279" s="100">
        <v>2004</v>
      </c>
      <c r="F279" s="95">
        <v>7</v>
      </c>
      <c r="G279" s="129">
        <v>0</v>
      </c>
      <c r="H279" s="100" t="s">
        <v>92</v>
      </c>
      <c r="I279" s="100">
        <v>7</v>
      </c>
      <c r="J279" s="97">
        <f t="shared" si="82"/>
        <v>2011</v>
      </c>
      <c r="K279" s="144">
        <f t="shared" si="83"/>
        <v>2011.5833333333333</v>
      </c>
      <c r="L279" s="122">
        <v>318</v>
      </c>
      <c r="M279" s="122">
        <f t="shared" si="84"/>
        <v>318</v>
      </c>
      <c r="N279" s="122">
        <f t="shared" si="85"/>
        <v>3.785714285714286</v>
      </c>
      <c r="O279" s="122">
        <f t="shared" si="86"/>
        <v>45.428571428571431</v>
      </c>
      <c r="P279" s="122">
        <f t="shared" si="87"/>
        <v>0</v>
      </c>
      <c r="Q279" s="122"/>
      <c r="R279" s="122">
        <f t="shared" si="88"/>
        <v>318</v>
      </c>
      <c r="S279" s="122">
        <f t="shared" si="89"/>
        <v>318</v>
      </c>
      <c r="T279" s="122">
        <f t="shared" si="90"/>
        <v>0</v>
      </c>
    </row>
    <row r="280" spans="1:20" ht="13.5" customHeight="1">
      <c r="D280" s="95" t="s">
        <v>244</v>
      </c>
      <c r="E280" s="100">
        <v>2004</v>
      </c>
      <c r="F280" s="95">
        <v>7</v>
      </c>
      <c r="G280" s="129">
        <v>0</v>
      </c>
      <c r="H280" s="100" t="s">
        <v>92</v>
      </c>
      <c r="I280" s="100">
        <v>7</v>
      </c>
      <c r="J280" s="97">
        <f t="shared" si="82"/>
        <v>2011</v>
      </c>
      <c r="K280" s="144">
        <f t="shared" si="83"/>
        <v>2011.5833333333333</v>
      </c>
      <c r="L280" s="122">
        <v>229</v>
      </c>
      <c r="M280" s="122">
        <f t="shared" si="84"/>
        <v>229</v>
      </c>
      <c r="N280" s="122">
        <f t="shared" si="85"/>
        <v>2.7261904761904763</v>
      </c>
      <c r="O280" s="122">
        <f t="shared" si="86"/>
        <v>32.714285714285715</v>
      </c>
      <c r="P280" s="122">
        <f t="shared" si="87"/>
        <v>0</v>
      </c>
      <c r="Q280" s="122"/>
      <c r="R280" s="122">
        <f t="shared" si="88"/>
        <v>229</v>
      </c>
      <c r="S280" s="122">
        <f t="shared" si="89"/>
        <v>229</v>
      </c>
      <c r="T280" s="122">
        <f t="shared" si="90"/>
        <v>0</v>
      </c>
    </row>
    <row r="281" spans="1:20" ht="13.5" customHeight="1">
      <c r="D281" s="95" t="s">
        <v>245</v>
      </c>
      <c r="E281" s="100">
        <v>2004</v>
      </c>
      <c r="F281" s="95">
        <v>7</v>
      </c>
      <c r="G281" s="129">
        <v>0</v>
      </c>
      <c r="H281" s="100" t="s">
        <v>92</v>
      </c>
      <c r="I281" s="100">
        <v>7</v>
      </c>
      <c r="J281" s="97">
        <f t="shared" si="82"/>
        <v>2011</v>
      </c>
      <c r="K281" s="144">
        <f t="shared" si="83"/>
        <v>2011.5833333333333</v>
      </c>
      <c r="L281" s="122">
        <v>572</v>
      </c>
      <c r="M281" s="122">
        <f t="shared" si="84"/>
        <v>572</v>
      </c>
      <c r="N281" s="122">
        <f t="shared" si="85"/>
        <v>6.8095238095238093</v>
      </c>
      <c r="O281" s="122">
        <f t="shared" si="86"/>
        <v>81.714285714285708</v>
      </c>
      <c r="P281" s="122">
        <f t="shared" si="87"/>
        <v>0</v>
      </c>
      <c r="Q281" s="122"/>
      <c r="R281" s="122">
        <f t="shared" si="88"/>
        <v>572</v>
      </c>
      <c r="S281" s="122">
        <f t="shared" si="89"/>
        <v>572</v>
      </c>
      <c r="T281" s="122">
        <f t="shared" si="90"/>
        <v>0</v>
      </c>
    </row>
    <row r="282" spans="1:20" ht="13.5" customHeight="1">
      <c r="D282" s="95" t="s">
        <v>246</v>
      </c>
      <c r="E282" s="100">
        <v>2004</v>
      </c>
      <c r="F282" s="95">
        <v>7</v>
      </c>
      <c r="G282" s="129">
        <v>0</v>
      </c>
      <c r="H282" s="100" t="s">
        <v>92</v>
      </c>
      <c r="I282" s="100">
        <v>7</v>
      </c>
      <c r="J282" s="97">
        <f t="shared" si="82"/>
        <v>2011</v>
      </c>
      <c r="K282" s="144">
        <f t="shared" si="83"/>
        <v>2011.5833333333333</v>
      </c>
      <c r="L282" s="122">
        <v>55</v>
      </c>
      <c r="M282" s="122">
        <f t="shared" si="84"/>
        <v>55</v>
      </c>
      <c r="N282" s="122">
        <f t="shared" si="85"/>
        <v>0.65476190476190477</v>
      </c>
      <c r="O282" s="122">
        <f t="shared" si="86"/>
        <v>7.8571428571428577</v>
      </c>
      <c r="P282" s="122">
        <f t="shared" si="87"/>
        <v>0</v>
      </c>
      <c r="Q282" s="122"/>
      <c r="R282" s="122">
        <f t="shared" si="88"/>
        <v>55</v>
      </c>
      <c r="S282" s="122">
        <f t="shared" si="89"/>
        <v>55</v>
      </c>
      <c r="T282" s="122">
        <f t="shared" si="90"/>
        <v>0</v>
      </c>
    </row>
    <row r="283" spans="1:20" ht="13.5" customHeight="1">
      <c r="D283" s="95" t="s">
        <v>247</v>
      </c>
      <c r="E283" s="100">
        <v>2005</v>
      </c>
      <c r="F283" s="95">
        <v>12</v>
      </c>
      <c r="G283" s="129">
        <v>0</v>
      </c>
      <c r="H283" s="100"/>
      <c r="I283" s="100">
        <v>7</v>
      </c>
      <c r="J283" s="97">
        <f t="shared" si="82"/>
        <v>2012</v>
      </c>
      <c r="K283" s="144">
        <f t="shared" si="83"/>
        <v>2013</v>
      </c>
      <c r="L283" s="122">
        <v>1969</v>
      </c>
      <c r="M283" s="122">
        <f t="shared" si="84"/>
        <v>1969</v>
      </c>
      <c r="N283" s="122">
        <f t="shared" si="85"/>
        <v>23.44047619047619</v>
      </c>
      <c r="O283" s="122">
        <f t="shared" si="86"/>
        <v>281.28571428571428</v>
      </c>
      <c r="P283" s="122">
        <f t="shared" si="87"/>
        <v>0</v>
      </c>
      <c r="Q283" s="122"/>
      <c r="R283" s="122">
        <f t="shared" si="88"/>
        <v>1969</v>
      </c>
      <c r="S283" s="122">
        <f t="shared" si="89"/>
        <v>1969</v>
      </c>
      <c r="T283" s="122">
        <f t="shared" si="90"/>
        <v>0</v>
      </c>
    </row>
    <row r="284" spans="1:20" ht="13.5" customHeight="1">
      <c r="D284" s="113" t="s">
        <v>248</v>
      </c>
      <c r="E284" s="100">
        <v>2010</v>
      </c>
      <c r="F284" s="95">
        <v>1</v>
      </c>
      <c r="G284" s="129">
        <v>0</v>
      </c>
      <c r="H284" s="100" t="s">
        <v>92</v>
      </c>
      <c r="I284" s="100">
        <v>10</v>
      </c>
      <c r="J284" s="97">
        <f t="shared" si="82"/>
        <v>2020</v>
      </c>
      <c r="K284" s="144">
        <f t="shared" si="83"/>
        <v>2020.0833333333333</v>
      </c>
      <c r="L284" s="115">
        <v>2200</v>
      </c>
      <c r="M284" s="115">
        <f t="shared" si="84"/>
        <v>2200</v>
      </c>
      <c r="N284" s="115">
        <f t="shared" si="85"/>
        <v>18.333333333333332</v>
      </c>
      <c r="O284" s="115">
        <f t="shared" si="86"/>
        <v>220</v>
      </c>
      <c r="P284" s="115">
        <f t="shared" si="87"/>
        <v>0</v>
      </c>
      <c r="Q284" s="115"/>
      <c r="R284" s="115">
        <f t="shared" si="88"/>
        <v>2200</v>
      </c>
      <c r="S284" s="115">
        <f t="shared" si="89"/>
        <v>2200</v>
      </c>
      <c r="T284" s="115">
        <f t="shared" si="90"/>
        <v>0</v>
      </c>
    </row>
    <row r="285" spans="1:20" ht="13.5" customHeight="1">
      <c r="D285" s="113" t="s">
        <v>250</v>
      </c>
      <c r="E285" s="100">
        <v>2011</v>
      </c>
      <c r="F285" s="95">
        <v>12</v>
      </c>
      <c r="G285" s="129">
        <v>0</v>
      </c>
      <c r="H285" s="100" t="s">
        <v>92</v>
      </c>
      <c r="I285" s="100">
        <v>10</v>
      </c>
      <c r="J285" s="97">
        <f t="shared" si="82"/>
        <v>2021</v>
      </c>
      <c r="K285" s="144">
        <f t="shared" si="83"/>
        <v>2022</v>
      </c>
      <c r="L285" s="115">
        <v>6996.91</v>
      </c>
      <c r="M285" s="115">
        <f t="shared" si="84"/>
        <v>6996.91</v>
      </c>
      <c r="N285" s="115">
        <f t="shared" si="85"/>
        <v>58.307583333333334</v>
      </c>
      <c r="O285" s="115">
        <f t="shared" si="86"/>
        <v>699.69100000000003</v>
      </c>
      <c r="P285" s="115">
        <f t="shared" si="87"/>
        <v>0</v>
      </c>
      <c r="Q285" s="115"/>
      <c r="R285" s="115">
        <f t="shared" si="88"/>
        <v>6996.91</v>
      </c>
      <c r="S285" s="115">
        <f t="shared" si="89"/>
        <v>6996.91</v>
      </c>
      <c r="T285" s="115">
        <f t="shared" si="90"/>
        <v>0</v>
      </c>
    </row>
    <row r="286" spans="1:20" ht="13.5" customHeight="1">
      <c r="D286" s="113" t="s">
        <v>251</v>
      </c>
      <c r="E286" s="100">
        <v>2012</v>
      </c>
      <c r="F286" s="95">
        <v>4</v>
      </c>
      <c r="G286" s="129">
        <v>0</v>
      </c>
      <c r="H286" s="100" t="s">
        <v>92</v>
      </c>
      <c r="I286" s="100">
        <v>5</v>
      </c>
      <c r="J286" s="97">
        <f t="shared" si="82"/>
        <v>2017</v>
      </c>
      <c r="K286" s="144">
        <f t="shared" si="83"/>
        <v>2017.3333333333333</v>
      </c>
      <c r="L286" s="115">
        <v>466</v>
      </c>
      <c r="M286" s="115">
        <f t="shared" si="84"/>
        <v>466</v>
      </c>
      <c r="N286" s="115">
        <f t="shared" si="85"/>
        <v>7.7666666666666666</v>
      </c>
      <c r="O286" s="115">
        <f t="shared" si="86"/>
        <v>93.2</v>
      </c>
      <c r="P286" s="115">
        <f t="shared" si="87"/>
        <v>0</v>
      </c>
      <c r="Q286" s="115"/>
      <c r="R286" s="115">
        <f t="shared" si="88"/>
        <v>466</v>
      </c>
      <c r="S286" s="115">
        <f t="shared" si="89"/>
        <v>466</v>
      </c>
      <c r="T286" s="115">
        <f t="shared" si="90"/>
        <v>0</v>
      </c>
    </row>
    <row r="287" spans="1:20" ht="13.5" customHeight="1">
      <c r="D287" s="113" t="s">
        <v>252</v>
      </c>
      <c r="E287" s="100">
        <v>2012</v>
      </c>
      <c r="F287" s="95">
        <v>10</v>
      </c>
      <c r="G287" s="129">
        <v>0</v>
      </c>
      <c r="H287" s="100" t="s">
        <v>92</v>
      </c>
      <c r="I287" s="100">
        <v>5</v>
      </c>
      <c r="J287" s="97">
        <f t="shared" si="82"/>
        <v>2017</v>
      </c>
      <c r="K287" s="144">
        <f t="shared" si="83"/>
        <v>2017.8333333333333</v>
      </c>
      <c r="L287" s="115">
        <v>6022</v>
      </c>
      <c r="M287" s="115">
        <f t="shared" si="84"/>
        <v>6022</v>
      </c>
      <c r="N287" s="115">
        <f t="shared" si="85"/>
        <v>100.36666666666667</v>
      </c>
      <c r="O287" s="115">
        <f t="shared" si="86"/>
        <v>1204.4000000000001</v>
      </c>
      <c r="P287" s="115">
        <f t="shared" si="87"/>
        <v>0</v>
      </c>
      <c r="Q287" s="115"/>
      <c r="R287" s="115">
        <f t="shared" si="88"/>
        <v>6022</v>
      </c>
      <c r="S287" s="115">
        <f t="shared" si="89"/>
        <v>6022</v>
      </c>
      <c r="T287" s="115">
        <f t="shared" si="90"/>
        <v>0</v>
      </c>
    </row>
    <row r="288" spans="1:20" ht="13.5" customHeight="1">
      <c r="A288" s="95" t="s">
        <v>253</v>
      </c>
      <c r="D288" s="113" t="s">
        <v>254</v>
      </c>
      <c r="E288" s="100">
        <v>2012</v>
      </c>
      <c r="F288" s="95">
        <v>12</v>
      </c>
      <c r="G288" s="129">
        <v>0</v>
      </c>
      <c r="H288" s="100" t="s">
        <v>92</v>
      </c>
      <c r="I288" s="100">
        <v>5</v>
      </c>
      <c r="J288" s="97">
        <f t="shared" si="82"/>
        <v>2017</v>
      </c>
      <c r="K288" s="144">
        <f t="shared" si="83"/>
        <v>2018</v>
      </c>
      <c r="L288" s="115">
        <f>1245+815</f>
        <v>2060</v>
      </c>
      <c r="M288" s="115">
        <f t="shared" si="84"/>
        <v>2060</v>
      </c>
      <c r="N288" s="115">
        <f t="shared" si="85"/>
        <v>34.333333333333336</v>
      </c>
      <c r="O288" s="115">
        <f t="shared" si="86"/>
        <v>412</v>
      </c>
      <c r="P288" s="115">
        <f t="shared" si="87"/>
        <v>0</v>
      </c>
      <c r="Q288" s="115"/>
      <c r="R288" s="115">
        <f t="shared" si="88"/>
        <v>2060</v>
      </c>
      <c r="S288" s="115">
        <f t="shared" si="89"/>
        <v>2060</v>
      </c>
      <c r="T288" s="115">
        <f t="shared" si="90"/>
        <v>0</v>
      </c>
    </row>
    <row r="289" spans="1:20" ht="13.5" customHeight="1">
      <c r="A289" s="95">
        <v>167961</v>
      </c>
      <c r="D289" s="113" t="s">
        <v>287</v>
      </c>
      <c r="E289" s="100">
        <v>2016</v>
      </c>
      <c r="F289" s="95">
        <v>9</v>
      </c>
      <c r="G289" s="129">
        <v>0</v>
      </c>
      <c r="H289" s="100" t="s">
        <v>92</v>
      </c>
      <c r="I289" s="100">
        <v>5</v>
      </c>
      <c r="J289" s="97">
        <f t="shared" si="82"/>
        <v>2021</v>
      </c>
      <c r="K289" s="144">
        <f t="shared" si="83"/>
        <v>2021.75</v>
      </c>
      <c r="L289" s="115">
        <v>5329</v>
      </c>
      <c r="M289" s="115">
        <f t="shared" si="84"/>
        <v>5329</v>
      </c>
      <c r="N289" s="115">
        <f t="shared" si="85"/>
        <v>88.816666666666663</v>
      </c>
      <c r="O289" s="115">
        <f t="shared" si="86"/>
        <v>1065.8</v>
      </c>
      <c r="P289" s="115">
        <f t="shared" si="87"/>
        <v>0</v>
      </c>
      <c r="Q289" s="115"/>
      <c r="R289" s="115">
        <f t="shared" si="88"/>
        <v>5329</v>
      </c>
      <c r="S289" s="115">
        <f t="shared" si="89"/>
        <v>5329</v>
      </c>
      <c r="T289" s="115">
        <f t="shared" si="90"/>
        <v>0</v>
      </c>
    </row>
    <row r="290" spans="1:20" ht="13.5" customHeight="1">
      <c r="A290" s="95">
        <v>169271</v>
      </c>
      <c r="D290" s="113" t="s">
        <v>288</v>
      </c>
      <c r="E290" s="100">
        <v>2016</v>
      </c>
      <c r="F290" s="95">
        <v>10</v>
      </c>
      <c r="G290" s="129">
        <v>0</v>
      </c>
      <c r="H290" s="100" t="s">
        <v>92</v>
      </c>
      <c r="I290" s="100">
        <v>5</v>
      </c>
      <c r="J290" s="97">
        <f t="shared" si="82"/>
        <v>2021</v>
      </c>
      <c r="K290" s="144">
        <f t="shared" si="83"/>
        <v>2021.8333333333333</v>
      </c>
      <c r="L290" s="115">
        <v>2587.1999999999998</v>
      </c>
      <c r="M290" s="115">
        <f t="shared" si="84"/>
        <v>2587.1999999999998</v>
      </c>
      <c r="N290" s="115">
        <f t="shared" si="85"/>
        <v>43.12</v>
      </c>
      <c r="O290" s="115">
        <f t="shared" si="86"/>
        <v>517.43999999999994</v>
      </c>
      <c r="P290" s="115">
        <f t="shared" si="87"/>
        <v>0</v>
      </c>
      <c r="Q290" s="115"/>
      <c r="R290" s="115">
        <f t="shared" si="88"/>
        <v>2587.1999999999998</v>
      </c>
      <c r="S290" s="115">
        <f t="shared" si="89"/>
        <v>2587.1999999999998</v>
      </c>
      <c r="T290" s="115">
        <f t="shared" si="90"/>
        <v>0</v>
      </c>
    </row>
    <row r="291" spans="1:20" s="1" customFormat="1" ht="13.5" customHeight="1">
      <c r="B291" s="1">
        <v>203656</v>
      </c>
      <c r="D291" s="27" t="s">
        <v>366</v>
      </c>
      <c r="E291" s="10">
        <v>2018</v>
      </c>
      <c r="F291" s="1">
        <v>9</v>
      </c>
      <c r="G291" s="50">
        <v>0</v>
      </c>
      <c r="H291" s="10" t="s">
        <v>92</v>
      </c>
      <c r="I291" s="10">
        <v>3</v>
      </c>
      <c r="J291" s="4">
        <f t="shared" si="82"/>
        <v>2021</v>
      </c>
      <c r="K291" s="145">
        <f t="shared" si="83"/>
        <v>2021.75</v>
      </c>
      <c r="L291" s="29">
        <v>1282.99</v>
      </c>
      <c r="M291" s="29">
        <f t="shared" si="84"/>
        <v>1282.99</v>
      </c>
      <c r="N291" s="29">
        <f t="shared" si="85"/>
        <v>35.638611111111111</v>
      </c>
      <c r="O291" s="29">
        <f t="shared" si="86"/>
        <v>427.6633333333333</v>
      </c>
      <c r="P291" s="29">
        <f t="shared" si="87"/>
        <v>0</v>
      </c>
      <c r="Q291" s="29"/>
      <c r="R291" s="29">
        <f t="shared" si="88"/>
        <v>1282.99</v>
      </c>
      <c r="S291" s="29">
        <f t="shared" si="89"/>
        <v>1282.99</v>
      </c>
      <c r="T291" s="29">
        <f t="shared" si="90"/>
        <v>0</v>
      </c>
    </row>
    <row r="292" spans="1:20" s="1" customFormat="1" ht="13.5" customHeight="1">
      <c r="B292" s="1">
        <v>214540</v>
      </c>
      <c r="D292" s="27" t="s">
        <v>370</v>
      </c>
      <c r="E292" s="10">
        <v>2019</v>
      </c>
      <c r="F292" s="1">
        <v>4</v>
      </c>
      <c r="G292" s="50">
        <v>0</v>
      </c>
      <c r="H292" s="10" t="s">
        <v>92</v>
      </c>
      <c r="I292" s="10">
        <v>3</v>
      </c>
      <c r="J292" s="4">
        <f t="shared" si="82"/>
        <v>2022</v>
      </c>
      <c r="K292" s="145">
        <f t="shared" si="83"/>
        <v>2022.3333333333333</v>
      </c>
      <c r="L292" s="29">
        <v>337.42</v>
      </c>
      <c r="M292" s="29">
        <f t="shared" si="84"/>
        <v>337.42</v>
      </c>
      <c r="N292" s="29">
        <f t="shared" si="85"/>
        <v>9.3727777777777792</v>
      </c>
      <c r="O292" s="29">
        <f t="shared" si="86"/>
        <v>112.47333333333336</v>
      </c>
      <c r="P292" s="29">
        <f t="shared" si="87"/>
        <v>28.118333333333339</v>
      </c>
      <c r="Q292" s="29"/>
      <c r="R292" s="29">
        <f t="shared" si="88"/>
        <v>309.30166666666668</v>
      </c>
      <c r="S292" s="29">
        <f t="shared" si="89"/>
        <v>337.42</v>
      </c>
      <c r="T292" s="29">
        <f t="shared" si="90"/>
        <v>0</v>
      </c>
    </row>
    <row r="293" spans="1:20" s="1" customFormat="1" ht="13.5" customHeight="1">
      <c r="B293" s="1">
        <v>212759</v>
      </c>
      <c r="D293" s="27" t="s">
        <v>371</v>
      </c>
      <c r="E293" s="10">
        <v>2019</v>
      </c>
      <c r="F293" s="1">
        <v>4</v>
      </c>
      <c r="G293" s="50">
        <v>0</v>
      </c>
      <c r="H293" s="10" t="s">
        <v>92</v>
      </c>
      <c r="I293" s="10">
        <v>3</v>
      </c>
      <c r="J293" s="4">
        <f t="shared" si="82"/>
        <v>2022</v>
      </c>
      <c r="K293" s="145">
        <f t="shared" si="83"/>
        <v>2022.3333333333333</v>
      </c>
      <c r="L293" s="29">
        <v>643.32000000000005</v>
      </c>
      <c r="M293" s="29">
        <f t="shared" si="84"/>
        <v>643.32000000000005</v>
      </c>
      <c r="N293" s="29">
        <f t="shared" si="85"/>
        <v>17.87</v>
      </c>
      <c r="O293" s="29">
        <f t="shared" si="86"/>
        <v>214.44</v>
      </c>
      <c r="P293" s="29">
        <f t="shared" si="87"/>
        <v>53.61</v>
      </c>
      <c r="Q293" s="29"/>
      <c r="R293" s="29">
        <f t="shared" si="88"/>
        <v>589.71</v>
      </c>
      <c r="S293" s="29">
        <f t="shared" si="89"/>
        <v>643.32000000000005</v>
      </c>
      <c r="T293" s="29">
        <f t="shared" si="90"/>
        <v>0</v>
      </c>
    </row>
    <row r="294" spans="1:20" s="1" customFormat="1" ht="13.5" customHeight="1">
      <c r="B294" s="1">
        <v>225976</v>
      </c>
      <c r="D294" s="27" t="s">
        <v>384</v>
      </c>
      <c r="E294" s="10">
        <v>2019</v>
      </c>
      <c r="F294" s="1">
        <v>12</v>
      </c>
      <c r="G294" s="50">
        <v>0</v>
      </c>
      <c r="H294" s="10" t="s">
        <v>92</v>
      </c>
      <c r="I294" s="10">
        <v>3</v>
      </c>
      <c r="J294" s="4">
        <f t="shared" si="82"/>
        <v>2022</v>
      </c>
      <c r="K294" s="145">
        <f t="shared" si="83"/>
        <v>2023</v>
      </c>
      <c r="L294" s="29">
        <v>1299</v>
      </c>
      <c r="M294" s="29">
        <f t="shared" si="84"/>
        <v>1299</v>
      </c>
      <c r="N294" s="29">
        <f t="shared" si="85"/>
        <v>36.083333333333336</v>
      </c>
      <c r="O294" s="29">
        <f t="shared" si="86"/>
        <v>433</v>
      </c>
      <c r="P294" s="29">
        <f t="shared" si="87"/>
        <v>396.91666666669948</v>
      </c>
      <c r="Q294" s="29"/>
      <c r="R294" s="29">
        <f t="shared" si="88"/>
        <v>902.08333333330052</v>
      </c>
      <c r="S294" s="29">
        <f t="shared" si="89"/>
        <v>1299</v>
      </c>
      <c r="T294" s="29">
        <f t="shared" si="90"/>
        <v>0</v>
      </c>
    </row>
    <row r="295" spans="1:20" s="1" customFormat="1" ht="13.5" customHeight="1">
      <c r="B295" s="1" t="s">
        <v>385</v>
      </c>
      <c r="D295" s="27" t="s">
        <v>386</v>
      </c>
      <c r="E295" s="10">
        <v>2019</v>
      </c>
      <c r="F295" s="1">
        <v>11</v>
      </c>
      <c r="G295" s="50">
        <v>0</v>
      </c>
      <c r="H295" s="10" t="s">
        <v>92</v>
      </c>
      <c r="I295" s="10">
        <v>3</v>
      </c>
      <c r="J295" s="4">
        <f t="shared" si="82"/>
        <v>2022</v>
      </c>
      <c r="K295" s="145">
        <f t="shared" si="83"/>
        <v>2022.9166666666667</v>
      </c>
      <c r="L295" s="29">
        <v>2050.11</v>
      </c>
      <c r="M295" s="29">
        <f t="shared" si="84"/>
        <v>2050.11</v>
      </c>
      <c r="N295" s="29">
        <f t="shared" si="85"/>
        <v>56.947499999999998</v>
      </c>
      <c r="O295" s="29">
        <f t="shared" si="86"/>
        <v>683.37</v>
      </c>
      <c r="P295" s="29">
        <f t="shared" si="87"/>
        <v>569.47500000010359</v>
      </c>
      <c r="Q295" s="29"/>
      <c r="R295" s="29">
        <f t="shared" si="88"/>
        <v>1480.6349999998965</v>
      </c>
      <c r="S295" s="29">
        <f t="shared" si="89"/>
        <v>2050.11</v>
      </c>
      <c r="T295" s="29">
        <f t="shared" si="90"/>
        <v>0</v>
      </c>
    </row>
    <row r="296" spans="1:20" s="1" customFormat="1" ht="13.5" customHeight="1">
      <c r="B296" s="1">
        <v>248101</v>
      </c>
      <c r="D296" s="27" t="s">
        <v>240</v>
      </c>
      <c r="E296" s="10">
        <v>2020</v>
      </c>
      <c r="F296" s="1">
        <v>8</v>
      </c>
      <c r="G296" s="50">
        <v>0</v>
      </c>
      <c r="H296" s="10" t="s">
        <v>92</v>
      </c>
      <c r="I296" s="10">
        <v>5</v>
      </c>
      <c r="J296" s="4">
        <f t="shared" si="82"/>
        <v>2025</v>
      </c>
      <c r="K296" s="145">
        <f t="shared" si="83"/>
        <v>2025.6666666666667</v>
      </c>
      <c r="L296" s="29">
        <v>5810.03</v>
      </c>
      <c r="M296" s="29">
        <f>L296-L296*G296</f>
        <v>5810.03</v>
      </c>
      <c r="N296" s="29">
        <f t="shared" si="85"/>
        <v>96.833833333333317</v>
      </c>
      <c r="O296" s="29">
        <f t="shared" si="86"/>
        <v>1162.0059999999999</v>
      </c>
      <c r="P296" s="29">
        <f t="shared" si="87"/>
        <v>1162.0059999999999</v>
      </c>
      <c r="Q296" s="29"/>
      <c r="R296" s="29">
        <f t="shared" si="88"/>
        <v>1646.1751666664914</v>
      </c>
      <c r="S296" s="29">
        <f t="shared" si="89"/>
        <v>2808.1811666664912</v>
      </c>
      <c r="T296" s="29">
        <f t="shared" si="90"/>
        <v>3001.8488333335085</v>
      </c>
    </row>
    <row r="297" spans="1:20" s="1" customFormat="1" ht="13.5" customHeight="1">
      <c r="B297" s="379" t="s">
        <v>419</v>
      </c>
      <c r="C297" s="379"/>
      <c r="D297" s="380" t="s">
        <v>418</v>
      </c>
      <c r="E297" s="381">
        <v>2021</v>
      </c>
      <c r="F297" s="379">
        <v>8</v>
      </c>
      <c r="G297" s="382">
        <v>0</v>
      </c>
      <c r="H297" s="381" t="s">
        <v>92</v>
      </c>
      <c r="I297" s="381">
        <v>7</v>
      </c>
      <c r="J297" s="383">
        <f t="shared" si="82"/>
        <v>2028</v>
      </c>
      <c r="K297" s="384">
        <f t="shared" si="83"/>
        <v>2028.6666666666667</v>
      </c>
      <c r="L297" s="385">
        <f>4010+483.9</f>
        <v>4493.8999999999996</v>
      </c>
      <c r="M297" s="385">
        <f t="shared" ref="M297:M298" si="91">L297-L297*G297</f>
        <v>4493.8999999999996</v>
      </c>
      <c r="N297" s="385">
        <f t="shared" si="85"/>
        <v>53.49880952380952</v>
      </c>
      <c r="O297" s="385">
        <f t="shared" si="86"/>
        <v>641.98571428571427</v>
      </c>
      <c r="P297" s="385">
        <f t="shared" si="87"/>
        <v>641.98571428571427</v>
      </c>
      <c r="Q297" s="385"/>
      <c r="R297" s="385">
        <f t="shared" si="88"/>
        <v>267.49404761895039</v>
      </c>
      <c r="S297" s="385">
        <f t="shared" si="89"/>
        <v>909.47976190466466</v>
      </c>
      <c r="T297" s="385">
        <f t="shared" si="90"/>
        <v>3584.4202380953348</v>
      </c>
    </row>
    <row r="298" spans="1:20" s="1" customFormat="1" ht="13.5" customHeight="1">
      <c r="A298" s="1" t="s">
        <v>1341</v>
      </c>
      <c r="D298" s="27" t="s">
        <v>450</v>
      </c>
      <c r="E298" s="10">
        <v>2021</v>
      </c>
      <c r="F298" s="1">
        <v>8</v>
      </c>
      <c r="G298" s="50">
        <v>0</v>
      </c>
      <c r="H298" s="10" t="s">
        <v>92</v>
      </c>
      <c r="I298" s="10">
        <v>7</v>
      </c>
      <c r="J298" s="4">
        <f t="shared" si="82"/>
        <v>2028</v>
      </c>
      <c r="K298" s="145">
        <f t="shared" si="83"/>
        <v>2028.6666666666667</v>
      </c>
      <c r="L298" s="29">
        <v>413.1</v>
      </c>
      <c r="M298" s="29">
        <f t="shared" si="91"/>
        <v>413.1</v>
      </c>
      <c r="N298" s="29">
        <f t="shared" si="85"/>
        <v>4.9178571428571436</v>
      </c>
      <c r="O298" s="29">
        <f t="shared" si="86"/>
        <v>59.01428571428572</v>
      </c>
      <c r="P298" s="29">
        <f t="shared" si="87"/>
        <v>59.01428571428572</v>
      </c>
      <c r="Q298" s="29"/>
      <c r="R298" s="29">
        <f t="shared" si="88"/>
        <v>24.589285714276741</v>
      </c>
      <c r="S298" s="29">
        <f t="shared" si="89"/>
        <v>83.603571428562461</v>
      </c>
      <c r="T298" s="29">
        <f t="shared" si="90"/>
        <v>329.49642857143755</v>
      </c>
    </row>
    <row r="299" spans="1:20" s="1" customFormat="1" ht="13.5" customHeight="1">
      <c r="E299" s="10"/>
      <c r="G299" s="50"/>
      <c r="H299" s="10"/>
      <c r="I299" s="10"/>
      <c r="J299" s="4"/>
      <c r="K299" s="66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1:20" s="1" customFormat="1" ht="13.5" customHeight="1">
      <c r="D300" s="32" t="s">
        <v>255</v>
      </c>
      <c r="E300" s="42"/>
      <c r="F300" s="43"/>
      <c r="G300" s="68"/>
      <c r="H300" s="42"/>
      <c r="I300" s="42"/>
      <c r="J300" s="58"/>
      <c r="K300" s="74"/>
      <c r="L300" s="35">
        <f t="shared" ref="L300:T300" si="92">SUM(L272:L299)</f>
        <v>119474.27</v>
      </c>
      <c r="M300" s="35">
        <f t="shared" si="92"/>
        <v>119234.27</v>
      </c>
      <c r="N300" s="35">
        <f t="shared" si="92"/>
        <v>1785.1921706349199</v>
      </c>
      <c r="O300" s="35">
        <f t="shared" si="92"/>
        <v>21422.306047619044</v>
      </c>
      <c r="P300" s="35">
        <f t="shared" si="92"/>
        <v>2911.1260000001357</v>
      </c>
      <c r="Q300" s="35">
        <f t="shared" si="92"/>
        <v>0</v>
      </c>
      <c r="R300" s="35">
        <f t="shared" si="92"/>
        <v>109647.37849999958</v>
      </c>
      <c r="S300" s="35">
        <f t="shared" si="92"/>
        <v>112558.50449999972</v>
      </c>
      <c r="T300" s="35">
        <f t="shared" si="92"/>
        <v>6915.7655000002815</v>
      </c>
    </row>
    <row r="301" spans="1:20" s="1" customFormat="1" ht="13.5" customHeight="1">
      <c r="D301" s="31"/>
      <c r="E301" s="10"/>
      <c r="G301" s="50"/>
      <c r="H301" s="10"/>
      <c r="I301" s="10"/>
      <c r="J301" s="4"/>
      <c r="K301" s="75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s="1" customFormat="1" ht="13.5" customHeight="1">
      <c r="D302" s="15" t="s">
        <v>256</v>
      </c>
      <c r="E302" s="10"/>
      <c r="I302" s="10"/>
      <c r="J302" s="4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s="1" customFormat="1" ht="13.5" customHeight="1">
      <c r="D303" s="27" t="s">
        <v>257</v>
      </c>
      <c r="E303" s="10">
        <v>2009</v>
      </c>
      <c r="F303" s="1">
        <v>2</v>
      </c>
      <c r="G303" s="50">
        <v>0</v>
      </c>
      <c r="H303" s="10" t="s">
        <v>92</v>
      </c>
      <c r="I303" s="10">
        <v>3</v>
      </c>
      <c r="J303" s="4">
        <f t="shared" ref="J303:J315" si="93">E303+I303</f>
        <v>2012</v>
      </c>
      <c r="K303" s="145">
        <f t="shared" ref="K303:K315" si="94">+J303+(F303/12)</f>
        <v>2012.1666666666667</v>
      </c>
      <c r="L303" s="29">
        <v>6775</v>
      </c>
      <c r="M303" s="29">
        <f t="shared" ref="M303:M314" si="95">L303-L303*G303</f>
        <v>6775</v>
      </c>
      <c r="N303" s="29">
        <f t="shared" ref="N303:N315" si="96">M303/I303/12</f>
        <v>188.19444444444446</v>
      </c>
      <c r="O303" s="29">
        <f t="shared" ref="O303:O315" si="97">+N303*12</f>
        <v>2258.3333333333335</v>
      </c>
      <c r="P303" s="29">
        <f t="shared" ref="P303:P315" si="98">+IF($K303&lt;$N$7,0,IF($K303&gt;$N$6,$O303,((($K303-$N$7)*12)*$N303)))</f>
        <v>0</v>
      </c>
      <c r="Q303" s="29"/>
      <c r="R303" s="29">
        <f t="shared" ref="R303:R315" si="99">+IF($K303&lt;=$N$7,$L303,IF(($E303+($F303/12))&gt;=$N$7,0,((($M303-((($K303-$N$7)*12)*$N303))))))</f>
        <v>6775</v>
      </c>
      <c r="S303" s="29">
        <f t="shared" ref="S303:S315" si="100">+IF(P303=0,R303,R303+P303)</f>
        <v>6775</v>
      </c>
      <c r="T303" s="29">
        <f t="shared" ref="T303:T315" si="101">+L303-S303</f>
        <v>0</v>
      </c>
    </row>
    <row r="304" spans="1:20" s="1" customFormat="1" ht="13.5" customHeight="1">
      <c r="D304" s="27" t="s">
        <v>258</v>
      </c>
      <c r="E304" s="10">
        <v>2010</v>
      </c>
      <c r="F304" s="1">
        <v>6</v>
      </c>
      <c r="G304" s="50">
        <v>0</v>
      </c>
      <c r="H304" s="10" t="s">
        <v>92</v>
      </c>
      <c r="I304" s="10">
        <v>5</v>
      </c>
      <c r="J304" s="4">
        <f t="shared" si="93"/>
        <v>2015</v>
      </c>
      <c r="K304" s="145">
        <f t="shared" si="94"/>
        <v>2015.5</v>
      </c>
      <c r="L304" s="29">
        <v>1043.42</v>
      </c>
      <c r="M304" s="29">
        <f t="shared" si="95"/>
        <v>1043.42</v>
      </c>
      <c r="N304" s="29">
        <f t="shared" si="96"/>
        <v>17.390333333333334</v>
      </c>
      <c r="O304" s="29">
        <f t="shared" si="97"/>
        <v>208.68400000000003</v>
      </c>
      <c r="P304" s="29">
        <f t="shared" si="98"/>
        <v>0</v>
      </c>
      <c r="Q304" s="29"/>
      <c r="R304" s="29">
        <f t="shared" si="99"/>
        <v>1043.42</v>
      </c>
      <c r="S304" s="29">
        <f t="shared" si="100"/>
        <v>1043.42</v>
      </c>
      <c r="T304" s="29">
        <f t="shared" si="101"/>
        <v>0</v>
      </c>
    </row>
    <row r="305" spans="1:20" s="1" customFormat="1" ht="13.5" customHeight="1">
      <c r="D305" s="27" t="s">
        <v>259</v>
      </c>
      <c r="E305" s="10">
        <v>2010</v>
      </c>
      <c r="F305" s="1">
        <v>12</v>
      </c>
      <c r="G305" s="50">
        <v>0</v>
      </c>
      <c r="H305" s="10" t="s">
        <v>92</v>
      </c>
      <c r="I305" s="10">
        <v>5</v>
      </c>
      <c r="J305" s="4">
        <f t="shared" si="93"/>
        <v>2015</v>
      </c>
      <c r="K305" s="145">
        <f t="shared" si="94"/>
        <v>2016</v>
      </c>
      <c r="L305" s="29">
        <f>4249.48</f>
        <v>4249.4799999999996</v>
      </c>
      <c r="M305" s="29">
        <f t="shared" si="95"/>
        <v>4249.4799999999996</v>
      </c>
      <c r="N305" s="29">
        <f t="shared" si="96"/>
        <v>70.824666666666658</v>
      </c>
      <c r="O305" s="29">
        <f t="shared" si="97"/>
        <v>849.89599999999996</v>
      </c>
      <c r="P305" s="29">
        <f t="shared" si="98"/>
        <v>0</v>
      </c>
      <c r="Q305" s="29"/>
      <c r="R305" s="29">
        <f t="shared" si="99"/>
        <v>4249.4799999999996</v>
      </c>
      <c r="S305" s="29">
        <f t="shared" si="100"/>
        <v>4249.4799999999996</v>
      </c>
      <c r="T305" s="29">
        <f t="shared" si="101"/>
        <v>0</v>
      </c>
    </row>
    <row r="306" spans="1:20" s="1" customFormat="1" ht="13.5" customHeight="1">
      <c r="D306" s="27" t="s">
        <v>260</v>
      </c>
      <c r="E306" s="10">
        <v>2011</v>
      </c>
      <c r="F306" s="1">
        <v>3</v>
      </c>
      <c r="G306" s="50">
        <v>0</v>
      </c>
      <c r="H306" s="10" t="s">
        <v>92</v>
      </c>
      <c r="I306" s="10">
        <v>5</v>
      </c>
      <c r="J306" s="4">
        <f t="shared" si="93"/>
        <v>2016</v>
      </c>
      <c r="K306" s="145">
        <f t="shared" si="94"/>
        <v>2016.25</v>
      </c>
      <c r="L306" s="29">
        <v>1120.45</v>
      </c>
      <c r="M306" s="29">
        <f t="shared" si="95"/>
        <v>1120.45</v>
      </c>
      <c r="N306" s="29">
        <f t="shared" si="96"/>
        <v>18.674166666666668</v>
      </c>
      <c r="O306" s="29">
        <f t="shared" si="97"/>
        <v>224.09000000000003</v>
      </c>
      <c r="P306" s="29">
        <f t="shared" si="98"/>
        <v>0</v>
      </c>
      <c r="Q306" s="29"/>
      <c r="R306" s="29">
        <f t="shared" si="99"/>
        <v>1120.45</v>
      </c>
      <c r="S306" s="29">
        <f t="shared" si="100"/>
        <v>1120.45</v>
      </c>
      <c r="T306" s="29">
        <f t="shared" si="101"/>
        <v>0</v>
      </c>
    </row>
    <row r="307" spans="1:20" s="1" customFormat="1" ht="13.5" customHeight="1">
      <c r="D307" s="27" t="s">
        <v>261</v>
      </c>
      <c r="E307" s="10">
        <v>2011</v>
      </c>
      <c r="F307" s="1">
        <v>12</v>
      </c>
      <c r="G307" s="50">
        <v>0</v>
      </c>
      <c r="H307" s="10" t="s">
        <v>92</v>
      </c>
      <c r="I307" s="10">
        <v>5</v>
      </c>
      <c r="J307" s="4">
        <f t="shared" si="93"/>
        <v>2016</v>
      </c>
      <c r="K307" s="145">
        <f t="shared" si="94"/>
        <v>2017</v>
      </c>
      <c r="L307" s="29">
        <v>846.18</v>
      </c>
      <c r="M307" s="29">
        <f t="shared" si="95"/>
        <v>846.18</v>
      </c>
      <c r="N307" s="29">
        <f t="shared" si="96"/>
        <v>14.103</v>
      </c>
      <c r="O307" s="29">
        <f t="shared" si="97"/>
        <v>169.23599999999999</v>
      </c>
      <c r="P307" s="29">
        <f t="shared" si="98"/>
        <v>0</v>
      </c>
      <c r="Q307" s="29"/>
      <c r="R307" s="29">
        <f t="shared" si="99"/>
        <v>846.18</v>
      </c>
      <c r="S307" s="29">
        <f t="shared" si="100"/>
        <v>846.18</v>
      </c>
      <c r="T307" s="29">
        <f t="shared" si="101"/>
        <v>0</v>
      </c>
    </row>
    <row r="308" spans="1:20" s="1" customFormat="1" ht="13.5" customHeight="1">
      <c r="D308" s="27" t="s">
        <v>262</v>
      </c>
      <c r="E308" s="10">
        <v>2013</v>
      </c>
      <c r="F308" s="1">
        <v>9</v>
      </c>
      <c r="G308" s="50">
        <v>0</v>
      </c>
      <c r="H308" s="10" t="s">
        <v>92</v>
      </c>
      <c r="I308" s="10">
        <v>5</v>
      </c>
      <c r="J308" s="4">
        <f t="shared" si="93"/>
        <v>2018</v>
      </c>
      <c r="K308" s="145">
        <f t="shared" si="94"/>
        <v>2018.75</v>
      </c>
      <c r="L308" s="29">
        <v>1010.1</v>
      </c>
      <c r="M308" s="29">
        <f t="shared" si="95"/>
        <v>1010.1</v>
      </c>
      <c r="N308" s="29">
        <f t="shared" si="96"/>
        <v>16.835000000000001</v>
      </c>
      <c r="O308" s="29">
        <f t="shared" si="97"/>
        <v>202.02</v>
      </c>
      <c r="P308" s="29">
        <f t="shared" si="98"/>
        <v>0</v>
      </c>
      <c r="Q308" s="29"/>
      <c r="R308" s="29">
        <f t="shared" si="99"/>
        <v>1010.1</v>
      </c>
      <c r="S308" s="29">
        <f t="shared" si="100"/>
        <v>1010.1</v>
      </c>
      <c r="T308" s="29">
        <f t="shared" si="101"/>
        <v>0</v>
      </c>
    </row>
    <row r="309" spans="1:20" s="1" customFormat="1" ht="13.5" customHeight="1">
      <c r="A309" s="1">
        <v>113894</v>
      </c>
      <c r="C309" s="1">
        <v>1</v>
      </c>
      <c r="D309" s="27" t="s">
        <v>263</v>
      </c>
      <c r="E309" s="10">
        <v>2014</v>
      </c>
      <c r="F309" s="1">
        <v>6</v>
      </c>
      <c r="G309" s="50">
        <v>0</v>
      </c>
      <c r="H309" s="10" t="s">
        <v>92</v>
      </c>
      <c r="I309" s="10">
        <v>5</v>
      </c>
      <c r="J309" s="4">
        <f t="shared" si="93"/>
        <v>2019</v>
      </c>
      <c r="K309" s="145">
        <f t="shared" si="94"/>
        <v>2019.5</v>
      </c>
      <c r="L309" s="29">
        <v>824.08</v>
      </c>
      <c r="M309" s="29">
        <f t="shared" si="95"/>
        <v>824.08</v>
      </c>
      <c r="N309" s="29">
        <f t="shared" si="96"/>
        <v>13.734666666666667</v>
      </c>
      <c r="O309" s="29">
        <f t="shared" si="97"/>
        <v>164.816</v>
      </c>
      <c r="P309" s="29">
        <f t="shared" si="98"/>
        <v>0</v>
      </c>
      <c r="Q309" s="29"/>
      <c r="R309" s="29">
        <f t="shared" si="99"/>
        <v>824.08</v>
      </c>
      <c r="S309" s="29">
        <f t="shared" si="100"/>
        <v>824.08</v>
      </c>
      <c r="T309" s="29">
        <f t="shared" si="101"/>
        <v>0</v>
      </c>
    </row>
    <row r="310" spans="1:20" s="1" customFormat="1" ht="13.5" customHeight="1">
      <c r="A310" s="1">
        <v>117628</v>
      </c>
      <c r="C310" s="1">
        <v>1</v>
      </c>
      <c r="D310" s="27" t="s">
        <v>264</v>
      </c>
      <c r="E310" s="10">
        <v>2014</v>
      </c>
      <c r="F310" s="1">
        <v>11</v>
      </c>
      <c r="G310" s="50">
        <v>0</v>
      </c>
      <c r="H310" s="10" t="s">
        <v>92</v>
      </c>
      <c r="I310" s="10">
        <v>5</v>
      </c>
      <c r="J310" s="4">
        <f t="shared" si="93"/>
        <v>2019</v>
      </c>
      <c r="K310" s="145">
        <f t="shared" si="94"/>
        <v>2019.9166666666667</v>
      </c>
      <c r="L310" s="29">
        <v>1076.26</v>
      </c>
      <c r="M310" s="29">
        <f t="shared" si="95"/>
        <v>1076.26</v>
      </c>
      <c r="N310" s="29">
        <f t="shared" si="96"/>
        <v>17.937666666666669</v>
      </c>
      <c r="O310" s="29">
        <f t="shared" si="97"/>
        <v>215.25200000000001</v>
      </c>
      <c r="P310" s="29">
        <f t="shared" si="98"/>
        <v>0</v>
      </c>
      <c r="Q310" s="29"/>
      <c r="R310" s="29">
        <f t="shared" si="99"/>
        <v>1076.26</v>
      </c>
      <c r="S310" s="29">
        <f t="shared" si="100"/>
        <v>1076.26</v>
      </c>
      <c r="T310" s="29">
        <f t="shared" si="101"/>
        <v>0</v>
      </c>
    </row>
    <row r="311" spans="1:20" s="1" customFormat="1" ht="13.5" customHeight="1">
      <c r="A311" s="1">
        <v>120298</v>
      </c>
      <c r="D311" s="27" t="s">
        <v>265</v>
      </c>
      <c r="E311" s="10">
        <v>2015</v>
      </c>
      <c r="F311" s="1">
        <v>2</v>
      </c>
      <c r="G311" s="50">
        <v>0</v>
      </c>
      <c r="H311" s="10" t="s">
        <v>92</v>
      </c>
      <c r="I311" s="10">
        <v>3</v>
      </c>
      <c r="J311" s="4">
        <f t="shared" si="93"/>
        <v>2018</v>
      </c>
      <c r="K311" s="145">
        <f t="shared" si="94"/>
        <v>2018.1666666666667</v>
      </c>
      <c r="L311" s="29">
        <v>1655.52</v>
      </c>
      <c r="M311" s="29">
        <f t="shared" si="95"/>
        <v>1655.52</v>
      </c>
      <c r="N311" s="29">
        <f t="shared" si="96"/>
        <v>45.986666666666672</v>
      </c>
      <c r="O311" s="29">
        <f t="shared" si="97"/>
        <v>551.84</v>
      </c>
      <c r="P311" s="29">
        <f t="shared" si="98"/>
        <v>0</v>
      </c>
      <c r="Q311" s="29"/>
      <c r="R311" s="29">
        <f t="shared" si="99"/>
        <v>1655.52</v>
      </c>
      <c r="S311" s="29">
        <f t="shared" si="100"/>
        <v>1655.52</v>
      </c>
      <c r="T311" s="29">
        <f t="shared" si="101"/>
        <v>0</v>
      </c>
    </row>
    <row r="312" spans="1:20" s="1" customFormat="1" ht="13.5" customHeight="1">
      <c r="A312" s="1">
        <v>133345</v>
      </c>
      <c r="D312" s="27" t="s">
        <v>266</v>
      </c>
      <c r="E312" s="10">
        <v>2016</v>
      </c>
      <c r="F312" s="1">
        <v>3</v>
      </c>
      <c r="G312" s="50">
        <v>0</v>
      </c>
      <c r="H312" s="10" t="s">
        <v>92</v>
      </c>
      <c r="I312" s="10">
        <v>5</v>
      </c>
      <c r="J312" s="4">
        <f t="shared" si="93"/>
        <v>2021</v>
      </c>
      <c r="K312" s="145">
        <f t="shared" si="94"/>
        <v>2021.25</v>
      </c>
      <c r="L312" s="29">
        <f>2075.02+583.35</f>
        <v>2658.37</v>
      </c>
      <c r="M312" s="29">
        <f t="shared" si="95"/>
        <v>2658.37</v>
      </c>
      <c r="N312" s="29">
        <f t="shared" si="96"/>
        <v>44.306166666666662</v>
      </c>
      <c r="O312" s="29">
        <f t="shared" si="97"/>
        <v>531.67399999999998</v>
      </c>
      <c r="P312" s="29">
        <f t="shared" si="98"/>
        <v>0</v>
      </c>
      <c r="Q312" s="29"/>
      <c r="R312" s="29">
        <f t="shared" si="99"/>
        <v>2658.37</v>
      </c>
      <c r="S312" s="29">
        <f t="shared" si="100"/>
        <v>2658.37</v>
      </c>
      <c r="T312" s="29">
        <f t="shared" si="101"/>
        <v>0</v>
      </c>
    </row>
    <row r="313" spans="1:20" s="1" customFormat="1" ht="13.5" customHeight="1">
      <c r="A313" s="1">
        <v>176458</v>
      </c>
      <c r="D313" s="27" t="s">
        <v>300</v>
      </c>
      <c r="E313" s="10">
        <v>2017</v>
      </c>
      <c r="F313" s="1">
        <v>2</v>
      </c>
      <c r="G313" s="50">
        <v>0</v>
      </c>
      <c r="H313" s="10" t="s">
        <v>92</v>
      </c>
      <c r="I313" s="10">
        <v>5</v>
      </c>
      <c r="J313" s="4">
        <f t="shared" si="93"/>
        <v>2022</v>
      </c>
      <c r="K313" s="145">
        <f t="shared" si="94"/>
        <v>2022.1666666666667</v>
      </c>
      <c r="L313" s="29">
        <v>937.45</v>
      </c>
      <c r="M313" s="29">
        <f t="shared" si="95"/>
        <v>937.45</v>
      </c>
      <c r="N313" s="29">
        <f t="shared" si="96"/>
        <v>15.624166666666667</v>
      </c>
      <c r="O313" s="29">
        <f t="shared" si="97"/>
        <v>187.49</v>
      </c>
      <c r="P313" s="29">
        <f t="shared" si="98"/>
        <v>15.624166666695087</v>
      </c>
      <c r="Q313" s="29"/>
      <c r="R313" s="29">
        <f t="shared" si="99"/>
        <v>921.82583333330501</v>
      </c>
      <c r="S313" s="29">
        <f t="shared" si="100"/>
        <v>937.45</v>
      </c>
      <c r="T313" s="29">
        <f t="shared" si="101"/>
        <v>0</v>
      </c>
    </row>
    <row r="314" spans="1:20" s="1" customFormat="1" ht="13.5" customHeight="1">
      <c r="A314" s="1">
        <v>224135</v>
      </c>
      <c r="D314" s="27" t="s">
        <v>387</v>
      </c>
      <c r="E314" s="10">
        <v>2019</v>
      </c>
      <c r="F314" s="1">
        <v>11</v>
      </c>
      <c r="G314" s="50">
        <v>0</v>
      </c>
      <c r="H314" s="10" t="s">
        <v>92</v>
      </c>
      <c r="I314" s="10">
        <v>2</v>
      </c>
      <c r="J314" s="4">
        <f t="shared" si="93"/>
        <v>2021</v>
      </c>
      <c r="K314" s="145">
        <f t="shared" si="94"/>
        <v>2021.9166666666667</v>
      </c>
      <c r="L314" s="29">
        <v>1556.1</v>
      </c>
      <c r="M314" s="29">
        <f t="shared" si="95"/>
        <v>1556.1</v>
      </c>
      <c r="N314" s="29">
        <f t="shared" si="96"/>
        <v>64.837499999999991</v>
      </c>
      <c r="O314" s="29">
        <f t="shared" si="97"/>
        <v>778.05</v>
      </c>
      <c r="P314" s="29">
        <f t="shared" si="98"/>
        <v>0</v>
      </c>
      <c r="Q314" s="29"/>
      <c r="R314" s="29">
        <f t="shared" si="99"/>
        <v>1556.1</v>
      </c>
      <c r="S314" s="29">
        <f t="shared" si="100"/>
        <v>1556.1</v>
      </c>
      <c r="T314" s="29">
        <f t="shared" si="101"/>
        <v>0</v>
      </c>
    </row>
    <row r="315" spans="1:20" s="82" customFormat="1" ht="13.5" customHeight="1">
      <c r="A315" s="82">
        <v>253139</v>
      </c>
      <c r="D315" s="83" t="s">
        <v>416</v>
      </c>
      <c r="E315" s="84">
        <v>2021</v>
      </c>
      <c r="F315" s="82">
        <v>5</v>
      </c>
      <c r="G315" s="85">
        <v>0</v>
      </c>
      <c r="H315" s="84" t="s">
        <v>92</v>
      </c>
      <c r="I315" s="84">
        <v>3</v>
      </c>
      <c r="J315" s="86">
        <f t="shared" si="93"/>
        <v>2024</v>
      </c>
      <c r="K315" s="239">
        <f t="shared" si="94"/>
        <v>2024.4166666666667</v>
      </c>
      <c r="L315" s="88">
        <v>1252.32</v>
      </c>
      <c r="M315" s="88">
        <f t="shared" ref="M315" si="102">L315-L315*G315</f>
        <v>1252.32</v>
      </c>
      <c r="N315" s="88">
        <f t="shared" si="96"/>
        <v>34.786666666666669</v>
      </c>
      <c r="O315" s="88">
        <f t="shared" si="97"/>
        <v>417.44000000000005</v>
      </c>
      <c r="P315" s="88">
        <f t="shared" si="98"/>
        <v>417.44000000000005</v>
      </c>
      <c r="Q315" s="88"/>
      <c r="R315" s="88">
        <f t="shared" si="99"/>
        <v>278.29333333326997</v>
      </c>
      <c r="S315" s="88">
        <f t="shared" si="100"/>
        <v>695.73333333327002</v>
      </c>
      <c r="T315" s="88">
        <f t="shared" si="101"/>
        <v>556.58666666672991</v>
      </c>
    </row>
    <row r="316" spans="1:20" s="1" customFormat="1" ht="13.5" customHeight="1">
      <c r="E316" s="10"/>
      <c r="I316" s="10"/>
      <c r="J316" s="4"/>
      <c r="K316" s="71"/>
      <c r="L316" s="72"/>
      <c r="M316" s="72"/>
      <c r="N316" s="72"/>
      <c r="O316" s="72"/>
      <c r="P316" s="72"/>
      <c r="Q316" s="72"/>
      <c r="R316" s="72"/>
      <c r="S316" s="72"/>
      <c r="T316" s="72"/>
    </row>
    <row r="317" spans="1:20" ht="13.5" customHeight="1">
      <c r="D317" s="124" t="s">
        <v>267</v>
      </c>
      <c r="E317" s="125"/>
      <c r="F317" s="126"/>
      <c r="G317" s="126"/>
      <c r="H317" s="126"/>
      <c r="I317" s="125"/>
      <c r="J317" s="132"/>
      <c r="K317" s="133"/>
      <c r="L317" s="134">
        <f>SUM(L302:L316)</f>
        <v>25004.73</v>
      </c>
      <c r="M317" s="134">
        <f t="shared" ref="M317:S317" si="103">SUM(M302:M316)</f>
        <v>25004.73</v>
      </c>
      <c r="N317" s="134">
        <f t="shared" si="103"/>
        <v>563.23511111111111</v>
      </c>
      <c r="O317" s="134">
        <f t="shared" si="103"/>
        <v>6758.8213333333333</v>
      </c>
      <c r="P317" s="134">
        <f>SUM(P302:P316)</f>
        <v>433.06416666669514</v>
      </c>
      <c r="Q317" s="134">
        <f t="shared" si="103"/>
        <v>0</v>
      </c>
      <c r="R317" s="134">
        <f>SUM(R302:R316)</f>
        <v>24015.079166666572</v>
      </c>
      <c r="S317" s="134">
        <f t="shared" si="103"/>
        <v>24448.143333333272</v>
      </c>
      <c r="T317" s="134">
        <f>SUM(T302:T316)</f>
        <v>556.58666666672991</v>
      </c>
    </row>
    <row r="318" spans="1:20" ht="13.5" customHeight="1">
      <c r="D318" s="104"/>
      <c r="E318" s="100"/>
      <c r="G318" s="95"/>
      <c r="I318" s="100"/>
      <c r="K318" s="136"/>
      <c r="L318" s="137"/>
      <c r="M318" s="137"/>
      <c r="N318" s="137"/>
      <c r="O318" s="137"/>
      <c r="P318" s="137"/>
      <c r="Q318" s="137"/>
      <c r="R318" s="137"/>
      <c r="S318" s="137"/>
      <c r="T318" s="137"/>
    </row>
    <row r="319" spans="1:20" ht="13.5" customHeight="1">
      <c r="D319" s="116" t="s">
        <v>268</v>
      </c>
      <c r="E319" s="100"/>
      <c r="G319" s="95"/>
      <c r="I319" s="100"/>
      <c r="K319" s="130"/>
      <c r="L319" s="122"/>
      <c r="M319" s="122"/>
      <c r="N319" s="122"/>
      <c r="O319" s="122"/>
      <c r="P319" s="122"/>
      <c r="Q319" s="122"/>
      <c r="R319" s="122"/>
      <c r="S319" s="122"/>
      <c r="T319" s="122"/>
    </row>
    <row r="320" spans="1:20" ht="13.5" customHeight="1">
      <c r="D320" s="95" t="s">
        <v>269</v>
      </c>
      <c r="E320" s="100">
        <v>2004</v>
      </c>
      <c r="F320" s="95">
        <v>1</v>
      </c>
      <c r="G320" s="129">
        <v>0</v>
      </c>
      <c r="H320" s="100" t="s">
        <v>92</v>
      </c>
      <c r="I320" s="100">
        <v>15</v>
      </c>
      <c r="J320" s="97">
        <f t="shared" ref="J320:J331" si="104">E320+I320</f>
        <v>2019</v>
      </c>
      <c r="K320" s="144">
        <f t="shared" ref="K320:K331" si="105">+J320+(F320/12)</f>
        <v>2019.0833333333333</v>
      </c>
      <c r="L320" s="115">
        <v>107246</v>
      </c>
      <c r="M320" s="115">
        <f t="shared" ref="M320:M331" si="106">L320-L320*G320</f>
        <v>107246</v>
      </c>
      <c r="N320" s="115">
        <f t="shared" ref="N320:N331" si="107">M320/I320/12</f>
        <v>595.81111111111113</v>
      </c>
      <c r="O320" s="115">
        <f t="shared" ref="O320:O331" si="108">+N320*12</f>
        <v>7149.7333333333336</v>
      </c>
      <c r="P320" s="115">
        <f t="shared" ref="P320:P331" si="109">+IF($K320&lt;$N$7,0,IF($K320&gt;$N$6,$O320,((($K320-$N$7)*12)*$N320)))</f>
        <v>0</v>
      </c>
      <c r="Q320" s="115"/>
      <c r="R320" s="115">
        <f t="shared" ref="R320:R331" si="110">+IF($K320&lt;=$N$7,$L320,IF(($E320+($F320/12))&gt;=$N$7,0,((($M320-((($K320-$N$7)*12)*$N320))))))</f>
        <v>107246</v>
      </c>
      <c r="S320" s="115">
        <f t="shared" ref="S320:S331" si="111">+IF(P320=0,R320,R320+P320)</f>
        <v>107246</v>
      </c>
      <c r="T320" s="115">
        <f t="shared" ref="T320:T331" si="112">+L320-S320</f>
        <v>0</v>
      </c>
    </row>
    <row r="321" spans="1:20" ht="13.5" customHeight="1">
      <c r="D321" s="113" t="s">
        <v>270</v>
      </c>
      <c r="E321" s="100">
        <v>2007</v>
      </c>
      <c r="F321" s="95">
        <v>4</v>
      </c>
      <c r="G321" s="129">
        <v>0</v>
      </c>
      <c r="H321" s="100" t="s">
        <v>92</v>
      </c>
      <c r="I321" s="100">
        <v>3</v>
      </c>
      <c r="J321" s="97">
        <f t="shared" si="104"/>
        <v>2010</v>
      </c>
      <c r="K321" s="144">
        <f t="shared" si="105"/>
        <v>2010.3333333333333</v>
      </c>
      <c r="L321" s="115">
        <v>5766</v>
      </c>
      <c r="M321" s="115">
        <f t="shared" si="106"/>
        <v>5766</v>
      </c>
      <c r="N321" s="115">
        <f t="shared" si="107"/>
        <v>160.16666666666666</v>
      </c>
      <c r="O321" s="115">
        <f t="shared" si="108"/>
        <v>1922</v>
      </c>
      <c r="P321" s="115">
        <f t="shared" si="109"/>
        <v>0</v>
      </c>
      <c r="Q321" s="115"/>
      <c r="R321" s="115">
        <f t="shared" si="110"/>
        <v>5766</v>
      </c>
      <c r="S321" s="115">
        <f t="shared" si="111"/>
        <v>5766</v>
      </c>
      <c r="T321" s="115">
        <f t="shared" si="112"/>
        <v>0</v>
      </c>
    </row>
    <row r="322" spans="1:20" ht="13.5" customHeight="1">
      <c r="D322" s="113" t="s">
        <v>271</v>
      </c>
      <c r="E322" s="100">
        <v>2010</v>
      </c>
      <c r="F322" s="95">
        <v>4</v>
      </c>
      <c r="G322" s="129">
        <v>0</v>
      </c>
      <c r="H322" s="100" t="s">
        <v>92</v>
      </c>
      <c r="I322" s="100">
        <v>20</v>
      </c>
      <c r="J322" s="97">
        <f t="shared" si="104"/>
        <v>2030</v>
      </c>
      <c r="K322" s="144">
        <f t="shared" si="105"/>
        <v>2030.3333333333333</v>
      </c>
      <c r="L322" s="115">
        <v>7530</v>
      </c>
      <c r="M322" s="115">
        <f t="shared" si="106"/>
        <v>7530</v>
      </c>
      <c r="N322" s="115">
        <f t="shared" si="107"/>
        <v>31.375</v>
      </c>
      <c r="O322" s="115">
        <f t="shared" si="108"/>
        <v>376.5</v>
      </c>
      <c r="P322" s="115">
        <f t="shared" si="109"/>
        <v>376.5</v>
      </c>
      <c r="Q322" s="115"/>
      <c r="R322" s="115">
        <f t="shared" si="110"/>
        <v>4423.875</v>
      </c>
      <c r="S322" s="115">
        <f t="shared" si="111"/>
        <v>4800.375</v>
      </c>
      <c r="T322" s="115">
        <f t="shared" si="112"/>
        <v>2729.625</v>
      </c>
    </row>
    <row r="323" spans="1:20" ht="13.5" customHeight="1">
      <c r="D323" s="113" t="s">
        <v>272</v>
      </c>
      <c r="E323" s="100">
        <v>2010</v>
      </c>
      <c r="F323" s="95">
        <v>7</v>
      </c>
      <c r="G323" s="129">
        <v>0</v>
      </c>
      <c r="H323" s="100" t="s">
        <v>92</v>
      </c>
      <c r="I323" s="100">
        <v>20</v>
      </c>
      <c r="J323" s="97">
        <f t="shared" si="104"/>
        <v>2030</v>
      </c>
      <c r="K323" s="144">
        <f t="shared" si="105"/>
        <v>2030.5833333333333</v>
      </c>
      <c r="L323" s="115">
        <f>33338.77-4363.77</f>
        <v>28974.999999999996</v>
      </c>
      <c r="M323" s="115">
        <f t="shared" si="106"/>
        <v>28974.999999999996</v>
      </c>
      <c r="N323" s="115">
        <f t="shared" si="107"/>
        <v>120.72916666666664</v>
      </c>
      <c r="O323" s="115">
        <f t="shared" si="108"/>
        <v>1448.7499999999998</v>
      </c>
      <c r="P323" s="115">
        <f t="shared" si="109"/>
        <v>1448.7499999999998</v>
      </c>
      <c r="Q323" s="115"/>
      <c r="R323" s="115">
        <f t="shared" si="110"/>
        <v>16660.625</v>
      </c>
      <c r="S323" s="115">
        <f t="shared" si="111"/>
        <v>18109.375</v>
      </c>
      <c r="T323" s="115">
        <f t="shared" si="112"/>
        <v>10865.624999999996</v>
      </c>
    </row>
    <row r="324" spans="1:20" ht="13.5" customHeight="1">
      <c r="D324" s="113" t="s">
        <v>273</v>
      </c>
      <c r="E324" s="100">
        <v>2011</v>
      </c>
      <c r="F324" s="95">
        <v>8</v>
      </c>
      <c r="G324" s="129">
        <v>0</v>
      </c>
      <c r="H324" s="100" t="s">
        <v>92</v>
      </c>
      <c r="I324" s="100">
        <v>25</v>
      </c>
      <c r="J324" s="97">
        <f t="shared" si="104"/>
        <v>2036</v>
      </c>
      <c r="K324" s="144">
        <f t="shared" si="105"/>
        <v>2036.6666666666667</v>
      </c>
      <c r="L324" s="115">
        <f>1599.75+620.92</f>
        <v>2220.67</v>
      </c>
      <c r="M324" s="115">
        <f t="shared" si="106"/>
        <v>2220.67</v>
      </c>
      <c r="N324" s="115">
        <f t="shared" si="107"/>
        <v>7.4022333333333341</v>
      </c>
      <c r="O324" s="115">
        <f t="shared" si="108"/>
        <v>88.826800000000006</v>
      </c>
      <c r="P324" s="115">
        <f t="shared" si="109"/>
        <v>88.826800000000006</v>
      </c>
      <c r="Q324" s="115"/>
      <c r="R324" s="115">
        <f t="shared" si="110"/>
        <v>925.27916666665305</v>
      </c>
      <c r="S324" s="115">
        <f t="shared" si="111"/>
        <v>1014.1059666666531</v>
      </c>
      <c r="T324" s="115">
        <f t="shared" si="112"/>
        <v>1206.564033333347</v>
      </c>
    </row>
    <row r="325" spans="1:20" ht="13.5" customHeight="1">
      <c r="D325" s="113" t="s">
        <v>274</v>
      </c>
      <c r="E325" s="100">
        <v>2011</v>
      </c>
      <c r="F325" s="95">
        <v>12</v>
      </c>
      <c r="G325" s="129">
        <v>0</v>
      </c>
      <c r="H325" s="100" t="s">
        <v>92</v>
      </c>
      <c r="I325" s="100">
        <v>12</v>
      </c>
      <c r="J325" s="97">
        <f t="shared" si="104"/>
        <v>2023</v>
      </c>
      <c r="K325" s="144">
        <f t="shared" si="105"/>
        <v>2024</v>
      </c>
      <c r="L325" s="115">
        <v>11393</v>
      </c>
      <c r="M325" s="115">
        <f t="shared" si="106"/>
        <v>11393</v>
      </c>
      <c r="N325" s="115">
        <f t="shared" si="107"/>
        <v>79.118055555555557</v>
      </c>
      <c r="O325" s="115">
        <f t="shared" si="108"/>
        <v>949.41666666666674</v>
      </c>
      <c r="P325" s="115">
        <f t="shared" si="109"/>
        <v>949.41666666666674</v>
      </c>
      <c r="Q325" s="115"/>
      <c r="R325" s="115">
        <f t="shared" si="110"/>
        <v>9573.2847222221499</v>
      </c>
      <c r="S325" s="115">
        <f t="shared" si="111"/>
        <v>10522.701388888816</v>
      </c>
      <c r="T325" s="115">
        <f t="shared" si="112"/>
        <v>870.29861111118407</v>
      </c>
    </row>
    <row r="326" spans="1:20" ht="13.5" customHeight="1">
      <c r="D326" s="113" t="s">
        <v>275</v>
      </c>
      <c r="E326" s="100">
        <v>2012</v>
      </c>
      <c r="F326" s="95">
        <v>8</v>
      </c>
      <c r="G326" s="129">
        <v>0</v>
      </c>
      <c r="H326" s="100" t="s">
        <v>92</v>
      </c>
      <c r="I326" s="100">
        <v>25</v>
      </c>
      <c r="J326" s="97">
        <f t="shared" si="104"/>
        <v>2037</v>
      </c>
      <c r="K326" s="144">
        <f t="shared" si="105"/>
        <v>2037.6666666666667</v>
      </c>
      <c r="L326" s="115">
        <v>31560</v>
      </c>
      <c r="M326" s="115">
        <f t="shared" si="106"/>
        <v>31560</v>
      </c>
      <c r="N326" s="115">
        <f t="shared" si="107"/>
        <v>105.2</v>
      </c>
      <c r="O326" s="115">
        <f t="shared" si="108"/>
        <v>1262.4000000000001</v>
      </c>
      <c r="P326" s="115">
        <f t="shared" si="109"/>
        <v>1262.4000000000001</v>
      </c>
      <c r="Q326" s="115"/>
      <c r="R326" s="115">
        <f t="shared" si="110"/>
        <v>11887.599999999809</v>
      </c>
      <c r="S326" s="115">
        <f t="shared" si="111"/>
        <v>13149.999999999809</v>
      </c>
      <c r="T326" s="115">
        <f t="shared" si="112"/>
        <v>18410.000000000189</v>
      </c>
    </row>
    <row r="327" spans="1:20" ht="13.5" customHeight="1">
      <c r="B327" s="95">
        <v>107484</v>
      </c>
      <c r="D327" s="113" t="s">
        <v>276</v>
      </c>
      <c r="E327" s="100">
        <v>2013</v>
      </c>
      <c r="F327" s="95">
        <v>8</v>
      </c>
      <c r="G327" s="129">
        <v>0</v>
      </c>
      <c r="H327" s="100" t="s">
        <v>92</v>
      </c>
      <c r="I327" s="100">
        <v>10</v>
      </c>
      <c r="J327" s="97">
        <f t="shared" si="104"/>
        <v>2023</v>
      </c>
      <c r="K327" s="144">
        <f t="shared" si="105"/>
        <v>2023.6666666666667</v>
      </c>
      <c r="L327" s="115">
        <v>11556.16</v>
      </c>
      <c r="M327" s="115">
        <f t="shared" si="106"/>
        <v>11556.16</v>
      </c>
      <c r="N327" s="115">
        <f t="shared" si="107"/>
        <v>96.301333333333332</v>
      </c>
      <c r="O327" s="115">
        <f t="shared" si="108"/>
        <v>1155.616</v>
      </c>
      <c r="P327" s="115">
        <f t="shared" si="109"/>
        <v>1155.616</v>
      </c>
      <c r="Q327" s="115"/>
      <c r="R327" s="115">
        <f t="shared" si="110"/>
        <v>9726.4346666664915</v>
      </c>
      <c r="S327" s="115">
        <f t="shared" si="111"/>
        <v>10882.050666666491</v>
      </c>
      <c r="T327" s="115">
        <f t="shared" si="112"/>
        <v>674.1093333335084</v>
      </c>
    </row>
    <row r="328" spans="1:20" ht="13.5" customHeight="1">
      <c r="B328" s="95">
        <v>107856</v>
      </c>
      <c r="D328" s="113" t="s">
        <v>277</v>
      </c>
      <c r="E328" s="100">
        <v>2013</v>
      </c>
      <c r="F328" s="95">
        <v>8</v>
      </c>
      <c r="G328" s="129">
        <v>0</v>
      </c>
      <c r="H328" s="100" t="s">
        <v>92</v>
      </c>
      <c r="I328" s="100">
        <v>10</v>
      </c>
      <c r="J328" s="97">
        <f t="shared" si="104"/>
        <v>2023</v>
      </c>
      <c r="K328" s="144">
        <f t="shared" si="105"/>
        <v>2023.6666666666667</v>
      </c>
      <c r="L328" s="115">
        <v>32340</v>
      </c>
      <c r="M328" s="115">
        <f t="shared" si="106"/>
        <v>32340</v>
      </c>
      <c r="N328" s="115">
        <f t="shared" si="107"/>
        <v>269.5</v>
      </c>
      <c r="O328" s="115">
        <f t="shared" si="108"/>
        <v>3234</v>
      </c>
      <c r="P328" s="115">
        <f t="shared" si="109"/>
        <v>3234</v>
      </c>
      <c r="Q328" s="115"/>
      <c r="R328" s="115">
        <f t="shared" si="110"/>
        <v>27219.499999999509</v>
      </c>
      <c r="S328" s="115">
        <f t="shared" si="111"/>
        <v>30453.499999999509</v>
      </c>
      <c r="T328" s="115">
        <f t="shared" si="112"/>
        <v>1886.5000000004911</v>
      </c>
    </row>
    <row r="329" spans="1:20" ht="13.5" customHeight="1">
      <c r="A329" s="95">
        <v>124346</v>
      </c>
      <c r="D329" s="113" t="s">
        <v>278</v>
      </c>
      <c r="E329" s="100">
        <v>2015</v>
      </c>
      <c r="F329" s="95">
        <v>7</v>
      </c>
      <c r="G329" s="129">
        <v>0</v>
      </c>
      <c r="H329" s="100" t="s">
        <v>92</v>
      </c>
      <c r="I329" s="100">
        <v>10</v>
      </c>
      <c r="J329" s="97">
        <f t="shared" si="104"/>
        <v>2025</v>
      </c>
      <c r="K329" s="144">
        <f t="shared" si="105"/>
        <v>2025.5833333333333</v>
      </c>
      <c r="L329" s="115">
        <v>26050.41</v>
      </c>
      <c r="M329" s="115">
        <f t="shared" si="106"/>
        <v>26050.41</v>
      </c>
      <c r="N329" s="115">
        <f t="shared" si="107"/>
        <v>217.08675000000002</v>
      </c>
      <c r="O329" s="115">
        <f t="shared" si="108"/>
        <v>2605.0410000000002</v>
      </c>
      <c r="P329" s="115">
        <f t="shared" si="109"/>
        <v>2605.0410000000002</v>
      </c>
      <c r="Q329" s="115"/>
      <c r="R329" s="115">
        <f t="shared" si="110"/>
        <v>16932.766499999998</v>
      </c>
      <c r="S329" s="115">
        <f t="shared" si="111"/>
        <v>19537.807499999999</v>
      </c>
      <c r="T329" s="115">
        <f t="shared" si="112"/>
        <v>6512.6025000000009</v>
      </c>
    </row>
    <row r="330" spans="1:20" ht="13.5" customHeight="1">
      <c r="A330" s="95" t="s">
        <v>292</v>
      </c>
      <c r="D330" s="113" t="s">
        <v>293</v>
      </c>
      <c r="E330" s="100">
        <v>2017</v>
      </c>
      <c r="F330" s="95">
        <v>7</v>
      </c>
      <c r="G330" s="129">
        <v>0</v>
      </c>
      <c r="H330" s="100" t="s">
        <v>92</v>
      </c>
      <c r="I330" s="100">
        <v>5</v>
      </c>
      <c r="J330" s="97">
        <f t="shared" si="104"/>
        <v>2022</v>
      </c>
      <c r="K330" s="144">
        <f t="shared" si="105"/>
        <v>2022.5833333333333</v>
      </c>
      <c r="L330" s="115">
        <v>344.96</v>
      </c>
      <c r="M330" s="115">
        <f t="shared" si="106"/>
        <v>344.96</v>
      </c>
      <c r="N330" s="115">
        <f t="shared" si="107"/>
        <v>5.7493333333333325</v>
      </c>
      <c r="O330" s="115">
        <f t="shared" si="108"/>
        <v>68.99199999999999</v>
      </c>
      <c r="P330" s="115">
        <f t="shared" si="109"/>
        <v>34.495999999999995</v>
      </c>
      <c r="Q330" s="115"/>
      <c r="R330" s="115">
        <f t="shared" si="110"/>
        <v>310.464</v>
      </c>
      <c r="S330" s="115">
        <f t="shared" si="111"/>
        <v>344.96</v>
      </c>
      <c r="T330" s="115">
        <f t="shared" si="112"/>
        <v>0</v>
      </c>
    </row>
    <row r="331" spans="1:20" ht="13.5" customHeight="1">
      <c r="A331" s="95">
        <v>184583</v>
      </c>
      <c r="D331" s="113" t="s">
        <v>294</v>
      </c>
      <c r="E331" s="100">
        <v>2017</v>
      </c>
      <c r="F331" s="95">
        <v>7</v>
      </c>
      <c r="G331" s="129">
        <v>0</v>
      </c>
      <c r="H331" s="100" t="s">
        <v>92</v>
      </c>
      <c r="I331" s="100">
        <v>3</v>
      </c>
      <c r="J331" s="97">
        <f t="shared" si="104"/>
        <v>2020</v>
      </c>
      <c r="K331" s="144">
        <f t="shared" si="105"/>
        <v>2020.5833333333333</v>
      </c>
      <c r="L331" s="115">
        <v>1046.58</v>
      </c>
      <c r="M331" s="115">
        <f t="shared" si="106"/>
        <v>1046.58</v>
      </c>
      <c r="N331" s="115">
        <f t="shared" si="107"/>
        <v>29.071666666666662</v>
      </c>
      <c r="O331" s="115">
        <f t="shared" si="108"/>
        <v>348.85999999999996</v>
      </c>
      <c r="P331" s="115">
        <f t="shared" si="109"/>
        <v>0</v>
      </c>
      <c r="Q331" s="115"/>
      <c r="R331" s="115">
        <f t="shared" si="110"/>
        <v>1046.58</v>
      </c>
      <c r="S331" s="115">
        <f t="shared" si="111"/>
        <v>1046.58</v>
      </c>
      <c r="T331" s="115">
        <f t="shared" si="112"/>
        <v>0</v>
      </c>
    </row>
    <row r="332" spans="1:20">
      <c r="E332" s="100"/>
      <c r="G332" s="95"/>
      <c r="I332" s="100"/>
      <c r="K332" s="130"/>
      <c r="L332" s="122"/>
      <c r="M332" s="122"/>
      <c r="N332" s="122"/>
      <c r="O332" s="122"/>
      <c r="P332" s="122"/>
      <c r="Q332" s="122"/>
      <c r="R332" s="122"/>
      <c r="S332" s="122"/>
      <c r="T332" s="122"/>
    </row>
    <row r="333" spans="1:20" s="116" customFormat="1">
      <c r="D333" s="124" t="s">
        <v>279</v>
      </c>
      <c r="E333" s="118"/>
      <c r="F333" s="117"/>
      <c r="G333" s="117"/>
      <c r="H333" s="117"/>
      <c r="I333" s="118"/>
      <c r="J333" s="119"/>
      <c r="K333" s="133"/>
      <c r="L333" s="120">
        <f>SUM(L320:L332)</f>
        <v>266028.78000000003</v>
      </c>
      <c r="M333" s="120">
        <f t="shared" ref="M333:S333" si="113">SUM(M320:M332)</f>
        <v>266028.78000000003</v>
      </c>
      <c r="N333" s="120">
        <f t="shared" si="113"/>
        <v>1717.5113166666667</v>
      </c>
      <c r="O333" s="120">
        <f t="shared" si="113"/>
        <v>20610.1358</v>
      </c>
      <c r="P333" s="120">
        <f t="shared" si="113"/>
        <v>11155.046466666667</v>
      </c>
      <c r="Q333" s="120">
        <f t="shared" si="113"/>
        <v>0</v>
      </c>
      <c r="R333" s="120">
        <f t="shared" si="113"/>
        <v>211718.4090555546</v>
      </c>
      <c r="S333" s="120">
        <f t="shared" si="113"/>
        <v>222873.45552222125</v>
      </c>
      <c r="T333" s="120">
        <f>SUM(T320:T332)</f>
        <v>43155.324477778711</v>
      </c>
    </row>
    <row r="334" spans="1:20">
      <c r="E334" s="100"/>
      <c r="G334" s="95"/>
      <c r="I334" s="10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</row>
    <row r="335" spans="1:20" s="1" customFormat="1">
      <c r="E335" s="10"/>
      <c r="I335" s="10"/>
      <c r="J335" s="4"/>
      <c r="K335" s="51"/>
      <c r="L335" s="51"/>
      <c r="M335" s="51"/>
      <c r="N335" s="51"/>
      <c r="O335" s="51"/>
      <c r="P335" s="51"/>
      <c r="Q335" s="51"/>
      <c r="R335" s="51"/>
      <c r="S335" s="51"/>
      <c r="T335" s="51"/>
    </row>
    <row r="336" spans="1:20" s="1" customFormat="1" ht="12" thickBot="1">
      <c r="D336" s="76" t="s">
        <v>280</v>
      </c>
      <c r="E336" s="77"/>
      <c r="F336" s="78"/>
      <c r="G336" s="78"/>
      <c r="H336" s="78"/>
      <c r="I336" s="77"/>
      <c r="J336" s="79"/>
      <c r="K336" s="80"/>
      <c r="L336" s="81">
        <f t="shared" ref="L336:S336" si="114">L333+L317+L300+L268+L259+L218+L183+L232</f>
        <v>1629252.7250000001</v>
      </c>
      <c r="M336" s="81">
        <f t="shared" si="114"/>
        <v>1629012.7250000001</v>
      </c>
      <c r="N336" s="81">
        <f t="shared" si="114"/>
        <v>15536.582519047617</v>
      </c>
      <c r="O336" s="81">
        <f t="shared" si="114"/>
        <v>186438.99022857143</v>
      </c>
      <c r="P336" s="81">
        <f t="shared" si="114"/>
        <v>84878.416686905592</v>
      </c>
      <c r="Q336" s="81">
        <f t="shared" si="114"/>
        <v>0</v>
      </c>
      <c r="R336" s="81">
        <f t="shared" si="114"/>
        <v>1202651.4555099162</v>
      </c>
      <c r="S336" s="81">
        <f t="shared" si="114"/>
        <v>1287529.8721968215</v>
      </c>
      <c r="T336" s="81">
        <f>T333+T317+T300+T268+T259+T218+T183+T232</f>
        <v>341722.85280317854</v>
      </c>
    </row>
    <row r="337" spans="1:20" s="1" customFormat="1" ht="12" thickTop="1">
      <c r="E337" s="10"/>
      <c r="I337" s="10"/>
      <c r="J337" s="4"/>
      <c r="K337" s="51"/>
      <c r="L337" s="51"/>
      <c r="M337" s="51"/>
      <c r="N337" s="51"/>
      <c r="O337" s="51"/>
      <c r="P337" s="51"/>
      <c r="Q337" s="51"/>
      <c r="R337" s="51"/>
      <c r="S337" s="51"/>
      <c r="T337" s="51"/>
    </row>
    <row r="338" spans="1:20" s="1" customFormat="1">
      <c r="C338" s="10"/>
      <c r="D338" s="4"/>
      <c r="E338" s="51"/>
      <c r="G338" s="51"/>
      <c r="J338" s="4"/>
      <c r="K338" s="51"/>
      <c r="L338" s="51"/>
      <c r="M338" s="51"/>
      <c r="N338" s="51"/>
      <c r="O338" s="51"/>
      <c r="P338" s="51"/>
      <c r="Q338" s="51"/>
      <c r="R338" s="51"/>
      <c r="S338" s="51"/>
      <c r="T338" s="51"/>
    </row>
    <row r="339" spans="1:20" s="1" customFormat="1">
      <c r="E339" s="66"/>
      <c r="F339" s="66"/>
      <c r="G339" s="66"/>
      <c r="H339" s="66"/>
      <c r="I339" s="66"/>
      <c r="J339" s="4"/>
      <c r="K339" s="66"/>
      <c r="L339" s="66"/>
      <c r="M339" s="66"/>
      <c r="N339" s="66"/>
      <c r="O339" s="66"/>
      <c r="P339" s="66"/>
      <c r="Q339" s="66"/>
      <c r="R339" s="66"/>
      <c r="S339" s="66"/>
      <c r="T339" s="66"/>
    </row>
    <row r="340" spans="1:20" s="1" customFormat="1" hidden="1" outlineLevel="1">
      <c r="E340" s="66"/>
      <c r="F340" s="66"/>
      <c r="G340" s="66"/>
      <c r="H340" s="66"/>
      <c r="I340" s="66"/>
      <c r="J340" s="4"/>
      <c r="K340" s="66"/>
      <c r="L340" s="66"/>
      <c r="M340" s="66"/>
      <c r="N340" s="66"/>
      <c r="O340" s="66"/>
      <c r="P340" s="66"/>
      <c r="Q340" s="66"/>
      <c r="R340" s="66"/>
      <c r="S340" s="66"/>
      <c r="T340" s="66"/>
    </row>
    <row r="341" spans="1:20" s="1" customFormat="1" hidden="1" outlineLevel="1">
      <c r="D341" s="156" t="s">
        <v>311</v>
      </c>
      <c r="E341" s="75"/>
      <c r="F341" s="75"/>
      <c r="G341" s="75"/>
      <c r="H341" s="75"/>
      <c r="I341" s="75"/>
      <c r="J341" s="36"/>
      <c r="K341" s="75"/>
      <c r="L341" s="75"/>
      <c r="M341" s="75"/>
      <c r="N341" s="75"/>
      <c r="O341" s="75"/>
      <c r="P341" s="75"/>
      <c r="Q341" s="75"/>
      <c r="R341" s="75"/>
      <c r="S341" s="75"/>
      <c r="T341" s="75"/>
    </row>
    <row r="342" spans="1:20" s="3" customFormat="1" hidden="1" outlineLevel="1">
      <c r="A342" s="3">
        <v>168614</v>
      </c>
      <c r="C342" s="3">
        <v>409</v>
      </c>
      <c r="D342" s="3" t="s">
        <v>289</v>
      </c>
      <c r="E342" s="148">
        <v>2008</v>
      </c>
      <c r="F342" s="3">
        <v>10</v>
      </c>
      <c r="G342" s="157">
        <v>0</v>
      </c>
      <c r="H342" s="148" t="s">
        <v>92</v>
      </c>
      <c r="I342" s="148">
        <v>3</v>
      </c>
      <c r="J342" s="158">
        <f>E342+I342</f>
        <v>2011</v>
      </c>
      <c r="K342" s="159"/>
      <c r="L342" s="160">
        <v>2500</v>
      </c>
      <c r="M342" s="160">
        <f>L342-L342*G342</f>
        <v>2500</v>
      </c>
      <c r="N342" s="160">
        <f>M342/I342/12</f>
        <v>69.444444444444443</v>
      </c>
      <c r="O342" s="160">
        <f>+N342*12</f>
        <v>833.33333333333326</v>
      </c>
      <c r="P342" s="160">
        <f t="shared" ref="P342:P345" si="115">+IF(K342&lt;=$M$5,0,IF(J342&gt;$M$4,O342,(N342*F342)))</f>
        <v>0</v>
      </c>
      <c r="Q342" s="160"/>
      <c r="R342" s="160">
        <f t="shared" ref="R342:R345" si="116">+IF(P342=0,M342,IF($M$3-E342&lt;1,0,(($M$3-E342)*O342)))</f>
        <v>2500</v>
      </c>
      <c r="S342" s="160">
        <f t="shared" ref="S342:S345" si="117">+IF(P342=0,R342,R342+P342)</f>
        <v>2500</v>
      </c>
      <c r="T342" s="160">
        <f t="shared" ref="T342:T345" si="118">+L342-S342</f>
        <v>0</v>
      </c>
    </row>
    <row r="343" spans="1:20" s="1" customFormat="1" hidden="1" outlineLevel="1">
      <c r="D343" s="27" t="s">
        <v>249</v>
      </c>
      <c r="E343" s="10">
        <v>2011</v>
      </c>
      <c r="F343" s="1">
        <v>7</v>
      </c>
      <c r="G343" s="50">
        <v>0</v>
      </c>
      <c r="H343" s="10" t="s">
        <v>92</v>
      </c>
      <c r="I343" s="10">
        <v>5</v>
      </c>
      <c r="J343" s="4">
        <f>E343+I343</f>
        <v>2016</v>
      </c>
      <c r="K343" s="51"/>
      <c r="L343" s="29">
        <f>+'2120 Depr - Orig'!P280</f>
        <v>20099.805699999997</v>
      </c>
      <c r="M343" s="29">
        <f>L343-L343*G343</f>
        <v>20099.805699999997</v>
      </c>
      <c r="N343" s="29">
        <f>M343/I343/12</f>
        <v>334.9967616666666</v>
      </c>
      <c r="O343" s="29">
        <f>+N343*12</f>
        <v>4019.9611399999994</v>
      </c>
      <c r="P343" s="29">
        <f t="shared" si="115"/>
        <v>0</v>
      </c>
      <c r="Q343" s="29"/>
      <c r="R343" s="29">
        <f t="shared" si="116"/>
        <v>20099.805699999997</v>
      </c>
      <c r="S343" s="29">
        <f t="shared" si="117"/>
        <v>20099.805699999997</v>
      </c>
      <c r="T343" s="29">
        <f t="shared" si="118"/>
        <v>0</v>
      </c>
    </row>
    <row r="344" spans="1:20" s="3" customFormat="1" hidden="1" outlineLevel="1">
      <c r="D344" s="147" t="s">
        <v>335</v>
      </c>
      <c r="E344" s="148">
        <v>2017</v>
      </c>
      <c r="F344" s="3">
        <v>1</v>
      </c>
      <c r="G344" s="157">
        <v>0</v>
      </c>
      <c r="H344" s="148" t="s">
        <v>92</v>
      </c>
      <c r="I344" s="148">
        <f>+IF(I343-$M$4&gt;=3,I343-$M$4,3)</f>
        <v>5</v>
      </c>
      <c r="J344" s="158">
        <f>E344+I344</f>
        <v>2022</v>
      </c>
      <c r="K344" s="161"/>
      <c r="L344" s="152">
        <f>+'2120 Depr - Orig'!N280-'Depr - Cont, Shop, Serv, Office'!L343</f>
        <v>9899.904300000002</v>
      </c>
      <c r="M344" s="152">
        <f>L344-L344*G344</f>
        <v>9899.904300000002</v>
      </c>
      <c r="N344" s="152">
        <f>M344/I344/12</f>
        <v>164.99840500000002</v>
      </c>
      <c r="O344" s="152">
        <f>+N344*12</f>
        <v>1979.9808600000001</v>
      </c>
      <c r="P344" s="152">
        <f t="shared" si="115"/>
        <v>0</v>
      </c>
      <c r="Q344" s="152"/>
      <c r="R344" s="152">
        <f t="shared" si="116"/>
        <v>9899.904300000002</v>
      </c>
      <c r="S344" s="152">
        <f t="shared" si="117"/>
        <v>9899.904300000002</v>
      </c>
      <c r="T344" s="152">
        <f t="shared" si="118"/>
        <v>0</v>
      </c>
    </row>
    <row r="345" spans="1:20" s="1" customFormat="1" hidden="1" outlineLevel="1">
      <c r="C345" s="1">
        <f>325+350</f>
        <v>675</v>
      </c>
      <c r="D345" s="27" t="s">
        <v>212</v>
      </c>
      <c r="E345" s="10">
        <v>2005</v>
      </c>
      <c r="F345" s="1">
        <v>3</v>
      </c>
      <c r="G345" s="50">
        <v>0</v>
      </c>
      <c r="H345" s="10" t="s">
        <v>92</v>
      </c>
      <c r="I345" s="10">
        <v>10</v>
      </c>
      <c r="J345" s="4">
        <f>E345+I345</f>
        <v>2015</v>
      </c>
      <c r="K345" s="51"/>
      <c r="L345" s="29">
        <v>25795.88</v>
      </c>
      <c r="M345" s="29">
        <f>L345-L345*G345</f>
        <v>25795.88</v>
      </c>
      <c r="N345" s="29">
        <f>M345/I345/12</f>
        <v>214.96566666666669</v>
      </c>
      <c r="O345" s="29">
        <f>+N345*12</f>
        <v>2579.5880000000002</v>
      </c>
      <c r="P345" s="29">
        <f t="shared" si="115"/>
        <v>0</v>
      </c>
      <c r="Q345" s="29"/>
      <c r="R345" s="29">
        <f t="shared" si="116"/>
        <v>25795.88</v>
      </c>
      <c r="S345" s="29">
        <f t="shared" si="117"/>
        <v>25795.88</v>
      </c>
      <c r="T345" s="29">
        <f t="shared" si="118"/>
        <v>0</v>
      </c>
    </row>
    <row r="346" spans="1:20" s="1" customFormat="1" hidden="1" outlineLevel="1">
      <c r="E346" s="66"/>
      <c r="F346" s="66"/>
      <c r="G346" s="66"/>
      <c r="H346" s="66"/>
      <c r="I346" s="66"/>
      <c r="J346" s="4"/>
      <c r="K346" s="66"/>
      <c r="L346" s="66"/>
      <c r="M346" s="66"/>
      <c r="N346" s="66"/>
      <c r="O346" s="66"/>
      <c r="P346" s="66"/>
      <c r="Q346" s="66"/>
      <c r="R346" s="66"/>
      <c r="S346" s="66"/>
      <c r="T346" s="66"/>
    </row>
    <row r="347" spans="1:20" s="1" customFormat="1" hidden="1" outlineLevel="1">
      <c r="E347" s="66"/>
      <c r="F347" s="66"/>
      <c r="G347" s="66"/>
      <c r="H347" s="66"/>
      <c r="I347" s="66"/>
      <c r="J347" s="4"/>
      <c r="K347" s="66"/>
      <c r="L347" s="66"/>
      <c r="M347" s="66"/>
      <c r="N347" s="66"/>
      <c r="O347" s="66"/>
      <c r="P347" s="66"/>
      <c r="Q347" s="66"/>
      <c r="R347" s="66"/>
      <c r="S347" s="66"/>
      <c r="T347" s="66"/>
    </row>
    <row r="348" spans="1:20" hidden="1" outlineLevel="1">
      <c r="E348" s="139"/>
      <c r="F348" s="139"/>
      <c r="G348" s="139"/>
      <c r="H348" s="139"/>
      <c r="I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</row>
    <row r="349" spans="1:20" hidden="1" outlineLevel="1">
      <c r="D349" s="156" t="s">
        <v>1162</v>
      </c>
      <c r="E349" s="139"/>
      <c r="F349" s="139"/>
      <c r="G349" s="139"/>
      <c r="H349" s="139"/>
      <c r="I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</row>
    <row r="350" spans="1:20" s="1" customFormat="1" hidden="1" outlineLevel="1">
      <c r="B350" s="1">
        <v>219445</v>
      </c>
      <c r="C350" s="1">
        <v>6</v>
      </c>
      <c r="D350" s="27" t="s">
        <v>382</v>
      </c>
      <c r="E350" s="10">
        <v>2004</v>
      </c>
      <c r="F350" s="1">
        <v>4</v>
      </c>
      <c r="G350" s="50">
        <v>0</v>
      </c>
      <c r="H350" s="10" t="s">
        <v>92</v>
      </c>
      <c r="I350" s="10">
        <v>12</v>
      </c>
      <c r="J350" s="4">
        <f>E350+I350</f>
        <v>2016</v>
      </c>
      <c r="K350" s="145">
        <f>+J350+(F350/12)</f>
        <v>2016.3333333333333</v>
      </c>
      <c r="L350" s="29">
        <v>2416.04</v>
      </c>
      <c r="M350" s="29">
        <f>L350-L350*G350</f>
        <v>2416.04</v>
      </c>
      <c r="N350" s="29">
        <f>M350/I350/12</f>
        <v>16.778055555555557</v>
      </c>
      <c r="O350" s="29">
        <f>+N350*12</f>
        <v>201.3366666666667</v>
      </c>
      <c r="P350" s="29">
        <f>+IF(K350&lt;=$M$5,0,IF(J350&gt;$M$4,O350,(N350*F350)))</f>
        <v>201.3366666666667</v>
      </c>
      <c r="Q350" s="29"/>
      <c r="R350" s="29">
        <f>+IF(P350=0,M350,IF($M$3-E350&lt;1,0,(($M$3-E350)*O350)))</f>
        <v>0</v>
      </c>
      <c r="S350" s="29">
        <f>+IF(P350=0,R350,R350+P350)</f>
        <v>201.3366666666667</v>
      </c>
      <c r="T350" s="29">
        <f>+L350-S350</f>
        <v>2214.7033333333334</v>
      </c>
    </row>
    <row r="351" spans="1:20" hidden="1" outlineLevel="1">
      <c r="E351" s="139"/>
      <c r="F351" s="139"/>
      <c r="G351" s="139"/>
      <c r="H351" s="139"/>
      <c r="I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</row>
    <row r="352" spans="1:20" hidden="1" outlineLevel="1">
      <c r="E352" s="139"/>
      <c r="F352" s="139"/>
      <c r="G352" s="139"/>
      <c r="H352" s="139"/>
      <c r="I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</row>
    <row r="353" spans="4:20" collapsed="1">
      <c r="E353" s="139"/>
      <c r="F353" s="139"/>
      <c r="G353" s="139"/>
      <c r="H353" s="139"/>
      <c r="I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</row>
    <row r="354" spans="4:20">
      <c r="E354" s="139"/>
      <c r="F354" s="139"/>
      <c r="G354" s="139"/>
      <c r="H354" s="139"/>
      <c r="I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</row>
    <row r="355" spans="4:20">
      <c r="D355" s="116"/>
      <c r="E355" s="140"/>
      <c r="F355" s="140"/>
      <c r="G355" s="140"/>
      <c r="H355" s="140"/>
      <c r="I355" s="140"/>
      <c r="J355" s="121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</row>
    <row r="356" spans="4:20">
      <c r="J356" s="121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</row>
  </sheetData>
  <sortState xmlns:xlrd2="http://schemas.microsoft.com/office/spreadsheetml/2017/richdata2" ref="A176:AW181">
    <sortCondition ref="B176:B181"/>
  </sortState>
  <mergeCells count="3">
    <mergeCell ref="F1:G1"/>
    <mergeCell ref="F2:G2"/>
    <mergeCell ref="B3:C3"/>
  </mergeCells>
  <pageMargins left="0.25" right="0.25" top="0.75" bottom="0.75" header="0.3" footer="0.3"/>
  <pageSetup scale="82" fitToHeight="11" pageOrder="overThenDown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6">
    <pageSetUpPr fitToPage="1"/>
  </sheetPr>
  <dimension ref="A1:IM343"/>
  <sheetViews>
    <sheetView view="pageBreakPreview" topLeftCell="B117" zoomScale="60" zoomScaleNormal="100" workbookViewId="0">
      <selection activeCell="C20" sqref="C20"/>
    </sheetView>
  </sheetViews>
  <sheetFormatPr defaultColWidth="10.7109375" defaultRowHeight="11.25" outlineLevelCol="1"/>
  <cols>
    <col min="1" max="1" width="6.140625" style="1" hidden="1" customWidth="1" outlineLevel="1"/>
    <col min="2" max="2" width="7.85546875" style="1" customWidth="1" collapsed="1"/>
    <col min="3" max="3" width="7.85546875" style="1" customWidth="1"/>
    <col min="4" max="4" width="26.85546875" style="1" customWidth="1"/>
    <col min="5" max="5" width="6.5703125" style="1" customWidth="1"/>
    <col min="6" max="6" width="3.42578125" style="1" bestFit="1" customWidth="1"/>
    <col min="7" max="7" width="7" style="10" bestFit="1" customWidth="1"/>
    <col min="8" max="8" width="1.42578125" style="1" customWidth="1"/>
    <col min="9" max="9" width="6.42578125" style="1" customWidth="1"/>
    <col min="10" max="10" width="5.5703125" style="1" bestFit="1" customWidth="1"/>
    <col min="11" max="11" width="6.7109375" style="4" customWidth="1"/>
    <col min="12" max="12" width="5.7109375" style="1" hidden="1" customWidth="1"/>
    <col min="13" max="13" width="3.85546875" style="1" hidden="1" customWidth="1"/>
    <col min="14" max="14" width="8.7109375" style="5" customWidth="1"/>
    <col min="15" max="15" width="7" style="1" hidden="1" customWidth="1"/>
    <col min="16" max="16" width="9.140625" style="1" customWidth="1"/>
    <col min="17" max="17" width="7.85546875" style="1" customWidth="1"/>
    <col min="18" max="18" width="8" style="1" customWidth="1"/>
    <col min="19" max="19" width="6.85546875" style="1" hidden="1" customWidth="1"/>
    <col min="20" max="20" width="8.28515625" style="1" customWidth="1"/>
    <col min="21" max="21" width="5.140625" style="1" bestFit="1" customWidth="1"/>
    <col min="22" max="22" width="9.85546875" style="1" bestFit="1" customWidth="1"/>
    <col min="23" max="23" width="1.5703125" style="1" customWidth="1"/>
    <col min="24" max="24" width="10.28515625" style="1" customWidth="1"/>
    <col min="25" max="25" width="10.85546875" style="1" bestFit="1" customWidth="1"/>
    <col min="26" max="26" width="6" style="1" bestFit="1" customWidth="1"/>
    <col min="27" max="28" width="9.28515625" style="1" customWidth="1"/>
    <col min="29" max="29" width="9.42578125" style="1" customWidth="1"/>
    <col min="30" max="31" width="7" style="1" hidden="1" customWidth="1"/>
    <col min="32" max="32" width="7.28515625" style="1" hidden="1" customWidth="1"/>
    <col min="33" max="33" width="7" style="1" hidden="1" customWidth="1"/>
    <col min="34" max="34" width="4.5703125" style="1" hidden="1" customWidth="1"/>
    <col min="35" max="64" width="10.7109375" style="1" customWidth="1"/>
    <col min="65" max="65" width="1.85546875" style="1" bestFit="1" customWidth="1"/>
    <col min="66" max="66" width="35.7109375" style="1" bestFit="1" customWidth="1"/>
    <col min="67" max="68" width="10.7109375" style="1" customWidth="1"/>
    <col min="69" max="69" width="2.7109375" style="1" bestFit="1" customWidth="1"/>
    <col min="70" max="70" width="12.140625" style="1" bestFit="1" customWidth="1"/>
    <col min="71" max="246" width="10.7109375" style="1"/>
    <col min="247" max="247" width="7.85546875" style="1" bestFit="1" customWidth="1"/>
    <col min="248" max="248" width="5.28515625" style="1" customWidth="1"/>
    <col min="249" max="249" width="6.42578125" style="1" customWidth="1"/>
    <col min="250" max="250" width="22" style="1" customWidth="1"/>
    <col min="251" max="251" width="7.5703125" style="1" bestFit="1" customWidth="1"/>
    <col min="252" max="252" width="4.42578125" style="1" customWidth="1"/>
    <col min="253" max="253" width="7.42578125" style="1" bestFit="1" customWidth="1"/>
    <col min="254" max="254" width="2.85546875" style="1" bestFit="1" customWidth="1"/>
    <col min="255" max="255" width="7" style="1" bestFit="1" customWidth="1"/>
    <col min="256" max="256" width="5.7109375" style="1" bestFit="1" customWidth="1"/>
    <col min="257" max="257" width="7.85546875" style="1" bestFit="1" customWidth="1"/>
    <col min="258" max="259" width="0" style="1" hidden="1" customWidth="1"/>
    <col min="260" max="260" width="12.5703125" style="1" customWidth="1"/>
    <col min="261" max="261" width="0" style="1" hidden="1" customWidth="1"/>
    <col min="262" max="262" width="11" style="1" customWidth="1"/>
    <col min="263" max="263" width="9.140625" style="1" customWidth="1"/>
    <col min="264" max="264" width="9.85546875" style="1" customWidth="1"/>
    <col min="265" max="268" width="0" style="1" hidden="1" customWidth="1"/>
    <col min="269" max="269" width="1.5703125" style="1" customWidth="1"/>
    <col min="270" max="272" width="0" style="1" hidden="1" customWidth="1"/>
    <col min="273" max="273" width="10.42578125" style="1" customWidth="1"/>
    <col min="274" max="275" width="11" style="1" customWidth="1"/>
    <col min="276" max="276" width="9.42578125" style="1" customWidth="1"/>
    <col min="277" max="277" width="10" style="1" customWidth="1"/>
    <col min="278" max="278" width="11" style="1" customWidth="1"/>
    <col min="279" max="279" width="9.5703125" style="1" customWidth="1"/>
    <col min="280" max="280" width="10.140625" style="1" customWidth="1"/>
    <col min="281" max="320" width="10.7109375" style="1" customWidth="1"/>
    <col min="321" max="321" width="1.85546875" style="1" bestFit="1" customWidth="1"/>
    <col min="322" max="322" width="34.5703125" style="1" bestFit="1" customWidth="1"/>
    <col min="323" max="324" width="10.7109375" style="1" customWidth="1"/>
    <col min="325" max="325" width="2.7109375" style="1" bestFit="1" customWidth="1"/>
    <col min="326" max="326" width="11.5703125" style="1" bestFit="1" customWidth="1"/>
    <col min="327" max="503" width="10.7109375" style="1"/>
    <col min="504" max="504" width="5.28515625" style="1" customWidth="1"/>
    <col min="505" max="505" width="6.42578125" style="1" customWidth="1"/>
    <col min="506" max="506" width="22" style="1" customWidth="1"/>
    <col min="507" max="507" width="7.5703125" style="1" bestFit="1" customWidth="1"/>
    <col min="508" max="508" width="4.42578125" style="1" customWidth="1"/>
    <col min="509" max="509" width="7.42578125" style="1" bestFit="1" customWidth="1"/>
    <col min="510" max="510" width="2.85546875" style="1" bestFit="1" customWidth="1"/>
    <col min="511" max="511" width="7" style="1" bestFit="1" customWidth="1"/>
    <col min="512" max="512" width="5.7109375" style="1" bestFit="1" customWidth="1"/>
    <col min="513" max="513" width="7.85546875" style="1" bestFit="1" customWidth="1"/>
    <col min="514" max="515" width="0" style="1" hidden="1" customWidth="1"/>
    <col min="516" max="516" width="12.5703125" style="1" customWidth="1"/>
    <col min="517" max="517" width="0" style="1" hidden="1" customWidth="1"/>
    <col min="518" max="518" width="11" style="1" customWidth="1"/>
    <col min="519" max="519" width="9.140625" style="1" customWidth="1"/>
    <col min="520" max="520" width="9.85546875" style="1" customWidth="1"/>
    <col min="521" max="524" width="0" style="1" hidden="1" customWidth="1"/>
    <col min="525" max="525" width="1.5703125" style="1" customWidth="1"/>
    <col min="526" max="528" width="0" style="1" hidden="1" customWidth="1"/>
    <col min="529" max="529" width="10.42578125" style="1" customWidth="1"/>
    <col min="530" max="531" width="11" style="1" customWidth="1"/>
    <col min="532" max="532" width="9.42578125" style="1" customWidth="1"/>
    <col min="533" max="533" width="10" style="1" customWidth="1"/>
    <col min="534" max="534" width="11" style="1" customWidth="1"/>
    <col min="535" max="535" width="9.5703125" style="1" customWidth="1"/>
    <col min="536" max="536" width="10.140625" style="1" customWidth="1"/>
    <col min="537" max="576" width="10.7109375" style="1" customWidth="1"/>
    <col min="577" max="577" width="1.85546875" style="1" bestFit="1" customWidth="1"/>
    <col min="578" max="578" width="34.5703125" style="1" bestFit="1" customWidth="1"/>
    <col min="579" max="580" width="10.7109375" style="1" customWidth="1"/>
    <col min="581" max="581" width="2.7109375" style="1" bestFit="1" customWidth="1"/>
    <col min="582" max="582" width="11.5703125" style="1" bestFit="1" customWidth="1"/>
    <col min="583" max="759" width="10.7109375" style="1"/>
    <col min="760" max="760" width="5.28515625" style="1" customWidth="1"/>
    <col min="761" max="761" width="6.42578125" style="1" customWidth="1"/>
    <col min="762" max="762" width="22" style="1" customWidth="1"/>
    <col min="763" max="763" width="7.5703125" style="1" bestFit="1" customWidth="1"/>
    <col min="764" max="764" width="4.42578125" style="1" customWidth="1"/>
    <col min="765" max="765" width="7.42578125" style="1" bestFit="1" customWidth="1"/>
    <col min="766" max="766" width="2.85546875" style="1" bestFit="1" customWidth="1"/>
    <col min="767" max="767" width="7" style="1" bestFit="1" customWidth="1"/>
    <col min="768" max="768" width="5.7109375" style="1" bestFit="1" customWidth="1"/>
    <col min="769" max="769" width="7.85546875" style="1" bestFit="1" customWidth="1"/>
    <col min="770" max="771" width="0" style="1" hidden="1" customWidth="1"/>
    <col min="772" max="772" width="12.5703125" style="1" customWidth="1"/>
    <col min="773" max="773" width="0" style="1" hidden="1" customWidth="1"/>
    <col min="774" max="774" width="11" style="1" customWidth="1"/>
    <col min="775" max="775" width="9.140625" style="1" customWidth="1"/>
    <col min="776" max="776" width="9.85546875" style="1" customWidth="1"/>
    <col min="777" max="780" width="0" style="1" hidden="1" customWidth="1"/>
    <col min="781" max="781" width="1.5703125" style="1" customWidth="1"/>
    <col min="782" max="784" width="0" style="1" hidden="1" customWidth="1"/>
    <col min="785" max="785" width="10.42578125" style="1" customWidth="1"/>
    <col min="786" max="787" width="11" style="1" customWidth="1"/>
    <col min="788" max="788" width="9.42578125" style="1" customWidth="1"/>
    <col min="789" max="789" width="10" style="1" customWidth="1"/>
    <col min="790" max="790" width="11" style="1" customWidth="1"/>
    <col min="791" max="791" width="9.5703125" style="1" customWidth="1"/>
    <col min="792" max="792" width="10.140625" style="1" customWidth="1"/>
    <col min="793" max="832" width="10.7109375" style="1" customWidth="1"/>
    <col min="833" max="833" width="1.85546875" style="1" bestFit="1" customWidth="1"/>
    <col min="834" max="834" width="34.5703125" style="1" bestFit="1" customWidth="1"/>
    <col min="835" max="836" width="10.7109375" style="1" customWidth="1"/>
    <col min="837" max="837" width="2.7109375" style="1" bestFit="1" customWidth="1"/>
    <col min="838" max="838" width="11.5703125" style="1" bestFit="1" customWidth="1"/>
    <col min="839" max="1015" width="10.7109375" style="1"/>
    <col min="1016" max="1016" width="5.28515625" style="1" customWidth="1"/>
    <col min="1017" max="1017" width="6.42578125" style="1" customWidth="1"/>
    <col min="1018" max="1018" width="22" style="1" customWidth="1"/>
    <col min="1019" max="1019" width="7.5703125" style="1" bestFit="1" customWidth="1"/>
    <col min="1020" max="1020" width="4.42578125" style="1" customWidth="1"/>
    <col min="1021" max="1021" width="7.42578125" style="1" bestFit="1" customWidth="1"/>
    <col min="1022" max="1022" width="2.85546875" style="1" bestFit="1" customWidth="1"/>
    <col min="1023" max="1023" width="7" style="1" bestFit="1" customWidth="1"/>
    <col min="1024" max="1024" width="5.7109375" style="1" bestFit="1" customWidth="1"/>
    <col min="1025" max="1025" width="7.85546875" style="1" bestFit="1" customWidth="1"/>
    <col min="1026" max="1027" width="0" style="1" hidden="1" customWidth="1"/>
    <col min="1028" max="1028" width="12.5703125" style="1" customWidth="1"/>
    <col min="1029" max="1029" width="0" style="1" hidden="1" customWidth="1"/>
    <col min="1030" max="1030" width="11" style="1" customWidth="1"/>
    <col min="1031" max="1031" width="9.140625" style="1" customWidth="1"/>
    <col min="1032" max="1032" width="9.85546875" style="1" customWidth="1"/>
    <col min="1033" max="1036" width="0" style="1" hidden="1" customWidth="1"/>
    <col min="1037" max="1037" width="1.5703125" style="1" customWidth="1"/>
    <col min="1038" max="1040" width="0" style="1" hidden="1" customWidth="1"/>
    <col min="1041" max="1041" width="10.42578125" style="1" customWidth="1"/>
    <col min="1042" max="1043" width="11" style="1" customWidth="1"/>
    <col min="1044" max="1044" width="9.42578125" style="1" customWidth="1"/>
    <col min="1045" max="1045" width="10" style="1" customWidth="1"/>
    <col min="1046" max="1046" width="11" style="1" customWidth="1"/>
    <col min="1047" max="1047" width="9.5703125" style="1" customWidth="1"/>
    <col min="1048" max="1048" width="10.140625" style="1" customWidth="1"/>
    <col min="1049" max="1088" width="10.7109375" style="1" customWidth="1"/>
    <col min="1089" max="1089" width="1.85546875" style="1" bestFit="1" customWidth="1"/>
    <col min="1090" max="1090" width="34.5703125" style="1" bestFit="1" customWidth="1"/>
    <col min="1091" max="1092" width="10.7109375" style="1" customWidth="1"/>
    <col min="1093" max="1093" width="2.7109375" style="1" bestFit="1" customWidth="1"/>
    <col min="1094" max="1094" width="11.5703125" style="1" bestFit="1" customWidth="1"/>
    <col min="1095" max="1271" width="10.7109375" style="1"/>
    <col min="1272" max="1272" width="5.28515625" style="1" customWidth="1"/>
    <col min="1273" max="1273" width="6.42578125" style="1" customWidth="1"/>
    <col min="1274" max="1274" width="22" style="1" customWidth="1"/>
    <col min="1275" max="1275" width="7.5703125" style="1" bestFit="1" customWidth="1"/>
    <col min="1276" max="1276" width="4.42578125" style="1" customWidth="1"/>
    <col min="1277" max="1277" width="7.42578125" style="1" bestFit="1" customWidth="1"/>
    <col min="1278" max="1278" width="2.85546875" style="1" bestFit="1" customWidth="1"/>
    <col min="1279" max="1279" width="7" style="1" bestFit="1" customWidth="1"/>
    <col min="1280" max="1280" width="5.7109375" style="1" bestFit="1" customWidth="1"/>
    <col min="1281" max="1281" width="7.85546875" style="1" bestFit="1" customWidth="1"/>
    <col min="1282" max="1283" width="0" style="1" hidden="1" customWidth="1"/>
    <col min="1284" max="1284" width="12.5703125" style="1" customWidth="1"/>
    <col min="1285" max="1285" width="0" style="1" hidden="1" customWidth="1"/>
    <col min="1286" max="1286" width="11" style="1" customWidth="1"/>
    <col min="1287" max="1287" width="9.140625" style="1" customWidth="1"/>
    <col min="1288" max="1288" width="9.85546875" style="1" customWidth="1"/>
    <col min="1289" max="1292" width="0" style="1" hidden="1" customWidth="1"/>
    <col min="1293" max="1293" width="1.5703125" style="1" customWidth="1"/>
    <col min="1294" max="1296" width="0" style="1" hidden="1" customWidth="1"/>
    <col min="1297" max="1297" width="10.42578125" style="1" customWidth="1"/>
    <col min="1298" max="1299" width="11" style="1" customWidth="1"/>
    <col min="1300" max="1300" width="9.42578125" style="1" customWidth="1"/>
    <col min="1301" max="1301" width="10" style="1" customWidth="1"/>
    <col min="1302" max="1302" width="11" style="1" customWidth="1"/>
    <col min="1303" max="1303" width="9.5703125" style="1" customWidth="1"/>
    <col min="1304" max="1304" width="10.140625" style="1" customWidth="1"/>
    <col min="1305" max="1344" width="10.7109375" style="1" customWidth="1"/>
    <col min="1345" max="1345" width="1.85546875" style="1" bestFit="1" customWidth="1"/>
    <col min="1346" max="1346" width="34.5703125" style="1" bestFit="1" customWidth="1"/>
    <col min="1347" max="1348" width="10.7109375" style="1" customWidth="1"/>
    <col min="1349" max="1349" width="2.7109375" style="1" bestFit="1" customWidth="1"/>
    <col min="1350" max="1350" width="11.5703125" style="1" bestFit="1" customWidth="1"/>
    <col min="1351" max="1527" width="10.7109375" style="1"/>
    <col min="1528" max="1528" width="5.28515625" style="1" customWidth="1"/>
    <col min="1529" max="1529" width="6.42578125" style="1" customWidth="1"/>
    <col min="1530" max="1530" width="22" style="1" customWidth="1"/>
    <col min="1531" max="1531" width="7.5703125" style="1" bestFit="1" customWidth="1"/>
    <col min="1532" max="1532" width="4.42578125" style="1" customWidth="1"/>
    <col min="1533" max="1533" width="7.42578125" style="1" bestFit="1" customWidth="1"/>
    <col min="1534" max="1534" width="2.85546875" style="1" bestFit="1" customWidth="1"/>
    <col min="1535" max="1535" width="7" style="1" bestFit="1" customWidth="1"/>
    <col min="1536" max="1536" width="5.7109375" style="1" bestFit="1" customWidth="1"/>
    <col min="1537" max="1537" width="7.85546875" style="1" bestFit="1" customWidth="1"/>
    <col min="1538" max="1539" width="0" style="1" hidden="1" customWidth="1"/>
    <col min="1540" max="1540" width="12.5703125" style="1" customWidth="1"/>
    <col min="1541" max="1541" width="0" style="1" hidden="1" customWidth="1"/>
    <col min="1542" max="1542" width="11" style="1" customWidth="1"/>
    <col min="1543" max="1543" width="9.140625" style="1" customWidth="1"/>
    <col min="1544" max="1544" width="9.85546875" style="1" customWidth="1"/>
    <col min="1545" max="1548" width="0" style="1" hidden="1" customWidth="1"/>
    <col min="1549" max="1549" width="1.5703125" style="1" customWidth="1"/>
    <col min="1550" max="1552" width="0" style="1" hidden="1" customWidth="1"/>
    <col min="1553" max="1553" width="10.42578125" style="1" customWidth="1"/>
    <col min="1554" max="1555" width="11" style="1" customWidth="1"/>
    <col min="1556" max="1556" width="9.42578125" style="1" customWidth="1"/>
    <col min="1557" max="1557" width="10" style="1" customWidth="1"/>
    <col min="1558" max="1558" width="11" style="1" customWidth="1"/>
    <col min="1559" max="1559" width="9.5703125" style="1" customWidth="1"/>
    <col min="1560" max="1560" width="10.140625" style="1" customWidth="1"/>
    <col min="1561" max="1600" width="10.7109375" style="1" customWidth="1"/>
    <col min="1601" max="1601" width="1.85546875" style="1" bestFit="1" customWidth="1"/>
    <col min="1602" max="1602" width="34.5703125" style="1" bestFit="1" customWidth="1"/>
    <col min="1603" max="1604" width="10.7109375" style="1" customWidth="1"/>
    <col min="1605" max="1605" width="2.7109375" style="1" bestFit="1" customWidth="1"/>
    <col min="1606" max="1606" width="11.5703125" style="1" bestFit="1" customWidth="1"/>
    <col min="1607" max="1783" width="10.7109375" style="1"/>
    <col min="1784" max="1784" width="5.28515625" style="1" customWidth="1"/>
    <col min="1785" max="1785" width="6.42578125" style="1" customWidth="1"/>
    <col min="1786" max="1786" width="22" style="1" customWidth="1"/>
    <col min="1787" max="1787" width="7.5703125" style="1" bestFit="1" customWidth="1"/>
    <col min="1788" max="1788" width="4.42578125" style="1" customWidth="1"/>
    <col min="1789" max="1789" width="7.42578125" style="1" bestFit="1" customWidth="1"/>
    <col min="1790" max="1790" width="2.85546875" style="1" bestFit="1" customWidth="1"/>
    <col min="1791" max="1791" width="7" style="1" bestFit="1" customWidth="1"/>
    <col min="1792" max="1792" width="5.7109375" style="1" bestFit="1" customWidth="1"/>
    <col min="1793" max="1793" width="7.85546875" style="1" bestFit="1" customWidth="1"/>
    <col min="1794" max="1795" width="0" style="1" hidden="1" customWidth="1"/>
    <col min="1796" max="1796" width="12.5703125" style="1" customWidth="1"/>
    <col min="1797" max="1797" width="0" style="1" hidden="1" customWidth="1"/>
    <col min="1798" max="1798" width="11" style="1" customWidth="1"/>
    <col min="1799" max="1799" width="9.140625" style="1" customWidth="1"/>
    <col min="1800" max="1800" width="9.85546875" style="1" customWidth="1"/>
    <col min="1801" max="1804" width="0" style="1" hidden="1" customWidth="1"/>
    <col min="1805" max="1805" width="1.5703125" style="1" customWidth="1"/>
    <col min="1806" max="1808" width="0" style="1" hidden="1" customWidth="1"/>
    <col min="1809" max="1809" width="10.42578125" style="1" customWidth="1"/>
    <col min="1810" max="1811" width="11" style="1" customWidth="1"/>
    <col min="1812" max="1812" width="9.42578125" style="1" customWidth="1"/>
    <col min="1813" max="1813" width="10" style="1" customWidth="1"/>
    <col min="1814" max="1814" width="11" style="1" customWidth="1"/>
    <col min="1815" max="1815" width="9.5703125" style="1" customWidth="1"/>
    <col min="1816" max="1816" width="10.140625" style="1" customWidth="1"/>
    <col min="1817" max="1856" width="10.7109375" style="1" customWidth="1"/>
    <col min="1857" max="1857" width="1.85546875" style="1" bestFit="1" customWidth="1"/>
    <col min="1858" max="1858" width="34.5703125" style="1" bestFit="1" customWidth="1"/>
    <col min="1859" max="1860" width="10.7109375" style="1" customWidth="1"/>
    <col min="1861" max="1861" width="2.7109375" style="1" bestFit="1" customWidth="1"/>
    <col min="1862" max="1862" width="11.5703125" style="1" bestFit="1" customWidth="1"/>
    <col min="1863" max="2039" width="10.7109375" style="1"/>
    <col min="2040" max="2040" width="5.28515625" style="1" customWidth="1"/>
    <col min="2041" max="2041" width="6.42578125" style="1" customWidth="1"/>
    <col min="2042" max="2042" width="22" style="1" customWidth="1"/>
    <col min="2043" max="2043" width="7.5703125" style="1" bestFit="1" customWidth="1"/>
    <col min="2044" max="2044" width="4.42578125" style="1" customWidth="1"/>
    <col min="2045" max="2045" width="7.42578125" style="1" bestFit="1" customWidth="1"/>
    <col min="2046" max="2046" width="2.85546875" style="1" bestFit="1" customWidth="1"/>
    <col min="2047" max="2047" width="7" style="1" bestFit="1" customWidth="1"/>
    <col min="2048" max="2048" width="5.7109375" style="1" bestFit="1" customWidth="1"/>
    <col min="2049" max="2049" width="7.85546875" style="1" bestFit="1" customWidth="1"/>
    <col min="2050" max="2051" width="0" style="1" hidden="1" customWidth="1"/>
    <col min="2052" max="2052" width="12.5703125" style="1" customWidth="1"/>
    <col min="2053" max="2053" width="0" style="1" hidden="1" customWidth="1"/>
    <col min="2054" max="2054" width="11" style="1" customWidth="1"/>
    <col min="2055" max="2055" width="9.140625" style="1" customWidth="1"/>
    <col min="2056" max="2056" width="9.85546875" style="1" customWidth="1"/>
    <col min="2057" max="2060" width="0" style="1" hidden="1" customWidth="1"/>
    <col min="2061" max="2061" width="1.5703125" style="1" customWidth="1"/>
    <col min="2062" max="2064" width="0" style="1" hidden="1" customWidth="1"/>
    <col min="2065" max="2065" width="10.42578125" style="1" customWidth="1"/>
    <col min="2066" max="2067" width="11" style="1" customWidth="1"/>
    <col min="2068" max="2068" width="9.42578125" style="1" customWidth="1"/>
    <col min="2069" max="2069" width="10" style="1" customWidth="1"/>
    <col min="2070" max="2070" width="11" style="1" customWidth="1"/>
    <col min="2071" max="2071" width="9.5703125" style="1" customWidth="1"/>
    <col min="2072" max="2072" width="10.140625" style="1" customWidth="1"/>
    <col min="2073" max="2112" width="10.7109375" style="1" customWidth="1"/>
    <col min="2113" max="2113" width="1.85546875" style="1" bestFit="1" customWidth="1"/>
    <col min="2114" max="2114" width="34.5703125" style="1" bestFit="1" customWidth="1"/>
    <col min="2115" max="2116" width="10.7109375" style="1" customWidth="1"/>
    <col min="2117" max="2117" width="2.7109375" style="1" bestFit="1" customWidth="1"/>
    <col min="2118" max="2118" width="11.5703125" style="1" bestFit="1" customWidth="1"/>
    <col min="2119" max="2295" width="10.7109375" style="1"/>
    <col min="2296" max="2296" width="5.28515625" style="1" customWidth="1"/>
    <col min="2297" max="2297" width="6.42578125" style="1" customWidth="1"/>
    <col min="2298" max="2298" width="22" style="1" customWidth="1"/>
    <col min="2299" max="2299" width="7.5703125" style="1" bestFit="1" customWidth="1"/>
    <col min="2300" max="2300" width="4.42578125" style="1" customWidth="1"/>
    <col min="2301" max="2301" width="7.42578125" style="1" bestFit="1" customWidth="1"/>
    <col min="2302" max="2302" width="2.85546875" style="1" bestFit="1" customWidth="1"/>
    <col min="2303" max="2303" width="7" style="1" bestFit="1" customWidth="1"/>
    <col min="2304" max="2304" width="5.7109375" style="1" bestFit="1" customWidth="1"/>
    <col min="2305" max="2305" width="7.85546875" style="1" bestFit="1" customWidth="1"/>
    <col min="2306" max="2307" width="0" style="1" hidden="1" customWidth="1"/>
    <col min="2308" max="2308" width="12.5703125" style="1" customWidth="1"/>
    <col min="2309" max="2309" width="0" style="1" hidden="1" customWidth="1"/>
    <col min="2310" max="2310" width="11" style="1" customWidth="1"/>
    <col min="2311" max="2311" width="9.140625" style="1" customWidth="1"/>
    <col min="2312" max="2312" width="9.85546875" style="1" customWidth="1"/>
    <col min="2313" max="2316" width="0" style="1" hidden="1" customWidth="1"/>
    <col min="2317" max="2317" width="1.5703125" style="1" customWidth="1"/>
    <col min="2318" max="2320" width="0" style="1" hidden="1" customWidth="1"/>
    <col min="2321" max="2321" width="10.42578125" style="1" customWidth="1"/>
    <col min="2322" max="2323" width="11" style="1" customWidth="1"/>
    <col min="2324" max="2324" width="9.42578125" style="1" customWidth="1"/>
    <col min="2325" max="2325" width="10" style="1" customWidth="1"/>
    <col min="2326" max="2326" width="11" style="1" customWidth="1"/>
    <col min="2327" max="2327" width="9.5703125" style="1" customWidth="1"/>
    <col min="2328" max="2328" width="10.140625" style="1" customWidth="1"/>
    <col min="2329" max="2368" width="10.7109375" style="1" customWidth="1"/>
    <col min="2369" max="2369" width="1.85546875" style="1" bestFit="1" customWidth="1"/>
    <col min="2370" max="2370" width="34.5703125" style="1" bestFit="1" customWidth="1"/>
    <col min="2371" max="2372" width="10.7109375" style="1" customWidth="1"/>
    <col min="2373" max="2373" width="2.7109375" style="1" bestFit="1" customWidth="1"/>
    <col min="2374" max="2374" width="11.5703125" style="1" bestFit="1" customWidth="1"/>
    <col min="2375" max="2551" width="10.7109375" style="1"/>
    <col min="2552" max="2552" width="5.28515625" style="1" customWidth="1"/>
    <col min="2553" max="2553" width="6.42578125" style="1" customWidth="1"/>
    <col min="2554" max="2554" width="22" style="1" customWidth="1"/>
    <col min="2555" max="2555" width="7.5703125" style="1" bestFit="1" customWidth="1"/>
    <col min="2556" max="2556" width="4.42578125" style="1" customWidth="1"/>
    <col min="2557" max="2557" width="7.42578125" style="1" bestFit="1" customWidth="1"/>
    <col min="2558" max="2558" width="2.85546875" style="1" bestFit="1" customWidth="1"/>
    <col min="2559" max="2559" width="7" style="1" bestFit="1" customWidth="1"/>
    <col min="2560" max="2560" width="5.7109375" style="1" bestFit="1" customWidth="1"/>
    <col min="2561" max="2561" width="7.85546875" style="1" bestFit="1" customWidth="1"/>
    <col min="2562" max="2563" width="0" style="1" hidden="1" customWidth="1"/>
    <col min="2564" max="2564" width="12.5703125" style="1" customWidth="1"/>
    <col min="2565" max="2565" width="0" style="1" hidden="1" customWidth="1"/>
    <col min="2566" max="2566" width="11" style="1" customWidth="1"/>
    <col min="2567" max="2567" width="9.140625" style="1" customWidth="1"/>
    <col min="2568" max="2568" width="9.85546875" style="1" customWidth="1"/>
    <col min="2569" max="2572" width="0" style="1" hidden="1" customWidth="1"/>
    <col min="2573" max="2573" width="1.5703125" style="1" customWidth="1"/>
    <col min="2574" max="2576" width="0" style="1" hidden="1" customWidth="1"/>
    <col min="2577" max="2577" width="10.42578125" style="1" customWidth="1"/>
    <col min="2578" max="2579" width="11" style="1" customWidth="1"/>
    <col min="2580" max="2580" width="9.42578125" style="1" customWidth="1"/>
    <col min="2581" max="2581" width="10" style="1" customWidth="1"/>
    <col min="2582" max="2582" width="11" style="1" customWidth="1"/>
    <col min="2583" max="2583" width="9.5703125" style="1" customWidth="1"/>
    <col min="2584" max="2584" width="10.140625" style="1" customWidth="1"/>
    <col min="2585" max="2624" width="10.7109375" style="1" customWidth="1"/>
    <col min="2625" max="2625" width="1.85546875" style="1" bestFit="1" customWidth="1"/>
    <col min="2626" max="2626" width="34.5703125" style="1" bestFit="1" customWidth="1"/>
    <col min="2627" max="2628" width="10.7109375" style="1" customWidth="1"/>
    <col min="2629" max="2629" width="2.7109375" style="1" bestFit="1" customWidth="1"/>
    <col min="2630" max="2630" width="11.5703125" style="1" bestFit="1" customWidth="1"/>
    <col min="2631" max="2807" width="10.7109375" style="1"/>
    <col min="2808" max="2808" width="5.28515625" style="1" customWidth="1"/>
    <col min="2809" max="2809" width="6.42578125" style="1" customWidth="1"/>
    <col min="2810" max="2810" width="22" style="1" customWidth="1"/>
    <col min="2811" max="2811" width="7.5703125" style="1" bestFit="1" customWidth="1"/>
    <col min="2812" max="2812" width="4.42578125" style="1" customWidth="1"/>
    <col min="2813" max="2813" width="7.42578125" style="1" bestFit="1" customWidth="1"/>
    <col min="2814" max="2814" width="2.85546875" style="1" bestFit="1" customWidth="1"/>
    <col min="2815" max="2815" width="7" style="1" bestFit="1" customWidth="1"/>
    <col min="2816" max="2816" width="5.7109375" style="1" bestFit="1" customWidth="1"/>
    <col min="2817" max="2817" width="7.85546875" style="1" bestFit="1" customWidth="1"/>
    <col min="2818" max="2819" width="0" style="1" hidden="1" customWidth="1"/>
    <col min="2820" max="2820" width="12.5703125" style="1" customWidth="1"/>
    <col min="2821" max="2821" width="0" style="1" hidden="1" customWidth="1"/>
    <col min="2822" max="2822" width="11" style="1" customWidth="1"/>
    <col min="2823" max="2823" width="9.140625" style="1" customWidth="1"/>
    <col min="2824" max="2824" width="9.85546875" style="1" customWidth="1"/>
    <col min="2825" max="2828" width="0" style="1" hidden="1" customWidth="1"/>
    <col min="2829" max="2829" width="1.5703125" style="1" customWidth="1"/>
    <col min="2830" max="2832" width="0" style="1" hidden="1" customWidth="1"/>
    <col min="2833" max="2833" width="10.42578125" style="1" customWidth="1"/>
    <col min="2834" max="2835" width="11" style="1" customWidth="1"/>
    <col min="2836" max="2836" width="9.42578125" style="1" customWidth="1"/>
    <col min="2837" max="2837" width="10" style="1" customWidth="1"/>
    <col min="2838" max="2838" width="11" style="1" customWidth="1"/>
    <col min="2839" max="2839" width="9.5703125" style="1" customWidth="1"/>
    <col min="2840" max="2840" width="10.140625" style="1" customWidth="1"/>
    <col min="2841" max="2880" width="10.7109375" style="1" customWidth="1"/>
    <col min="2881" max="2881" width="1.85546875" style="1" bestFit="1" customWidth="1"/>
    <col min="2882" max="2882" width="34.5703125" style="1" bestFit="1" customWidth="1"/>
    <col min="2883" max="2884" width="10.7109375" style="1" customWidth="1"/>
    <col min="2885" max="2885" width="2.7109375" style="1" bestFit="1" customWidth="1"/>
    <col min="2886" max="2886" width="11.5703125" style="1" bestFit="1" customWidth="1"/>
    <col min="2887" max="3063" width="10.7109375" style="1"/>
    <col min="3064" max="3064" width="5.28515625" style="1" customWidth="1"/>
    <col min="3065" max="3065" width="6.42578125" style="1" customWidth="1"/>
    <col min="3066" max="3066" width="22" style="1" customWidth="1"/>
    <col min="3067" max="3067" width="7.5703125" style="1" bestFit="1" customWidth="1"/>
    <col min="3068" max="3068" width="4.42578125" style="1" customWidth="1"/>
    <col min="3069" max="3069" width="7.42578125" style="1" bestFit="1" customWidth="1"/>
    <col min="3070" max="3070" width="2.85546875" style="1" bestFit="1" customWidth="1"/>
    <col min="3071" max="3071" width="7" style="1" bestFit="1" customWidth="1"/>
    <col min="3072" max="3072" width="5.7109375" style="1" bestFit="1" customWidth="1"/>
    <col min="3073" max="3073" width="7.85546875" style="1" bestFit="1" customWidth="1"/>
    <col min="3074" max="3075" width="0" style="1" hidden="1" customWidth="1"/>
    <col min="3076" max="3076" width="12.5703125" style="1" customWidth="1"/>
    <col min="3077" max="3077" width="0" style="1" hidden="1" customWidth="1"/>
    <col min="3078" max="3078" width="11" style="1" customWidth="1"/>
    <col min="3079" max="3079" width="9.140625" style="1" customWidth="1"/>
    <col min="3080" max="3080" width="9.85546875" style="1" customWidth="1"/>
    <col min="3081" max="3084" width="0" style="1" hidden="1" customWidth="1"/>
    <col min="3085" max="3085" width="1.5703125" style="1" customWidth="1"/>
    <col min="3086" max="3088" width="0" style="1" hidden="1" customWidth="1"/>
    <col min="3089" max="3089" width="10.42578125" style="1" customWidth="1"/>
    <col min="3090" max="3091" width="11" style="1" customWidth="1"/>
    <col min="3092" max="3092" width="9.42578125" style="1" customWidth="1"/>
    <col min="3093" max="3093" width="10" style="1" customWidth="1"/>
    <col min="3094" max="3094" width="11" style="1" customWidth="1"/>
    <col min="3095" max="3095" width="9.5703125" style="1" customWidth="1"/>
    <col min="3096" max="3096" width="10.140625" style="1" customWidth="1"/>
    <col min="3097" max="3136" width="10.7109375" style="1" customWidth="1"/>
    <col min="3137" max="3137" width="1.85546875" style="1" bestFit="1" customWidth="1"/>
    <col min="3138" max="3138" width="34.5703125" style="1" bestFit="1" customWidth="1"/>
    <col min="3139" max="3140" width="10.7109375" style="1" customWidth="1"/>
    <col min="3141" max="3141" width="2.7109375" style="1" bestFit="1" customWidth="1"/>
    <col min="3142" max="3142" width="11.5703125" style="1" bestFit="1" customWidth="1"/>
    <col min="3143" max="3319" width="10.7109375" style="1"/>
    <col min="3320" max="3320" width="5.28515625" style="1" customWidth="1"/>
    <col min="3321" max="3321" width="6.42578125" style="1" customWidth="1"/>
    <col min="3322" max="3322" width="22" style="1" customWidth="1"/>
    <col min="3323" max="3323" width="7.5703125" style="1" bestFit="1" customWidth="1"/>
    <col min="3324" max="3324" width="4.42578125" style="1" customWidth="1"/>
    <col min="3325" max="3325" width="7.42578125" style="1" bestFit="1" customWidth="1"/>
    <col min="3326" max="3326" width="2.85546875" style="1" bestFit="1" customWidth="1"/>
    <col min="3327" max="3327" width="7" style="1" bestFit="1" customWidth="1"/>
    <col min="3328" max="3328" width="5.7109375" style="1" bestFit="1" customWidth="1"/>
    <col min="3329" max="3329" width="7.85546875" style="1" bestFit="1" customWidth="1"/>
    <col min="3330" max="3331" width="0" style="1" hidden="1" customWidth="1"/>
    <col min="3332" max="3332" width="12.5703125" style="1" customWidth="1"/>
    <col min="3333" max="3333" width="0" style="1" hidden="1" customWidth="1"/>
    <col min="3334" max="3334" width="11" style="1" customWidth="1"/>
    <col min="3335" max="3335" width="9.140625" style="1" customWidth="1"/>
    <col min="3336" max="3336" width="9.85546875" style="1" customWidth="1"/>
    <col min="3337" max="3340" width="0" style="1" hidden="1" customWidth="1"/>
    <col min="3341" max="3341" width="1.5703125" style="1" customWidth="1"/>
    <col min="3342" max="3344" width="0" style="1" hidden="1" customWidth="1"/>
    <col min="3345" max="3345" width="10.42578125" style="1" customWidth="1"/>
    <col min="3346" max="3347" width="11" style="1" customWidth="1"/>
    <col min="3348" max="3348" width="9.42578125" style="1" customWidth="1"/>
    <col min="3349" max="3349" width="10" style="1" customWidth="1"/>
    <col min="3350" max="3350" width="11" style="1" customWidth="1"/>
    <col min="3351" max="3351" width="9.5703125" style="1" customWidth="1"/>
    <col min="3352" max="3352" width="10.140625" style="1" customWidth="1"/>
    <col min="3353" max="3392" width="10.7109375" style="1" customWidth="1"/>
    <col min="3393" max="3393" width="1.85546875" style="1" bestFit="1" customWidth="1"/>
    <col min="3394" max="3394" width="34.5703125" style="1" bestFit="1" customWidth="1"/>
    <col min="3395" max="3396" width="10.7109375" style="1" customWidth="1"/>
    <col min="3397" max="3397" width="2.7109375" style="1" bestFit="1" customWidth="1"/>
    <col min="3398" max="3398" width="11.5703125" style="1" bestFit="1" customWidth="1"/>
    <col min="3399" max="3575" width="10.7109375" style="1"/>
    <col min="3576" max="3576" width="5.28515625" style="1" customWidth="1"/>
    <col min="3577" max="3577" width="6.42578125" style="1" customWidth="1"/>
    <col min="3578" max="3578" width="22" style="1" customWidth="1"/>
    <col min="3579" max="3579" width="7.5703125" style="1" bestFit="1" customWidth="1"/>
    <col min="3580" max="3580" width="4.42578125" style="1" customWidth="1"/>
    <col min="3581" max="3581" width="7.42578125" style="1" bestFit="1" customWidth="1"/>
    <col min="3582" max="3582" width="2.85546875" style="1" bestFit="1" customWidth="1"/>
    <col min="3583" max="3583" width="7" style="1" bestFit="1" customWidth="1"/>
    <col min="3584" max="3584" width="5.7109375" style="1" bestFit="1" customWidth="1"/>
    <col min="3585" max="3585" width="7.85546875" style="1" bestFit="1" customWidth="1"/>
    <col min="3586" max="3587" width="0" style="1" hidden="1" customWidth="1"/>
    <col min="3588" max="3588" width="12.5703125" style="1" customWidth="1"/>
    <col min="3589" max="3589" width="0" style="1" hidden="1" customWidth="1"/>
    <col min="3590" max="3590" width="11" style="1" customWidth="1"/>
    <col min="3591" max="3591" width="9.140625" style="1" customWidth="1"/>
    <col min="3592" max="3592" width="9.85546875" style="1" customWidth="1"/>
    <col min="3593" max="3596" width="0" style="1" hidden="1" customWidth="1"/>
    <col min="3597" max="3597" width="1.5703125" style="1" customWidth="1"/>
    <col min="3598" max="3600" width="0" style="1" hidden="1" customWidth="1"/>
    <col min="3601" max="3601" width="10.42578125" style="1" customWidth="1"/>
    <col min="3602" max="3603" width="11" style="1" customWidth="1"/>
    <col min="3604" max="3604" width="9.42578125" style="1" customWidth="1"/>
    <col min="3605" max="3605" width="10" style="1" customWidth="1"/>
    <col min="3606" max="3606" width="11" style="1" customWidth="1"/>
    <col min="3607" max="3607" width="9.5703125" style="1" customWidth="1"/>
    <col min="3608" max="3608" width="10.140625" style="1" customWidth="1"/>
    <col min="3609" max="3648" width="10.7109375" style="1" customWidth="1"/>
    <col min="3649" max="3649" width="1.85546875" style="1" bestFit="1" customWidth="1"/>
    <col min="3650" max="3650" width="34.5703125" style="1" bestFit="1" customWidth="1"/>
    <col min="3651" max="3652" width="10.7109375" style="1" customWidth="1"/>
    <col min="3653" max="3653" width="2.7109375" style="1" bestFit="1" customWidth="1"/>
    <col min="3654" max="3654" width="11.5703125" style="1" bestFit="1" customWidth="1"/>
    <col min="3655" max="3831" width="10.7109375" style="1"/>
    <col min="3832" max="3832" width="5.28515625" style="1" customWidth="1"/>
    <col min="3833" max="3833" width="6.42578125" style="1" customWidth="1"/>
    <col min="3834" max="3834" width="22" style="1" customWidth="1"/>
    <col min="3835" max="3835" width="7.5703125" style="1" bestFit="1" customWidth="1"/>
    <col min="3836" max="3836" width="4.42578125" style="1" customWidth="1"/>
    <col min="3837" max="3837" width="7.42578125" style="1" bestFit="1" customWidth="1"/>
    <col min="3838" max="3838" width="2.85546875" style="1" bestFit="1" customWidth="1"/>
    <col min="3839" max="3839" width="7" style="1" bestFit="1" customWidth="1"/>
    <col min="3840" max="3840" width="5.7109375" style="1" bestFit="1" customWidth="1"/>
    <col min="3841" max="3841" width="7.85546875" style="1" bestFit="1" customWidth="1"/>
    <col min="3842" max="3843" width="0" style="1" hidden="1" customWidth="1"/>
    <col min="3844" max="3844" width="12.5703125" style="1" customWidth="1"/>
    <col min="3845" max="3845" width="0" style="1" hidden="1" customWidth="1"/>
    <col min="3846" max="3846" width="11" style="1" customWidth="1"/>
    <col min="3847" max="3847" width="9.140625" style="1" customWidth="1"/>
    <col min="3848" max="3848" width="9.85546875" style="1" customWidth="1"/>
    <col min="3849" max="3852" width="0" style="1" hidden="1" customWidth="1"/>
    <col min="3853" max="3853" width="1.5703125" style="1" customWidth="1"/>
    <col min="3854" max="3856" width="0" style="1" hidden="1" customWidth="1"/>
    <col min="3857" max="3857" width="10.42578125" style="1" customWidth="1"/>
    <col min="3858" max="3859" width="11" style="1" customWidth="1"/>
    <col min="3860" max="3860" width="9.42578125" style="1" customWidth="1"/>
    <col min="3861" max="3861" width="10" style="1" customWidth="1"/>
    <col min="3862" max="3862" width="11" style="1" customWidth="1"/>
    <col min="3863" max="3863" width="9.5703125" style="1" customWidth="1"/>
    <col min="3864" max="3864" width="10.140625" style="1" customWidth="1"/>
    <col min="3865" max="3904" width="10.7109375" style="1" customWidth="1"/>
    <col min="3905" max="3905" width="1.85546875" style="1" bestFit="1" customWidth="1"/>
    <col min="3906" max="3906" width="34.5703125" style="1" bestFit="1" customWidth="1"/>
    <col min="3907" max="3908" width="10.7109375" style="1" customWidth="1"/>
    <col min="3909" max="3909" width="2.7109375" style="1" bestFit="1" customWidth="1"/>
    <col min="3910" max="3910" width="11.5703125" style="1" bestFit="1" customWidth="1"/>
    <col min="3911" max="4087" width="10.7109375" style="1"/>
    <col min="4088" max="4088" width="5.28515625" style="1" customWidth="1"/>
    <col min="4089" max="4089" width="6.42578125" style="1" customWidth="1"/>
    <col min="4090" max="4090" width="22" style="1" customWidth="1"/>
    <col min="4091" max="4091" width="7.5703125" style="1" bestFit="1" customWidth="1"/>
    <col min="4092" max="4092" width="4.42578125" style="1" customWidth="1"/>
    <col min="4093" max="4093" width="7.42578125" style="1" bestFit="1" customWidth="1"/>
    <col min="4094" max="4094" width="2.85546875" style="1" bestFit="1" customWidth="1"/>
    <col min="4095" max="4095" width="7" style="1" bestFit="1" customWidth="1"/>
    <col min="4096" max="4096" width="5.7109375" style="1" bestFit="1" customWidth="1"/>
    <col min="4097" max="4097" width="7.85546875" style="1" bestFit="1" customWidth="1"/>
    <col min="4098" max="4099" width="0" style="1" hidden="1" customWidth="1"/>
    <col min="4100" max="4100" width="12.5703125" style="1" customWidth="1"/>
    <col min="4101" max="4101" width="0" style="1" hidden="1" customWidth="1"/>
    <col min="4102" max="4102" width="11" style="1" customWidth="1"/>
    <col min="4103" max="4103" width="9.140625" style="1" customWidth="1"/>
    <col min="4104" max="4104" width="9.85546875" style="1" customWidth="1"/>
    <col min="4105" max="4108" width="0" style="1" hidden="1" customWidth="1"/>
    <col min="4109" max="4109" width="1.5703125" style="1" customWidth="1"/>
    <col min="4110" max="4112" width="0" style="1" hidden="1" customWidth="1"/>
    <col min="4113" max="4113" width="10.42578125" style="1" customWidth="1"/>
    <col min="4114" max="4115" width="11" style="1" customWidth="1"/>
    <col min="4116" max="4116" width="9.42578125" style="1" customWidth="1"/>
    <col min="4117" max="4117" width="10" style="1" customWidth="1"/>
    <col min="4118" max="4118" width="11" style="1" customWidth="1"/>
    <col min="4119" max="4119" width="9.5703125" style="1" customWidth="1"/>
    <col min="4120" max="4120" width="10.140625" style="1" customWidth="1"/>
    <col min="4121" max="4160" width="10.7109375" style="1" customWidth="1"/>
    <col min="4161" max="4161" width="1.85546875" style="1" bestFit="1" customWidth="1"/>
    <col min="4162" max="4162" width="34.5703125" style="1" bestFit="1" customWidth="1"/>
    <col min="4163" max="4164" width="10.7109375" style="1" customWidth="1"/>
    <col min="4165" max="4165" width="2.7109375" style="1" bestFit="1" customWidth="1"/>
    <col min="4166" max="4166" width="11.5703125" style="1" bestFit="1" customWidth="1"/>
    <col min="4167" max="4343" width="10.7109375" style="1"/>
    <col min="4344" max="4344" width="5.28515625" style="1" customWidth="1"/>
    <col min="4345" max="4345" width="6.42578125" style="1" customWidth="1"/>
    <col min="4346" max="4346" width="22" style="1" customWidth="1"/>
    <col min="4347" max="4347" width="7.5703125" style="1" bestFit="1" customWidth="1"/>
    <col min="4348" max="4348" width="4.42578125" style="1" customWidth="1"/>
    <col min="4349" max="4349" width="7.42578125" style="1" bestFit="1" customWidth="1"/>
    <col min="4350" max="4350" width="2.85546875" style="1" bestFit="1" customWidth="1"/>
    <col min="4351" max="4351" width="7" style="1" bestFit="1" customWidth="1"/>
    <col min="4352" max="4352" width="5.7109375" style="1" bestFit="1" customWidth="1"/>
    <col min="4353" max="4353" width="7.85546875" style="1" bestFit="1" customWidth="1"/>
    <col min="4354" max="4355" width="0" style="1" hidden="1" customWidth="1"/>
    <col min="4356" max="4356" width="12.5703125" style="1" customWidth="1"/>
    <col min="4357" max="4357" width="0" style="1" hidden="1" customWidth="1"/>
    <col min="4358" max="4358" width="11" style="1" customWidth="1"/>
    <col min="4359" max="4359" width="9.140625" style="1" customWidth="1"/>
    <col min="4360" max="4360" width="9.85546875" style="1" customWidth="1"/>
    <col min="4361" max="4364" width="0" style="1" hidden="1" customWidth="1"/>
    <col min="4365" max="4365" width="1.5703125" style="1" customWidth="1"/>
    <col min="4366" max="4368" width="0" style="1" hidden="1" customWidth="1"/>
    <col min="4369" max="4369" width="10.42578125" style="1" customWidth="1"/>
    <col min="4370" max="4371" width="11" style="1" customWidth="1"/>
    <col min="4372" max="4372" width="9.42578125" style="1" customWidth="1"/>
    <col min="4373" max="4373" width="10" style="1" customWidth="1"/>
    <col min="4374" max="4374" width="11" style="1" customWidth="1"/>
    <col min="4375" max="4375" width="9.5703125" style="1" customWidth="1"/>
    <col min="4376" max="4376" width="10.140625" style="1" customWidth="1"/>
    <col min="4377" max="4416" width="10.7109375" style="1" customWidth="1"/>
    <col min="4417" max="4417" width="1.85546875" style="1" bestFit="1" customWidth="1"/>
    <col min="4418" max="4418" width="34.5703125" style="1" bestFit="1" customWidth="1"/>
    <col min="4419" max="4420" width="10.7109375" style="1" customWidth="1"/>
    <col min="4421" max="4421" width="2.7109375" style="1" bestFit="1" customWidth="1"/>
    <col min="4422" max="4422" width="11.5703125" style="1" bestFit="1" customWidth="1"/>
    <col min="4423" max="4599" width="10.7109375" style="1"/>
    <col min="4600" max="4600" width="5.28515625" style="1" customWidth="1"/>
    <col min="4601" max="4601" width="6.42578125" style="1" customWidth="1"/>
    <col min="4602" max="4602" width="22" style="1" customWidth="1"/>
    <col min="4603" max="4603" width="7.5703125" style="1" bestFit="1" customWidth="1"/>
    <col min="4604" max="4604" width="4.42578125" style="1" customWidth="1"/>
    <col min="4605" max="4605" width="7.42578125" style="1" bestFit="1" customWidth="1"/>
    <col min="4606" max="4606" width="2.85546875" style="1" bestFit="1" customWidth="1"/>
    <col min="4607" max="4607" width="7" style="1" bestFit="1" customWidth="1"/>
    <col min="4608" max="4608" width="5.7109375" style="1" bestFit="1" customWidth="1"/>
    <col min="4609" max="4609" width="7.85546875" style="1" bestFit="1" customWidth="1"/>
    <col min="4610" max="4611" width="0" style="1" hidden="1" customWidth="1"/>
    <col min="4612" max="4612" width="12.5703125" style="1" customWidth="1"/>
    <col min="4613" max="4613" width="0" style="1" hidden="1" customWidth="1"/>
    <col min="4614" max="4614" width="11" style="1" customWidth="1"/>
    <col min="4615" max="4615" width="9.140625" style="1" customWidth="1"/>
    <col min="4616" max="4616" width="9.85546875" style="1" customWidth="1"/>
    <col min="4617" max="4620" width="0" style="1" hidden="1" customWidth="1"/>
    <col min="4621" max="4621" width="1.5703125" style="1" customWidth="1"/>
    <col min="4622" max="4624" width="0" style="1" hidden="1" customWidth="1"/>
    <col min="4625" max="4625" width="10.42578125" style="1" customWidth="1"/>
    <col min="4626" max="4627" width="11" style="1" customWidth="1"/>
    <col min="4628" max="4628" width="9.42578125" style="1" customWidth="1"/>
    <col min="4629" max="4629" width="10" style="1" customWidth="1"/>
    <col min="4630" max="4630" width="11" style="1" customWidth="1"/>
    <col min="4631" max="4631" width="9.5703125" style="1" customWidth="1"/>
    <col min="4632" max="4632" width="10.140625" style="1" customWidth="1"/>
    <col min="4633" max="4672" width="10.7109375" style="1" customWidth="1"/>
    <col min="4673" max="4673" width="1.85546875" style="1" bestFit="1" customWidth="1"/>
    <col min="4674" max="4674" width="34.5703125" style="1" bestFit="1" customWidth="1"/>
    <col min="4675" max="4676" width="10.7109375" style="1" customWidth="1"/>
    <col min="4677" max="4677" width="2.7109375" style="1" bestFit="1" customWidth="1"/>
    <col min="4678" max="4678" width="11.5703125" style="1" bestFit="1" customWidth="1"/>
    <col min="4679" max="4855" width="10.7109375" style="1"/>
    <col min="4856" max="4856" width="5.28515625" style="1" customWidth="1"/>
    <col min="4857" max="4857" width="6.42578125" style="1" customWidth="1"/>
    <col min="4858" max="4858" width="22" style="1" customWidth="1"/>
    <col min="4859" max="4859" width="7.5703125" style="1" bestFit="1" customWidth="1"/>
    <col min="4860" max="4860" width="4.42578125" style="1" customWidth="1"/>
    <col min="4861" max="4861" width="7.42578125" style="1" bestFit="1" customWidth="1"/>
    <col min="4862" max="4862" width="2.85546875" style="1" bestFit="1" customWidth="1"/>
    <col min="4863" max="4863" width="7" style="1" bestFit="1" customWidth="1"/>
    <col min="4864" max="4864" width="5.7109375" style="1" bestFit="1" customWidth="1"/>
    <col min="4865" max="4865" width="7.85546875" style="1" bestFit="1" customWidth="1"/>
    <col min="4866" max="4867" width="0" style="1" hidden="1" customWidth="1"/>
    <col min="4868" max="4868" width="12.5703125" style="1" customWidth="1"/>
    <col min="4869" max="4869" width="0" style="1" hidden="1" customWidth="1"/>
    <col min="4870" max="4870" width="11" style="1" customWidth="1"/>
    <col min="4871" max="4871" width="9.140625" style="1" customWidth="1"/>
    <col min="4872" max="4872" width="9.85546875" style="1" customWidth="1"/>
    <col min="4873" max="4876" width="0" style="1" hidden="1" customWidth="1"/>
    <col min="4877" max="4877" width="1.5703125" style="1" customWidth="1"/>
    <col min="4878" max="4880" width="0" style="1" hidden="1" customWidth="1"/>
    <col min="4881" max="4881" width="10.42578125" style="1" customWidth="1"/>
    <col min="4882" max="4883" width="11" style="1" customWidth="1"/>
    <col min="4884" max="4884" width="9.42578125" style="1" customWidth="1"/>
    <col min="4885" max="4885" width="10" style="1" customWidth="1"/>
    <col min="4886" max="4886" width="11" style="1" customWidth="1"/>
    <col min="4887" max="4887" width="9.5703125" style="1" customWidth="1"/>
    <col min="4888" max="4888" width="10.140625" style="1" customWidth="1"/>
    <col min="4889" max="4928" width="10.7109375" style="1" customWidth="1"/>
    <col min="4929" max="4929" width="1.85546875" style="1" bestFit="1" customWidth="1"/>
    <col min="4930" max="4930" width="34.5703125" style="1" bestFit="1" customWidth="1"/>
    <col min="4931" max="4932" width="10.7109375" style="1" customWidth="1"/>
    <col min="4933" max="4933" width="2.7109375" style="1" bestFit="1" customWidth="1"/>
    <col min="4934" max="4934" width="11.5703125" style="1" bestFit="1" customWidth="1"/>
    <col min="4935" max="5111" width="10.7109375" style="1"/>
    <col min="5112" max="5112" width="5.28515625" style="1" customWidth="1"/>
    <col min="5113" max="5113" width="6.42578125" style="1" customWidth="1"/>
    <col min="5114" max="5114" width="22" style="1" customWidth="1"/>
    <col min="5115" max="5115" width="7.5703125" style="1" bestFit="1" customWidth="1"/>
    <col min="5116" max="5116" width="4.42578125" style="1" customWidth="1"/>
    <col min="5117" max="5117" width="7.42578125" style="1" bestFit="1" customWidth="1"/>
    <col min="5118" max="5118" width="2.85546875" style="1" bestFit="1" customWidth="1"/>
    <col min="5119" max="5119" width="7" style="1" bestFit="1" customWidth="1"/>
    <col min="5120" max="5120" width="5.7109375" style="1" bestFit="1" customWidth="1"/>
    <col min="5121" max="5121" width="7.85546875" style="1" bestFit="1" customWidth="1"/>
    <col min="5122" max="5123" width="0" style="1" hidden="1" customWidth="1"/>
    <col min="5124" max="5124" width="12.5703125" style="1" customWidth="1"/>
    <col min="5125" max="5125" width="0" style="1" hidden="1" customWidth="1"/>
    <col min="5126" max="5126" width="11" style="1" customWidth="1"/>
    <col min="5127" max="5127" width="9.140625" style="1" customWidth="1"/>
    <col min="5128" max="5128" width="9.85546875" style="1" customWidth="1"/>
    <col min="5129" max="5132" width="0" style="1" hidden="1" customWidth="1"/>
    <col min="5133" max="5133" width="1.5703125" style="1" customWidth="1"/>
    <col min="5134" max="5136" width="0" style="1" hidden="1" customWidth="1"/>
    <col min="5137" max="5137" width="10.42578125" style="1" customWidth="1"/>
    <col min="5138" max="5139" width="11" style="1" customWidth="1"/>
    <col min="5140" max="5140" width="9.42578125" style="1" customWidth="1"/>
    <col min="5141" max="5141" width="10" style="1" customWidth="1"/>
    <col min="5142" max="5142" width="11" style="1" customWidth="1"/>
    <col min="5143" max="5143" width="9.5703125" style="1" customWidth="1"/>
    <col min="5144" max="5144" width="10.140625" style="1" customWidth="1"/>
    <col min="5145" max="5184" width="10.7109375" style="1" customWidth="1"/>
    <col min="5185" max="5185" width="1.85546875" style="1" bestFit="1" customWidth="1"/>
    <col min="5186" max="5186" width="34.5703125" style="1" bestFit="1" customWidth="1"/>
    <col min="5187" max="5188" width="10.7109375" style="1" customWidth="1"/>
    <col min="5189" max="5189" width="2.7109375" style="1" bestFit="1" customWidth="1"/>
    <col min="5190" max="5190" width="11.5703125" style="1" bestFit="1" customWidth="1"/>
    <col min="5191" max="5367" width="10.7109375" style="1"/>
    <col min="5368" max="5368" width="5.28515625" style="1" customWidth="1"/>
    <col min="5369" max="5369" width="6.42578125" style="1" customWidth="1"/>
    <col min="5370" max="5370" width="22" style="1" customWidth="1"/>
    <col min="5371" max="5371" width="7.5703125" style="1" bestFit="1" customWidth="1"/>
    <col min="5372" max="5372" width="4.42578125" style="1" customWidth="1"/>
    <col min="5373" max="5373" width="7.42578125" style="1" bestFit="1" customWidth="1"/>
    <col min="5374" max="5374" width="2.85546875" style="1" bestFit="1" customWidth="1"/>
    <col min="5375" max="5375" width="7" style="1" bestFit="1" customWidth="1"/>
    <col min="5376" max="5376" width="5.7109375" style="1" bestFit="1" customWidth="1"/>
    <col min="5377" max="5377" width="7.85546875" style="1" bestFit="1" customWidth="1"/>
    <col min="5378" max="5379" width="0" style="1" hidden="1" customWidth="1"/>
    <col min="5380" max="5380" width="12.5703125" style="1" customWidth="1"/>
    <col min="5381" max="5381" width="0" style="1" hidden="1" customWidth="1"/>
    <col min="5382" max="5382" width="11" style="1" customWidth="1"/>
    <col min="5383" max="5383" width="9.140625" style="1" customWidth="1"/>
    <col min="5384" max="5384" width="9.85546875" style="1" customWidth="1"/>
    <col min="5385" max="5388" width="0" style="1" hidden="1" customWidth="1"/>
    <col min="5389" max="5389" width="1.5703125" style="1" customWidth="1"/>
    <col min="5390" max="5392" width="0" style="1" hidden="1" customWidth="1"/>
    <col min="5393" max="5393" width="10.42578125" style="1" customWidth="1"/>
    <col min="5394" max="5395" width="11" style="1" customWidth="1"/>
    <col min="5396" max="5396" width="9.42578125" style="1" customWidth="1"/>
    <col min="5397" max="5397" width="10" style="1" customWidth="1"/>
    <col min="5398" max="5398" width="11" style="1" customWidth="1"/>
    <col min="5399" max="5399" width="9.5703125" style="1" customWidth="1"/>
    <col min="5400" max="5400" width="10.140625" style="1" customWidth="1"/>
    <col min="5401" max="5440" width="10.7109375" style="1" customWidth="1"/>
    <col min="5441" max="5441" width="1.85546875" style="1" bestFit="1" customWidth="1"/>
    <col min="5442" max="5442" width="34.5703125" style="1" bestFit="1" customWidth="1"/>
    <col min="5443" max="5444" width="10.7109375" style="1" customWidth="1"/>
    <col min="5445" max="5445" width="2.7109375" style="1" bestFit="1" customWidth="1"/>
    <col min="5446" max="5446" width="11.5703125" style="1" bestFit="1" customWidth="1"/>
    <col min="5447" max="5623" width="10.7109375" style="1"/>
    <col min="5624" max="5624" width="5.28515625" style="1" customWidth="1"/>
    <col min="5625" max="5625" width="6.42578125" style="1" customWidth="1"/>
    <col min="5626" max="5626" width="22" style="1" customWidth="1"/>
    <col min="5627" max="5627" width="7.5703125" style="1" bestFit="1" customWidth="1"/>
    <col min="5628" max="5628" width="4.42578125" style="1" customWidth="1"/>
    <col min="5629" max="5629" width="7.42578125" style="1" bestFit="1" customWidth="1"/>
    <col min="5630" max="5630" width="2.85546875" style="1" bestFit="1" customWidth="1"/>
    <col min="5631" max="5631" width="7" style="1" bestFit="1" customWidth="1"/>
    <col min="5632" max="5632" width="5.7109375" style="1" bestFit="1" customWidth="1"/>
    <col min="5633" max="5633" width="7.85546875" style="1" bestFit="1" customWidth="1"/>
    <col min="5634" max="5635" width="0" style="1" hidden="1" customWidth="1"/>
    <col min="5636" max="5636" width="12.5703125" style="1" customWidth="1"/>
    <col min="5637" max="5637" width="0" style="1" hidden="1" customWidth="1"/>
    <col min="5638" max="5638" width="11" style="1" customWidth="1"/>
    <col min="5639" max="5639" width="9.140625" style="1" customWidth="1"/>
    <col min="5640" max="5640" width="9.85546875" style="1" customWidth="1"/>
    <col min="5641" max="5644" width="0" style="1" hidden="1" customWidth="1"/>
    <col min="5645" max="5645" width="1.5703125" style="1" customWidth="1"/>
    <col min="5646" max="5648" width="0" style="1" hidden="1" customWidth="1"/>
    <col min="5649" max="5649" width="10.42578125" style="1" customWidth="1"/>
    <col min="5650" max="5651" width="11" style="1" customWidth="1"/>
    <col min="5652" max="5652" width="9.42578125" style="1" customWidth="1"/>
    <col min="5653" max="5653" width="10" style="1" customWidth="1"/>
    <col min="5654" max="5654" width="11" style="1" customWidth="1"/>
    <col min="5655" max="5655" width="9.5703125" style="1" customWidth="1"/>
    <col min="5656" max="5656" width="10.140625" style="1" customWidth="1"/>
    <col min="5657" max="5696" width="10.7109375" style="1" customWidth="1"/>
    <col min="5697" max="5697" width="1.85546875" style="1" bestFit="1" customWidth="1"/>
    <col min="5698" max="5698" width="34.5703125" style="1" bestFit="1" customWidth="1"/>
    <col min="5699" max="5700" width="10.7109375" style="1" customWidth="1"/>
    <col min="5701" max="5701" width="2.7109375" style="1" bestFit="1" customWidth="1"/>
    <col min="5702" max="5702" width="11.5703125" style="1" bestFit="1" customWidth="1"/>
    <col min="5703" max="5879" width="10.7109375" style="1"/>
    <col min="5880" max="5880" width="5.28515625" style="1" customWidth="1"/>
    <col min="5881" max="5881" width="6.42578125" style="1" customWidth="1"/>
    <col min="5882" max="5882" width="22" style="1" customWidth="1"/>
    <col min="5883" max="5883" width="7.5703125" style="1" bestFit="1" customWidth="1"/>
    <col min="5884" max="5884" width="4.42578125" style="1" customWidth="1"/>
    <col min="5885" max="5885" width="7.42578125" style="1" bestFit="1" customWidth="1"/>
    <col min="5886" max="5886" width="2.85546875" style="1" bestFit="1" customWidth="1"/>
    <col min="5887" max="5887" width="7" style="1" bestFit="1" customWidth="1"/>
    <col min="5888" max="5888" width="5.7109375" style="1" bestFit="1" customWidth="1"/>
    <col min="5889" max="5889" width="7.85546875" style="1" bestFit="1" customWidth="1"/>
    <col min="5890" max="5891" width="0" style="1" hidden="1" customWidth="1"/>
    <col min="5892" max="5892" width="12.5703125" style="1" customWidth="1"/>
    <col min="5893" max="5893" width="0" style="1" hidden="1" customWidth="1"/>
    <col min="5894" max="5894" width="11" style="1" customWidth="1"/>
    <col min="5895" max="5895" width="9.140625" style="1" customWidth="1"/>
    <col min="5896" max="5896" width="9.85546875" style="1" customWidth="1"/>
    <col min="5897" max="5900" width="0" style="1" hidden="1" customWidth="1"/>
    <col min="5901" max="5901" width="1.5703125" style="1" customWidth="1"/>
    <col min="5902" max="5904" width="0" style="1" hidden="1" customWidth="1"/>
    <col min="5905" max="5905" width="10.42578125" style="1" customWidth="1"/>
    <col min="5906" max="5907" width="11" style="1" customWidth="1"/>
    <col min="5908" max="5908" width="9.42578125" style="1" customWidth="1"/>
    <col min="5909" max="5909" width="10" style="1" customWidth="1"/>
    <col min="5910" max="5910" width="11" style="1" customWidth="1"/>
    <col min="5911" max="5911" width="9.5703125" style="1" customWidth="1"/>
    <col min="5912" max="5912" width="10.140625" style="1" customWidth="1"/>
    <col min="5913" max="5952" width="10.7109375" style="1" customWidth="1"/>
    <col min="5953" max="5953" width="1.85546875" style="1" bestFit="1" customWidth="1"/>
    <col min="5954" max="5954" width="34.5703125" style="1" bestFit="1" customWidth="1"/>
    <col min="5955" max="5956" width="10.7109375" style="1" customWidth="1"/>
    <col min="5957" max="5957" width="2.7109375" style="1" bestFit="1" customWidth="1"/>
    <col min="5958" max="5958" width="11.5703125" style="1" bestFit="1" customWidth="1"/>
    <col min="5959" max="6135" width="10.7109375" style="1"/>
    <col min="6136" max="6136" width="5.28515625" style="1" customWidth="1"/>
    <col min="6137" max="6137" width="6.42578125" style="1" customWidth="1"/>
    <col min="6138" max="6138" width="22" style="1" customWidth="1"/>
    <col min="6139" max="6139" width="7.5703125" style="1" bestFit="1" customWidth="1"/>
    <col min="6140" max="6140" width="4.42578125" style="1" customWidth="1"/>
    <col min="6141" max="6141" width="7.42578125" style="1" bestFit="1" customWidth="1"/>
    <col min="6142" max="6142" width="2.85546875" style="1" bestFit="1" customWidth="1"/>
    <col min="6143" max="6143" width="7" style="1" bestFit="1" customWidth="1"/>
    <col min="6144" max="6144" width="5.7109375" style="1" bestFit="1" customWidth="1"/>
    <col min="6145" max="6145" width="7.85546875" style="1" bestFit="1" customWidth="1"/>
    <col min="6146" max="6147" width="0" style="1" hidden="1" customWidth="1"/>
    <col min="6148" max="6148" width="12.5703125" style="1" customWidth="1"/>
    <col min="6149" max="6149" width="0" style="1" hidden="1" customWidth="1"/>
    <col min="6150" max="6150" width="11" style="1" customWidth="1"/>
    <col min="6151" max="6151" width="9.140625" style="1" customWidth="1"/>
    <col min="6152" max="6152" width="9.85546875" style="1" customWidth="1"/>
    <col min="6153" max="6156" width="0" style="1" hidden="1" customWidth="1"/>
    <col min="6157" max="6157" width="1.5703125" style="1" customWidth="1"/>
    <col min="6158" max="6160" width="0" style="1" hidden="1" customWidth="1"/>
    <col min="6161" max="6161" width="10.42578125" style="1" customWidth="1"/>
    <col min="6162" max="6163" width="11" style="1" customWidth="1"/>
    <col min="6164" max="6164" width="9.42578125" style="1" customWidth="1"/>
    <col min="6165" max="6165" width="10" style="1" customWidth="1"/>
    <col min="6166" max="6166" width="11" style="1" customWidth="1"/>
    <col min="6167" max="6167" width="9.5703125" style="1" customWidth="1"/>
    <col min="6168" max="6168" width="10.140625" style="1" customWidth="1"/>
    <col min="6169" max="6208" width="10.7109375" style="1" customWidth="1"/>
    <col min="6209" max="6209" width="1.85546875" style="1" bestFit="1" customWidth="1"/>
    <col min="6210" max="6210" width="34.5703125" style="1" bestFit="1" customWidth="1"/>
    <col min="6211" max="6212" width="10.7109375" style="1" customWidth="1"/>
    <col min="6213" max="6213" width="2.7109375" style="1" bestFit="1" customWidth="1"/>
    <col min="6214" max="6214" width="11.5703125" style="1" bestFit="1" customWidth="1"/>
    <col min="6215" max="6391" width="10.7109375" style="1"/>
    <col min="6392" max="6392" width="5.28515625" style="1" customWidth="1"/>
    <col min="6393" max="6393" width="6.42578125" style="1" customWidth="1"/>
    <col min="6394" max="6394" width="22" style="1" customWidth="1"/>
    <col min="6395" max="6395" width="7.5703125" style="1" bestFit="1" customWidth="1"/>
    <col min="6396" max="6396" width="4.42578125" style="1" customWidth="1"/>
    <col min="6397" max="6397" width="7.42578125" style="1" bestFit="1" customWidth="1"/>
    <col min="6398" max="6398" width="2.85546875" style="1" bestFit="1" customWidth="1"/>
    <col min="6399" max="6399" width="7" style="1" bestFit="1" customWidth="1"/>
    <col min="6400" max="6400" width="5.7109375" style="1" bestFit="1" customWidth="1"/>
    <col min="6401" max="6401" width="7.85546875" style="1" bestFit="1" customWidth="1"/>
    <col min="6402" max="6403" width="0" style="1" hidden="1" customWidth="1"/>
    <col min="6404" max="6404" width="12.5703125" style="1" customWidth="1"/>
    <col min="6405" max="6405" width="0" style="1" hidden="1" customWidth="1"/>
    <col min="6406" max="6406" width="11" style="1" customWidth="1"/>
    <col min="6407" max="6407" width="9.140625" style="1" customWidth="1"/>
    <col min="6408" max="6408" width="9.85546875" style="1" customWidth="1"/>
    <col min="6409" max="6412" width="0" style="1" hidden="1" customWidth="1"/>
    <col min="6413" max="6413" width="1.5703125" style="1" customWidth="1"/>
    <col min="6414" max="6416" width="0" style="1" hidden="1" customWidth="1"/>
    <col min="6417" max="6417" width="10.42578125" style="1" customWidth="1"/>
    <col min="6418" max="6419" width="11" style="1" customWidth="1"/>
    <col min="6420" max="6420" width="9.42578125" style="1" customWidth="1"/>
    <col min="6421" max="6421" width="10" style="1" customWidth="1"/>
    <col min="6422" max="6422" width="11" style="1" customWidth="1"/>
    <col min="6423" max="6423" width="9.5703125" style="1" customWidth="1"/>
    <col min="6424" max="6424" width="10.140625" style="1" customWidth="1"/>
    <col min="6425" max="6464" width="10.7109375" style="1" customWidth="1"/>
    <col min="6465" max="6465" width="1.85546875" style="1" bestFit="1" customWidth="1"/>
    <col min="6466" max="6466" width="34.5703125" style="1" bestFit="1" customWidth="1"/>
    <col min="6467" max="6468" width="10.7109375" style="1" customWidth="1"/>
    <col min="6469" max="6469" width="2.7109375" style="1" bestFit="1" customWidth="1"/>
    <col min="6470" max="6470" width="11.5703125" style="1" bestFit="1" customWidth="1"/>
    <col min="6471" max="6647" width="10.7109375" style="1"/>
    <col min="6648" max="6648" width="5.28515625" style="1" customWidth="1"/>
    <col min="6649" max="6649" width="6.42578125" style="1" customWidth="1"/>
    <col min="6650" max="6650" width="22" style="1" customWidth="1"/>
    <col min="6651" max="6651" width="7.5703125" style="1" bestFit="1" customWidth="1"/>
    <col min="6652" max="6652" width="4.42578125" style="1" customWidth="1"/>
    <col min="6653" max="6653" width="7.42578125" style="1" bestFit="1" customWidth="1"/>
    <col min="6654" max="6654" width="2.85546875" style="1" bestFit="1" customWidth="1"/>
    <col min="6655" max="6655" width="7" style="1" bestFit="1" customWidth="1"/>
    <col min="6656" max="6656" width="5.7109375" style="1" bestFit="1" customWidth="1"/>
    <col min="6657" max="6657" width="7.85546875" style="1" bestFit="1" customWidth="1"/>
    <col min="6658" max="6659" width="0" style="1" hidden="1" customWidth="1"/>
    <col min="6660" max="6660" width="12.5703125" style="1" customWidth="1"/>
    <col min="6661" max="6661" width="0" style="1" hidden="1" customWidth="1"/>
    <col min="6662" max="6662" width="11" style="1" customWidth="1"/>
    <col min="6663" max="6663" width="9.140625" style="1" customWidth="1"/>
    <col min="6664" max="6664" width="9.85546875" style="1" customWidth="1"/>
    <col min="6665" max="6668" width="0" style="1" hidden="1" customWidth="1"/>
    <col min="6669" max="6669" width="1.5703125" style="1" customWidth="1"/>
    <col min="6670" max="6672" width="0" style="1" hidden="1" customWidth="1"/>
    <col min="6673" max="6673" width="10.42578125" style="1" customWidth="1"/>
    <col min="6674" max="6675" width="11" style="1" customWidth="1"/>
    <col min="6676" max="6676" width="9.42578125" style="1" customWidth="1"/>
    <col min="6677" max="6677" width="10" style="1" customWidth="1"/>
    <col min="6678" max="6678" width="11" style="1" customWidth="1"/>
    <col min="6679" max="6679" width="9.5703125" style="1" customWidth="1"/>
    <col min="6680" max="6680" width="10.140625" style="1" customWidth="1"/>
    <col min="6681" max="6720" width="10.7109375" style="1" customWidth="1"/>
    <col min="6721" max="6721" width="1.85546875" style="1" bestFit="1" customWidth="1"/>
    <col min="6722" max="6722" width="34.5703125" style="1" bestFit="1" customWidth="1"/>
    <col min="6723" max="6724" width="10.7109375" style="1" customWidth="1"/>
    <col min="6725" max="6725" width="2.7109375" style="1" bestFit="1" customWidth="1"/>
    <col min="6726" max="6726" width="11.5703125" style="1" bestFit="1" customWidth="1"/>
    <col min="6727" max="6903" width="10.7109375" style="1"/>
    <col min="6904" max="6904" width="5.28515625" style="1" customWidth="1"/>
    <col min="6905" max="6905" width="6.42578125" style="1" customWidth="1"/>
    <col min="6906" max="6906" width="22" style="1" customWidth="1"/>
    <col min="6907" max="6907" width="7.5703125" style="1" bestFit="1" customWidth="1"/>
    <col min="6908" max="6908" width="4.42578125" style="1" customWidth="1"/>
    <col min="6909" max="6909" width="7.42578125" style="1" bestFit="1" customWidth="1"/>
    <col min="6910" max="6910" width="2.85546875" style="1" bestFit="1" customWidth="1"/>
    <col min="6911" max="6911" width="7" style="1" bestFit="1" customWidth="1"/>
    <col min="6912" max="6912" width="5.7109375" style="1" bestFit="1" customWidth="1"/>
    <col min="6913" max="6913" width="7.85546875" style="1" bestFit="1" customWidth="1"/>
    <col min="6914" max="6915" width="0" style="1" hidden="1" customWidth="1"/>
    <col min="6916" max="6916" width="12.5703125" style="1" customWidth="1"/>
    <col min="6917" max="6917" width="0" style="1" hidden="1" customWidth="1"/>
    <col min="6918" max="6918" width="11" style="1" customWidth="1"/>
    <col min="6919" max="6919" width="9.140625" style="1" customWidth="1"/>
    <col min="6920" max="6920" width="9.85546875" style="1" customWidth="1"/>
    <col min="6921" max="6924" width="0" style="1" hidden="1" customWidth="1"/>
    <col min="6925" max="6925" width="1.5703125" style="1" customWidth="1"/>
    <col min="6926" max="6928" width="0" style="1" hidden="1" customWidth="1"/>
    <col min="6929" max="6929" width="10.42578125" style="1" customWidth="1"/>
    <col min="6930" max="6931" width="11" style="1" customWidth="1"/>
    <col min="6932" max="6932" width="9.42578125" style="1" customWidth="1"/>
    <col min="6933" max="6933" width="10" style="1" customWidth="1"/>
    <col min="6934" max="6934" width="11" style="1" customWidth="1"/>
    <col min="6935" max="6935" width="9.5703125" style="1" customWidth="1"/>
    <col min="6936" max="6936" width="10.140625" style="1" customWidth="1"/>
    <col min="6937" max="6976" width="10.7109375" style="1" customWidth="1"/>
    <col min="6977" max="6977" width="1.85546875" style="1" bestFit="1" customWidth="1"/>
    <col min="6978" max="6978" width="34.5703125" style="1" bestFit="1" customWidth="1"/>
    <col min="6979" max="6980" width="10.7109375" style="1" customWidth="1"/>
    <col min="6981" max="6981" width="2.7109375" style="1" bestFit="1" customWidth="1"/>
    <col min="6982" max="6982" width="11.5703125" style="1" bestFit="1" customWidth="1"/>
    <col min="6983" max="7159" width="10.7109375" style="1"/>
    <col min="7160" max="7160" width="5.28515625" style="1" customWidth="1"/>
    <col min="7161" max="7161" width="6.42578125" style="1" customWidth="1"/>
    <col min="7162" max="7162" width="22" style="1" customWidth="1"/>
    <col min="7163" max="7163" width="7.5703125" style="1" bestFit="1" customWidth="1"/>
    <col min="7164" max="7164" width="4.42578125" style="1" customWidth="1"/>
    <col min="7165" max="7165" width="7.42578125" style="1" bestFit="1" customWidth="1"/>
    <col min="7166" max="7166" width="2.85546875" style="1" bestFit="1" customWidth="1"/>
    <col min="7167" max="7167" width="7" style="1" bestFit="1" customWidth="1"/>
    <col min="7168" max="7168" width="5.7109375" style="1" bestFit="1" customWidth="1"/>
    <col min="7169" max="7169" width="7.85546875" style="1" bestFit="1" customWidth="1"/>
    <col min="7170" max="7171" width="0" style="1" hidden="1" customWidth="1"/>
    <col min="7172" max="7172" width="12.5703125" style="1" customWidth="1"/>
    <col min="7173" max="7173" width="0" style="1" hidden="1" customWidth="1"/>
    <col min="7174" max="7174" width="11" style="1" customWidth="1"/>
    <col min="7175" max="7175" width="9.140625" style="1" customWidth="1"/>
    <col min="7176" max="7176" width="9.85546875" style="1" customWidth="1"/>
    <col min="7177" max="7180" width="0" style="1" hidden="1" customWidth="1"/>
    <col min="7181" max="7181" width="1.5703125" style="1" customWidth="1"/>
    <col min="7182" max="7184" width="0" style="1" hidden="1" customWidth="1"/>
    <col min="7185" max="7185" width="10.42578125" style="1" customWidth="1"/>
    <col min="7186" max="7187" width="11" style="1" customWidth="1"/>
    <col min="7188" max="7188" width="9.42578125" style="1" customWidth="1"/>
    <col min="7189" max="7189" width="10" style="1" customWidth="1"/>
    <col min="7190" max="7190" width="11" style="1" customWidth="1"/>
    <col min="7191" max="7191" width="9.5703125" style="1" customWidth="1"/>
    <col min="7192" max="7192" width="10.140625" style="1" customWidth="1"/>
    <col min="7193" max="7232" width="10.7109375" style="1" customWidth="1"/>
    <col min="7233" max="7233" width="1.85546875" style="1" bestFit="1" customWidth="1"/>
    <col min="7234" max="7234" width="34.5703125" style="1" bestFit="1" customWidth="1"/>
    <col min="7235" max="7236" width="10.7109375" style="1" customWidth="1"/>
    <col min="7237" max="7237" width="2.7109375" style="1" bestFit="1" customWidth="1"/>
    <col min="7238" max="7238" width="11.5703125" style="1" bestFit="1" customWidth="1"/>
    <col min="7239" max="7415" width="10.7109375" style="1"/>
    <col min="7416" max="7416" width="5.28515625" style="1" customWidth="1"/>
    <col min="7417" max="7417" width="6.42578125" style="1" customWidth="1"/>
    <col min="7418" max="7418" width="22" style="1" customWidth="1"/>
    <col min="7419" max="7419" width="7.5703125" style="1" bestFit="1" customWidth="1"/>
    <col min="7420" max="7420" width="4.42578125" style="1" customWidth="1"/>
    <col min="7421" max="7421" width="7.42578125" style="1" bestFit="1" customWidth="1"/>
    <col min="7422" max="7422" width="2.85546875" style="1" bestFit="1" customWidth="1"/>
    <col min="7423" max="7423" width="7" style="1" bestFit="1" customWidth="1"/>
    <col min="7424" max="7424" width="5.7109375" style="1" bestFit="1" customWidth="1"/>
    <col min="7425" max="7425" width="7.85546875" style="1" bestFit="1" customWidth="1"/>
    <col min="7426" max="7427" width="0" style="1" hidden="1" customWidth="1"/>
    <col min="7428" max="7428" width="12.5703125" style="1" customWidth="1"/>
    <col min="7429" max="7429" width="0" style="1" hidden="1" customWidth="1"/>
    <col min="7430" max="7430" width="11" style="1" customWidth="1"/>
    <col min="7431" max="7431" width="9.140625" style="1" customWidth="1"/>
    <col min="7432" max="7432" width="9.85546875" style="1" customWidth="1"/>
    <col min="7433" max="7436" width="0" style="1" hidden="1" customWidth="1"/>
    <col min="7437" max="7437" width="1.5703125" style="1" customWidth="1"/>
    <col min="7438" max="7440" width="0" style="1" hidden="1" customWidth="1"/>
    <col min="7441" max="7441" width="10.42578125" style="1" customWidth="1"/>
    <col min="7442" max="7443" width="11" style="1" customWidth="1"/>
    <col min="7444" max="7444" width="9.42578125" style="1" customWidth="1"/>
    <col min="7445" max="7445" width="10" style="1" customWidth="1"/>
    <col min="7446" max="7446" width="11" style="1" customWidth="1"/>
    <col min="7447" max="7447" width="9.5703125" style="1" customWidth="1"/>
    <col min="7448" max="7448" width="10.140625" style="1" customWidth="1"/>
    <col min="7449" max="7488" width="10.7109375" style="1" customWidth="1"/>
    <col min="7489" max="7489" width="1.85546875" style="1" bestFit="1" customWidth="1"/>
    <col min="7490" max="7490" width="34.5703125" style="1" bestFit="1" customWidth="1"/>
    <col min="7491" max="7492" width="10.7109375" style="1" customWidth="1"/>
    <col min="7493" max="7493" width="2.7109375" style="1" bestFit="1" customWidth="1"/>
    <col min="7494" max="7494" width="11.5703125" style="1" bestFit="1" customWidth="1"/>
    <col min="7495" max="7671" width="10.7109375" style="1"/>
    <col min="7672" max="7672" width="5.28515625" style="1" customWidth="1"/>
    <col min="7673" max="7673" width="6.42578125" style="1" customWidth="1"/>
    <col min="7674" max="7674" width="22" style="1" customWidth="1"/>
    <col min="7675" max="7675" width="7.5703125" style="1" bestFit="1" customWidth="1"/>
    <col min="7676" max="7676" width="4.42578125" style="1" customWidth="1"/>
    <col min="7677" max="7677" width="7.42578125" style="1" bestFit="1" customWidth="1"/>
    <col min="7678" max="7678" width="2.85546875" style="1" bestFit="1" customWidth="1"/>
    <col min="7679" max="7679" width="7" style="1" bestFit="1" customWidth="1"/>
    <col min="7680" max="7680" width="5.7109375" style="1" bestFit="1" customWidth="1"/>
    <col min="7681" max="7681" width="7.85546875" style="1" bestFit="1" customWidth="1"/>
    <col min="7682" max="7683" width="0" style="1" hidden="1" customWidth="1"/>
    <col min="7684" max="7684" width="12.5703125" style="1" customWidth="1"/>
    <col min="7685" max="7685" width="0" style="1" hidden="1" customWidth="1"/>
    <col min="7686" max="7686" width="11" style="1" customWidth="1"/>
    <col min="7687" max="7687" width="9.140625" style="1" customWidth="1"/>
    <col min="7688" max="7688" width="9.85546875" style="1" customWidth="1"/>
    <col min="7689" max="7692" width="0" style="1" hidden="1" customWidth="1"/>
    <col min="7693" max="7693" width="1.5703125" style="1" customWidth="1"/>
    <col min="7694" max="7696" width="0" style="1" hidden="1" customWidth="1"/>
    <col min="7697" max="7697" width="10.42578125" style="1" customWidth="1"/>
    <col min="7698" max="7699" width="11" style="1" customWidth="1"/>
    <col min="7700" max="7700" width="9.42578125" style="1" customWidth="1"/>
    <col min="7701" max="7701" width="10" style="1" customWidth="1"/>
    <col min="7702" max="7702" width="11" style="1" customWidth="1"/>
    <col min="7703" max="7703" width="9.5703125" style="1" customWidth="1"/>
    <col min="7704" max="7704" width="10.140625" style="1" customWidth="1"/>
    <col min="7705" max="7744" width="10.7109375" style="1" customWidth="1"/>
    <col min="7745" max="7745" width="1.85546875" style="1" bestFit="1" customWidth="1"/>
    <col min="7746" max="7746" width="34.5703125" style="1" bestFit="1" customWidth="1"/>
    <col min="7747" max="7748" width="10.7109375" style="1" customWidth="1"/>
    <col min="7749" max="7749" width="2.7109375" style="1" bestFit="1" customWidth="1"/>
    <col min="7750" max="7750" width="11.5703125" style="1" bestFit="1" customWidth="1"/>
    <col min="7751" max="7927" width="10.7109375" style="1"/>
    <col min="7928" max="7928" width="5.28515625" style="1" customWidth="1"/>
    <col min="7929" max="7929" width="6.42578125" style="1" customWidth="1"/>
    <col min="7930" max="7930" width="22" style="1" customWidth="1"/>
    <col min="7931" max="7931" width="7.5703125" style="1" bestFit="1" customWidth="1"/>
    <col min="7932" max="7932" width="4.42578125" style="1" customWidth="1"/>
    <col min="7933" max="7933" width="7.42578125" style="1" bestFit="1" customWidth="1"/>
    <col min="7934" max="7934" width="2.85546875" style="1" bestFit="1" customWidth="1"/>
    <col min="7935" max="7935" width="7" style="1" bestFit="1" customWidth="1"/>
    <col min="7936" max="7936" width="5.7109375" style="1" bestFit="1" customWidth="1"/>
    <col min="7937" max="7937" width="7.85546875" style="1" bestFit="1" customWidth="1"/>
    <col min="7938" max="7939" width="0" style="1" hidden="1" customWidth="1"/>
    <col min="7940" max="7940" width="12.5703125" style="1" customWidth="1"/>
    <col min="7941" max="7941" width="0" style="1" hidden="1" customWidth="1"/>
    <col min="7942" max="7942" width="11" style="1" customWidth="1"/>
    <col min="7943" max="7943" width="9.140625" style="1" customWidth="1"/>
    <col min="7944" max="7944" width="9.85546875" style="1" customWidth="1"/>
    <col min="7945" max="7948" width="0" style="1" hidden="1" customWidth="1"/>
    <col min="7949" max="7949" width="1.5703125" style="1" customWidth="1"/>
    <col min="7950" max="7952" width="0" style="1" hidden="1" customWidth="1"/>
    <col min="7953" max="7953" width="10.42578125" style="1" customWidth="1"/>
    <col min="7954" max="7955" width="11" style="1" customWidth="1"/>
    <col min="7956" max="7956" width="9.42578125" style="1" customWidth="1"/>
    <col min="7957" max="7957" width="10" style="1" customWidth="1"/>
    <col min="7958" max="7958" width="11" style="1" customWidth="1"/>
    <col min="7959" max="7959" width="9.5703125" style="1" customWidth="1"/>
    <col min="7960" max="7960" width="10.140625" style="1" customWidth="1"/>
    <col min="7961" max="8000" width="10.7109375" style="1" customWidth="1"/>
    <col min="8001" max="8001" width="1.85546875" style="1" bestFit="1" customWidth="1"/>
    <col min="8002" max="8002" width="34.5703125" style="1" bestFit="1" customWidth="1"/>
    <col min="8003" max="8004" width="10.7109375" style="1" customWidth="1"/>
    <col min="8005" max="8005" width="2.7109375" style="1" bestFit="1" customWidth="1"/>
    <col min="8006" max="8006" width="11.5703125" style="1" bestFit="1" customWidth="1"/>
    <col min="8007" max="8183" width="10.7109375" style="1"/>
    <col min="8184" max="8184" width="5.28515625" style="1" customWidth="1"/>
    <col min="8185" max="8185" width="6.42578125" style="1" customWidth="1"/>
    <col min="8186" max="8186" width="22" style="1" customWidth="1"/>
    <col min="8187" max="8187" width="7.5703125" style="1" bestFit="1" customWidth="1"/>
    <col min="8188" max="8188" width="4.42578125" style="1" customWidth="1"/>
    <col min="8189" max="8189" width="7.42578125" style="1" bestFit="1" customWidth="1"/>
    <col min="8190" max="8190" width="2.85546875" style="1" bestFit="1" customWidth="1"/>
    <col min="8191" max="8191" width="7" style="1" bestFit="1" customWidth="1"/>
    <col min="8192" max="8192" width="5.7109375" style="1" bestFit="1" customWidth="1"/>
    <col min="8193" max="8193" width="7.85546875" style="1" bestFit="1" customWidth="1"/>
    <col min="8194" max="8195" width="0" style="1" hidden="1" customWidth="1"/>
    <col min="8196" max="8196" width="12.5703125" style="1" customWidth="1"/>
    <col min="8197" max="8197" width="0" style="1" hidden="1" customWidth="1"/>
    <col min="8198" max="8198" width="11" style="1" customWidth="1"/>
    <col min="8199" max="8199" width="9.140625" style="1" customWidth="1"/>
    <col min="8200" max="8200" width="9.85546875" style="1" customWidth="1"/>
    <col min="8201" max="8204" width="0" style="1" hidden="1" customWidth="1"/>
    <col min="8205" max="8205" width="1.5703125" style="1" customWidth="1"/>
    <col min="8206" max="8208" width="0" style="1" hidden="1" customWidth="1"/>
    <col min="8209" max="8209" width="10.42578125" style="1" customWidth="1"/>
    <col min="8210" max="8211" width="11" style="1" customWidth="1"/>
    <col min="8212" max="8212" width="9.42578125" style="1" customWidth="1"/>
    <col min="8213" max="8213" width="10" style="1" customWidth="1"/>
    <col min="8214" max="8214" width="11" style="1" customWidth="1"/>
    <col min="8215" max="8215" width="9.5703125" style="1" customWidth="1"/>
    <col min="8216" max="8216" width="10.140625" style="1" customWidth="1"/>
    <col min="8217" max="8256" width="10.7109375" style="1" customWidth="1"/>
    <col min="8257" max="8257" width="1.85546875" style="1" bestFit="1" customWidth="1"/>
    <col min="8258" max="8258" width="34.5703125" style="1" bestFit="1" customWidth="1"/>
    <col min="8259" max="8260" width="10.7109375" style="1" customWidth="1"/>
    <col min="8261" max="8261" width="2.7109375" style="1" bestFit="1" customWidth="1"/>
    <col min="8262" max="8262" width="11.5703125" style="1" bestFit="1" customWidth="1"/>
    <col min="8263" max="8439" width="10.7109375" style="1"/>
    <col min="8440" max="8440" width="5.28515625" style="1" customWidth="1"/>
    <col min="8441" max="8441" width="6.42578125" style="1" customWidth="1"/>
    <col min="8442" max="8442" width="22" style="1" customWidth="1"/>
    <col min="8443" max="8443" width="7.5703125" style="1" bestFit="1" customWidth="1"/>
    <col min="8444" max="8444" width="4.42578125" style="1" customWidth="1"/>
    <col min="8445" max="8445" width="7.42578125" style="1" bestFit="1" customWidth="1"/>
    <col min="8446" max="8446" width="2.85546875" style="1" bestFit="1" customWidth="1"/>
    <col min="8447" max="8447" width="7" style="1" bestFit="1" customWidth="1"/>
    <col min="8448" max="8448" width="5.7109375" style="1" bestFit="1" customWidth="1"/>
    <col min="8449" max="8449" width="7.85546875" style="1" bestFit="1" customWidth="1"/>
    <col min="8450" max="8451" width="0" style="1" hidden="1" customWidth="1"/>
    <col min="8452" max="8452" width="12.5703125" style="1" customWidth="1"/>
    <col min="8453" max="8453" width="0" style="1" hidden="1" customWidth="1"/>
    <col min="8454" max="8454" width="11" style="1" customWidth="1"/>
    <col min="8455" max="8455" width="9.140625" style="1" customWidth="1"/>
    <col min="8456" max="8456" width="9.85546875" style="1" customWidth="1"/>
    <col min="8457" max="8460" width="0" style="1" hidden="1" customWidth="1"/>
    <col min="8461" max="8461" width="1.5703125" style="1" customWidth="1"/>
    <col min="8462" max="8464" width="0" style="1" hidden="1" customWidth="1"/>
    <col min="8465" max="8465" width="10.42578125" style="1" customWidth="1"/>
    <col min="8466" max="8467" width="11" style="1" customWidth="1"/>
    <col min="8468" max="8468" width="9.42578125" style="1" customWidth="1"/>
    <col min="8469" max="8469" width="10" style="1" customWidth="1"/>
    <col min="8470" max="8470" width="11" style="1" customWidth="1"/>
    <col min="8471" max="8471" width="9.5703125" style="1" customWidth="1"/>
    <col min="8472" max="8472" width="10.140625" style="1" customWidth="1"/>
    <col min="8473" max="8512" width="10.7109375" style="1" customWidth="1"/>
    <col min="8513" max="8513" width="1.85546875" style="1" bestFit="1" customWidth="1"/>
    <col min="8514" max="8514" width="34.5703125" style="1" bestFit="1" customWidth="1"/>
    <col min="8515" max="8516" width="10.7109375" style="1" customWidth="1"/>
    <col min="8517" max="8517" width="2.7109375" style="1" bestFit="1" customWidth="1"/>
    <col min="8518" max="8518" width="11.5703125" style="1" bestFit="1" customWidth="1"/>
    <col min="8519" max="8695" width="10.7109375" style="1"/>
    <col min="8696" max="8696" width="5.28515625" style="1" customWidth="1"/>
    <col min="8697" max="8697" width="6.42578125" style="1" customWidth="1"/>
    <col min="8698" max="8698" width="22" style="1" customWidth="1"/>
    <col min="8699" max="8699" width="7.5703125" style="1" bestFit="1" customWidth="1"/>
    <col min="8700" max="8700" width="4.42578125" style="1" customWidth="1"/>
    <col min="8701" max="8701" width="7.42578125" style="1" bestFit="1" customWidth="1"/>
    <col min="8702" max="8702" width="2.85546875" style="1" bestFit="1" customWidth="1"/>
    <col min="8703" max="8703" width="7" style="1" bestFit="1" customWidth="1"/>
    <col min="8704" max="8704" width="5.7109375" style="1" bestFit="1" customWidth="1"/>
    <col min="8705" max="8705" width="7.85546875" style="1" bestFit="1" customWidth="1"/>
    <col min="8706" max="8707" width="0" style="1" hidden="1" customWidth="1"/>
    <col min="8708" max="8708" width="12.5703125" style="1" customWidth="1"/>
    <col min="8709" max="8709" width="0" style="1" hidden="1" customWidth="1"/>
    <col min="8710" max="8710" width="11" style="1" customWidth="1"/>
    <col min="8711" max="8711" width="9.140625" style="1" customWidth="1"/>
    <col min="8712" max="8712" width="9.85546875" style="1" customWidth="1"/>
    <col min="8713" max="8716" width="0" style="1" hidden="1" customWidth="1"/>
    <col min="8717" max="8717" width="1.5703125" style="1" customWidth="1"/>
    <col min="8718" max="8720" width="0" style="1" hidden="1" customWidth="1"/>
    <col min="8721" max="8721" width="10.42578125" style="1" customWidth="1"/>
    <col min="8722" max="8723" width="11" style="1" customWidth="1"/>
    <col min="8724" max="8724" width="9.42578125" style="1" customWidth="1"/>
    <col min="8725" max="8725" width="10" style="1" customWidth="1"/>
    <col min="8726" max="8726" width="11" style="1" customWidth="1"/>
    <col min="8727" max="8727" width="9.5703125" style="1" customWidth="1"/>
    <col min="8728" max="8728" width="10.140625" style="1" customWidth="1"/>
    <col min="8729" max="8768" width="10.7109375" style="1" customWidth="1"/>
    <col min="8769" max="8769" width="1.85546875" style="1" bestFit="1" customWidth="1"/>
    <col min="8770" max="8770" width="34.5703125" style="1" bestFit="1" customWidth="1"/>
    <col min="8771" max="8772" width="10.7109375" style="1" customWidth="1"/>
    <col min="8773" max="8773" width="2.7109375" style="1" bestFit="1" customWidth="1"/>
    <col min="8774" max="8774" width="11.5703125" style="1" bestFit="1" customWidth="1"/>
    <col min="8775" max="8951" width="10.7109375" style="1"/>
    <col min="8952" max="8952" width="5.28515625" style="1" customWidth="1"/>
    <col min="8953" max="8953" width="6.42578125" style="1" customWidth="1"/>
    <col min="8954" max="8954" width="22" style="1" customWidth="1"/>
    <col min="8955" max="8955" width="7.5703125" style="1" bestFit="1" customWidth="1"/>
    <col min="8956" max="8956" width="4.42578125" style="1" customWidth="1"/>
    <col min="8957" max="8957" width="7.42578125" style="1" bestFit="1" customWidth="1"/>
    <col min="8958" max="8958" width="2.85546875" style="1" bestFit="1" customWidth="1"/>
    <col min="8959" max="8959" width="7" style="1" bestFit="1" customWidth="1"/>
    <col min="8960" max="8960" width="5.7109375" style="1" bestFit="1" customWidth="1"/>
    <col min="8961" max="8961" width="7.85546875" style="1" bestFit="1" customWidth="1"/>
    <col min="8962" max="8963" width="0" style="1" hidden="1" customWidth="1"/>
    <col min="8964" max="8964" width="12.5703125" style="1" customWidth="1"/>
    <col min="8965" max="8965" width="0" style="1" hidden="1" customWidth="1"/>
    <col min="8966" max="8966" width="11" style="1" customWidth="1"/>
    <col min="8967" max="8967" width="9.140625" style="1" customWidth="1"/>
    <col min="8968" max="8968" width="9.85546875" style="1" customWidth="1"/>
    <col min="8969" max="8972" width="0" style="1" hidden="1" customWidth="1"/>
    <col min="8973" max="8973" width="1.5703125" style="1" customWidth="1"/>
    <col min="8974" max="8976" width="0" style="1" hidden="1" customWidth="1"/>
    <col min="8977" max="8977" width="10.42578125" style="1" customWidth="1"/>
    <col min="8978" max="8979" width="11" style="1" customWidth="1"/>
    <col min="8980" max="8980" width="9.42578125" style="1" customWidth="1"/>
    <col min="8981" max="8981" width="10" style="1" customWidth="1"/>
    <col min="8982" max="8982" width="11" style="1" customWidth="1"/>
    <col min="8983" max="8983" width="9.5703125" style="1" customWidth="1"/>
    <col min="8984" max="8984" width="10.140625" style="1" customWidth="1"/>
    <col min="8985" max="9024" width="10.7109375" style="1" customWidth="1"/>
    <col min="9025" max="9025" width="1.85546875" style="1" bestFit="1" customWidth="1"/>
    <col min="9026" max="9026" width="34.5703125" style="1" bestFit="1" customWidth="1"/>
    <col min="9027" max="9028" width="10.7109375" style="1" customWidth="1"/>
    <col min="9029" max="9029" width="2.7109375" style="1" bestFit="1" customWidth="1"/>
    <col min="9030" max="9030" width="11.5703125" style="1" bestFit="1" customWidth="1"/>
    <col min="9031" max="9207" width="10.7109375" style="1"/>
    <col min="9208" max="9208" width="5.28515625" style="1" customWidth="1"/>
    <col min="9209" max="9209" width="6.42578125" style="1" customWidth="1"/>
    <col min="9210" max="9210" width="22" style="1" customWidth="1"/>
    <col min="9211" max="9211" width="7.5703125" style="1" bestFit="1" customWidth="1"/>
    <col min="9212" max="9212" width="4.42578125" style="1" customWidth="1"/>
    <col min="9213" max="9213" width="7.42578125" style="1" bestFit="1" customWidth="1"/>
    <col min="9214" max="9214" width="2.85546875" style="1" bestFit="1" customWidth="1"/>
    <col min="9215" max="9215" width="7" style="1" bestFit="1" customWidth="1"/>
    <col min="9216" max="9216" width="5.7109375" style="1" bestFit="1" customWidth="1"/>
    <col min="9217" max="9217" width="7.85546875" style="1" bestFit="1" customWidth="1"/>
    <col min="9218" max="9219" width="0" style="1" hidden="1" customWidth="1"/>
    <col min="9220" max="9220" width="12.5703125" style="1" customWidth="1"/>
    <col min="9221" max="9221" width="0" style="1" hidden="1" customWidth="1"/>
    <col min="9222" max="9222" width="11" style="1" customWidth="1"/>
    <col min="9223" max="9223" width="9.140625" style="1" customWidth="1"/>
    <col min="9224" max="9224" width="9.85546875" style="1" customWidth="1"/>
    <col min="9225" max="9228" width="0" style="1" hidden="1" customWidth="1"/>
    <col min="9229" max="9229" width="1.5703125" style="1" customWidth="1"/>
    <col min="9230" max="9232" width="0" style="1" hidden="1" customWidth="1"/>
    <col min="9233" max="9233" width="10.42578125" style="1" customWidth="1"/>
    <col min="9234" max="9235" width="11" style="1" customWidth="1"/>
    <col min="9236" max="9236" width="9.42578125" style="1" customWidth="1"/>
    <col min="9237" max="9237" width="10" style="1" customWidth="1"/>
    <col min="9238" max="9238" width="11" style="1" customWidth="1"/>
    <col min="9239" max="9239" width="9.5703125" style="1" customWidth="1"/>
    <col min="9240" max="9240" width="10.140625" style="1" customWidth="1"/>
    <col min="9241" max="9280" width="10.7109375" style="1" customWidth="1"/>
    <col min="9281" max="9281" width="1.85546875" style="1" bestFit="1" customWidth="1"/>
    <col min="9282" max="9282" width="34.5703125" style="1" bestFit="1" customWidth="1"/>
    <col min="9283" max="9284" width="10.7109375" style="1" customWidth="1"/>
    <col min="9285" max="9285" width="2.7109375" style="1" bestFit="1" customWidth="1"/>
    <col min="9286" max="9286" width="11.5703125" style="1" bestFit="1" customWidth="1"/>
    <col min="9287" max="9463" width="10.7109375" style="1"/>
    <col min="9464" max="9464" width="5.28515625" style="1" customWidth="1"/>
    <col min="9465" max="9465" width="6.42578125" style="1" customWidth="1"/>
    <col min="9466" max="9466" width="22" style="1" customWidth="1"/>
    <col min="9467" max="9467" width="7.5703125" style="1" bestFit="1" customWidth="1"/>
    <col min="9468" max="9468" width="4.42578125" style="1" customWidth="1"/>
    <col min="9469" max="9469" width="7.42578125" style="1" bestFit="1" customWidth="1"/>
    <col min="9470" max="9470" width="2.85546875" style="1" bestFit="1" customWidth="1"/>
    <col min="9471" max="9471" width="7" style="1" bestFit="1" customWidth="1"/>
    <col min="9472" max="9472" width="5.7109375" style="1" bestFit="1" customWidth="1"/>
    <col min="9473" max="9473" width="7.85546875" style="1" bestFit="1" customWidth="1"/>
    <col min="9474" max="9475" width="0" style="1" hidden="1" customWidth="1"/>
    <col min="9476" max="9476" width="12.5703125" style="1" customWidth="1"/>
    <col min="9477" max="9477" width="0" style="1" hidden="1" customWidth="1"/>
    <col min="9478" max="9478" width="11" style="1" customWidth="1"/>
    <col min="9479" max="9479" width="9.140625" style="1" customWidth="1"/>
    <col min="9480" max="9480" width="9.85546875" style="1" customWidth="1"/>
    <col min="9481" max="9484" width="0" style="1" hidden="1" customWidth="1"/>
    <col min="9485" max="9485" width="1.5703125" style="1" customWidth="1"/>
    <col min="9486" max="9488" width="0" style="1" hidden="1" customWidth="1"/>
    <col min="9489" max="9489" width="10.42578125" style="1" customWidth="1"/>
    <col min="9490" max="9491" width="11" style="1" customWidth="1"/>
    <col min="9492" max="9492" width="9.42578125" style="1" customWidth="1"/>
    <col min="9493" max="9493" width="10" style="1" customWidth="1"/>
    <col min="9494" max="9494" width="11" style="1" customWidth="1"/>
    <col min="9495" max="9495" width="9.5703125" style="1" customWidth="1"/>
    <col min="9496" max="9496" width="10.140625" style="1" customWidth="1"/>
    <col min="9497" max="9536" width="10.7109375" style="1" customWidth="1"/>
    <col min="9537" max="9537" width="1.85546875" style="1" bestFit="1" customWidth="1"/>
    <col min="9538" max="9538" width="34.5703125" style="1" bestFit="1" customWidth="1"/>
    <col min="9539" max="9540" width="10.7109375" style="1" customWidth="1"/>
    <col min="9541" max="9541" width="2.7109375" style="1" bestFit="1" customWidth="1"/>
    <col min="9542" max="9542" width="11.5703125" style="1" bestFit="1" customWidth="1"/>
    <col min="9543" max="9719" width="10.7109375" style="1"/>
    <col min="9720" max="9720" width="5.28515625" style="1" customWidth="1"/>
    <col min="9721" max="9721" width="6.42578125" style="1" customWidth="1"/>
    <col min="9722" max="9722" width="22" style="1" customWidth="1"/>
    <col min="9723" max="9723" width="7.5703125" style="1" bestFit="1" customWidth="1"/>
    <col min="9724" max="9724" width="4.42578125" style="1" customWidth="1"/>
    <col min="9725" max="9725" width="7.42578125" style="1" bestFit="1" customWidth="1"/>
    <col min="9726" max="9726" width="2.85546875" style="1" bestFit="1" customWidth="1"/>
    <col min="9727" max="9727" width="7" style="1" bestFit="1" customWidth="1"/>
    <col min="9728" max="9728" width="5.7109375" style="1" bestFit="1" customWidth="1"/>
    <col min="9729" max="9729" width="7.85546875" style="1" bestFit="1" customWidth="1"/>
    <col min="9730" max="9731" width="0" style="1" hidden="1" customWidth="1"/>
    <col min="9732" max="9732" width="12.5703125" style="1" customWidth="1"/>
    <col min="9733" max="9733" width="0" style="1" hidden="1" customWidth="1"/>
    <col min="9734" max="9734" width="11" style="1" customWidth="1"/>
    <col min="9735" max="9735" width="9.140625" style="1" customWidth="1"/>
    <col min="9736" max="9736" width="9.85546875" style="1" customWidth="1"/>
    <col min="9737" max="9740" width="0" style="1" hidden="1" customWidth="1"/>
    <col min="9741" max="9741" width="1.5703125" style="1" customWidth="1"/>
    <col min="9742" max="9744" width="0" style="1" hidden="1" customWidth="1"/>
    <col min="9745" max="9745" width="10.42578125" style="1" customWidth="1"/>
    <col min="9746" max="9747" width="11" style="1" customWidth="1"/>
    <col min="9748" max="9748" width="9.42578125" style="1" customWidth="1"/>
    <col min="9749" max="9749" width="10" style="1" customWidth="1"/>
    <col min="9750" max="9750" width="11" style="1" customWidth="1"/>
    <col min="9751" max="9751" width="9.5703125" style="1" customWidth="1"/>
    <col min="9752" max="9752" width="10.140625" style="1" customWidth="1"/>
    <col min="9753" max="9792" width="10.7109375" style="1" customWidth="1"/>
    <col min="9793" max="9793" width="1.85546875" style="1" bestFit="1" customWidth="1"/>
    <col min="9794" max="9794" width="34.5703125" style="1" bestFit="1" customWidth="1"/>
    <col min="9795" max="9796" width="10.7109375" style="1" customWidth="1"/>
    <col min="9797" max="9797" width="2.7109375" style="1" bestFit="1" customWidth="1"/>
    <col min="9798" max="9798" width="11.5703125" style="1" bestFit="1" customWidth="1"/>
    <col min="9799" max="9975" width="10.7109375" style="1"/>
    <col min="9976" max="9976" width="5.28515625" style="1" customWidth="1"/>
    <col min="9977" max="9977" width="6.42578125" style="1" customWidth="1"/>
    <col min="9978" max="9978" width="22" style="1" customWidth="1"/>
    <col min="9979" max="9979" width="7.5703125" style="1" bestFit="1" customWidth="1"/>
    <col min="9980" max="9980" width="4.42578125" style="1" customWidth="1"/>
    <col min="9981" max="9981" width="7.42578125" style="1" bestFit="1" customWidth="1"/>
    <col min="9982" max="9982" width="2.85546875" style="1" bestFit="1" customWidth="1"/>
    <col min="9983" max="9983" width="7" style="1" bestFit="1" customWidth="1"/>
    <col min="9984" max="9984" width="5.7109375" style="1" bestFit="1" customWidth="1"/>
    <col min="9985" max="9985" width="7.85546875" style="1" bestFit="1" customWidth="1"/>
    <col min="9986" max="9987" width="0" style="1" hidden="1" customWidth="1"/>
    <col min="9988" max="9988" width="12.5703125" style="1" customWidth="1"/>
    <col min="9989" max="9989" width="0" style="1" hidden="1" customWidth="1"/>
    <col min="9990" max="9990" width="11" style="1" customWidth="1"/>
    <col min="9991" max="9991" width="9.140625" style="1" customWidth="1"/>
    <col min="9992" max="9992" width="9.85546875" style="1" customWidth="1"/>
    <col min="9993" max="9996" width="0" style="1" hidden="1" customWidth="1"/>
    <col min="9997" max="9997" width="1.5703125" style="1" customWidth="1"/>
    <col min="9998" max="10000" width="0" style="1" hidden="1" customWidth="1"/>
    <col min="10001" max="10001" width="10.42578125" style="1" customWidth="1"/>
    <col min="10002" max="10003" width="11" style="1" customWidth="1"/>
    <col min="10004" max="10004" width="9.42578125" style="1" customWidth="1"/>
    <col min="10005" max="10005" width="10" style="1" customWidth="1"/>
    <col min="10006" max="10006" width="11" style="1" customWidth="1"/>
    <col min="10007" max="10007" width="9.5703125" style="1" customWidth="1"/>
    <col min="10008" max="10008" width="10.140625" style="1" customWidth="1"/>
    <col min="10009" max="10048" width="10.7109375" style="1" customWidth="1"/>
    <col min="10049" max="10049" width="1.85546875" style="1" bestFit="1" customWidth="1"/>
    <col min="10050" max="10050" width="34.5703125" style="1" bestFit="1" customWidth="1"/>
    <col min="10051" max="10052" width="10.7109375" style="1" customWidth="1"/>
    <col min="10053" max="10053" width="2.7109375" style="1" bestFit="1" customWidth="1"/>
    <col min="10054" max="10054" width="11.5703125" style="1" bestFit="1" customWidth="1"/>
    <col min="10055" max="10231" width="10.7109375" style="1"/>
    <col min="10232" max="10232" width="5.28515625" style="1" customWidth="1"/>
    <col min="10233" max="10233" width="6.42578125" style="1" customWidth="1"/>
    <col min="10234" max="10234" width="22" style="1" customWidth="1"/>
    <col min="10235" max="10235" width="7.5703125" style="1" bestFit="1" customWidth="1"/>
    <col min="10236" max="10236" width="4.42578125" style="1" customWidth="1"/>
    <col min="10237" max="10237" width="7.42578125" style="1" bestFit="1" customWidth="1"/>
    <col min="10238" max="10238" width="2.85546875" style="1" bestFit="1" customWidth="1"/>
    <col min="10239" max="10239" width="7" style="1" bestFit="1" customWidth="1"/>
    <col min="10240" max="10240" width="5.7109375" style="1" bestFit="1" customWidth="1"/>
    <col min="10241" max="10241" width="7.85546875" style="1" bestFit="1" customWidth="1"/>
    <col min="10242" max="10243" width="0" style="1" hidden="1" customWidth="1"/>
    <col min="10244" max="10244" width="12.5703125" style="1" customWidth="1"/>
    <col min="10245" max="10245" width="0" style="1" hidden="1" customWidth="1"/>
    <col min="10246" max="10246" width="11" style="1" customWidth="1"/>
    <col min="10247" max="10247" width="9.140625" style="1" customWidth="1"/>
    <col min="10248" max="10248" width="9.85546875" style="1" customWidth="1"/>
    <col min="10249" max="10252" width="0" style="1" hidden="1" customWidth="1"/>
    <col min="10253" max="10253" width="1.5703125" style="1" customWidth="1"/>
    <col min="10254" max="10256" width="0" style="1" hidden="1" customWidth="1"/>
    <col min="10257" max="10257" width="10.42578125" style="1" customWidth="1"/>
    <col min="10258" max="10259" width="11" style="1" customWidth="1"/>
    <col min="10260" max="10260" width="9.42578125" style="1" customWidth="1"/>
    <col min="10261" max="10261" width="10" style="1" customWidth="1"/>
    <col min="10262" max="10262" width="11" style="1" customWidth="1"/>
    <col min="10263" max="10263" width="9.5703125" style="1" customWidth="1"/>
    <col min="10264" max="10264" width="10.140625" style="1" customWidth="1"/>
    <col min="10265" max="10304" width="10.7109375" style="1" customWidth="1"/>
    <col min="10305" max="10305" width="1.85546875" style="1" bestFit="1" customWidth="1"/>
    <col min="10306" max="10306" width="34.5703125" style="1" bestFit="1" customWidth="1"/>
    <col min="10307" max="10308" width="10.7109375" style="1" customWidth="1"/>
    <col min="10309" max="10309" width="2.7109375" style="1" bestFit="1" customWidth="1"/>
    <col min="10310" max="10310" width="11.5703125" style="1" bestFit="1" customWidth="1"/>
    <col min="10311" max="10487" width="10.7109375" style="1"/>
    <col min="10488" max="10488" width="5.28515625" style="1" customWidth="1"/>
    <col min="10489" max="10489" width="6.42578125" style="1" customWidth="1"/>
    <col min="10490" max="10490" width="22" style="1" customWidth="1"/>
    <col min="10491" max="10491" width="7.5703125" style="1" bestFit="1" customWidth="1"/>
    <col min="10492" max="10492" width="4.42578125" style="1" customWidth="1"/>
    <col min="10493" max="10493" width="7.42578125" style="1" bestFit="1" customWidth="1"/>
    <col min="10494" max="10494" width="2.85546875" style="1" bestFit="1" customWidth="1"/>
    <col min="10495" max="10495" width="7" style="1" bestFit="1" customWidth="1"/>
    <col min="10496" max="10496" width="5.7109375" style="1" bestFit="1" customWidth="1"/>
    <col min="10497" max="10497" width="7.85546875" style="1" bestFit="1" customWidth="1"/>
    <col min="10498" max="10499" width="0" style="1" hidden="1" customWidth="1"/>
    <col min="10500" max="10500" width="12.5703125" style="1" customWidth="1"/>
    <col min="10501" max="10501" width="0" style="1" hidden="1" customWidth="1"/>
    <col min="10502" max="10502" width="11" style="1" customWidth="1"/>
    <col min="10503" max="10503" width="9.140625" style="1" customWidth="1"/>
    <col min="10504" max="10504" width="9.85546875" style="1" customWidth="1"/>
    <col min="10505" max="10508" width="0" style="1" hidden="1" customWidth="1"/>
    <col min="10509" max="10509" width="1.5703125" style="1" customWidth="1"/>
    <col min="10510" max="10512" width="0" style="1" hidden="1" customWidth="1"/>
    <col min="10513" max="10513" width="10.42578125" style="1" customWidth="1"/>
    <col min="10514" max="10515" width="11" style="1" customWidth="1"/>
    <col min="10516" max="10516" width="9.42578125" style="1" customWidth="1"/>
    <col min="10517" max="10517" width="10" style="1" customWidth="1"/>
    <col min="10518" max="10518" width="11" style="1" customWidth="1"/>
    <col min="10519" max="10519" width="9.5703125" style="1" customWidth="1"/>
    <col min="10520" max="10520" width="10.140625" style="1" customWidth="1"/>
    <col min="10521" max="10560" width="10.7109375" style="1" customWidth="1"/>
    <col min="10561" max="10561" width="1.85546875" style="1" bestFit="1" customWidth="1"/>
    <col min="10562" max="10562" width="34.5703125" style="1" bestFit="1" customWidth="1"/>
    <col min="10563" max="10564" width="10.7109375" style="1" customWidth="1"/>
    <col min="10565" max="10565" width="2.7109375" style="1" bestFit="1" customWidth="1"/>
    <col min="10566" max="10566" width="11.5703125" style="1" bestFit="1" customWidth="1"/>
    <col min="10567" max="10743" width="10.7109375" style="1"/>
    <col min="10744" max="10744" width="5.28515625" style="1" customWidth="1"/>
    <col min="10745" max="10745" width="6.42578125" style="1" customWidth="1"/>
    <col min="10746" max="10746" width="22" style="1" customWidth="1"/>
    <col min="10747" max="10747" width="7.5703125" style="1" bestFit="1" customWidth="1"/>
    <col min="10748" max="10748" width="4.42578125" style="1" customWidth="1"/>
    <col min="10749" max="10749" width="7.42578125" style="1" bestFit="1" customWidth="1"/>
    <col min="10750" max="10750" width="2.85546875" style="1" bestFit="1" customWidth="1"/>
    <col min="10751" max="10751" width="7" style="1" bestFit="1" customWidth="1"/>
    <col min="10752" max="10752" width="5.7109375" style="1" bestFit="1" customWidth="1"/>
    <col min="10753" max="10753" width="7.85546875" style="1" bestFit="1" customWidth="1"/>
    <col min="10754" max="10755" width="0" style="1" hidden="1" customWidth="1"/>
    <col min="10756" max="10756" width="12.5703125" style="1" customWidth="1"/>
    <col min="10757" max="10757" width="0" style="1" hidden="1" customWidth="1"/>
    <col min="10758" max="10758" width="11" style="1" customWidth="1"/>
    <col min="10759" max="10759" width="9.140625" style="1" customWidth="1"/>
    <col min="10760" max="10760" width="9.85546875" style="1" customWidth="1"/>
    <col min="10761" max="10764" width="0" style="1" hidden="1" customWidth="1"/>
    <col min="10765" max="10765" width="1.5703125" style="1" customWidth="1"/>
    <col min="10766" max="10768" width="0" style="1" hidden="1" customWidth="1"/>
    <col min="10769" max="10769" width="10.42578125" style="1" customWidth="1"/>
    <col min="10770" max="10771" width="11" style="1" customWidth="1"/>
    <col min="10772" max="10772" width="9.42578125" style="1" customWidth="1"/>
    <col min="10773" max="10773" width="10" style="1" customWidth="1"/>
    <col min="10774" max="10774" width="11" style="1" customWidth="1"/>
    <col min="10775" max="10775" width="9.5703125" style="1" customWidth="1"/>
    <col min="10776" max="10776" width="10.140625" style="1" customWidth="1"/>
    <col min="10777" max="10816" width="10.7109375" style="1" customWidth="1"/>
    <col min="10817" max="10817" width="1.85546875" style="1" bestFit="1" customWidth="1"/>
    <col min="10818" max="10818" width="34.5703125" style="1" bestFit="1" customWidth="1"/>
    <col min="10819" max="10820" width="10.7109375" style="1" customWidth="1"/>
    <col min="10821" max="10821" width="2.7109375" style="1" bestFit="1" customWidth="1"/>
    <col min="10822" max="10822" width="11.5703125" style="1" bestFit="1" customWidth="1"/>
    <col min="10823" max="10999" width="10.7109375" style="1"/>
    <col min="11000" max="11000" width="5.28515625" style="1" customWidth="1"/>
    <col min="11001" max="11001" width="6.42578125" style="1" customWidth="1"/>
    <col min="11002" max="11002" width="22" style="1" customWidth="1"/>
    <col min="11003" max="11003" width="7.5703125" style="1" bestFit="1" customWidth="1"/>
    <col min="11004" max="11004" width="4.42578125" style="1" customWidth="1"/>
    <col min="11005" max="11005" width="7.42578125" style="1" bestFit="1" customWidth="1"/>
    <col min="11006" max="11006" width="2.85546875" style="1" bestFit="1" customWidth="1"/>
    <col min="11007" max="11007" width="7" style="1" bestFit="1" customWidth="1"/>
    <col min="11008" max="11008" width="5.7109375" style="1" bestFit="1" customWidth="1"/>
    <col min="11009" max="11009" width="7.85546875" style="1" bestFit="1" customWidth="1"/>
    <col min="11010" max="11011" width="0" style="1" hidden="1" customWidth="1"/>
    <col min="11012" max="11012" width="12.5703125" style="1" customWidth="1"/>
    <col min="11013" max="11013" width="0" style="1" hidden="1" customWidth="1"/>
    <col min="11014" max="11014" width="11" style="1" customWidth="1"/>
    <col min="11015" max="11015" width="9.140625" style="1" customWidth="1"/>
    <col min="11016" max="11016" width="9.85546875" style="1" customWidth="1"/>
    <col min="11017" max="11020" width="0" style="1" hidden="1" customWidth="1"/>
    <col min="11021" max="11021" width="1.5703125" style="1" customWidth="1"/>
    <col min="11022" max="11024" width="0" style="1" hidden="1" customWidth="1"/>
    <col min="11025" max="11025" width="10.42578125" style="1" customWidth="1"/>
    <col min="11026" max="11027" width="11" style="1" customWidth="1"/>
    <col min="11028" max="11028" width="9.42578125" style="1" customWidth="1"/>
    <col min="11029" max="11029" width="10" style="1" customWidth="1"/>
    <col min="11030" max="11030" width="11" style="1" customWidth="1"/>
    <col min="11031" max="11031" width="9.5703125" style="1" customWidth="1"/>
    <col min="11032" max="11032" width="10.140625" style="1" customWidth="1"/>
    <col min="11033" max="11072" width="10.7109375" style="1" customWidth="1"/>
    <col min="11073" max="11073" width="1.85546875" style="1" bestFit="1" customWidth="1"/>
    <col min="11074" max="11074" width="34.5703125" style="1" bestFit="1" customWidth="1"/>
    <col min="11075" max="11076" width="10.7109375" style="1" customWidth="1"/>
    <col min="11077" max="11077" width="2.7109375" style="1" bestFit="1" customWidth="1"/>
    <col min="11078" max="11078" width="11.5703125" style="1" bestFit="1" customWidth="1"/>
    <col min="11079" max="11255" width="10.7109375" style="1"/>
    <col min="11256" max="11256" width="5.28515625" style="1" customWidth="1"/>
    <col min="11257" max="11257" width="6.42578125" style="1" customWidth="1"/>
    <col min="11258" max="11258" width="22" style="1" customWidth="1"/>
    <col min="11259" max="11259" width="7.5703125" style="1" bestFit="1" customWidth="1"/>
    <col min="11260" max="11260" width="4.42578125" style="1" customWidth="1"/>
    <col min="11261" max="11261" width="7.42578125" style="1" bestFit="1" customWidth="1"/>
    <col min="11262" max="11262" width="2.85546875" style="1" bestFit="1" customWidth="1"/>
    <col min="11263" max="11263" width="7" style="1" bestFit="1" customWidth="1"/>
    <col min="11264" max="11264" width="5.7109375" style="1" bestFit="1" customWidth="1"/>
    <col min="11265" max="11265" width="7.85546875" style="1" bestFit="1" customWidth="1"/>
    <col min="11266" max="11267" width="0" style="1" hidden="1" customWidth="1"/>
    <col min="11268" max="11268" width="12.5703125" style="1" customWidth="1"/>
    <col min="11269" max="11269" width="0" style="1" hidden="1" customWidth="1"/>
    <col min="11270" max="11270" width="11" style="1" customWidth="1"/>
    <col min="11271" max="11271" width="9.140625" style="1" customWidth="1"/>
    <col min="11272" max="11272" width="9.85546875" style="1" customWidth="1"/>
    <col min="11273" max="11276" width="0" style="1" hidden="1" customWidth="1"/>
    <col min="11277" max="11277" width="1.5703125" style="1" customWidth="1"/>
    <col min="11278" max="11280" width="0" style="1" hidden="1" customWidth="1"/>
    <col min="11281" max="11281" width="10.42578125" style="1" customWidth="1"/>
    <col min="11282" max="11283" width="11" style="1" customWidth="1"/>
    <col min="11284" max="11284" width="9.42578125" style="1" customWidth="1"/>
    <col min="11285" max="11285" width="10" style="1" customWidth="1"/>
    <col min="11286" max="11286" width="11" style="1" customWidth="1"/>
    <col min="11287" max="11287" width="9.5703125" style="1" customWidth="1"/>
    <col min="11288" max="11288" width="10.140625" style="1" customWidth="1"/>
    <col min="11289" max="11328" width="10.7109375" style="1" customWidth="1"/>
    <col min="11329" max="11329" width="1.85546875" style="1" bestFit="1" customWidth="1"/>
    <col min="11330" max="11330" width="34.5703125" style="1" bestFit="1" customWidth="1"/>
    <col min="11331" max="11332" width="10.7109375" style="1" customWidth="1"/>
    <col min="11333" max="11333" width="2.7109375" style="1" bestFit="1" customWidth="1"/>
    <col min="11334" max="11334" width="11.5703125" style="1" bestFit="1" customWidth="1"/>
    <col min="11335" max="11511" width="10.7109375" style="1"/>
    <col min="11512" max="11512" width="5.28515625" style="1" customWidth="1"/>
    <col min="11513" max="11513" width="6.42578125" style="1" customWidth="1"/>
    <col min="11514" max="11514" width="22" style="1" customWidth="1"/>
    <col min="11515" max="11515" width="7.5703125" style="1" bestFit="1" customWidth="1"/>
    <col min="11516" max="11516" width="4.42578125" style="1" customWidth="1"/>
    <col min="11517" max="11517" width="7.42578125" style="1" bestFit="1" customWidth="1"/>
    <col min="11518" max="11518" width="2.85546875" style="1" bestFit="1" customWidth="1"/>
    <col min="11519" max="11519" width="7" style="1" bestFit="1" customWidth="1"/>
    <col min="11520" max="11520" width="5.7109375" style="1" bestFit="1" customWidth="1"/>
    <col min="11521" max="11521" width="7.85546875" style="1" bestFit="1" customWidth="1"/>
    <col min="11522" max="11523" width="0" style="1" hidden="1" customWidth="1"/>
    <col min="11524" max="11524" width="12.5703125" style="1" customWidth="1"/>
    <col min="11525" max="11525" width="0" style="1" hidden="1" customWidth="1"/>
    <col min="11526" max="11526" width="11" style="1" customWidth="1"/>
    <col min="11527" max="11527" width="9.140625" style="1" customWidth="1"/>
    <col min="11528" max="11528" width="9.85546875" style="1" customWidth="1"/>
    <col min="11529" max="11532" width="0" style="1" hidden="1" customWidth="1"/>
    <col min="11533" max="11533" width="1.5703125" style="1" customWidth="1"/>
    <col min="11534" max="11536" width="0" style="1" hidden="1" customWidth="1"/>
    <col min="11537" max="11537" width="10.42578125" style="1" customWidth="1"/>
    <col min="11538" max="11539" width="11" style="1" customWidth="1"/>
    <col min="11540" max="11540" width="9.42578125" style="1" customWidth="1"/>
    <col min="11541" max="11541" width="10" style="1" customWidth="1"/>
    <col min="11542" max="11542" width="11" style="1" customWidth="1"/>
    <col min="11543" max="11543" width="9.5703125" style="1" customWidth="1"/>
    <col min="11544" max="11544" width="10.140625" style="1" customWidth="1"/>
    <col min="11545" max="11584" width="10.7109375" style="1" customWidth="1"/>
    <col min="11585" max="11585" width="1.85546875" style="1" bestFit="1" customWidth="1"/>
    <col min="11586" max="11586" width="34.5703125" style="1" bestFit="1" customWidth="1"/>
    <col min="11587" max="11588" width="10.7109375" style="1" customWidth="1"/>
    <col min="11589" max="11589" width="2.7109375" style="1" bestFit="1" customWidth="1"/>
    <col min="11590" max="11590" width="11.5703125" style="1" bestFit="1" customWidth="1"/>
    <col min="11591" max="11767" width="10.7109375" style="1"/>
    <col min="11768" max="11768" width="5.28515625" style="1" customWidth="1"/>
    <col min="11769" max="11769" width="6.42578125" style="1" customWidth="1"/>
    <col min="11770" max="11770" width="22" style="1" customWidth="1"/>
    <col min="11771" max="11771" width="7.5703125" style="1" bestFit="1" customWidth="1"/>
    <col min="11772" max="11772" width="4.42578125" style="1" customWidth="1"/>
    <col min="11773" max="11773" width="7.42578125" style="1" bestFit="1" customWidth="1"/>
    <col min="11774" max="11774" width="2.85546875" style="1" bestFit="1" customWidth="1"/>
    <col min="11775" max="11775" width="7" style="1" bestFit="1" customWidth="1"/>
    <col min="11776" max="11776" width="5.7109375" style="1" bestFit="1" customWidth="1"/>
    <col min="11777" max="11777" width="7.85546875" style="1" bestFit="1" customWidth="1"/>
    <col min="11778" max="11779" width="0" style="1" hidden="1" customWidth="1"/>
    <col min="11780" max="11780" width="12.5703125" style="1" customWidth="1"/>
    <col min="11781" max="11781" width="0" style="1" hidden="1" customWidth="1"/>
    <col min="11782" max="11782" width="11" style="1" customWidth="1"/>
    <col min="11783" max="11783" width="9.140625" style="1" customWidth="1"/>
    <col min="11784" max="11784" width="9.85546875" style="1" customWidth="1"/>
    <col min="11785" max="11788" width="0" style="1" hidden="1" customWidth="1"/>
    <col min="11789" max="11789" width="1.5703125" style="1" customWidth="1"/>
    <col min="11790" max="11792" width="0" style="1" hidden="1" customWidth="1"/>
    <col min="11793" max="11793" width="10.42578125" style="1" customWidth="1"/>
    <col min="11794" max="11795" width="11" style="1" customWidth="1"/>
    <col min="11796" max="11796" width="9.42578125" style="1" customWidth="1"/>
    <col min="11797" max="11797" width="10" style="1" customWidth="1"/>
    <col min="11798" max="11798" width="11" style="1" customWidth="1"/>
    <col min="11799" max="11799" width="9.5703125" style="1" customWidth="1"/>
    <col min="11800" max="11800" width="10.140625" style="1" customWidth="1"/>
    <col min="11801" max="11840" width="10.7109375" style="1" customWidth="1"/>
    <col min="11841" max="11841" width="1.85546875" style="1" bestFit="1" customWidth="1"/>
    <col min="11842" max="11842" width="34.5703125" style="1" bestFit="1" customWidth="1"/>
    <col min="11843" max="11844" width="10.7109375" style="1" customWidth="1"/>
    <col min="11845" max="11845" width="2.7109375" style="1" bestFit="1" customWidth="1"/>
    <col min="11846" max="11846" width="11.5703125" style="1" bestFit="1" customWidth="1"/>
    <col min="11847" max="12023" width="10.7109375" style="1"/>
    <col min="12024" max="12024" width="5.28515625" style="1" customWidth="1"/>
    <col min="12025" max="12025" width="6.42578125" style="1" customWidth="1"/>
    <col min="12026" max="12026" width="22" style="1" customWidth="1"/>
    <col min="12027" max="12027" width="7.5703125" style="1" bestFit="1" customWidth="1"/>
    <col min="12028" max="12028" width="4.42578125" style="1" customWidth="1"/>
    <col min="12029" max="12029" width="7.42578125" style="1" bestFit="1" customWidth="1"/>
    <col min="12030" max="12030" width="2.85546875" style="1" bestFit="1" customWidth="1"/>
    <col min="12031" max="12031" width="7" style="1" bestFit="1" customWidth="1"/>
    <col min="12032" max="12032" width="5.7109375" style="1" bestFit="1" customWidth="1"/>
    <col min="12033" max="12033" width="7.85546875" style="1" bestFit="1" customWidth="1"/>
    <col min="12034" max="12035" width="0" style="1" hidden="1" customWidth="1"/>
    <col min="12036" max="12036" width="12.5703125" style="1" customWidth="1"/>
    <col min="12037" max="12037" width="0" style="1" hidden="1" customWidth="1"/>
    <col min="12038" max="12038" width="11" style="1" customWidth="1"/>
    <col min="12039" max="12039" width="9.140625" style="1" customWidth="1"/>
    <col min="12040" max="12040" width="9.85546875" style="1" customWidth="1"/>
    <col min="12041" max="12044" width="0" style="1" hidden="1" customWidth="1"/>
    <col min="12045" max="12045" width="1.5703125" style="1" customWidth="1"/>
    <col min="12046" max="12048" width="0" style="1" hidden="1" customWidth="1"/>
    <col min="12049" max="12049" width="10.42578125" style="1" customWidth="1"/>
    <col min="12050" max="12051" width="11" style="1" customWidth="1"/>
    <col min="12052" max="12052" width="9.42578125" style="1" customWidth="1"/>
    <col min="12053" max="12053" width="10" style="1" customWidth="1"/>
    <col min="12054" max="12054" width="11" style="1" customWidth="1"/>
    <col min="12055" max="12055" width="9.5703125" style="1" customWidth="1"/>
    <col min="12056" max="12056" width="10.140625" style="1" customWidth="1"/>
    <col min="12057" max="12096" width="10.7109375" style="1" customWidth="1"/>
    <col min="12097" max="12097" width="1.85546875" style="1" bestFit="1" customWidth="1"/>
    <col min="12098" max="12098" width="34.5703125" style="1" bestFit="1" customWidth="1"/>
    <col min="12099" max="12100" width="10.7109375" style="1" customWidth="1"/>
    <col min="12101" max="12101" width="2.7109375" style="1" bestFit="1" customWidth="1"/>
    <col min="12102" max="12102" width="11.5703125" style="1" bestFit="1" customWidth="1"/>
    <col min="12103" max="12279" width="10.7109375" style="1"/>
    <col min="12280" max="12280" width="5.28515625" style="1" customWidth="1"/>
    <col min="12281" max="12281" width="6.42578125" style="1" customWidth="1"/>
    <col min="12282" max="12282" width="22" style="1" customWidth="1"/>
    <col min="12283" max="12283" width="7.5703125" style="1" bestFit="1" customWidth="1"/>
    <col min="12284" max="12284" width="4.42578125" style="1" customWidth="1"/>
    <col min="12285" max="12285" width="7.42578125" style="1" bestFit="1" customWidth="1"/>
    <col min="12286" max="12286" width="2.85546875" style="1" bestFit="1" customWidth="1"/>
    <col min="12287" max="12287" width="7" style="1" bestFit="1" customWidth="1"/>
    <col min="12288" max="12288" width="5.7109375" style="1" bestFit="1" customWidth="1"/>
    <col min="12289" max="12289" width="7.85546875" style="1" bestFit="1" customWidth="1"/>
    <col min="12290" max="12291" width="0" style="1" hidden="1" customWidth="1"/>
    <col min="12292" max="12292" width="12.5703125" style="1" customWidth="1"/>
    <col min="12293" max="12293" width="0" style="1" hidden="1" customWidth="1"/>
    <col min="12294" max="12294" width="11" style="1" customWidth="1"/>
    <col min="12295" max="12295" width="9.140625" style="1" customWidth="1"/>
    <col min="12296" max="12296" width="9.85546875" style="1" customWidth="1"/>
    <col min="12297" max="12300" width="0" style="1" hidden="1" customWidth="1"/>
    <col min="12301" max="12301" width="1.5703125" style="1" customWidth="1"/>
    <col min="12302" max="12304" width="0" style="1" hidden="1" customWidth="1"/>
    <col min="12305" max="12305" width="10.42578125" style="1" customWidth="1"/>
    <col min="12306" max="12307" width="11" style="1" customWidth="1"/>
    <col min="12308" max="12308" width="9.42578125" style="1" customWidth="1"/>
    <col min="12309" max="12309" width="10" style="1" customWidth="1"/>
    <col min="12310" max="12310" width="11" style="1" customWidth="1"/>
    <col min="12311" max="12311" width="9.5703125" style="1" customWidth="1"/>
    <col min="12312" max="12312" width="10.140625" style="1" customWidth="1"/>
    <col min="12313" max="12352" width="10.7109375" style="1" customWidth="1"/>
    <col min="12353" max="12353" width="1.85546875" style="1" bestFit="1" customWidth="1"/>
    <col min="12354" max="12354" width="34.5703125" style="1" bestFit="1" customWidth="1"/>
    <col min="12355" max="12356" width="10.7109375" style="1" customWidth="1"/>
    <col min="12357" max="12357" width="2.7109375" style="1" bestFit="1" customWidth="1"/>
    <col min="12358" max="12358" width="11.5703125" style="1" bestFit="1" customWidth="1"/>
    <col min="12359" max="12535" width="10.7109375" style="1"/>
    <col min="12536" max="12536" width="5.28515625" style="1" customWidth="1"/>
    <col min="12537" max="12537" width="6.42578125" style="1" customWidth="1"/>
    <col min="12538" max="12538" width="22" style="1" customWidth="1"/>
    <col min="12539" max="12539" width="7.5703125" style="1" bestFit="1" customWidth="1"/>
    <col min="12540" max="12540" width="4.42578125" style="1" customWidth="1"/>
    <col min="12541" max="12541" width="7.42578125" style="1" bestFit="1" customWidth="1"/>
    <col min="12542" max="12542" width="2.85546875" style="1" bestFit="1" customWidth="1"/>
    <col min="12543" max="12543" width="7" style="1" bestFit="1" customWidth="1"/>
    <col min="12544" max="12544" width="5.7109375" style="1" bestFit="1" customWidth="1"/>
    <col min="12545" max="12545" width="7.85546875" style="1" bestFit="1" customWidth="1"/>
    <col min="12546" max="12547" width="0" style="1" hidden="1" customWidth="1"/>
    <col min="12548" max="12548" width="12.5703125" style="1" customWidth="1"/>
    <col min="12549" max="12549" width="0" style="1" hidden="1" customWidth="1"/>
    <col min="12550" max="12550" width="11" style="1" customWidth="1"/>
    <col min="12551" max="12551" width="9.140625" style="1" customWidth="1"/>
    <col min="12552" max="12552" width="9.85546875" style="1" customWidth="1"/>
    <col min="12553" max="12556" width="0" style="1" hidden="1" customWidth="1"/>
    <col min="12557" max="12557" width="1.5703125" style="1" customWidth="1"/>
    <col min="12558" max="12560" width="0" style="1" hidden="1" customWidth="1"/>
    <col min="12561" max="12561" width="10.42578125" style="1" customWidth="1"/>
    <col min="12562" max="12563" width="11" style="1" customWidth="1"/>
    <col min="12564" max="12564" width="9.42578125" style="1" customWidth="1"/>
    <col min="12565" max="12565" width="10" style="1" customWidth="1"/>
    <col min="12566" max="12566" width="11" style="1" customWidth="1"/>
    <col min="12567" max="12567" width="9.5703125" style="1" customWidth="1"/>
    <col min="12568" max="12568" width="10.140625" style="1" customWidth="1"/>
    <col min="12569" max="12608" width="10.7109375" style="1" customWidth="1"/>
    <col min="12609" max="12609" width="1.85546875" style="1" bestFit="1" customWidth="1"/>
    <col min="12610" max="12610" width="34.5703125" style="1" bestFit="1" customWidth="1"/>
    <col min="12611" max="12612" width="10.7109375" style="1" customWidth="1"/>
    <col min="12613" max="12613" width="2.7109375" style="1" bestFit="1" customWidth="1"/>
    <col min="12614" max="12614" width="11.5703125" style="1" bestFit="1" customWidth="1"/>
    <col min="12615" max="12791" width="10.7109375" style="1"/>
    <col min="12792" max="12792" width="5.28515625" style="1" customWidth="1"/>
    <col min="12793" max="12793" width="6.42578125" style="1" customWidth="1"/>
    <col min="12794" max="12794" width="22" style="1" customWidth="1"/>
    <col min="12795" max="12795" width="7.5703125" style="1" bestFit="1" customWidth="1"/>
    <col min="12796" max="12796" width="4.42578125" style="1" customWidth="1"/>
    <col min="12797" max="12797" width="7.42578125" style="1" bestFit="1" customWidth="1"/>
    <col min="12798" max="12798" width="2.85546875" style="1" bestFit="1" customWidth="1"/>
    <col min="12799" max="12799" width="7" style="1" bestFit="1" customWidth="1"/>
    <col min="12800" max="12800" width="5.7109375" style="1" bestFit="1" customWidth="1"/>
    <col min="12801" max="12801" width="7.85546875" style="1" bestFit="1" customWidth="1"/>
    <col min="12802" max="12803" width="0" style="1" hidden="1" customWidth="1"/>
    <col min="12804" max="12804" width="12.5703125" style="1" customWidth="1"/>
    <col min="12805" max="12805" width="0" style="1" hidden="1" customWidth="1"/>
    <col min="12806" max="12806" width="11" style="1" customWidth="1"/>
    <col min="12807" max="12807" width="9.140625" style="1" customWidth="1"/>
    <col min="12808" max="12808" width="9.85546875" style="1" customWidth="1"/>
    <col min="12809" max="12812" width="0" style="1" hidden="1" customWidth="1"/>
    <col min="12813" max="12813" width="1.5703125" style="1" customWidth="1"/>
    <col min="12814" max="12816" width="0" style="1" hidden="1" customWidth="1"/>
    <col min="12817" max="12817" width="10.42578125" style="1" customWidth="1"/>
    <col min="12818" max="12819" width="11" style="1" customWidth="1"/>
    <col min="12820" max="12820" width="9.42578125" style="1" customWidth="1"/>
    <col min="12821" max="12821" width="10" style="1" customWidth="1"/>
    <col min="12822" max="12822" width="11" style="1" customWidth="1"/>
    <col min="12823" max="12823" width="9.5703125" style="1" customWidth="1"/>
    <col min="12824" max="12824" width="10.140625" style="1" customWidth="1"/>
    <col min="12825" max="12864" width="10.7109375" style="1" customWidth="1"/>
    <col min="12865" max="12865" width="1.85546875" style="1" bestFit="1" customWidth="1"/>
    <col min="12866" max="12866" width="34.5703125" style="1" bestFit="1" customWidth="1"/>
    <col min="12867" max="12868" width="10.7109375" style="1" customWidth="1"/>
    <col min="12869" max="12869" width="2.7109375" style="1" bestFit="1" customWidth="1"/>
    <col min="12870" max="12870" width="11.5703125" style="1" bestFit="1" customWidth="1"/>
    <col min="12871" max="13047" width="10.7109375" style="1"/>
    <col min="13048" max="13048" width="5.28515625" style="1" customWidth="1"/>
    <col min="13049" max="13049" width="6.42578125" style="1" customWidth="1"/>
    <col min="13050" max="13050" width="22" style="1" customWidth="1"/>
    <col min="13051" max="13051" width="7.5703125" style="1" bestFit="1" customWidth="1"/>
    <col min="13052" max="13052" width="4.42578125" style="1" customWidth="1"/>
    <col min="13053" max="13053" width="7.42578125" style="1" bestFit="1" customWidth="1"/>
    <col min="13054" max="13054" width="2.85546875" style="1" bestFit="1" customWidth="1"/>
    <col min="13055" max="13055" width="7" style="1" bestFit="1" customWidth="1"/>
    <col min="13056" max="13056" width="5.7109375" style="1" bestFit="1" customWidth="1"/>
    <col min="13057" max="13057" width="7.85546875" style="1" bestFit="1" customWidth="1"/>
    <col min="13058" max="13059" width="0" style="1" hidden="1" customWidth="1"/>
    <col min="13060" max="13060" width="12.5703125" style="1" customWidth="1"/>
    <col min="13061" max="13061" width="0" style="1" hidden="1" customWidth="1"/>
    <col min="13062" max="13062" width="11" style="1" customWidth="1"/>
    <col min="13063" max="13063" width="9.140625" style="1" customWidth="1"/>
    <col min="13064" max="13064" width="9.85546875" style="1" customWidth="1"/>
    <col min="13065" max="13068" width="0" style="1" hidden="1" customWidth="1"/>
    <col min="13069" max="13069" width="1.5703125" style="1" customWidth="1"/>
    <col min="13070" max="13072" width="0" style="1" hidden="1" customWidth="1"/>
    <col min="13073" max="13073" width="10.42578125" style="1" customWidth="1"/>
    <col min="13074" max="13075" width="11" style="1" customWidth="1"/>
    <col min="13076" max="13076" width="9.42578125" style="1" customWidth="1"/>
    <col min="13077" max="13077" width="10" style="1" customWidth="1"/>
    <col min="13078" max="13078" width="11" style="1" customWidth="1"/>
    <col min="13079" max="13079" width="9.5703125" style="1" customWidth="1"/>
    <col min="13080" max="13080" width="10.140625" style="1" customWidth="1"/>
    <col min="13081" max="13120" width="10.7109375" style="1" customWidth="1"/>
    <col min="13121" max="13121" width="1.85546875" style="1" bestFit="1" customWidth="1"/>
    <col min="13122" max="13122" width="34.5703125" style="1" bestFit="1" customWidth="1"/>
    <col min="13123" max="13124" width="10.7109375" style="1" customWidth="1"/>
    <col min="13125" max="13125" width="2.7109375" style="1" bestFit="1" customWidth="1"/>
    <col min="13126" max="13126" width="11.5703125" style="1" bestFit="1" customWidth="1"/>
    <col min="13127" max="13303" width="10.7109375" style="1"/>
    <col min="13304" max="13304" width="5.28515625" style="1" customWidth="1"/>
    <col min="13305" max="13305" width="6.42578125" style="1" customWidth="1"/>
    <col min="13306" max="13306" width="22" style="1" customWidth="1"/>
    <col min="13307" max="13307" width="7.5703125" style="1" bestFit="1" customWidth="1"/>
    <col min="13308" max="13308" width="4.42578125" style="1" customWidth="1"/>
    <col min="13309" max="13309" width="7.42578125" style="1" bestFit="1" customWidth="1"/>
    <col min="13310" max="13310" width="2.85546875" style="1" bestFit="1" customWidth="1"/>
    <col min="13311" max="13311" width="7" style="1" bestFit="1" customWidth="1"/>
    <col min="13312" max="13312" width="5.7109375" style="1" bestFit="1" customWidth="1"/>
    <col min="13313" max="13313" width="7.85546875" style="1" bestFit="1" customWidth="1"/>
    <col min="13314" max="13315" width="0" style="1" hidden="1" customWidth="1"/>
    <col min="13316" max="13316" width="12.5703125" style="1" customWidth="1"/>
    <col min="13317" max="13317" width="0" style="1" hidden="1" customWidth="1"/>
    <col min="13318" max="13318" width="11" style="1" customWidth="1"/>
    <col min="13319" max="13319" width="9.140625" style="1" customWidth="1"/>
    <col min="13320" max="13320" width="9.85546875" style="1" customWidth="1"/>
    <col min="13321" max="13324" width="0" style="1" hidden="1" customWidth="1"/>
    <col min="13325" max="13325" width="1.5703125" style="1" customWidth="1"/>
    <col min="13326" max="13328" width="0" style="1" hidden="1" customWidth="1"/>
    <col min="13329" max="13329" width="10.42578125" style="1" customWidth="1"/>
    <col min="13330" max="13331" width="11" style="1" customWidth="1"/>
    <col min="13332" max="13332" width="9.42578125" style="1" customWidth="1"/>
    <col min="13333" max="13333" width="10" style="1" customWidth="1"/>
    <col min="13334" max="13334" width="11" style="1" customWidth="1"/>
    <col min="13335" max="13335" width="9.5703125" style="1" customWidth="1"/>
    <col min="13336" max="13336" width="10.140625" style="1" customWidth="1"/>
    <col min="13337" max="13376" width="10.7109375" style="1" customWidth="1"/>
    <col min="13377" max="13377" width="1.85546875" style="1" bestFit="1" customWidth="1"/>
    <col min="13378" max="13378" width="34.5703125" style="1" bestFit="1" customWidth="1"/>
    <col min="13379" max="13380" width="10.7109375" style="1" customWidth="1"/>
    <col min="13381" max="13381" width="2.7109375" style="1" bestFit="1" customWidth="1"/>
    <col min="13382" max="13382" width="11.5703125" style="1" bestFit="1" customWidth="1"/>
    <col min="13383" max="13559" width="10.7109375" style="1"/>
    <col min="13560" max="13560" width="5.28515625" style="1" customWidth="1"/>
    <col min="13561" max="13561" width="6.42578125" style="1" customWidth="1"/>
    <col min="13562" max="13562" width="22" style="1" customWidth="1"/>
    <col min="13563" max="13563" width="7.5703125" style="1" bestFit="1" customWidth="1"/>
    <col min="13564" max="13564" width="4.42578125" style="1" customWidth="1"/>
    <col min="13565" max="13565" width="7.42578125" style="1" bestFit="1" customWidth="1"/>
    <col min="13566" max="13566" width="2.85546875" style="1" bestFit="1" customWidth="1"/>
    <col min="13567" max="13567" width="7" style="1" bestFit="1" customWidth="1"/>
    <col min="13568" max="13568" width="5.7109375" style="1" bestFit="1" customWidth="1"/>
    <col min="13569" max="13569" width="7.85546875" style="1" bestFit="1" customWidth="1"/>
    <col min="13570" max="13571" width="0" style="1" hidden="1" customWidth="1"/>
    <col min="13572" max="13572" width="12.5703125" style="1" customWidth="1"/>
    <col min="13573" max="13573" width="0" style="1" hidden="1" customWidth="1"/>
    <col min="13574" max="13574" width="11" style="1" customWidth="1"/>
    <col min="13575" max="13575" width="9.140625" style="1" customWidth="1"/>
    <col min="13576" max="13576" width="9.85546875" style="1" customWidth="1"/>
    <col min="13577" max="13580" width="0" style="1" hidden="1" customWidth="1"/>
    <col min="13581" max="13581" width="1.5703125" style="1" customWidth="1"/>
    <col min="13582" max="13584" width="0" style="1" hidden="1" customWidth="1"/>
    <col min="13585" max="13585" width="10.42578125" style="1" customWidth="1"/>
    <col min="13586" max="13587" width="11" style="1" customWidth="1"/>
    <col min="13588" max="13588" width="9.42578125" style="1" customWidth="1"/>
    <col min="13589" max="13589" width="10" style="1" customWidth="1"/>
    <col min="13590" max="13590" width="11" style="1" customWidth="1"/>
    <col min="13591" max="13591" width="9.5703125" style="1" customWidth="1"/>
    <col min="13592" max="13592" width="10.140625" style="1" customWidth="1"/>
    <col min="13593" max="13632" width="10.7109375" style="1" customWidth="1"/>
    <col min="13633" max="13633" width="1.85546875" style="1" bestFit="1" customWidth="1"/>
    <col min="13634" max="13634" width="34.5703125" style="1" bestFit="1" customWidth="1"/>
    <col min="13635" max="13636" width="10.7109375" style="1" customWidth="1"/>
    <col min="13637" max="13637" width="2.7109375" style="1" bestFit="1" customWidth="1"/>
    <col min="13638" max="13638" width="11.5703125" style="1" bestFit="1" customWidth="1"/>
    <col min="13639" max="13815" width="10.7109375" style="1"/>
    <col min="13816" max="13816" width="5.28515625" style="1" customWidth="1"/>
    <col min="13817" max="13817" width="6.42578125" style="1" customWidth="1"/>
    <col min="13818" max="13818" width="22" style="1" customWidth="1"/>
    <col min="13819" max="13819" width="7.5703125" style="1" bestFit="1" customWidth="1"/>
    <col min="13820" max="13820" width="4.42578125" style="1" customWidth="1"/>
    <col min="13821" max="13821" width="7.42578125" style="1" bestFit="1" customWidth="1"/>
    <col min="13822" max="13822" width="2.85546875" style="1" bestFit="1" customWidth="1"/>
    <col min="13823" max="13823" width="7" style="1" bestFit="1" customWidth="1"/>
    <col min="13824" max="13824" width="5.7109375" style="1" bestFit="1" customWidth="1"/>
    <col min="13825" max="13825" width="7.85546875" style="1" bestFit="1" customWidth="1"/>
    <col min="13826" max="13827" width="0" style="1" hidden="1" customWidth="1"/>
    <col min="13828" max="13828" width="12.5703125" style="1" customWidth="1"/>
    <col min="13829" max="13829" width="0" style="1" hidden="1" customWidth="1"/>
    <col min="13830" max="13830" width="11" style="1" customWidth="1"/>
    <col min="13831" max="13831" width="9.140625" style="1" customWidth="1"/>
    <col min="13832" max="13832" width="9.85546875" style="1" customWidth="1"/>
    <col min="13833" max="13836" width="0" style="1" hidden="1" customWidth="1"/>
    <col min="13837" max="13837" width="1.5703125" style="1" customWidth="1"/>
    <col min="13838" max="13840" width="0" style="1" hidden="1" customWidth="1"/>
    <col min="13841" max="13841" width="10.42578125" style="1" customWidth="1"/>
    <col min="13842" max="13843" width="11" style="1" customWidth="1"/>
    <col min="13844" max="13844" width="9.42578125" style="1" customWidth="1"/>
    <col min="13845" max="13845" width="10" style="1" customWidth="1"/>
    <col min="13846" max="13846" width="11" style="1" customWidth="1"/>
    <col min="13847" max="13847" width="9.5703125" style="1" customWidth="1"/>
    <col min="13848" max="13848" width="10.140625" style="1" customWidth="1"/>
    <col min="13849" max="13888" width="10.7109375" style="1" customWidth="1"/>
    <col min="13889" max="13889" width="1.85546875" style="1" bestFit="1" customWidth="1"/>
    <col min="13890" max="13890" width="34.5703125" style="1" bestFit="1" customWidth="1"/>
    <col min="13891" max="13892" width="10.7109375" style="1" customWidth="1"/>
    <col min="13893" max="13893" width="2.7109375" style="1" bestFit="1" customWidth="1"/>
    <col min="13894" max="13894" width="11.5703125" style="1" bestFit="1" customWidth="1"/>
    <col min="13895" max="14071" width="10.7109375" style="1"/>
    <col min="14072" max="14072" width="5.28515625" style="1" customWidth="1"/>
    <col min="14073" max="14073" width="6.42578125" style="1" customWidth="1"/>
    <col min="14074" max="14074" width="22" style="1" customWidth="1"/>
    <col min="14075" max="14075" width="7.5703125" style="1" bestFit="1" customWidth="1"/>
    <col min="14076" max="14076" width="4.42578125" style="1" customWidth="1"/>
    <col min="14077" max="14077" width="7.42578125" style="1" bestFit="1" customWidth="1"/>
    <col min="14078" max="14078" width="2.85546875" style="1" bestFit="1" customWidth="1"/>
    <col min="14079" max="14079" width="7" style="1" bestFit="1" customWidth="1"/>
    <col min="14080" max="14080" width="5.7109375" style="1" bestFit="1" customWidth="1"/>
    <col min="14081" max="14081" width="7.85546875" style="1" bestFit="1" customWidth="1"/>
    <col min="14082" max="14083" width="0" style="1" hidden="1" customWidth="1"/>
    <col min="14084" max="14084" width="12.5703125" style="1" customWidth="1"/>
    <col min="14085" max="14085" width="0" style="1" hidden="1" customWidth="1"/>
    <col min="14086" max="14086" width="11" style="1" customWidth="1"/>
    <col min="14087" max="14087" width="9.140625" style="1" customWidth="1"/>
    <col min="14088" max="14088" width="9.85546875" style="1" customWidth="1"/>
    <col min="14089" max="14092" width="0" style="1" hidden="1" customWidth="1"/>
    <col min="14093" max="14093" width="1.5703125" style="1" customWidth="1"/>
    <col min="14094" max="14096" width="0" style="1" hidden="1" customWidth="1"/>
    <col min="14097" max="14097" width="10.42578125" style="1" customWidth="1"/>
    <col min="14098" max="14099" width="11" style="1" customWidth="1"/>
    <col min="14100" max="14100" width="9.42578125" style="1" customWidth="1"/>
    <col min="14101" max="14101" width="10" style="1" customWidth="1"/>
    <col min="14102" max="14102" width="11" style="1" customWidth="1"/>
    <col min="14103" max="14103" width="9.5703125" style="1" customWidth="1"/>
    <col min="14104" max="14104" width="10.140625" style="1" customWidth="1"/>
    <col min="14105" max="14144" width="10.7109375" style="1" customWidth="1"/>
    <col min="14145" max="14145" width="1.85546875" style="1" bestFit="1" customWidth="1"/>
    <col min="14146" max="14146" width="34.5703125" style="1" bestFit="1" customWidth="1"/>
    <col min="14147" max="14148" width="10.7109375" style="1" customWidth="1"/>
    <col min="14149" max="14149" width="2.7109375" style="1" bestFit="1" customWidth="1"/>
    <col min="14150" max="14150" width="11.5703125" style="1" bestFit="1" customWidth="1"/>
    <col min="14151" max="14327" width="10.7109375" style="1"/>
    <col min="14328" max="14328" width="5.28515625" style="1" customWidth="1"/>
    <col min="14329" max="14329" width="6.42578125" style="1" customWidth="1"/>
    <col min="14330" max="14330" width="22" style="1" customWidth="1"/>
    <col min="14331" max="14331" width="7.5703125" style="1" bestFit="1" customWidth="1"/>
    <col min="14332" max="14332" width="4.42578125" style="1" customWidth="1"/>
    <col min="14333" max="14333" width="7.42578125" style="1" bestFit="1" customWidth="1"/>
    <col min="14334" max="14334" width="2.85546875" style="1" bestFit="1" customWidth="1"/>
    <col min="14335" max="14335" width="7" style="1" bestFit="1" customWidth="1"/>
    <col min="14336" max="14336" width="5.7109375" style="1" bestFit="1" customWidth="1"/>
    <col min="14337" max="14337" width="7.85546875" style="1" bestFit="1" customWidth="1"/>
    <col min="14338" max="14339" width="0" style="1" hidden="1" customWidth="1"/>
    <col min="14340" max="14340" width="12.5703125" style="1" customWidth="1"/>
    <col min="14341" max="14341" width="0" style="1" hidden="1" customWidth="1"/>
    <col min="14342" max="14342" width="11" style="1" customWidth="1"/>
    <col min="14343" max="14343" width="9.140625" style="1" customWidth="1"/>
    <col min="14344" max="14344" width="9.85546875" style="1" customWidth="1"/>
    <col min="14345" max="14348" width="0" style="1" hidden="1" customWidth="1"/>
    <col min="14349" max="14349" width="1.5703125" style="1" customWidth="1"/>
    <col min="14350" max="14352" width="0" style="1" hidden="1" customWidth="1"/>
    <col min="14353" max="14353" width="10.42578125" style="1" customWidth="1"/>
    <col min="14354" max="14355" width="11" style="1" customWidth="1"/>
    <col min="14356" max="14356" width="9.42578125" style="1" customWidth="1"/>
    <col min="14357" max="14357" width="10" style="1" customWidth="1"/>
    <col min="14358" max="14358" width="11" style="1" customWidth="1"/>
    <col min="14359" max="14359" width="9.5703125" style="1" customWidth="1"/>
    <col min="14360" max="14360" width="10.140625" style="1" customWidth="1"/>
    <col min="14361" max="14400" width="10.7109375" style="1" customWidth="1"/>
    <col min="14401" max="14401" width="1.85546875" style="1" bestFit="1" customWidth="1"/>
    <col min="14402" max="14402" width="34.5703125" style="1" bestFit="1" customWidth="1"/>
    <col min="14403" max="14404" width="10.7109375" style="1" customWidth="1"/>
    <col min="14405" max="14405" width="2.7109375" style="1" bestFit="1" customWidth="1"/>
    <col min="14406" max="14406" width="11.5703125" style="1" bestFit="1" customWidth="1"/>
    <col min="14407" max="14583" width="10.7109375" style="1"/>
    <col min="14584" max="14584" width="5.28515625" style="1" customWidth="1"/>
    <col min="14585" max="14585" width="6.42578125" style="1" customWidth="1"/>
    <col min="14586" max="14586" width="22" style="1" customWidth="1"/>
    <col min="14587" max="14587" width="7.5703125" style="1" bestFit="1" customWidth="1"/>
    <col min="14588" max="14588" width="4.42578125" style="1" customWidth="1"/>
    <col min="14589" max="14589" width="7.42578125" style="1" bestFit="1" customWidth="1"/>
    <col min="14590" max="14590" width="2.85546875" style="1" bestFit="1" customWidth="1"/>
    <col min="14591" max="14591" width="7" style="1" bestFit="1" customWidth="1"/>
    <col min="14592" max="14592" width="5.7109375" style="1" bestFit="1" customWidth="1"/>
    <col min="14593" max="14593" width="7.85546875" style="1" bestFit="1" customWidth="1"/>
    <col min="14594" max="14595" width="0" style="1" hidden="1" customWidth="1"/>
    <col min="14596" max="14596" width="12.5703125" style="1" customWidth="1"/>
    <col min="14597" max="14597" width="0" style="1" hidden="1" customWidth="1"/>
    <col min="14598" max="14598" width="11" style="1" customWidth="1"/>
    <col min="14599" max="14599" width="9.140625" style="1" customWidth="1"/>
    <col min="14600" max="14600" width="9.85546875" style="1" customWidth="1"/>
    <col min="14601" max="14604" width="0" style="1" hidden="1" customWidth="1"/>
    <col min="14605" max="14605" width="1.5703125" style="1" customWidth="1"/>
    <col min="14606" max="14608" width="0" style="1" hidden="1" customWidth="1"/>
    <col min="14609" max="14609" width="10.42578125" style="1" customWidth="1"/>
    <col min="14610" max="14611" width="11" style="1" customWidth="1"/>
    <col min="14612" max="14612" width="9.42578125" style="1" customWidth="1"/>
    <col min="14613" max="14613" width="10" style="1" customWidth="1"/>
    <col min="14614" max="14614" width="11" style="1" customWidth="1"/>
    <col min="14615" max="14615" width="9.5703125" style="1" customWidth="1"/>
    <col min="14616" max="14616" width="10.140625" style="1" customWidth="1"/>
    <col min="14617" max="14656" width="10.7109375" style="1" customWidth="1"/>
    <col min="14657" max="14657" width="1.85546875" style="1" bestFit="1" customWidth="1"/>
    <col min="14658" max="14658" width="34.5703125" style="1" bestFit="1" customWidth="1"/>
    <col min="14659" max="14660" width="10.7109375" style="1" customWidth="1"/>
    <col min="14661" max="14661" width="2.7109375" style="1" bestFit="1" customWidth="1"/>
    <col min="14662" max="14662" width="11.5703125" style="1" bestFit="1" customWidth="1"/>
    <col min="14663" max="14839" width="10.7109375" style="1"/>
    <col min="14840" max="14840" width="5.28515625" style="1" customWidth="1"/>
    <col min="14841" max="14841" width="6.42578125" style="1" customWidth="1"/>
    <col min="14842" max="14842" width="22" style="1" customWidth="1"/>
    <col min="14843" max="14843" width="7.5703125" style="1" bestFit="1" customWidth="1"/>
    <col min="14844" max="14844" width="4.42578125" style="1" customWidth="1"/>
    <col min="14845" max="14845" width="7.42578125" style="1" bestFit="1" customWidth="1"/>
    <col min="14846" max="14846" width="2.85546875" style="1" bestFit="1" customWidth="1"/>
    <col min="14847" max="14847" width="7" style="1" bestFit="1" customWidth="1"/>
    <col min="14848" max="14848" width="5.7109375" style="1" bestFit="1" customWidth="1"/>
    <col min="14849" max="14849" width="7.85546875" style="1" bestFit="1" customWidth="1"/>
    <col min="14850" max="14851" width="0" style="1" hidden="1" customWidth="1"/>
    <col min="14852" max="14852" width="12.5703125" style="1" customWidth="1"/>
    <col min="14853" max="14853" width="0" style="1" hidden="1" customWidth="1"/>
    <col min="14854" max="14854" width="11" style="1" customWidth="1"/>
    <col min="14855" max="14855" width="9.140625" style="1" customWidth="1"/>
    <col min="14856" max="14856" width="9.85546875" style="1" customWidth="1"/>
    <col min="14857" max="14860" width="0" style="1" hidden="1" customWidth="1"/>
    <col min="14861" max="14861" width="1.5703125" style="1" customWidth="1"/>
    <col min="14862" max="14864" width="0" style="1" hidden="1" customWidth="1"/>
    <col min="14865" max="14865" width="10.42578125" style="1" customWidth="1"/>
    <col min="14866" max="14867" width="11" style="1" customWidth="1"/>
    <col min="14868" max="14868" width="9.42578125" style="1" customWidth="1"/>
    <col min="14869" max="14869" width="10" style="1" customWidth="1"/>
    <col min="14870" max="14870" width="11" style="1" customWidth="1"/>
    <col min="14871" max="14871" width="9.5703125" style="1" customWidth="1"/>
    <col min="14872" max="14872" width="10.140625" style="1" customWidth="1"/>
    <col min="14873" max="14912" width="10.7109375" style="1" customWidth="1"/>
    <col min="14913" max="14913" width="1.85546875" style="1" bestFit="1" customWidth="1"/>
    <col min="14914" max="14914" width="34.5703125" style="1" bestFit="1" customWidth="1"/>
    <col min="14915" max="14916" width="10.7109375" style="1" customWidth="1"/>
    <col min="14917" max="14917" width="2.7109375" style="1" bestFit="1" customWidth="1"/>
    <col min="14918" max="14918" width="11.5703125" style="1" bestFit="1" customWidth="1"/>
    <col min="14919" max="15095" width="10.7109375" style="1"/>
    <col min="15096" max="15096" width="5.28515625" style="1" customWidth="1"/>
    <col min="15097" max="15097" width="6.42578125" style="1" customWidth="1"/>
    <col min="15098" max="15098" width="22" style="1" customWidth="1"/>
    <col min="15099" max="15099" width="7.5703125" style="1" bestFit="1" customWidth="1"/>
    <col min="15100" max="15100" width="4.42578125" style="1" customWidth="1"/>
    <col min="15101" max="15101" width="7.42578125" style="1" bestFit="1" customWidth="1"/>
    <col min="15102" max="15102" width="2.85546875" style="1" bestFit="1" customWidth="1"/>
    <col min="15103" max="15103" width="7" style="1" bestFit="1" customWidth="1"/>
    <col min="15104" max="15104" width="5.7109375" style="1" bestFit="1" customWidth="1"/>
    <col min="15105" max="15105" width="7.85546875" style="1" bestFit="1" customWidth="1"/>
    <col min="15106" max="15107" width="0" style="1" hidden="1" customWidth="1"/>
    <col min="15108" max="15108" width="12.5703125" style="1" customWidth="1"/>
    <col min="15109" max="15109" width="0" style="1" hidden="1" customWidth="1"/>
    <col min="15110" max="15110" width="11" style="1" customWidth="1"/>
    <col min="15111" max="15111" width="9.140625" style="1" customWidth="1"/>
    <col min="15112" max="15112" width="9.85546875" style="1" customWidth="1"/>
    <col min="15113" max="15116" width="0" style="1" hidden="1" customWidth="1"/>
    <col min="15117" max="15117" width="1.5703125" style="1" customWidth="1"/>
    <col min="15118" max="15120" width="0" style="1" hidden="1" customWidth="1"/>
    <col min="15121" max="15121" width="10.42578125" style="1" customWidth="1"/>
    <col min="15122" max="15123" width="11" style="1" customWidth="1"/>
    <col min="15124" max="15124" width="9.42578125" style="1" customWidth="1"/>
    <col min="15125" max="15125" width="10" style="1" customWidth="1"/>
    <col min="15126" max="15126" width="11" style="1" customWidth="1"/>
    <col min="15127" max="15127" width="9.5703125" style="1" customWidth="1"/>
    <col min="15128" max="15128" width="10.140625" style="1" customWidth="1"/>
    <col min="15129" max="15168" width="10.7109375" style="1" customWidth="1"/>
    <col min="15169" max="15169" width="1.85546875" style="1" bestFit="1" customWidth="1"/>
    <col min="15170" max="15170" width="34.5703125" style="1" bestFit="1" customWidth="1"/>
    <col min="15171" max="15172" width="10.7109375" style="1" customWidth="1"/>
    <col min="15173" max="15173" width="2.7109375" style="1" bestFit="1" customWidth="1"/>
    <col min="15174" max="15174" width="11.5703125" style="1" bestFit="1" customWidth="1"/>
    <col min="15175" max="15351" width="10.7109375" style="1"/>
    <col min="15352" max="15352" width="5.28515625" style="1" customWidth="1"/>
    <col min="15353" max="15353" width="6.42578125" style="1" customWidth="1"/>
    <col min="15354" max="15354" width="22" style="1" customWidth="1"/>
    <col min="15355" max="15355" width="7.5703125" style="1" bestFit="1" customWidth="1"/>
    <col min="15356" max="15356" width="4.42578125" style="1" customWidth="1"/>
    <col min="15357" max="15357" width="7.42578125" style="1" bestFit="1" customWidth="1"/>
    <col min="15358" max="15358" width="2.85546875" style="1" bestFit="1" customWidth="1"/>
    <col min="15359" max="15359" width="7" style="1" bestFit="1" customWidth="1"/>
    <col min="15360" max="15360" width="5.7109375" style="1" bestFit="1" customWidth="1"/>
    <col min="15361" max="15361" width="7.85546875" style="1" bestFit="1" customWidth="1"/>
    <col min="15362" max="15363" width="0" style="1" hidden="1" customWidth="1"/>
    <col min="15364" max="15364" width="12.5703125" style="1" customWidth="1"/>
    <col min="15365" max="15365" width="0" style="1" hidden="1" customWidth="1"/>
    <col min="15366" max="15366" width="11" style="1" customWidth="1"/>
    <col min="15367" max="15367" width="9.140625" style="1" customWidth="1"/>
    <col min="15368" max="15368" width="9.85546875" style="1" customWidth="1"/>
    <col min="15369" max="15372" width="0" style="1" hidden="1" customWidth="1"/>
    <col min="15373" max="15373" width="1.5703125" style="1" customWidth="1"/>
    <col min="15374" max="15376" width="0" style="1" hidden="1" customWidth="1"/>
    <col min="15377" max="15377" width="10.42578125" style="1" customWidth="1"/>
    <col min="15378" max="15379" width="11" style="1" customWidth="1"/>
    <col min="15380" max="15380" width="9.42578125" style="1" customWidth="1"/>
    <col min="15381" max="15381" width="10" style="1" customWidth="1"/>
    <col min="15382" max="15382" width="11" style="1" customWidth="1"/>
    <col min="15383" max="15383" width="9.5703125" style="1" customWidth="1"/>
    <col min="15384" max="15384" width="10.140625" style="1" customWidth="1"/>
    <col min="15385" max="15424" width="10.7109375" style="1" customWidth="1"/>
    <col min="15425" max="15425" width="1.85546875" style="1" bestFit="1" customWidth="1"/>
    <col min="15426" max="15426" width="34.5703125" style="1" bestFit="1" customWidth="1"/>
    <col min="15427" max="15428" width="10.7109375" style="1" customWidth="1"/>
    <col min="15429" max="15429" width="2.7109375" style="1" bestFit="1" customWidth="1"/>
    <col min="15430" max="15430" width="11.5703125" style="1" bestFit="1" customWidth="1"/>
    <col min="15431" max="15607" width="10.7109375" style="1"/>
    <col min="15608" max="15608" width="5.28515625" style="1" customWidth="1"/>
    <col min="15609" max="15609" width="6.42578125" style="1" customWidth="1"/>
    <col min="15610" max="15610" width="22" style="1" customWidth="1"/>
    <col min="15611" max="15611" width="7.5703125" style="1" bestFit="1" customWidth="1"/>
    <col min="15612" max="15612" width="4.42578125" style="1" customWidth="1"/>
    <col min="15613" max="15613" width="7.42578125" style="1" bestFit="1" customWidth="1"/>
    <col min="15614" max="15614" width="2.85546875" style="1" bestFit="1" customWidth="1"/>
    <col min="15615" max="15615" width="7" style="1" bestFit="1" customWidth="1"/>
    <col min="15616" max="15616" width="5.7109375" style="1" bestFit="1" customWidth="1"/>
    <col min="15617" max="15617" width="7.85546875" style="1" bestFit="1" customWidth="1"/>
    <col min="15618" max="15619" width="0" style="1" hidden="1" customWidth="1"/>
    <col min="15620" max="15620" width="12.5703125" style="1" customWidth="1"/>
    <col min="15621" max="15621" width="0" style="1" hidden="1" customWidth="1"/>
    <col min="15622" max="15622" width="11" style="1" customWidth="1"/>
    <col min="15623" max="15623" width="9.140625" style="1" customWidth="1"/>
    <col min="15624" max="15624" width="9.85546875" style="1" customWidth="1"/>
    <col min="15625" max="15628" width="0" style="1" hidden="1" customWidth="1"/>
    <col min="15629" max="15629" width="1.5703125" style="1" customWidth="1"/>
    <col min="15630" max="15632" width="0" style="1" hidden="1" customWidth="1"/>
    <col min="15633" max="15633" width="10.42578125" style="1" customWidth="1"/>
    <col min="15634" max="15635" width="11" style="1" customWidth="1"/>
    <col min="15636" max="15636" width="9.42578125" style="1" customWidth="1"/>
    <col min="15637" max="15637" width="10" style="1" customWidth="1"/>
    <col min="15638" max="15638" width="11" style="1" customWidth="1"/>
    <col min="15639" max="15639" width="9.5703125" style="1" customWidth="1"/>
    <col min="15640" max="15640" width="10.140625" style="1" customWidth="1"/>
    <col min="15641" max="15680" width="10.7109375" style="1" customWidth="1"/>
    <col min="15681" max="15681" width="1.85546875" style="1" bestFit="1" customWidth="1"/>
    <col min="15682" max="15682" width="34.5703125" style="1" bestFit="1" customWidth="1"/>
    <col min="15683" max="15684" width="10.7109375" style="1" customWidth="1"/>
    <col min="15685" max="15685" width="2.7109375" style="1" bestFit="1" customWidth="1"/>
    <col min="15686" max="15686" width="11.5703125" style="1" bestFit="1" customWidth="1"/>
    <col min="15687" max="15863" width="10.7109375" style="1"/>
    <col min="15864" max="15864" width="5.28515625" style="1" customWidth="1"/>
    <col min="15865" max="15865" width="6.42578125" style="1" customWidth="1"/>
    <col min="15866" max="15866" width="22" style="1" customWidth="1"/>
    <col min="15867" max="15867" width="7.5703125" style="1" bestFit="1" customWidth="1"/>
    <col min="15868" max="15868" width="4.42578125" style="1" customWidth="1"/>
    <col min="15869" max="15869" width="7.42578125" style="1" bestFit="1" customWidth="1"/>
    <col min="15870" max="15870" width="2.85546875" style="1" bestFit="1" customWidth="1"/>
    <col min="15871" max="15871" width="7" style="1" bestFit="1" customWidth="1"/>
    <col min="15872" max="15872" width="5.7109375" style="1" bestFit="1" customWidth="1"/>
    <col min="15873" max="15873" width="7.85546875" style="1" bestFit="1" customWidth="1"/>
    <col min="15874" max="15875" width="0" style="1" hidden="1" customWidth="1"/>
    <col min="15876" max="15876" width="12.5703125" style="1" customWidth="1"/>
    <col min="15877" max="15877" width="0" style="1" hidden="1" customWidth="1"/>
    <col min="15878" max="15878" width="11" style="1" customWidth="1"/>
    <col min="15879" max="15879" width="9.140625" style="1" customWidth="1"/>
    <col min="15880" max="15880" width="9.85546875" style="1" customWidth="1"/>
    <col min="15881" max="15884" width="0" style="1" hidden="1" customWidth="1"/>
    <col min="15885" max="15885" width="1.5703125" style="1" customWidth="1"/>
    <col min="15886" max="15888" width="0" style="1" hidden="1" customWidth="1"/>
    <col min="15889" max="15889" width="10.42578125" style="1" customWidth="1"/>
    <col min="15890" max="15891" width="11" style="1" customWidth="1"/>
    <col min="15892" max="15892" width="9.42578125" style="1" customWidth="1"/>
    <col min="15893" max="15893" width="10" style="1" customWidth="1"/>
    <col min="15894" max="15894" width="11" style="1" customWidth="1"/>
    <col min="15895" max="15895" width="9.5703125" style="1" customWidth="1"/>
    <col min="15896" max="15896" width="10.140625" style="1" customWidth="1"/>
    <col min="15897" max="15936" width="10.7109375" style="1" customWidth="1"/>
    <col min="15937" max="15937" width="1.85546875" style="1" bestFit="1" customWidth="1"/>
    <col min="15938" max="15938" width="34.5703125" style="1" bestFit="1" customWidth="1"/>
    <col min="15939" max="15940" width="10.7109375" style="1" customWidth="1"/>
    <col min="15941" max="15941" width="2.7109375" style="1" bestFit="1" customWidth="1"/>
    <col min="15942" max="15942" width="11.5703125" style="1" bestFit="1" customWidth="1"/>
    <col min="15943" max="16119" width="10.7109375" style="1"/>
    <col min="16120" max="16120" width="5.28515625" style="1" customWidth="1"/>
    <col min="16121" max="16121" width="6.42578125" style="1" customWidth="1"/>
    <col min="16122" max="16122" width="22" style="1" customWidth="1"/>
    <col min="16123" max="16123" width="7.5703125" style="1" bestFit="1" customWidth="1"/>
    <col min="16124" max="16124" width="4.42578125" style="1" customWidth="1"/>
    <col min="16125" max="16125" width="7.42578125" style="1" bestFit="1" customWidth="1"/>
    <col min="16126" max="16126" width="2.85546875" style="1" bestFit="1" customWidth="1"/>
    <col min="16127" max="16127" width="7" style="1" bestFit="1" customWidth="1"/>
    <col min="16128" max="16128" width="5.7109375" style="1" bestFit="1" customWidth="1"/>
    <col min="16129" max="16129" width="7.85546875" style="1" bestFit="1" customWidth="1"/>
    <col min="16130" max="16131" width="0" style="1" hidden="1" customWidth="1"/>
    <col min="16132" max="16132" width="12.5703125" style="1" customWidth="1"/>
    <col min="16133" max="16133" width="0" style="1" hidden="1" customWidth="1"/>
    <col min="16134" max="16134" width="11" style="1" customWidth="1"/>
    <col min="16135" max="16135" width="9.140625" style="1" customWidth="1"/>
    <col min="16136" max="16136" width="9.85546875" style="1" customWidth="1"/>
    <col min="16137" max="16140" width="0" style="1" hidden="1" customWidth="1"/>
    <col min="16141" max="16141" width="1.5703125" style="1" customWidth="1"/>
    <col min="16142" max="16144" width="0" style="1" hidden="1" customWidth="1"/>
    <col min="16145" max="16145" width="10.42578125" style="1" customWidth="1"/>
    <col min="16146" max="16147" width="11" style="1" customWidth="1"/>
    <col min="16148" max="16148" width="9.42578125" style="1" customWidth="1"/>
    <col min="16149" max="16149" width="10" style="1" customWidth="1"/>
    <col min="16150" max="16150" width="11" style="1" customWidth="1"/>
    <col min="16151" max="16151" width="9.5703125" style="1" customWidth="1"/>
    <col min="16152" max="16152" width="10.140625" style="1" customWidth="1"/>
    <col min="16153" max="16192" width="10.7109375" style="1" customWidth="1"/>
    <col min="16193" max="16193" width="1.85546875" style="1" bestFit="1" customWidth="1"/>
    <col min="16194" max="16194" width="34.5703125" style="1" bestFit="1" customWidth="1"/>
    <col min="16195" max="16196" width="10.7109375" style="1" customWidth="1"/>
    <col min="16197" max="16197" width="2.7109375" style="1" bestFit="1" customWidth="1"/>
    <col min="16198" max="16198" width="11.5703125" style="1" bestFit="1" customWidth="1"/>
    <col min="16199" max="16384" width="10.7109375" style="1"/>
  </cols>
  <sheetData>
    <row r="1" spans="1:247">
      <c r="B1" s="2" t="s">
        <v>33</v>
      </c>
      <c r="F1" s="408"/>
      <c r="G1" s="408"/>
      <c r="H1" s="3"/>
      <c r="P1" s="6"/>
      <c r="Q1" s="6"/>
      <c r="AE1" s="7"/>
    </row>
    <row r="2" spans="1:247">
      <c r="B2" s="2" t="s">
        <v>34</v>
      </c>
      <c r="F2" s="408"/>
      <c r="G2" s="408"/>
      <c r="P2" s="8">
        <v>4</v>
      </c>
      <c r="Q2" s="9" t="s">
        <v>35</v>
      </c>
      <c r="BN2" s="1" t="s">
        <v>36</v>
      </c>
    </row>
    <row r="3" spans="1:247">
      <c r="B3" s="409">
        <f>'2120 Depr Summary'!H8</f>
        <v>44926</v>
      </c>
      <c r="C3" s="409"/>
      <c r="P3" s="8">
        <v>8</v>
      </c>
      <c r="Q3" s="9" t="s">
        <v>37</v>
      </c>
      <c r="AE3" s="1" t="s">
        <v>38</v>
      </c>
      <c r="AF3" s="1" t="s">
        <v>39</v>
      </c>
    </row>
    <row r="4" spans="1:247" ht="11.25" customHeight="1">
      <c r="P4" s="11">
        <v>2016</v>
      </c>
      <c r="Q4" s="9" t="s">
        <v>40</v>
      </c>
      <c r="AE4" s="1" t="s">
        <v>41</v>
      </c>
      <c r="AF4" s="1" t="s">
        <v>42</v>
      </c>
      <c r="BM4" s="1">
        <v>1</v>
      </c>
      <c r="BN4" s="1" t="s">
        <v>43</v>
      </c>
      <c r="BQ4" s="1">
        <v>12</v>
      </c>
      <c r="BR4" s="1" t="s">
        <v>44</v>
      </c>
    </row>
    <row r="5" spans="1:247" ht="11.25" customHeight="1">
      <c r="P5" s="11">
        <v>2017</v>
      </c>
      <c r="Q5" s="9" t="s">
        <v>45</v>
      </c>
      <c r="AE5" s="1" t="s">
        <v>46</v>
      </c>
      <c r="AF5" s="1" t="s">
        <v>47</v>
      </c>
      <c r="BN5" s="1">
        <v>1993</v>
      </c>
      <c r="BQ5" s="1">
        <v>0</v>
      </c>
      <c r="BR5" s="1" t="s">
        <v>48</v>
      </c>
    </row>
    <row r="6" spans="1:247">
      <c r="AE6" s="1" t="s">
        <v>49</v>
      </c>
      <c r="AF6" s="1" t="s">
        <v>50</v>
      </c>
      <c r="BQ6" s="1">
        <v>93</v>
      </c>
      <c r="BR6" s="1" t="s">
        <v>40</v>
      </c>
    </row>
    <row r="7" spans="1:247">
      <c r="AC7" s="12"/>
      <c r="AE7" s="1" t="s">
        <v>51</v>
      </c>
      <c r="AF7" s="1" t="s">
        <v>52</v>
      </c>
      <c r="BQ7" s="1">
        <v>94</v>
      </c>
      <c r="BR7" s="1" t="s">
        <v>53</v>
      </c>
    </row>
    <row r="8" spans="1:247">
      <c r="C8" s="6"/>
      <c r="D8" s="6"/>
      <c r="E8" s="6"/>
      <c r="F8" s="6"/>
      <c r="G8" s="13"/>
      <c r="H8" s="6"/>
      <c r="I8" s="6"/>
      <c r="J8" s="6"/>
      <c r="K8" s="14"/>
      <c r="S8" s="10" t="s">
        <v>54</v>
      </c>
      <c r="V8" s="12" t="s">
        <v>32</v>
      </c>
      <c r="X8" s="10" t="s">
        <v>2</v>
      </c>
      <c r="Y8" s="10" t="s">
        <v>55</v>
      </c>
      <c r="AA8" s="12" t="s">
        <v>55</v>
      </c>
      <c r="AB8" s="12" t="s">
        <v>55</v>
      </c>
      <c r="AC8" s="12"/>
    </row>
    <row r="9" spans="1:247">
      <c r="B9" s="12"/>
      <c r="C9" s="12" t="s">
        <v>17</v>
      </c>
      <c r="D9" s="15" t="s">
        <v>56</v>
      </c>
      <c r="E9" s="12" t="s">
        <v>57</v>
      </c>
      <c r="F9" s="12"/>
      <c r="G9" s="16" t="s">
        <v>7</v>
      </c>
      <c r="H9" s="6"/>
      <c r="I9" s="12" t="s">
        <v>17</v>
      </c>
      <c r="J9" s="12"/>
      <c r="K9" s="17" t="s">
        <v>58</v>
      </c>
      <c r="L9" s="12" t="s">
        <v>17</v>
      </c>
      <c r="N9" s="18" t="s">
        <v>17</v>
      </c>
      <c r="O9" s="10" t="s">
        <v>59</v>
      </c>
      <c r="P9" s="15" t="s">
        <v>17</v>
      </c>
      <c r="Q9" s="15"/>
      <c r="R9" s="12" t="s">
        <v>32</v>
      </c>
      <c r="S9" s="10" t="s">
        <v>58</v>
      </c>
      <c r="T9" s="12" t="s">
        <v>32</v>
      </c>
      <c r="U9" s="12" t="s">
        <v>60</v>
      </c>
      <c r="V9" s="12" t="s">
        <v>55</v>
      </c>
      <c r="X9" s="10" t="s">
        <v>61</v>
      </c>
      <c r="Y9" s="10" t="s">
        <v>61</v>
      </c>
      <c r="Z9" s="10" t="s">
        <v>62</v>
      </c>
      <c r="AA9" s="12" t="s">
        <v>63</v>
      </c>
      <c r="AB9" s="12" t="s">
        <v>63</v>
      </c>
      <c r="AC9" s="12" t="s">
        <v>4</v>
      </c>
    </row>
    <row r="10" spans="1:247">
      <c r="B10" s="12"/>
      <c r="C10" s="12" t="s">
        <v>64</v>
      </c>
      <c r="D10" s="15"/>
      <c r="E10" s="12" t="s">
        <v>65</v>
      </c>
      <c r="F10" s="12"/>
      <c r="G10" s="16" t="s">
        <v>66</v>
      </c>
      <c r="H10" s="6"/>
      <c r="I10" s="12" t="s">
        <v>67</v>
      </c>
      <c r="J10" s="12" t="s">
        <v>68</v>
      </c>
      <c r="K10" s="17" t="s">
        <v>69</v>
      </c>
      <c r="L10" s="12" t="s">
        <v>59</v>
      </c>
      <c r="M10" s="1" t="s">
        <v>70</v>
      </c>
      <c r="N10" s="18" t="s">
        <v>59</v>
      </c>
      <c r="O10" s="10" t="s">
        <v>54</v>
      </c>
      <c r="P10" s="12" t="s">
        <v>8</v>
      </c>
      <c r="Q10" s="12" t="s">
        <v>71</v>
      </c>
      <c r="R10" s="12" t="s">
        <v>9</v>
      </c>
      <c r="S10" s="10" t="s">
        <v>72</v>
      </c>
      <c r="T10" s="12" t="s">
        <v>73</v>
      </c>
      <c r="U10" s="12" t="s">
        <v>74</v>
      </c>
      <c r="V10" s="12" t="s">
        <v>75</v>
      </c>
      <c r="W10" s="12"/>
      <c r="X10" s="12" t="s">
        <v>76</v>
      </c>
      <c r="Y10" s="12" t="s">
        <v>76</v>
      </c>
      <c r="Z10" s="12" t="s">
        <v>74</v>
      </c>
      <c r="AA10" s="12" t="s">
        <v>77</v>
      </c>
      <c r="AB10" s="12" t="s">
        <v>77</v>
      </c>
      <c r="AC10" s="12" t="s">
        <v>11</v>
      </c>
      <c r="AD10" s="10" t="s">
        <v>38</v>
      </c>
      <c r="AE10" s="10" t="s">
        <v>78</v>
      </c>
      <c r="AF10" s="10" t="s">
        <v>79</v>
      </c>
      <c r="AG10" s="10" t="s">
        <v>49</v>
      </c>
      <c r="AH10" s="10" t="s">
        <v>51</v>
      </c>
      <c r="BM10" s="1">
        <v>2</v>
      </c>
      <c r="BN10" s="1" t="s">
        <v>80</v>
      </c>
    </row>
    <row r="11" spans="1:247">
      <c r="A11" s="19" t="s">
        <v>81</v>
      </c>
      <c r="B11" s="19" t="s">
        <v>82</v>
      </c>
      <c r="C11" s="19" t="s">
        <v>83</v>
      </c>
      <c r="D11" s="20" t="s">
        <v>84</v>
      </c>
      <c r="E11" s="19" t="s">
        <v>58</v>
      </c>
      <c r="F11" s="19" t="s">
        <v>85</v>
      </c>
      <c r="G11" s="21" t="s">
        <v>60</v>
      </c>
      <c r="H11" s="6" t="s">
        <v>86</v>
      </c>
      <c r="I11" s="19" t="s">
        <v>87</v>
      </c>
      <c r="J11" s="19" t="s">
        <v>88</v>
      </c>
      <c r="K11" s="22" t="s">
        <v>8</v>
      </c>
      <c r="L11" s="19" t="s">
        <v>6</v>
      </c>
      <c r="M11" s="23" t="s">
        <v>86</v>
      </c>
      <c r="N11" s="24" t="s">
        <v>6</v>
      </c>
      <c r="O11" s="23" t="s">
        <v>86</v>
      </c>
      <c r="P11" s="19" t="s">
        <v>6</v>
      </c>
      <c r="Q11" s="19" t="s">
        <v>8</v>
      </c>
      <c r="R11" s="12" t="s">
        <v>8</v>
      </c>
      <c r="S11" s="23" t="s">
        <v>86</v>
      </c>
      <c r="T11" s="12" t="s">
        <v>89</v>
      </c>
      <c r="U11" s="19" t="s">
        <v>86</v>
      </c>
      <c r="V11" s="12" t="s">
        <v>77</v>
      </c>
      <c r="W11" s="12"/>
      <c r="X11" s="25">
        <f>'2120 Depr Summary'!F8</f>
        <v>44562</v>
      </c>
      <c r="Y11" s="25">
        <f>+B3</f>
        <v>44926</v>
      </c>
      <c r="Z11" s="12" t="s">
        <v>60</v>
      </c>
      <c r="AA11" s="26">
        <f>+X11</f>
        <v>44562</v>
      </c>
      <c r="AB11" s="26">
        <f>+B3</f>
        <v>44926</v>
      </c>
      <c r="AC11" s="26">
        <f>+B3</f>
        <v>44926</v>
      </c>
    </row>
    <row r="12" spans="1:247">
      <c r="A12" s="1">
        <v>1</v>
      </c>
      <c r="B12" s="1">
        <v>18</v>
      </c>
      <c r="C12" s="1" t="s">
        <v>90</v>
      </c>
      <c r="D12" s="27" t="s">
        <v>91</v>
      </c>
      <c r="E12" s="10">
        <v>1995</v>
      </c>
      <c r="F12" s="1">
        <v>6</v>
      </c>
      <c r="G12" s="28">
        <v>0</v>
      </c>
      <c r="H12" s="10"/>
      <c r="I12" s="10" t="s">
        <v>92</v>
      </c>
      <c r="J12" s="10">
        <v>5</v>
      </c>
      <c r="K12" s="14">
        <f t="shared" ref="K12:K31" si="0">E12+J12</f>
        <v>2000</v>
      </c>
      <c r="N12" s="29"/>
      <c r="O12" s="29">
        <v>0</v>
      </c>
      <c r="P12" s="30">
        <f t="shared" ref="P12:P30" si="1">N12-N12*G12</f>
        <v>0</v>
      </c>
      <c r="Q12" s="30">
        <f t="shared" ref="Q12:Q30" si="2">P12/J12/12</f>
        <v>0</v>
      </c>
      <c r="R12" s="30">
        <f t="shared" ref="R12:R30" si="3">IF(O12&gt;0,0,IF(OR(AD12&gt;AE12,AF12&lt;AG12),0,IF(AND(AF12&gt;=AG12,AF12&lt;=AE12),Q12*((AF12-AG12)*12),IF(AND(AG12&lt;=AD12,AE12&gt;=AD12),((AE12-AD12)*12)*Q12,IF(AF12&gt;AE12,12*Q12,0)))))</f>
        <v>0</v>
      </c>
      <c r="S12" s="30"/>
      <c r="T12" s="30">
        <f t="shared" ref="T12:T30" si="4">IF(S12&gt;0,S12,R12)</f>
        <v>0</v>
      </c>
      <c r="U12" s="30">
        <v>1</v>
      </c>
      <c r="V12" s="30">
        <f t="shared" ref="V12:V30" si="5">U12*SUM(R12:S12)</f>
        <v>0</v>
      </c>
      <c r="W12" s="30"/>
      <c r="X12" s="30">
        <f t="shared" ref="X12:X30" si="6">IF(AD12&gt;AE12,0,IF(AF12&lt;AG12,P12,IF(AND(AF12&gt;=AG12,AF12&lt;=AE12),(P12-T12),IF(AND(AG12&lt;=AD12,AE12&gt;=AD12),0,IF(AF12&gt;AE12,((AG12-AD12)*12)*Q12,0)))))</f>
        <v>0</v>
      </c>
      <c r="Y12" s="30">
        <f t="shared" ref="Y12:Y30" si="7">X12*U12</f>
        <v>0</v>
      </c>
      <c r="Z12" s="30">
        <v>1</v>
      </c>
      <c r="AA12" s="30">
        <f t="shared" ref="AA12:AA30" si="8">Y12*Z12</f>
        <v>0</v>
      </c>
      <c r="AB12" s="30">
        <f t="shared" ref="AB12:AB30" si="9">IF(O12&gt;0,0,AA12+V12*Z12)*Z12</f>
        <v>0</v>
      </c>
      <c r="AC12" s="30">
        <f t="shared" ref="AC12:AC30" si="10">IF(O12&gt;0,(N12-AA12)/2,IF(AD12&gt;=AG12,(((N12*U12)*Z12)-AB12)/2,((((N12*U12)*Z12)-AA12)+(((N12*U12)*Z12)-AB12))/2))</f>
        <v>0</v>
      </c>
      <c r="AD12" s="6">
        <f t="shared" ref="AD12:AD31" si="11">$E12+(($F12-1)/12)</f>
        <v>1995.4166666666667</v>
      </c>
      <c r="AE12" s="6">
        <f t="shared" ref="AE12:AE53" si="12">($P$5+1)-($P$2/12)</f>
        <v>2017.6666666666667</v>
      </c>
      <c r="AF12" s="6">
        <f t="shared" ref="AF12:AF31" si="13">$K12+(($F12-1)/12)</f>
        <v>2000.4166666666667</v>
      </c>
      <c r="AG12" s="6">
        <f t="shared" ref="AG12:AG53" si="14">$P$4+($P$3/12)</f>
        <v>2016.6666666666667</v>
      </c>
      <c r="AH12" s="6">
        <f t="shared" ref="AH12:AH31" si="15">$L12+(($M12-1)/12)</f>
        <v>-8.3333333333333329E-2</v>
      </c>
      <c r="IM12" s="1">
        <f>SUM(B12:IL12)</f>
        <v>12056.083333333332</v>
      </c>
    </row>
    <row r="13" spans="1:247">
      <c r="A13" s="1">
        <v>1</v>
      </c>
      <c r="B13" s="1">
        <v>15</v>
      </c>
      <c r="C13" s="1" t="s">
        <v>90</v>
      </c>
      <c r="D13" s="27" t="s">
        <v>93</v>
      </c>
      <c r="E13" s="10">
        <v>1997</v>
      </c>
      <c r="F13" s="1">
        <v>3</v>
      </c>
      <c r="G13" s="28">
        <v>0.2</v>
      </c>
      <c r="H13" s="10"/>
      <c r="I13" s="10" t="s">
        <v>92</v>
      </c>
      <c r="J13" s="10">
        <v>7</v>
      </c>
      <c r="K13" s="14">
        <f t="shared" si="0"/>
        <v>2004</v>
      </c>
      <c r="N13" s="29">
        <v>1580</v>
      </c>
      <c r="O13" s="29">
        <v>0</v>
      </c>
      <c r="P13" s="30">
        <f t="shared" si="1"/>
        <v>1264</v>
      </c>
      <c r="Q13" s="30">
        <f t="shared" si="2"/>
        <v>15.047619047619049</v>
      </c>
      <c r="R13" s="30">
        <f t="shared" si="3"/>
        <v>0</v>
      </c>
      <c r="S13" s="30"/>
      <c r="T13" s="30">
        <f t="shared" si="4"/>
        <v>0</v>
      </c>
      <c r="U13" s="30">
        <v>1</v>
      </c>
      <c r="V13" s="30">
        <f t="shared" si="5"/>
        <v>0</v>
      </c>
      <c r="W13" s="30"/>
      <c r="X13" s="30">
        <f t="shared" si="6"/>
        <v>1264</v>
      </c>
      <c r="Y13" s="30">
        <f t="shared" si="7"/>
        <v>1264</v>
      </c>
      <c r="Z13" s="30">
        <v>1</v>
      </c>
      <c r="AA13" s="30">
        <f t="shared" si="8"/>
        <v>1264</v>
      </c>
      <c r="AB13" s="30">
        <f t="shared" si="9"/>
        <v>1264</v>
      </c>
      <c r="AC13" s="30">
        <f t="shared" si="10"/>
        <v>316</v>
      </c>
      <c r="AD13" s="6">
        <f t="shared" si="11"/>
        <v>1997.1666666666667</v>
      </c>
      <c r="AE13" s="6">
        <f t="shared" si="12"/>
        <v>2017.6666666666667</v>
      </c>
      <c r="AF13" s="6">
        <f t="shared" si="13"/>
        <v>2004.1666666666667</v>
      </c>
      <c r="AG13" s="6">
        <f t="shared" si="14"/>
        <v>2016.6666666666667</v>
      </c>
      <c r="AH13" s="6">
        <f t="shared" si="15"/>
        <v>-8.3333333333333329E-2</v>
      </c>
    </row>
    <row r="14" spans="1:247">
      <c r="C14" s="1" t="s">
        <v>94</v>
      </c>
      <c r="D14" s="27" t="s">
        <v>95</v>
      </c>
      <c r="E14" s="10">
        <v>2001</v>
      </c>
      <c r="F14" s="1">
        <v>1</v>
      </c>
      <c r="G14" s="28">
        <v>0</v>
      </c>
      <c r="H14" s="10"/>
      <c r="I14" s="10" t="s">
        <v>92</v>
      </c>
      <c r="J14" s="10">
        <v>7</v>
      </c>
      <c r="K14" s="14">
        <f t="shared" si="0"/>
        <v>2008</v>
      </c>
      <c r="N14" s="29">
        <v>2788.98</v>
      </c>
      <c r="O14" s="29">
        <v>0</v>
      </c>
      <c r="P14" s="30">
        <f t="shared" si="1"/>
        <v>2788.98</v>
      </c>
      <c r="Q14" s="30">
        <f t="shared" si="2"/>
        <v>33.202142857142853</v>
      </c>
      <c r="R14" s="30">
        <f t="shared" si="3"/>
        <v>0</v>
      </c>
      <c r="S14" s="30"/>
      <c r="T14" s="30">
        <f t="shared" si="4"/>
        <v>0</v>
      </c>
      <c r="U14" s="30">
        <v>1</v>
      </c>
      <c r="V14" s="30">
        <f t="shared" si="5"/>
        <v>0</v>
      </c>
      <c r="W14" s="30"/>
      <c r="X14" s="30">
        <f t="shared" si="6"/>
        <v>2788.98</v>
      </c>
      <c r="Y14" s="30">
        <f t="shared" si="7"/>
        <v>2788.98</v>
      </c>
      <c r="Z14" s="30">
        <v>1</v>
      </c>
      <c r="AA14" s="30">
        <f t="shared" si="8"/>
        <v>2788.98</v>
      </c>
      <c r="AB14" s="30">
        <f t="shared" si="9"/>
        <v>2788.98</v>
      </c>
      <c r="AC14" s="30">
        <f t="shared" si="10"/>
        <v>0</v>
      </c>
      <c r="AD14" s="6">
        <f t="shared" si="11"/>
        <v>2001</v>
      </c>
      <c r="AE14" s="6">
        <f t="shared" si="12"/>
        <v>2017.6666666666667</v>
      </c>
      <c r="AF14" s="6">
        <f t="shared" si="13"/>
        <v>2008</v>
      </c>
      <c r="AG14" s="6">
        <f t="shared" si="14"/>
        <v>2016.6666666666667</v>
      </c>
      <c r="AH14" s="6">
        <f t="shared" si="15"/>
        <v>-8.3333333333333329E-2</v>
      </c>
    </row>
    <row r="15" spans="1:247">
      <c r="A15" s="1">
        <v>1</v>
      </c>
      <c r="B15" s="1">
        <v>74</v>
      </c>
      <c r="C15" s="1" t="s">
        <v>96</v>
      </c>
      <c r="D15" s="27" t="s">
        <v>97</v>
      </c>
      <c r="E15" s="10">
        <v>2002</v>
      </c>
      <c r="F15" s="1">
        <v>9</v>
      </c>
      <c r="G15" s="28">
        <v>0.2</v>
      </c>
      <c r="H15" s="10"/>
      <c r="I15" s="10" t="s">
        <v>92</v>
      </c>
      <c r="J15" s="10">
        <v>7</v>
      </c>
      <c r="K15" s="14">
        <f t="shared" si="0"/>
        <v>2009</v>
      </c>
      <c r="N15" s="29">
        <f>50488+49668</f>
        <v>100156</v>
      </c>
      <c r="O15" s="29">
        <v>0</v>
      </c>
      <c r="P15" s="30">
        <f t="shared" si="1"/>
        <v>80124.800000000003</v>
      </c>
      <c r="Q15" s="30">
        <f t="shared" si="2"/>
        <v>953.86666666666667</v>
      </c>
      <c r="R15" s="30">
        <f t="shared" si="3"/>
        <v>0</v>
      </c>
      <c r="S15" s="30"/>
      <c r="T15" s="30">
        <f t="shared" si="4"/>
        <v>0</v>
      </c>
      <c r="U15" s="30">
        <v>1</v>
      </c>
      <c r="V15" s="30">
        <f t="shared" si="5"/>
        <v>0</v>
      </c>
      <c r="W15" s="30"/>
      <c r="X15" s="30">
        <f t="shared" si="6"/>
        <v>80124.800000000003</v>
      </c>
      <c r="Y15" s="30">
        <f t="shared" si="7"/>
        <v>80124.800000000003</v>
      </c>
      <c r="Z15" s="30">
        <v>1</v>
      </c>
      <c r="AA15" s="30">
        <f t="shared" si="8"/>
        <v>80124.800000000003</v>
      </c>
      <c r="AB15" s="30">
        <f t="shared" si="9"/>
        <v>80124.800000000003</v>
      </c>
      <c r="AC15" s="30">
        <f t="shared" si="10"/>
        <v>20031.199999999997</v>
      </c>
      <c r="AD15" s="6">
        <f t="shared" si="11"/>
        <v>2002.6666666666667</v>
      </c>
      <c r="AE15" s="6">
        <f t="shared" si="12"/>
        <v>2017.6666666666667</v>
      </c>
      <c r="AF15" s="6">
        <f t="shared" si="13"/>
        <v>2009.6666666666667</v>
      </c>
      <c r="AG15" s="6">
        <f t="shared" si="14"/>
        <v>2016.6666666666667</v>
      </c>
      <c r="AH15" s="6">
        <f t="shared" si="15"/>
        <v>-8.3333333333333329E-2</v>
      </c>
    </row>
    <row r="16" spans="1:247">
      <c r="A16" s="1">
        <v>1</v>
      </c>
      <c r="B16" s="1">
        <v>6</v>
      </c>
      <c r="C16" s="1" t="s">
        <v>96</v>
      </c>
      <c r="D16" s="27" t="s">
        <v>97</v>
      </c>
      <c r="E16" s="10">
        <v>2003</v>
      </c>
      <c r="F16" s="1">
        <v>6</v>
      </c>
      <c r="G16" s="28">
        <v>0.2</v>
      </c>
      <c r="H16" s="10"/>
      <c r="I16" s="10" t="s">
        <v>92</v>
      </c>
      <c r="J16" s="10">
        <v>7</v>
      </c>
      <c r="K16" s="14">
        <f t="shared" si="0"/>
        <v>2010</v>
      </c>
      <c r="N16" s="29">
        <v>95000</v>
      </c>
      <c r="O16" s="29">
        <v>0</v>
      </c>
      <c r="P16" s="30">
        <f t="shared" si="1"/>
        <v>76000</v>
      </c>
      <c r="Q16" s="30">
        <f t="shared" si="2"/>
        <v>904.7619047619047</v>
      </c>
      <c r="R16" s="30">
        <f t="shared" si="3"/>
        <v>0</v>
      </c>
      <c r="S16" s="30"/>
      <c r="T16" s="30">
        <f t="shared" si="4"/>
        <v>0</v>
      </c>
      <c r="U16" s="30">
        <v>1</v>
      </c>
      <c r="V16" s="30">
        <f t="shared" si="5"/>
        <v>0</v>
      </c>
      <c r="W16" s="30"/>
      <c r="X16" s="30">
        <f t="shared" si="6"/>
        <v>76000</v>
      </c>
      <c r="Y16" s="30">
        <f t="shared" si="7"/>
        <v>76000</v>
      </c>
      <c r="Z16" s="30">
        <v>1</v>
      </c>
      <c r="AA16" s="30">
        <f t="shared" si="8"/>
        <v>76000</v>
      </c>
      <c r="AB16" s="30">
        <f t="shared" si="9"/>
        <v>76000</v>
      </c>
      <c r="AC16" s="30">
        <f t="shared" si="10"/>
        <v>19000</v>
      </c>
      <c r="AD16" s="6">
        <f t="shared" si="11"/>
        <v>2003.4166666666667</v>
      </c>
      <c r="AE16" s="6">
        <f t="shared" si="12"/>
        <v>2017.6666666666667</v>
      </c>
      <c r="AF16" s="6">
        <f t="shared" si="13"/>
        <v>2010.4166666666667</v>
      </c>
      <c r="AG16" s="6">
        <f t="shared" si="14"/>
        <v>2016.6666666666667</v>
      </c>
      <c r="AH16" s="6">
        <f t="shared" si="15"/>
        <v>-8.3333333333333329E-2</v>
      </c>
    </row>
    <row r="17" spans="1:34">
      <c r="A17" s="1">
        <v>1</v>
      </c>
      <c r="B17" s="1">
        <v>67</v>
      </c>
      <c r="C17" s="1" t="s">
        <v>98</v>
      </c>
      <c r="D17" s="27" t="s">
        <v>99</v>
      </c>
      <c r="E17" s="10">
        <v>2003</v>
      </c>
      <c r="F17" s="1">
        <v>8</v>
      </c>
      <c r="G17" s="28">
        <v>0.2</v>
      </c>
      <c r="H17" s="10"/>
      <c r="I17" s="10" t="s">
        <v>92</v>
      </c>
      <c r="J17" s="10">
        <v>7</v>
      </c>
      <c r="K17" s="14">
        <f t="shared" si="0"/>
        <v>2010</v>
      </c>
      <c r="N17" s="29">
        <f>52689+37380</f>
        <v>90069</v>
      </c>
      <c r="O17" s="29">
        <v>0</v>
      </c>
      <c r="P17" s="30">
        <f t="shared" si="1"/>
        <v>72055.199999999997</v>
      </c>
      <c r="Q17" s="30">
        <f t="shared" si="2"/>
        <v>857.80000000000007</v>
      </c>
      <c r="R17" s="30">
        <f t="shared" si="3"/>
        <v>0</v>
      </c>
      <c r="S17" s="30"/>
      <c r="T17" s="30">
        <f t="shared" si="4"/>
        <v>0</v>
      </c>
      <c r="U17" s="30">
        <v>1</v>
      </c>
      <c r="V17" s="30">
        <f t="shared" si="5"/>
        <v>0</v>
      </c>
      <c r="W17" s="30"/>
      <c r="X17" s="30">
        <f t="shared" si="6"/>
        <v>72055.199999999997</v>
      </c>
      <c r="Y17" s="30">
        <f t="shared" si="7"/>
        <v>72055.199999999997</v>
      </c>
      <c r="Z17" s="30">
        <v>1</v>
      </c>
      <c r="AA17" s="30">
        <f t="shared" si="8"/>
        <v>72055.199999999997</v>
      </c>
      <c r="AB17" s="30">
        <f t="shared" si="9"/>
        <v>72055.199999999997</v>
      </c>
      <c r="AC17" s="30">
        <f t="shared" si="10"/>
        <v>18013.800000000003</v>
      </c>
      <c r="AD17" s="6">
        <f t="shared" si="11"/>
        <v>2003.5833333333333</v>
      </c>
      <c r="AE17" s="6">
        <f t="shared" si="12"/>
        <v>2017.6666666666667</v>
      </c>
      <c r="AF17" s="6">
        <f t="shared" si="13"/>
        <v>2010.5833333333333</v>
      </c>
      <c r="AG17" s="6">
        <f t="shared" si="14"/>
        <v>2016.6666666666667</v>
      </c>
      <c r="AH17" s="6">
        <f t="shared" si="15"/>
        <v>-8.3333333333333329E-2</v>
      </c>
    </row>
    <row r="18" spans="1:34">
      <c r="A18" s="1">
        <v>1</v>
      </c>
      <c r="B18" s="1">
        <v>5</v>
      </c>
      <c r="C18" s="1" t="s">
        <v>96</v>
      </c>
      <c r="D18" s="27" t="s">
        <v>100</v>
      </c>
      <c r="E18" s="10">
        <v>2004</v>
      </c>
      <c r="F18" s="1">
        <v>3</v>
      </c>
      <c r="G18" s="28">
        <v>0.2</v>
      </c>
      <c r="H18" s="10"/>
      <c r="I18" s="10" t="s">
        <v>92</v>
      </c>
      <c r="J18" s="10">
        <v>7</v>
      </c>
      <c r="K18" s="14">
        <f t="shared" si="0"/>
        <v>2011</v>
      </c>
      <c r="N18" s="29">
        <v>95000</v>
      </c>
      <c r="O18" s="29">
        <v>0</v>
      </c>
      <c r="P18" s="30">
        <f t="shared" si="1"/>
        <v>76000</v>
      </c>
      <c r="Q18" s="30">
        <f t="shared" si="2"/>
        <v>904.7619047619047</v>
      </c>
      <c r="R18" s="30">
        <f t="shared" si="3"/>
        <v>0</v>
      </c>
      <c r="S18" s="30"/>
      <c r="T18" s="30">
        <f t="shared" si="4"/>
        <v>0</v>
      </c>
      <c r="U18" s="30">
        <v>1</v>
      </c>
      <c r="V18" s="30">
        <f t="shared" si="5"/>
        <v>0</v>
      </c>
      <c r="W18" s="30"/>
      <c r="X18" s="30">
        <f t="shared" si="6"/>
        <v>76000</v>
      </c>
      <c r="Y18" s="30">
        <f t="shared" si="7"/>
        <v>76000</v>
      </c>
      <c r="Z18" s="30">
        <v>1</v>
      </c>
      <c r="AA18" s="30">
        <f t="shared" si="8"/>
        <v>76000</v>
      </c>
      <c r="AB18" s="30">
        <f t="shared" si="9"/>
        <v>76000</v>
      </c>
      <c r="AC18" s="30">
        <f t="shared" si="10"/>
        <v>19000</v>
      </c>
      <c r="AD18" s="6">
        <f t="shared" si="11"/>
        <v>2004.1666666666667</v>
      </c>
      <c r="AE18" s="6">
        <f t="shared" si="12"/>
        <v>2017.6666666666667</v>
      </c>
      <c r="AF18" s="6">
        <f t="shared" si="13"/>
        <v>2011.1666666666667</v>
      </c>
      <c r="AG18" s="6">
        <f t="shared" si="14"/>
        <v>2016.6666666666667</v>
      </c>
      <c r="AH18" s="6">
        <f t="shared" si="15"/>
        <v>-8.3333333333333329E-2</v>
      </c>
    </row>
    <row r="19" spans="1:34">
      <c r="A19" s="1">
        <v>1</v>
      </c>
      <c r="B19" s="1">
        <v>67</v>
      </c>
      <c r="C19" s="10" t="s">
        <v>101</v>
      </c>
      <c r="D19" s="27" t="s">
        <v>102</v>
      </c>
      <c r="E19" s="10">
        <v>2007</v>
      </c>
      <c r="F19" s="1">
        <v>7</v>
      </c>
      <c r="G19" s="28"/>
      <c r="H19" s="10"/>
      <c r="I19" s="10" t="s">
        <v>92</v>
      </c>
      <c r="J19" s="10">
        <v>3</v>
      </c>
      <c r="K19" s="14">
        <f t="shared" si="0"/>
        <v>2010</v>
      </c>
      <c r="N19" s="29">
        <v>7423</v>
      </c>
      <c r="O19" s="29">
        <v>0</v>
      </c>
      <c r="P19" s="30">
        <f t="shared" si="1"/>
        <v>7423</v>
      </c>
      <c r="Q19" s="30">
        <f t="shared" si="2"/>
        <v>206.19444444444446</v>
      </c>
      <c r="R19" s="30">
        <f t="shared" si="3"/>
        <v>0</v>
      </c>
      <c r="S19" s="30"/>
      <c r="T19" s="30">
        <f t="shared" si="4"/>
        <v>0</v>
      </c>
      <c r="U19" s="30">
        <v>1</v>
      </c>
      <c r="V19" s="30">
        <f t="shared" si="5"/>
        <v>0</v>
      </c>
      <c r="W19" s="30"/>
      <c r="X19" s="30">
        <f t="shared" si="6"/>
        <v>7423</v>
      </c>
      <c r="Y19" s="30">
        <f t="shared" si="7"/>
        <v>7423</v>
      </c>
      <c r="Z19" s="30">
        <v>1</v>
      </c>
      <c r="AA19" s="30">
        <f t="shared" si="8"/>
        <v>7423</v>
      </c>
      <c r="AB19" s="30">
        <f t="shared" si="9"/>
        <v>7423</v>
      </c>
      <c r="AC19" s="30">
        <f t="shared" si="10"/>
        <v>0</v>
      </c>
      <c r="AD19" s="6">
        <f t="shared" si="11"/>
        <v>2007.5</v>
      </c>
      <c r="AE19" s="6">
        <f t="shared" si="12"/>
        <v>2017.6666666666667</v>
      </c>
      <c r="AF19" s="6">
        <f t="shared" si="13"/>
        <v>2010.5</v>
      </c>
      <c r="AG19" s="6">
        <f t="shared" si="14"/>
        <v>2016.6666666666667</v>
      </c>
      <c r="AH19" s="6">
        <f t="shared" si="15"/>
        <v>-8.3333333333333329E-2</v>
      </c>
    </row>
    <row r="20" spans="1:34">
      <c r="A20" s="1">
        <v>1</v>
      </c>
      <c r="B20" s="1">
        <v>8</v>
      </c>
      <c r="C20" s="1" t="s">
        <v>103</v>
      </c>
      <c r="D20" s="27" t="s">
        <v>104</v>
      </c>
      <c r="E20" s="10">
        <v>2008</v>
      </c>
      <c r="F20" s="1">
        <v>8</v>
      </c>
      <c r="G20" s="28">
        <v>0.2</v>
      </c>
      <c r="H20" s="10"/>
      <c r="I20" s="10" t="s">
        <v>92</v>
      </c>
      <c r="J20" s="10">
        <v>7</v>
      </c>
      <c r="K20" s="14">
        <f>E20+J20</f>
        <v>2015</v>
      </c>
      <c r="N20" s="29">
        <v>172924.95</v>
      </c>
      <c r="O20" s="29">
        <v>0</v>
      </c>
      <c r="P20" s="30">
        <f>N20-N20*G20</f>
        <v>138339.96000000002</v>
      </c>
      <c r="Q20" s="30">
        <f>P20/J20/12</f>
        <v>1646.9042857142858</v>
      </c>
      <c r="R20" s="30">
        <f>IF(O20&gt;0,0,IF(OR(AD20&gt;AE20,AF20&lt;AG20),0,IF(AND(AF20&gt;=AG20,AF20&lt;=AE20),Q20*((AF20-AG20)*12),IF(AND(AG20&lt;=AD20,AE20&gt;=AD20),((AE20-AD20)*12)*Q20,IF(AF20&gt;AE20,12*Q20,0)))))</f>
        <v>0</v>
      </c>
      <c r="S20" s="30"/>
      <c r="T20" s="30">
        <f>IF(S20&gt;0,S20,R20)</f>
        <v>0</v>
      </c>
      <c r="U20" s="30">
        <v>1</v>
      </c>
      <c r="V20" s="30">
        <f>U20*SUM(R20:S20)</f>
        <v>0</v>
      </c>
      <c r="W20" s="30"/>
      <c r="X20" s="30">
        <f>IF(AD20&gt;AE20,0,IF(AF20&lt;AG20,P20,IF(AND(AF20&gt;=AG20,AF20&lt;=AE20),(P20-T20),IF(AND(AG20&lt;=AD20,AE20&gt;=AD20),0,IF(AF20&gt;AE20,((AG20-AD20)*12)*Q20,0)))))</f>
        <v>138339.96000000002</v>
      </c>
      <c r="Y20" s="30">
        <f>X20*U20</f>
        <v>138339.96000000002</v>
      </c>
      <c r="Z20" s="30">
        <v>1</v>
      </c>
      <c r="AA20" s="30">
        <f>Y20*Z20</f>
        <v>138339.96000000002</v>
      </c>
      <c r="AB20" s="30">
        <f>IF(O20&gt;0,0,AA20+V20*Z20)*Z20</f>
        <v>138339.96000000002</v>
      </c>
      <c r="AC20" s="30">
        <f>IF(O20&gt;0,(N20-AA20)/2,IF(AD20&gt;=AG20,(((N20*U20)*Z20)-AB20)/2,((((N20*U20)*Z20)-AA20)+(((N20*U20)*Z20)-AB20))/2))</f>
        <v>34584.989999999991</v>
      </c>
      <c r="AD20" s="6">
        <f>$E20+(($F20-1)/12)</f>
        <v>2008.5833333333333</v>
      </c>
      <c r="AE20" s="6">
        <f t="shared" si="12"/>
        <v>2017.6666666666667</v>
      </c>
      <c r="AF20" s="6">
        <f>$K20+(($F20-1)/12)</f>
        <v>2015.5833333333333</v>
      </c>
      <c r="AG20" s="6">
        <f t="shared" si="14"/>
        <v>2016.6666666666667</v>
      </c>
      <c r="AH20" s="6">
        <f>$L20+(($M20-1)/12)</f>
        <v>-8.3333333333333329E-2</v>
      </c>
    </row>
    <row r="21" spans="1:34">
      <c r="B21" s="1">
        <v>10</v>
      </c>
      <c r="C21" s="1" t="s">
        <v>103</v>
      </c>
      <c r="D21" s="27" t="s">
        <v>105</v>
      </c>
      <c r="E21" s="10">
        <v>2009</v>
      </c>
      <c r="F21" s="1">
        <v>12</v>
      </c>
      <c r="G21" s="28">
        <v>0.2</v>
      </c>
      <c r="H21" s="10"/>
      <c r="I21" s="10" t="s">
        <v>92</v>
      </c>
      <c r="J21" s="10">
        <v>7</v>
      </c>
      <c r="K21" s="14">
        <f t="shared" si="0"/>
        <v>2016</v>
      </c>
      <c r="N21" s="29">
        <v>185728.34</v>
      </c>
      <c r="O21" s="29">
        <v>0</v>
      </c>
      <c r="P21" s="30">
        <f t="shared" si="1"/>
        <v>148582.67199999999</v>
      </c>
      <c r="Q21" s="30">
        <f t="shared" si="2"/>
        <v>1768.8413333333331</v>
      </c>
      <c r="R21" s="30">
        <f t="shared" si="3"/>
        <v>5306.5239999999994</v>
      </c>
      <c r="S21" s="30"/>
      <c r="T21" s="30">
        <f t="shared" si="4"/>
        <v>5306.5239999999994</v>
      </c>
      <c r="U21" s="30">
        <v>1</v>
      </c>
      <c r="V21" s="30">
        <f t="shared" si="5"/>
        <v>5306.5239999999994</v>
      </c>
      <c r="W21" s="30"/>
      <c r="X21" s="30">
        <f t="shared" si="6"/>
        <v>143276.14799999999</v>
      </c>
      <c r="Y21" s="30">
        <f t="shared" si="7"/>
        <v>143276.14799999999</v>
      </c>
      <c r="Z21" s="30">
        <v>1</v>
      </c>
      <c r="AA21" s="30">
        <f t="shared" si="8"/>
        <v>143276.14799999999</v>
      </c>
      <c r="AB21" s="30">
        <f t="shared" si="9"/>
        <v>148582.67199999999</v>
      </c>
      <c r="AC21" s="30">
        <f t="shared" si="10"/>
        <v>39798.930000000008</v>
      </c>
      <c r="AD21" s="6">
        <f t="shared" si="11"/>
        <v>2009.9166666666667</v>
      </c>
      <c r="AE21" s="6">
        <f t="shared" si="12"/>
        <v>2017.6666666666667</v>
      </c>
      <c r="AF21" s="6">
        <f t="shared" si="13"/>
        <v>2016.9166666666667</v>
      </c>
      <c r="AG21" s="6">
        <f t="shared" si="14"/>
        <v>2016.6666666666667</v>
      </c>
      <c r="AH21" s="6">
        <f t="shared" si="15"/>
        <v>-8.3333333333333329E-2</v>
      </c>
    </row>
    <row r="22" spans="1:34">
      <c r="B22" s="1">
        <v>10</v>
      </c>
      <c r="C22" s="1" t="s">
        <v>106</v>
      </c>
      <c r="D22" s="27" t="s">
        <v>107</v>
      </c>
      <c r="E22" s="10">
        <v>2010</v>
      </c>
      <c r="F22" s="1">
        <v>1</v>
      </c>
      <c r="G22" s="28">
        <v>0.2</v>
      </c>
      <c r="H22" s="10"/>
      <c r="I22" s="10" t="s">
        <v>92</v>
      </c>
      <c r="J22" s="10">
        <v>7</v>
      </c>
      <c r="K22" s="14">
        <f t="shared" si="0"/>
        <v>2017</v>
      </c>
      <c r="N22" s="29">
        <v>13204.61</v>
      </c>
      <c r="O22" s="29">
        <v>0</v>
      </c>
      <c r="P22" s="30">
        <f t="shared" si="1"/>
        <v>10563.688</v>
      </c>
      <c r="Q22" s="30">
        <f t="shared" si="2"/>
        <v>125.75819047619048</v>
      </c>
      <c r="R22" s="30">
        <f t="shared" si="3"/>
        <v>503.03276190464754</v>
      </c>
      <c r="S22" s="30"/>
      <c r="T22" s="30">
        <f t="shared" si="4"/>
        <v>503.03276190464754</v>
      </c>
      <c r="U22" s="30">
        <v>1</v>
      </c>
      <c r="V22" s="30">
        <f t="shared" si="5"/>
        <v>503.03276190464754</v>
      </c>
      <c r="W22" s="30"/>
      <c r="X22" s="30">
        <f t="shared" si="6"/>
        <v>10060.655238095353</v>
      </c>
      <c r="Y22" s="30">
        <f t="shared" si="7"/>
        <v>10060.655238095353</v>
      </c>
      <c r="Z22" s="30">
        <v>1</v>
      </c>
      <c r="AA22" s="30">
        <f t="shared" si="8"/>
        <v>10060.655238095353</v>
      </c>
      <c r="AB22" s="30">
        <f t="shared" si="9"/>
        <v>10563.688</v>
      </c>
      <c r="AC22" s="30">
        <f t="shared" si="10"/>
        <v>2892.4383809523242</v>
      </c>
      <c r="AD22" s="6">
        <f t="shared" si="11"/>
        <v>2010</v>
      </c>
      <c r="AE22" s="6">
        <f t="shared" si="12"/>
        <v>2017.6666666666667</v>
      </c>
      <c r="AF22" s="6">
        <f t="shared" si="13"/>
        <v>2017</v>
      </c>
      <c r="AG22" s="6">
        <f t="shared" si="14"/>
        <v>2016.6666666666667</v>
      </c>
      <c r="AH22" s="6">
        <f t="shared" si="15"/>
        <v>-8.3333333333333329E-2</v>
      </c>
    </row>
    <row r="23" spans="1:34">
      <c r="A23" s="1">
        <v>1</v>
      </c>
      <c r="D23" s="27" t="s">
        <v>108</v>
      </c>
      <c r="E23" s="10">
        <v>2010</v>
      </c>
      <c r="F23" s="1">
        <v>8</v>
      </c>
      <c r="G23" s="28">
        <v>0.2</v>
      </c>
      <c r="H23" s="10"/>
      <c r="I23" s="10" t="s">
        <v>92</v>
      </c>
      <c r="J23" s="10">
        <v>7</v>
      </c>
      <c r="K23" s="14">
        <f t="shared" si="0"/>
        <v>2017</v>
      </c>
      <c r="N23" s="29">
        <f>14237.59</f>
        <v>14237.59</v>
      </c>
      <c r="O23" s="29">
        <v>0</v>
      </c>
      <c r="P23" s="30">
        <f t="shared" si="1"/>
        <v>11390.072</v>
      </c>
      <c r="Q23" s="30">
        <f t="shared" si="2"/>
        <v>135.59609523809524</v>
      </c>
      <c r="R23" s="30">
        <f t="shared" si="3"/>
        <v>1491.5570476188011</v>
      </c>
      <c r="S23" s="30"/>
      <c r="T23" s="30">
        <f t="shared" si="4"/>
        <v>1491.5570476188011</v>
      </c>
      <c r="U23" s="30">
        <v>1</v>
      </c>
      <c r="V23" s="30">
        <f t="shared" si="5"/>
        <v>1491.5570476188011</v>
      </c>
      <c r="W23" s="30"/>
      <c r="X23" s="30">
        <f t="shared" si="6"/>
        <v>9898.5149523811997</v>
      </c>
      <c r="Y23" s="30">
        <f t="shared" si="7"/>
        <v>9898.5149523811997</v>
      </c>
      <c r="Z23" s="30">
        <v>1</v>
      </c>
      <c r="AA23" s="30">
        <f t="shared" si="8"/>
        <v>9898.5149523811997</v>
      </c>
      <c r="AB23" s="30">
        <f t="shared" si="9"/>
        <v>11390.072</v>
      </c>
      <c r="AC23" s="30">
        <f t="shared" si="10"/>
        <v>3593.2965238094002</v>
      </c>
      <c r="AD23" s="6">
        <f t="shared" si="11"/>
        <v>2010.5833333333333</v>
      </c>
      <c r="AE23" s="6">
        <f t="shared" si="12"/>
        <v>2017.6666666666667</v>
      </c>
      <c r="AF23" s="6">
        <f t="shared" si="13"/>
        <v>2017.5833333333333</v>
      </c>
      <c r="AG23" s="6">
        <f t="shared" si="14"/>
        <v>2016.6666666666667</v>
      </c>
      <c r="AH23" s="6">
        <f t="shared" si="15"/>
        <v>-8.3333333333333329E-2</v>
      </c>
    </row>
    <row r="24" spans="1:34">
      <c r="A24" s="1">
        <v>1</v>
      </c>
      <c r="B24" s="1">
        <v>1</v>
      </c>
      <c r="C24" s="1" t="s">
        <v>109</v>
      </c>
      <c r="D24" s="27" t="s">
        <v>110</v>
      </c>
      <c r="E24" s="10">
        <v>2011</v>
      </c>
      <c r="F24" s="1">
        <v>9</v>
      </c>
      <c r="G24" s="28">
        <v>0.2</v>
      </c>
      <c r="H24" s="10"/>
      <c r="I24" s="10" t="s">
        <v>92</v>
      </c>
      <c r="J24" s="10">
        <v>7</v>
      </c>
      <c r="K24" s="14">
        <f t="shared" si="0"/>
        <v>2018</v>
      </c>
      <c r="N24" s="29">
        <f>66816.15+60443.84</f>
        <v>127259.98999999999</v>
      </c>
      <c r="O24" s="29">
        <v>0</v>
      </c>
      <c r="P24" s="30">
        <f t="shared" si="1"/>
        <v>101807.992</v>
      </c>
      <c r="Q24" s="30">
        <f t="shared" si="2"/>
        <v>1211.9999047619046</v>
      </c>
      <c r="R24" s="30">
        <f t="shared" si="3"/>
        <v>14543.998857142855</v>
      </c>
      <c r="S24" s="30"/>
      <c r="T24" s="30">
        <f t="shared" si="4"/>
        <v>14543.998857142855</v>
      </c>
      <c r="U24" s="30">
        <v>1</v>
      </c>
      <c r="V24" s="30">
        <f t="shared" si="5"/>
        <v>14543.998857142855</v>
      </c>
      <c r="W24" s="30"/>
      <c r="X24" s="30">
        <f t="shared" si="6"/>
        <v>72719.994285714274</v>
      </c>
      <c r="Y24" s="30">
        <f t="shared" si="7"/>
        <v>72719.994285714274</v>
      </c>
      <c r="Z24" s="30">
        <v>1</v>
      </c>
      <c r="AA24" s="30">
        <f t="shared" si="8"/>
        <v>72719.994285714274</v>
      </c>
      <c r="AB24" s="30">
        <f t="shared" si="9"/>
        <v>87263.993142857129</v>
      </c>
      <c r="AC24" s="30">
        <f t="shared" si="10"/>
        <v>47267.996285714289</v>
      </c>
      <c r="AD24" s="6">
        <f t="shared" si="11"/>
        <v>2011.6666666666667</v>
      </c>
      <c r="AE24" s="6">
        <f t="shared" si="12"/>
        <v>2017.6666666666667</v>
      </c>
      <c r="AF24" s="6">
        <f t="shared" si="13"/>
        <v>2018.6666666666667</v>
      </c>
      <c r="AG24" s="6">
        <f t="shared" si="14"/>
        <v>2016.6666666666667</v>
      </c>
      <c r="AH24" s="6">
        <f t="shared" si="15"/>
        <v>-8.3333333333333329E-2</v>
      </c>
    </row>
    <row r="25" spans="1:34">
      <c r="A25" s="1">
        <v>1</v>
      </c>
      <c r="B25" s="1">
        <v>11</v>
      </c>
      <c r="C25" s="1" t="s">
        <v>111</v>
      </c>
      <c r="D25" s="27" t="s">
        <v>112</v>
      </c>
      <c r="E25" s="10">
        <v>2012</v>
      </c>
      <c r="F25" s="1">
        <v>7</v>
      </c>
      <c r="G25" s="28">
        <v>0.33</v>
      </c>
      <c r="H25" s="10"/>
      <c r="I25" s="10" t="s">
        <v>92</v>
      </c>
      <c r="J25" s="10">
        <v>5</v>
      </c>
      <c r="K25" s="14">
        <f t="shared" si="0"/>
        <v>2017</v>
      </c>
      <c r="N25" s="29">
        <f>160100+12717+630</f>
        <v>173447</v>
      </c>
      <c r="O25" s="29">
        <v>0</v>
      </c>
      <c r="P25" s="30">
        <f t="shared" si="1"/>
        <v>116209.48999999999</v>
      </c>
      <c r="Q25" s="30">
        <f t="shared" si="2"/>
        <v>1936.8248333333331</v>
      </c>
      <c r="R25" s="30">
        <f t="shared" si="3"/>
        <v>19368.248333331569</v>
      </c>
      <c r="S25" s="30"/>
      <c r="T25" s="30">
        <f t="shared" si="4"/>
        <v>19368.248333331569</v>
      </c>
      <c r="U25" s="30">
        <v>1</v>
      </c>
      <c r="V25" s="30">
        <f t="shared" si="5"/>
        <v>19368.248333331569</v>
      </c>
      <c r="W25" s="30"/>
      <c r="X25" s="30">
        <f t="shared" si="6"/>
        <v>96841.241666668415</v>
      </c>
      <c r="Y25" s="30">
        <f t="shared" si="7"/>
        <v>96841.241666668415</v>
      </c>
      <c r="Z25" s="30">
        <v>1</v>
      </c>
      <c r="AA25" s="30">
        <f t="shared" si="8"/>
        <v>96841.241666668415</v>
      </c>
      <c r="AB25" s="30">
        <f t="shared" si="9"/>
        <v>116209.48999999999</v>
      </c>
      <c r="AC25" s="30">
        <f t="shared" si="10"/>
        <v>66921.634166665797</v>
      </c>
      <c r="AD25" s="6">
        <f t="shared" si="11"/>
        <v>2012.5</v>
      </c>
      <c r="AE25" s="6">
        <f t="shared" si="12"/>
        <v>2017.6666666666667</v>
      </c>
      <c r="AF25" s="6">
        <f t="shared" si="13"/>
        <v>2017.5</v>
      </c>
      <c r="AG25" s="6">
        <f t="shared" si="14"/>
        <v>2016.6666666666667</v>
      </c>
      <c r="AH25" s="6">
        <f t="shared" si="15"/>
        <v>-8.3333333333333329E-2</v>
      </c>
    </row>
    <row r="26" spans="1:34">
      <c r="A26" s="1">
        <v>118506</v>
      </c>
      <c r="B26" s="1">
        <v>11</v>
      </c>
      <c r="C26" s="1" t="s">
        <v>111</v>
      </c>
      <c r="D26" s="27" t="s">
        <v>113</v>
      </c>
      <c r="E26" s="10">
        <v>2014</v>
      </c>
      <c r="F26" s="1">
        <v>11</v>
      </c>
      <c r="G26" s="28" t="s">
        <v>17</v>
      </c>
      <c r="H26" s="10"/>
      <c r="I26" s="10" t="s">
        <v>92</v>
      </c>
      <c r="J26" s="10">
        <v>3</v>
      </c>
      <c r="K26" s="14">
        <f t="shared" si="0"/>
        <v>2017</v>
      </c>
      <c r="N26" s="29">
        <v>18065.71</v>
      </c>
      <c r="O26" s="29">
        <v>0</v>
      </c>
      <c r="P26" s="30">
        <f t="shared" si="1"/>
        <v>18065.71</v>
      </c>
      <c r="Q26" s="30">
        <f t="shared" si="2"/>
        <v>501.82527777777773</v>
      </c>
      <c r="R26" s="30">
        <f t="shared" si="3"/>
        <v>6021.9033333333327</v>
      </c>
      <c r="S26" s="30"/>
      <c r="T26" s="30">
        <f t="shared" si="4"/>
        <v>6021.9033333333327</v>
      </c>
      <c r="U26" s="30">
        <v>1</v>
      </c>
      <c r="V26" s="30">
        <f t="shared" si="5"/>
        <v>6021.9033333333327</v>
      </c>
      <c r="W26" s="30"/>
      <c r="X26" s="30">
        <f t="shared" si="6"/>
        <v>11040.156111112023</v>
      </c>
      <c r="Y26" s="30">
        <f t="shared" si="7"/>
        <v>11040.156111112023</v>
      </c>
      <c r="Z26" s="30">
        <v>1</v>
      </c>
      <c r="AA26" s="30">
        <f t="shared" si="8"/>
        <v>11040.156111112023</v>
      </c>
      <c r="AB26" s="30">
        <f t="shared" si="9"/>
        <v>17062.059444445356</v>
      </c>
      <c r="AC26" s="30">
        <f t="shared" si="10"/>
        <v>4014.6022222213096</v>
      </c>
      <c r="AD26" s="6">
        <f t="shared" si="11"/>
        <v>2014.8333333333333</v>
      </c>
      <c r="AE26" s="6">
        <f t="shared" si="12"/>
        <v>2017.6666666666667</v>
      </c>
      <c r="AF26" s="6">
        <f t="shared" si="13"/>
        <v>2017.8333333333333</v>
      </c>
      <c r="AG26" s="6">
        <f t="shared" si="14"/>
        <v>2016.6666666666667</v>
      </c>
      <c r="AH26" s="6">
        <f t="shared" si="15"/>
        <v>-8.3333333333333329E-2</v>
      </c>
    </row>
    <row r="27" spans="1:34">
      <c r="A27" s="1">
        <v>125547</v>
      </c>
      <c r="B27" s="1">
        <v>14</v>
      </c>
      <c r="C27" s="1" t="s">
        <v>111</v>
      </c>
      <c r="D27" s="27" t="s">
        <v>114</v>
      </c>
      <c r="E27" s="10">
        <v>2015</v>
      </c>
      <c r="F27" s="1">
        <v>9</v>
      </c>
      <c r="G27" s="28">
        <v>0.2</v>
      </c>
      <c r="H27" s="10"/>
      <c r="I27" s="10" t="s">
        <v>92</v>
      </c>
      <c r="J27" s="10">
        <v>7</v>
      </c>
      <c r="K27" s="14">
        <f t="shared" si="0"/>
        <v>2022</v>
      </c>
      <c r="N27" s="29">
        <f>241172.15+342.17</f>
        <v>241514.32</v>
      </c>
      <c r="O27" s="29"/>
      <c r="P27" s="30">
        <f t="shared" si="1"/>
        <v>193211.45600000001</v>
      </c>
      <c r="Q27" s="30">
        <f t="shared" si="2"/>
        <v>2300.1363809523809</v>
      </c>
      <c r="R27" s="30">
        <f t="shared" si="3"/>
        <v>27601.636571428571</v>
      </c>
      <c r="S27" s="30"/>
      <c r="T27" s="30">
        <f t="shared" si="4"/>
        <v>27601.636571428571</v>
      </c>
      <c r="U27" s="30">
        <v>1</v>
      </c>
      <c r="V27" s="30">
        <f t="shared" si="5"/>
        <v>27601.636571428571</v>
      </c>
      <c r="W27" s="30"/>
      <c r="X27" s="30">
        <f t="shared" si="6"/>
        <v>27601.636571428571</v>
      </c>
      <c r="Y27" s="30">
        <f t="shared" si="7"/>
        <v>27601.636571428571</v>
      </c>
      <c r="Z27" s="30">
        <v>1</v>
      </c>
      <c r="AA27" s="30">
        <f t="shared" si="8"/>
        <v>27601.636571428571</v>
      </c>
      <c r="AB27" s="30">
        <f t="shared" si="9"/>
        <v>55203.273142857142</v>
      </c>
      <c r="AC27" s="30">
        <f t="shared" si="10"/>
        <v>200111.86514285716</v>
      </c>
      <c r="AD27" s="6">
        <f t="shared" si="11"/>
        <v>2015.6666666666667</v>
      </c>
      <c r="AE27" s="6">
        <f t="shared" si="12"/>
        <v>2017.6666666666667</v>
      </c>
      <c r="AF27" s="6">
        <f t="shared" si="13"/>
        <v>2022.6666666666667</v>
      </c>
      <c r="AG27" s="6">
        <f t="shared" si="14"/>
        <v>2016.6666666666667</v>
      </c>
      <c r="AH27" s="6">
        <f t="shared" si="15"/>
        <v>-8.3333333333333329E-2</v>
      </c>
    </row>
    <row r="28" spans="1:34">
      <c r="A28" s="1">
        <v>125548</v>
      </c>
      <c r="B28" s="1">
        <v>15</v>
      </c>
      <c r="C28" s="1" t="s">
        <v>111</v>
      </c>
      <c r="D28" s="27" t="s">
        <v>115</v>
      </c>
      <c r="E28" s="10">
        <v>2015</v>
      </c>
      <c r="F28" s="1">
        <v>9</v>
      </c>
      <c r="G28" s="28">
        <v>0.2</v>
      </c>
      <c r="H28" s="10"/>
      <c r="I28" s="10" t="s">
        <v>92</v>
      </c>
      <c r="J28" s="10">
        <v>7</v>
      </c>
      <c r="K28" s="14">
        <f t="shared" si="0"/>
        <v>2022</v>
      </c>
      <c r="N28" s="29">
        <f>223251</f>
        <v>223251</v>
      </c>
      <c r="O28" s="29"/>
      <c r="P28" s="30">
        <f t="shared" si="1"/>
        <v>178600.8</v>
      </c>
      <c r="Q28" s="30">
        <f t="shared" si="2"/>
        <v>2126.1999999999998</v>
      </c>
      <c r="R28" s="30">
        <f t="shared" si="3"/>
        <v>25514.399999999998</v>
      </c>
      <c r="S28" s="30"/>
      <c r="T28" s="30">
        <f t="shared" si="4"/>
        <v>25514.399999999998</v>
      </c>
      <c r="U28" s="30">
        <v>1</v>
      </c>
      <c r="V28" s="30">
        <f t="shared" si="5"/>
        <v>25514.399999999998</v>
      </c>
      <c r="W28" s="30"/>
      <c r="X28" s="30">
        <f t="shared" si="6"/>
        <v>25514.399999999998</v>
      </c>
      <c r="Y28" s="30">
        <f t="shared" si="7"/>
        <v>25514.399999999998</v>
      </c>
      <c r="Z28" s="30">
        <v>1</v>
      </c>
      <c r="AA28" s="30">
        <f t="shared" si="8"/>
        <v>25514.399999999998</v>
      </c>
      <c r="AB28" s="30">
        <f t="shared" si="9"/>
        <v>51028.799999999996</v>
      </c>
      <c r="AC28" s="30">
        <f t="shared" si="10"/>
        <v>184979.40000000002</v>
      </c>
      <c r="AD28" s="6">
        <f t="shared" si="11"/>
        <v>2015.6666666666667</v>
      </c>
      <c r="AE28" s="6">
        <f t="shared" si="12"/>
        <v>2017.6666666666667</v>
      </c>
      <c r="AF28" s="6">
        <f t="shared" si="13"/>
        <v>2022.6666666666667</v>
      </c>
      <c r="AG28" s="6">
        <f t="shared" si="14"/>
        <v>2016.6666666666667</v>
      </c>
      <c r="AH28" s="6">
        <f t="shared" si="15"/>
        <v>-8.3333333333333329E-2</v>
      </c>
    </row>
    <row r="29" spans="1:34">
      <c r="A29" s="1">
        <v>129371</v>
      </c>
      <c r="B29" s="1">
        <v>16</v>
      </c>
      <c r="C29" s="1" t="s">
        <v>111</v>
      </c>
      <c r="D29" s="27" t="s">
        <v>116</v>
      </c>
      <c r="E29" s="10">
        <v>2016</v>
      </c>
      <c r="F29" s="1">
        <v>1</v>
      </c>
      <c r="G29" s="28">
        <v>0.2</v>
      </c>
      <c r="H29" s="10"/>
      <c r="I29" s="10" t="s">
        <v>92</v>
      </c>
      <c r="J29" s="10">
        <v>7</v>
      </c>
      <c r="K29" s="14">
        <f t="shared" si="0"/>
        <v>2023</v>
      </c>
      <c r="N29" s="29">
        <f>252944.72+1040.27+634.55+938.14+239.14</f>
        <v>255796.82</v>
      </c>
      <c r="O29" s="29"/>
      <c r="P29" s="30">
        <f t="shared" si="1"/>
        <v>204637.45600000001</v>
      </c>
      <c r="Q29" s="30">
        <f t="shared" si="2"/>
        <v>2436.1601904761906</v>
      </c>
      <c r="R29" s="30">
        <f t="shared" si="3"/>
        <v>29233.922285714289</v>
      </c>
      <c r="S29" s="30"/>
      <c r="T29" s="30">
        <f t="shared" si="4"/>
        <v>29233.922285714289</v>
      </c>
      <c r="U29" s="30">
        <v>1</v>
      </c>
      <c r="V29" s="30">
        <f t="shared" si="5"/>
        <v>29233.922285714289</v>
      </c>
      <c r="W29" s="30"/>
      <c r="X29" s="30">
        <f t="shared" si="6"/>
        <v>19489.28152381174</v>
      </c>
      <c r="Y29" s="30">
        <f t="shared" si="7"/>
        <v>19489.28152381174</v>
      </c>
      <c r="Z29" s="30">
        <v>1</v>
      </c>
      <c r="AA29" s="30">
        <f t="shared" si="8"/>
        <v>19489.28152381174</v>
      </c>
      <c r="AB29" s="30">
        <f t="shared" si="9"/>
        <v>48723.203809526029</v>
      </c>
      <c r="AC29" s="30">
        <f t="shared" si="10"/>
        <v>221690.57733333111</v>
      </c>
      <c r="AD29" s="6">
        <f t="shared" si="11"/>
        <v>2016</v>
      </c>
      <c r="AE29" s="6">
        <f t="shared" si="12"/>
        <v>2017.6666666666667</v>
      </c>
      <c r="AF29" s="6">
        <f t="shared" si="13"/>
        <v>2023</v>
      </c>
      <c r="AG29" s="6">
        <f t="shared" si="14"/>
        <v>2016.6666666666667</v>
      </c>
      <c r="AH29" s="6">
        <f t="shared" si="15"/>
        <v>-8.3333333333333329E-2</v>
      </c>
    </row>
    <row r="30" spans="1:34">
      <c r="A30" s="1" t="s">
        <v>291</v>
      </c>
      <c r="D30" s="27" t="s">
        <v>290</v>
      </c>
      <c r="E30" s="10">
        <v>2016</v>
      </c>
      <c r="F30" s="1">
        <v>6</v>
      </c>
      <c r="G30" s="28">
        <v>0</v>
      </c>
      <c r="H30" s="10"/>
      <c r="I30" s="10" t="s">
        <v>92</v>
      </c>
      <c r="J30" s="10">
        <v>1</v>
      </c>
      <c r="K30" s="14">
        <f t="shared" si="0"/>
        <v>2017</v>
      </c>
      <c r="N30" s="29">
        <f>2532.91+3828.11</f>
        <v>6361.02</v>
      </c>
      <c r="O30" s="29"/>
      <c r="P30" s="30">
        <f t="shared" si="1"/>
        <v>6361.02</v>
      </c>
      <c r="Q30" s="30">
        <f t="shared" si="2"/>
        <v>530.08500000000004</v>
      </c>
      <c r="R30" s="30">
        <f t="shared" si="3"/>
        <v>4770.7650000000003</v>
      </c>
      <c r="S30" s="30"/>
      <c r="T30" s="30">
        <f t="shared" si="4"/>
        <v>4770.7650000000003</v>
      </c>
      <c r="U30" s="30">
        <v>1</v>
      </c>
      <c r="V30" s="30">
        <f t="shared" si="5"/>
        <v>4770.7650000000003</v>
      </c>
      <c r="W30" s="30"/>
      <c r="X30" s="30">
        <f t="shared" si="6"/>
        <v>1590.2550000000001</v>
      </c>
      <c r="Y30" s="30">
        <f t="shared" si="7"/>
        <v>1590.2550000000001</v>
      </c>
      <c r="Z30" s="30">
        <v>1</v>
      </c>
      <c r="AA30" s="30">
        <f t="shared" si="8"/>
        <v>1590.2550000000001</v>
      </c>
      <c r="AB30" s="30">
        <f t="shared" si="9"/>
        <v>6361.02</v>
      </c>
      <c r="AC30" s="30">
        <f t="shared" si="10"/>
        <v>2385.3825000000002</v>
      </c>
      <c r="AD30" s="6">
        <f t="shared" si="11"/>
        <v>2016.4166666666667</v>
      </c>
      <c r="AE30" s="6">
        <f t="shared" si="12"/>
        <v>2017.6666666666667</v>
      </c>
      <c r="AF30" s="6">
        <f t="shared" si="13"/>
        <v>2017.4166666666667</v>
      </c>
      <c r="AG30" s="6">
        <f t="shared" si="14"/>
        <v>2016.6666666666667</v>
      </c>
      <c r="AH30" s="6">
        <f t="shared" si="15"/>
        <v>-8.3333333333333329E-2</v>
      </c>
    </row>
    <row r="31" spans="1:34" s="82" customFormat="1">
      <c r="A31" s="82" t="s">
        <v>298</v>
      </c>
      <c r="B31" s="82">
        <v>8</v>
      </c>
      <c r="D31" s="83" t="s">
        <v>299</v>
      </c>
      <c r="E31" s="84">
        <v>2017</v>
      </c>
      <c r="F31" s="82">
        <v>2</v>
      </c>
      <c r="G31" s="93">
        <v>0</v>
      </c>
      <c r="H31" s="84"/>
      <c r="I31" s="84" t="s">
        <v>92</v>
      </c>
      <c r="J31" s="84">
        <v>3</v>
      </c>
      <c r="K31" s="94">
        <f t="shared" si="0"/>
        <v>2020</v>
      </c>
      <c r="N31" s="88">
        <v>14019</v>
      </c>
      <c r="O31" s="88"/>
      <c r="P31" s="90">
        <f t="shared" ref="P31" si="16">N31-N31*G31</f>
        <v>14019</v>
      </c>
      <c r="Q31" s="90">
        <f t="shared" ref="Q31" si="17">P31/J31/12</f>
        <v>389.41666666666669</v>
      </c>
      <c r="R31" s="90">
        <f t="shared" ref="R31" si="18">IF(O31&gt;0,0,IF(OR(AD31&gt;AE31,AF31&lt;AG31),0,IF(AND(AF31&gt;=AG31,AF31&lt;=AE31),Q31*((AF31-AG31)*12),IF(AND(AG31&lt;=AD31,AE31&gt;=AD31),((AE31-AD31)*12)*Q31,IF(AF31&gt;AE31,12*Q31,0)))))</f>
        <v>2725.916666667375</v>
      </c>
      <c r="S31" s="90"/>
      <c r="T31" s="90">
        <f t="shared" ref="T31" si="19">IF(S31&gt;0,S31,R31)</f>
        <v>2725.916666667375</v>
      </c>
      <c r="U31" s="90">
        <v>1</v>
      </c>
      <c r="V31" s="90">
        <f t="shared" ref="V31" si="20">U31*SUM(R31:S31)</f>
        <v>2725.916666667375</v>
      </c>
      <c r="W31" s="90"/>
      <c r="X31" s="90">
        <f t="shared" ref="X31" si="21">IF(AD31&gt;AE31,0,IF(AF31&lt;AG31,P31,IF(AND(AF31&gt;=AG31,AF31&lt;=AE31),(P31-T31),IF(AND(AG31&lt;=AD31,AE31&gt;=AD31),0,IF(AF31&gt;AE31,((AG31-AD31)*12)*Q31,0)))))</f>
        <v>0</v>
      </c>
      <c r="Y31" s="90">
        <f t="shared" ref="Y31" si="22">X31*U31</f>
        <v>0</v>
      </c>
      <c r="Z31" s="90">
        <v>1</v>
      </c>
      <c r="AA31" s="90">
        <f t="shared" ref="AA31" si="23">Y31*Z31</f>
        <v>0</v>
      </c>
      <c r="AB31" s="90">
        <f t="shared" ref="AB31" si="24">IF(O31&gt;0,0,AA31+V31*Z31)*Z31</f>
        <v>2725.916666667375</v>
      </c>
      <c r="AC31" s="90">
        <f t="shared" ref="AC31" si="25">IF(O31&gt;0,(N31-AA31)/2,IF(AD31&gt;=AG31,(((N31*U31)*Z31)-AB31)/2,((((N31*U31)*Z31)-AA31)+(((N31*U31)*Z31)-AB31))/2))</f>
        <v>5646.5416666663123</v>
      </c>
      <c r="AD31" s="91">
        <f t="shared" si="11"/>
        <v>2017.0833333333333</v>
      </c>
      <c r="AE31" s="91">
        <f t="shared" si="12"/>
        <v>2017.6666666666667</v>
      </c>
      <c r="AF31" s="91">
        <f t="shared" si="13"/>
        <v>2020.0833333333333</v>
      </c>
      <c r="AG31" s="91">
        <f t="shared" si="14"/>
        <v>2016.6666666666667</v>
      </c>
      <c r="AH31" s="91">
        <f t="shared" si="15"/>
        <v>-8.3333333333333329E-2</v>
      </c>
    </row>
    <row r="32" spans="1:34">
      <c r="D32" s="27"/>
      <c r="E32" s="10"/>
      <c r="G32" s="28"/>
      <c r="H32" s="10"/>
      <c r="I32" s="10"/>
      <c r="J32" s="10"/>
      <c r="K32" s="14"/>
      <c r="N32" s="29"/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6"/>
      <c r="AE32" s="6"/>
      <c r="AF32" s="6"/>
      <c r="AG32" s="6"/>
      <c r="AH32" s="6"/>
    </row>
    <row r="33" spans="1:34" s="31" customFormat="1">
      <c r="D33" s="32" t="s">
        <v>117</v>
      </c>
      <c r="E33" s="32"/>
      <c r="F33" s="32"/>
      <c r="G33" s="33"/>
      <c r="H33" s="32"/>
      <c r="I33" s="32"/>
      <c r="J33" s="32"/>
      <c r="K33" s="34"/>
      <c r="L33" s="32"/>
      <c r="M33" s="32"/>
      <c r="N33" s="35">
        <f>SUM(N12:N32)</f>
        <v>1837827.33</v>
      </c>
      <c r="O33" s="35"/>
      <c r="P33" s="35">
        <f>SUM(P12:P32)</f>
        <v>1457445.2960000001</v>
      </c>
      <c r="Q33" s="35">
        <f>SUM(Q12:Q32)</f>
        <v>18985.382841269842</v>
      </c>
      <c r="R33" s="35">
        <f>SUM(R12:R32)</f>
        <v>137081.90485714146</v>
      </c>
      <c r="S33" s="35"/>
      <c r="T33" s="35">
        <f>SUM(T12:T32)</f>
        <v>137081.90485714146</v>
      </c>
      <c r="U33" s="35"/>
      <c r="V33" s="35">
        <f>SUM(V12:V32)</f>
        <v>137081.90485714146</v>
      </c>
      <c r="W33" s="35"/>
      <c r="X33" s="35">
        <f>SUM(X12:X32)</f>
        <v>872028.22334921162</v>
      </c>
      <c r="Y33" s="35">
        <f>SUM(Y12:Y32)</f>
        <v>872028.22334921162</v>
      </c>
      <c r="Z33" s="35"/>
      <c r="AA33" s="35">
        <f>SUM(AA12:AA32)</f>
        <v>872028.22334921162</v>
      </c>
      <c r="AB33" s="35">
        <f>SUM(AB12:AB32)</f>
        <v>1009110.1282063529</v>
      </c>
      <c r="AC33" s="35">
        <f>SUM(AC12:AC32)</f>
        <v>890248.65422221762</v>
      </c>
    </row>
    <row r="34" spans="1:34" s="31" customFormat="1">
      <c r="G34" s="12"/>
      <c r="K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34" s="31" customFormat="1">
      <c r="G35" s="12"/>
      <c r="K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34">
      <c r="B36" s="31"/>
      <c r="D36" s="15" t="s">
        <v>118</v>
      </c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34">
      <c r="B37" s="1">
        <v>7</v>
      </c>
      <c r="C37" s="1" t="s">
        <v>14</v>
      </c>
      <c r="D37" s="39" t="s">
        <v>119</v>
      </c>
      <c r="E37" s="10">
        <v>1987</v>
      </c>
      <c r="F37" s="1">
        <v>9</v>
      </c>
      <c r="G37" s="28">
        <v>0.2</v>
      </c>
      <c r="H37" s="10"/>
      <c r="I37" s="10" t="s">
        <v>92</v>
      </c>
      <c r="J37" s="10">
        <v>7</v>
      </c>
      <c r="K37" s="14">
        <f t="shared" ref="K37:K46" si="26">E37+J37</f>
        <v>1994</v>
      </c>
      <c r="N37" s="29">
        <v>46628.86</v>
      </c>
      <c r="O37" s="29">
        <v>0</v>
      </c>
      <c r="P37" s="30">
        <f t="shared" ref="P37:P46" si="27">N37-N37*G37</f>
        <v>37303.088000000003</v>
      </c>
      <c r="Q37" s="30">
        <f t="shared" ref="Q37:Q46" si="28">P37/J37/12</f>
        <v>444.08438095238103</v>
      </c>
      <c r="R37" s="30">
        <f t="shared" ref="R37:R46" si="29">IF(O37&gt;0,0,IF(OR(AD37&gt;AE37,AF37&lt;AG37),0,IF(AND(AF37&gt;=AG37,AF37&lt;=AE37),Q37*((AF37-AG37)*12),IF(AND(AG37&lt;=AD37,AE37&gt;=AD37),((AE37-AD37)*12)*Q37,IF(AF37&gt;AE37,12*Q37,0)))))</f>
        <v>0</v>
      </c>
      <c r="S37" s="30"/>
      <c r="T37" s="30">
        <f t="shared" ref="T37:T46" si="30">IF(S37&gt;0,S37,R37)</f>
        <v>0</v>
      </c>
      <c r="U37" s="30">
        <v>1</v>
      </c>
      <c r="V37" s="30">
        <f t="shared" ref="V37:V46" si="31">U37*SUM(R37:S37)</f>
        <v>0</v>
      </c>
      <c r="W37" s="30"/>
      <c r="X37" s="30">
        <f t="shared" ref="X37:X46" si="32">IF(AD37&gt;AE37,0,IF(AF37&lt;AG37,P37,IF(AND(AF37&gt;=AG37,AF37&lt;=AE37),(P37-T37),IF(AND(AG37&lt;=AD37,AE37&gt;=AD37),0,IF(AF37&gt;AE37,((AG37-AD37)*12)*Q37,0)))))</f>
        <v>37303.088000000003</v>
      </c>
      <c r="Y37" s="30">
        <f t="shared" ref="Y37:Y46" si="33">X37*U37</f>
        <v>37303.088000000003</v>
      </c>
      <c r="Z37" s="30">
        <v>1</v>
      </c>
      <c r="AA37" s="30">
        <f t="shared" ref="AA37:AA46" si="34">Y37*Z37</f>
        <v>37303.088000000003</v>
      </c>
      <c r="AB37" s="30">
        <f t="shared" ref="AB37:AB46" si="35">IF(O37&gt;0,0,AA37+V37*Z37)*Z37</f>
        <v>37303.088000000003</v>
      </c>
      <c r="AC37" s="30">
        <f t="shared" ref="AC37:AC46" si="36">IF(O37&gt;0,(N37-AA37)/2,IF(AD37&gt;=AG37,(((N37*U37)*Z37)-AB37)/2,((((N37*U37)*Z37)-AA37)+(((N37*U37)*Z37)-AB37))/2))</f>
        <v>9325.7719999999972</v>
      </c>
      <c r="AD37" s="6">
        <f t="shared" ref="AD37:AD46" si="37">$E37+(($F37-1)/12)</f>
        <v>1987.6666666666667</v>
      </c>
      <c r="AE37" s="6">
        <f t="shared" ref="AE37:AE46" si="38">($P$5+1)-($P$2/12)</f>
        <v>2017.6666666666667</v>
      </c>
      <c r="AF37" s="6">
        <f t="shared" ref="AF37:AF46" si="39">$K37+(($F37-1)/12)</f>
        <v>1994.6666666666667</v>
      </c>
      <c r="AG37" s="6">
        <f t="shared" ref="AG37:AG46" si="40">$P$4+($P$3/12)</f>
        <v>2016.6666666666667</v>
      </c>
      <c r="AH37" s="6">
        <f t="shared" ref="AH37:AH46" si="41">$L37+(($M37-1)/12)</f>
        <v>-8.3333333333333329E-2</v>
      </c>
    </row>
    <row r="38" spans="1:34">
      <c r="B38" s="1">
        <v>7</v>
      </c>
      <c r="C38" s="1" t="s">
        <v>14</v>
      </c>
      <c r="D38" s="27" t="s">
        <v>120</v>
      </c>
      <c r="E38" s="10">
        <v>1987</v>
      </c>
      <c r="F38" s="1">
        <v>9</v>
      </c>
      <c r="G38" s="28">
        <v>0.2</v>
      </c>
      <c r="H38" s="10"/>
      <c r="I38" s="10" t="s">
        <v>92</v>
      </c>
      <c r="J38" s="10">
        <v>7</v>
      </c>
      <c r="K38" s="14">
        <f t="shared" si="26"/>
        <v>1994</v>
      </c>
      <c r="N38" s="40">
        <v>35039.31</v>
      </c>
      <c r="O38" s="29">
        <v>0</v>
      </c>
      <c r="P38" s="30">
        <f t="shared" si="27"/>
        <v>28031.447999999997</v>
      </c>
      <c r="Q38" s="30">
        <f t="shared" si="28"/>
        <v>333.70771428571425</v>
      </c>
      <c r="R38" s="30">
        <f t="shared" si="29"/>
        <v>0</v>
      </c>
      <c r="S38" s="30"/>
      <c r="T38" s="30">
        <f t="shared" si="30"/>
        <v>0</v>
      </c>
      <c r="U38" s="30">
        <v>1</v>
      </c>
      <c r="V38" s="30">
        <f t="shared" si="31"/>
        <v>0</v>
      </c>
      <c r="W38" s="30"/>
      <c r="X38" s="30">
        <f t="shared" si="32"/>
        <v>28031.447999999997</v>
      </c>
      <c r="Y38" s="30">
        <f t="shared" si="33"/>
        <v>28031.447999999997</v>
      </c>
      <c r="Z38" s="30">
        <v>1</v>
      </c>
      <c r="AA38" s="30">
        <f t="shared" si="34"/>
        <v>28031.447999999997</v>
      </c>
      <c r="AB38" s="30">
        <f t="shared" si="35"/>
        <v>28031.447999999997</v>
      </c>
      <c r="AC38" s="30">
        <f t="shared" si="36"/>
        <v>7007.862000000001</v>
      </c>
      <c r="AD38" s="6">
        <f t="shared" si="37"/>
        <v>1987.6666666666667</v>
      </c>
      <c r="AE38" s="6">
        <f t="shared" si="38"/>
        <v>2017.6666666666667</v>
      </c>
      <c r="AF38" s="6">
        <f t="shared" si="39"/>
        <v>1994.6666666666667</v>
      </c>
      <c r="AG38" s="6">
        <f t="shared" si="40"/>
        <v>2016.6666666666667</v>
      </c>
      <c r="AH38" s="6">
        <f t="shared" si="41"/>
        <v>-8.3333333333333329E-2</v>
      </c>
    </row>
    <row r="39" spans="1:34">
      <c r="B39" s="1">
        <v>7</v>
      </c>
      <c r="C39" s="1" t="s">
        <v>14</v>
      </c>
      <c r="D39" s="27" t="s">
        <v>121</v>
      </c>
      <c r="E39" s="10">
        <v>1995</v>
      </c>
      <c r="F39" s="1">
        <v>11</v>
      </c>
      <c r="G39" s="28">
        <v>0.33</v>
      </c>
      <c r="H39" s="10"/>
      <c r="I39" s="10" t="s">
        <v>92</v>
      </c>
      <c r="J39" s="10">
        <v>7</v>
      </c>
      <c r="K39" s="14">
        <f t="shared" si="26"/>
        <v>2002</v>
      </c>
      <c r="N39" s="29">
        <v>4510.1099999999997</v>
      </c>
      <c r="O39" s="29">
        <v>0</v>
      </c>
      <c r="P39" s="30">
        <f t="shared" si="27"/>
        <v>3021.7736999999997</v>
      </c>
      <c r="Q39" s="30">
        <f t="shared" si="28"/>
        <v>35.97349642857143</v>
      </c>
      <c r="R39" s="30">
        <f t="shared" si="29"/>
        <v>0</v>
      </c>
      <c r="S39" s="30"/>
      <c r="T39" s="30">
        <f t="shared" si="30"/>
        <v>0</v>
      </c>
      <c r="U39" s="30">
        <v>1</v>
      </c>
      <c r="V39" s="30">
        <f t="shared" si="31"/>
        <v>0</v>
      </c>
      <c r="W39" s="30"/>
      <c r="X39" s="30">
        <f t="shared" si="32"/>
        <v>3021.7736999999997</v>
      </c>
      <c r="Y39" s="30">
        <f t="shared" si="33"/>
        <v>3021.7736999999997</v>
      </c>
      <c r="Z39" s="30">
        <v>1</v>
      </c>
      <c r="AA39" s="30">
        <f t="shared" si="34"/>
        <v>3021.7736999999997</v>
      </c>
      <c r="AB39" s="30">
        <f t="shared" si="35"/>
        <v>3021.7736999999997</v>
      </c>
      <c r="AC39" s="30">
        <f t="shared" si="36"/>
        <v>1488.3362999999999</v>
      </c>
      <c r="AD39" s="6">
        <f t="shared" si="37"/>
        <v>1995.8333333333333</v>
      </c>
      <c r="AE39" s="6">
        <f t="shared" si="38"/>
        <v>2017.6666666666667</v>
      </c>
      <c r="AF39" s="6">
        <f t="shared" si="39"/>
        <v>2002.8333333333333</v>
      </c>
      <c r="AG39" s="6">
        <f t="shared" si="40"/>
        <v>2016.6666666666667</v>
      </c>
      <c r="AH39" s="6">
        <f t="shared" si="41"/>
        <v>-8.3333333333333329E-2</v>
      </c>
    </row>
    <row r="40" spans="1:34">
      <c r="A40" s="1">
        <v>1</v>
      </c>
      <c r="B40" s="1">
        <v>33</v>
      </c>
      <c r="C40" s="1" t="s">
        <v>14</v>
      </c>
      <c r="D40" s="27" t="s">
        <v>122</v>
      </c>
      <c r="E40" s="10">
        <v>1999</v>
      </c>
      <c r="F40" s="1">
        <v>7</v>
      </c>
      <c r="G40" s="28">
        <v>0.2</v>
      </c>
      <c r="H40" s="10"/>
      <c r="I40" s="10" t="s">
        <v>92</v>
      </c>
      <c r="J40" s="10">
        <v>7</v>
      </c>
      <c r="K40" s="14">
        <f t="shared" si="26"/>
        <v>2006</v>
      </c>
      <c r="N40" s="29">
        <v>12640</v>
      </c>
      <c r="O40" s="29">
        <v>0</v>
      </c>
      <c r="P40" s="30">
        <f t="shared" si="27"/>
        <v>10112</v>
      </c>
      <c r="Q40" s="30">
        <f t="shared" si="28"/>
        <v>120.38095238095239</v>
      </c>
      <c r="R40" s="30">
        <f t="shared" si="29"/>
        <v>0</v>
      </c>
      <c r="S40" s="30"/>
      <c r="T40" s="30">
        <f t="shared" si="30"/>
        <v>0</v>
      </c>
      <c r="U40" s="30">
        <v>1</v>
      </c>
      <c r="V40" s="30">
        <f t="shared" si="31"/>
        <v>0</v>
      </c>
      <c r="W40" s="30"/>
      <c r="X40" s="30">
        <f t="shared" si="32"/>
        <v>10112</v>
      </c>
      <c r="Y40" s="30">
        <f t="shared" si="33"/>
        <v>10112</v>
      </c>
      <c r="Z40" s="30">
        <v>1</v>
      </c>
      <c r="AA40" s="30">
        <f t="shared" si="34"/>
        <v>10112</v>
      </c>
      <c r="AB40" s="30">
        <f t="shared" si="35"/>
        <v>10112</v>
      </c>
      <c r="AC40" s="30">
        <f t="shared" si="36"/>
        <v>2528</v>
      </c>
      <c r="AD40" s="6">
        <f t="shared" si="37"/>
        <v>1999.5</v>
      </c>
      <c r="AE40" s="6">
        <f t="shared" si="38"/>
        <v>2017.6666666666667</v>
      </c>
      <c r="AF40" s="6">
        <f t="shared" si="39"/>
        <v>2006.5</v>
      </c>
      <c r="AG40" s="6">
        <f t="shared" si="40"/>
        <v>2016.6666666666667</v>
      </c>
      <c r="AH40" s="6">
        <f t="shared" si="41"/>
        <v>-8.3333333333333329E-2</v>
      </c>
    </row>
    <row r="41" spans="1:34">
      <c r="B41" s="1">
        <v>33</v>
      </c>
      <c r="D41" s="27" t="s">
        <v>123</v>
      </c>
      <c r="E41" s="10">
        <v>1999</v>
      </c>
      <c r="F41" s="1">
        <v>10</v>
      </c>
      <c r="G41" s="28">
        <v>0</v>
      </c>
      <c r="H41" s="10"/>
      <c r="I41" s="10" t="s">
        <v>92</v>
      </c>
      <c r="J41" s="10">
        <v>7</v>
      </c>
      <c r="K41" s="14">
        <f t="shared" si="26"/>
        <v>2006</v>
      </c>
      <c r="N41" s="29">
        <v>7829.22</v>
      </c>
      <c r="O41" s="29">
        <v>0</v>
      </c>
      <c r="P41" s="30">
        <f t="shared" si="27"/>
        <v>7829.22</v>
      </c>
      <c r="Q41" s="30">
        <f t="shared" si="28"/>
        <v>93.204999999999998</v>
      </c>
      <c r="R41" s="30">
        <f t="shared" si="29"/>
        <v>0</v>
      </c>
      <c r="S41" s="30"/>
      <c r="T41" s="30">
        <f t="shared" si="30"/>
        <v>0</v>
      </c>
      <c r="U41" s="30">
        <v>1</v>
      </c>
      <c r="V41" s="30">
        <f t="shared" si="31"/>
        <v>0</v>
      </c>
      <c r="W41" s="30"/>
      <c r="X41" s="30">
        <f t="shared" si="32"/>
        <v>7829.22</v>
      </c>
      <c r="Y41" s="30">
        <f t="shared" si="33"/>
        <v>7829.22</v>
      </c>
      <c r="Z41" s="30">
        <v>1</v>
      </c>
      <c r="AA41" s="30">
        <f t="shared" si="34"/>
        <v>7829.22</v>
      </c>
      <c r="AB41" s="30">
        <f t="shared" si="35"/>
        <v>7829.22</v>
      </c>
      <c r="AC41" s="30">
        <f t="shared" si="36"/>
        <v>0</v>
      </c>
      <c r="AD41" s="6">
        <f t="shared" si="37"/>
        <v>1999.75</v>
      </c>
      <c r="AE41" s="6">
        <f t="shared" si="38"/>
        <v>2017.6666666666667</v>
      </c>
      <c r="AF41" s="6">
        <f t="shared" si="39"/>
        <v>2006.75</v>
      </c>
      <c r="AG41" s="6">
        <f t="shared" si="40"/>
        <v>2016.6666666666667</v>
      </c>
      <c r="AH41" s="6">
        <f t="shared" si="41"/>
        <v>-8.3333333333333329E-2</v>
      </c>
    </row>
    <row r="42" spans="1:34">
      <c r="B42" s="1">
        <v>33</v>
      </c>
      <c r="D42" s="27" t="s">
        <v>124</v>
      </c>
      <c r="E42" s="10">
        <v>2000</v>
      </c>
      <c r="F42" s="1">
        <v>7</v>
      </c>
      <c r="G42" s="28">
        <v>0</v>
      </c>
      <c r="H42" s="10"/>
      <c r="I42" s="10" t="s">
        <v>92</v>
      </c>
      <c r="J42" s="10">
        <v>7</v>
      </c>
      <c r="K42" s="14">
        <f t="shared" si="26"/>
        <v>2007</v>
      </c>
      <c r="N42" s="29">
        <v>713.75</v>
      </c>
      <c r="O42" s="29">
        <v>0</v>
      </c>
      <c r="P42" s="30">
        <f t="shared" si="27"/>
        <v>713.75</v>
      </c>
      <c r="Q42" s="30">
        <f t="shared" si="28"/>
        <v>8.4970238095238084</v>
      </c>
      <c r="R42" s="30">
        <f t="shared" si="29"/>
        <v>0</v>
      </c>
      <c r="S42" s="30"/>
      <c r="T42" s="30">
        <f t="shared" si="30"/>
        <v>0</v>
      </c>
      <c r="U42" s="30">
        <v>1</v>
      </c>
      <c r="V42" s="30">
        <f t="shared" si="31"/>
        <v>0</v>
      </c>
      <c r="W42" s="30"/>
      <c r="X42" s="30">
        <f t="shared" si="32"/>
        <v>713.75</v>
      </c>
      <c r="Y42" s="30">
        <f t="shared" si="33"/>
        <v>713.75</v>
      </c>
      <c r="Z42" s="30">
        <v>1</v>
      </c>
      <c r="AA42" s="30">
        <f t="shared" si="34"/>
        <v>713.75</v>
      </c>
      <c r="AB42" s="30">
        <f t="shared" si="35"/>
        <v>713.75</v>
      </c>
      <c r="AC42" s="30">
        <f t="shared" si="36"/>
        <v>0</v>
      </c>
      <c r="AD42" s="6">
        <f t="shared" si="37"/>
        <v>2000.5</v>
      </c>
      <c r="AE42" s="6">
        <f t="shared" si="38"/>
        <v>2017.6666666666667</v>
      </c>
      <c r="AF42" s="6">
        <f t="shared" si="39"/>
        <v>2007.5</v>
      </c>
      <c r="AG42" s="6">
        <f t="shared" si="40"/>
        <v>2016.6666666666667</v>
      </c>
      <c r="AH42" s="6">
        <f t="shared" si="41"/>
        <v>-8.3333333333333329E-2</v>
      </c>
    </row>
    <row r="43" spans="1:34">
      <c r="B43" s="1">
        <v>33</v>
      </c>
      <c r="C43" s="10" t="s">
        <v>101</v>
      </c>
      <c r="D43" s="27" t="s">
        <v>102</v>
      </c>
      <c r="E43" s="10">
        <v>2005</v>
      </c>
      <c r="F43" s="1">
        <v>1</v>
      </c>
      <c r="G43" s="28"/>
      <c r="H43" s="10"/>
      <c r="I43" s="10" t="s">
        <v>92</v>
      </c>
      <c r="J43" s="10">
        <v>3</v>
      </c>
      <c r="K43" s="14">
        <f t="shared" si="26"/>
        <v>2008</v>
      </c>
      <c r="N43" s="29">
        <v>5417</v>
      </c>
      <c r="O43" s="29">
        <v>0</v>
      </c>
      <c r="P43" s="30">
        <f t="shared" si="27"/>
        <v>5417</v>
      </c>
      <c r="Q43" s="30">
        <f t="shared" si="28"/>
        <v>150.47222222222223</v>
      </c>
      <c r="R43" s="30">
        <f t="shared" si="29"/>
        <v>0</v>
      </c>
      <c r="S43" s="30"/>
      <c r="T43" s="30">
        <f t="shared" si="30"/>
        <v>0</v>
      </c>
      <c r="U43" s="30">
        <v>1</v>
      </c>
      <c r="V43" s="30">
        <f t="shared" si="31"/>
        <v>0</v>
      </c>
      <c r="W43" s="30"/>
      <c r="X43" s="30">
        <f t="shared" si="32"/>
        <v>5417</v>
      </c>
      <c r="Y43" s="30">
        <f t="shared" si="33"/>
        <v>5417</v>
      </c>
      <c r="Z43" s="30">
        <v>1</v>
      </c>
      <c r="AA43" s="30">
        <f t="shared" si="34"/>
        <v>5417</v>
      </c>
      <c r="AB43" s="30">
        <f t="shared" si="35"/>
        <v>5417</v>
      </c>
      <c r="AC43" s="30">
        <f t="shared" si="36"/>
        <v>0</v>
      </c>
      <c r="AD43" s="6">
        <f t="shared" si="37"/>
        <v>2005</v>
      </c>
      <c r="AE43" s="6">
        <f t="shared" si="38"/>
        <v>2017.6666666666667</v>
      </c>
      <c r="AF43" s="6">
        <f t="shared" si="39"/>
        <v>2008</v>
      </c>
      <c r="AG43" s="6">
        <f t="shared" si="40"/>
        <v>2016.6666666666667</v>
      </c>
      <c r="AH43" s="6">
        <f t="shared" si="41"/>
        <v>-8.3333333333333329E-2</v>
      </c>
    </row>
    <row r="44" spans="1:34">
      <c r="A44" s="1">
        <v>1</v>
      </c>
      <c r="B44" s="1">
        <v>7</v>
      </c>
      <c r="D44" s="27" t="s">
        <v>125</v>
      </c>
      <c r="E44" s="10">
        <v>2011</v>
      </c>
      <c r="F44" s="1">
        <v>8</v>
      </c>
      <c r="G44" s="28"/>
      <c r="H44" s="10"/>
      <c r="I44" s="10" t="s">
        <v>92</v>
      </c>
      <c r="J44" s="10">
        <v>3</v>
      </c>
      <c r="K44" s="14">
        <f t="shared" si="26"/>
        <v>2014</v>
      </c>
      <c r="N44" s="29">
        <f>8036.08</f>
        <v>8036.08</v>
      </c>
      <c r="O44" s="29">
        <v>0</v>
      </c>
      <c r="P44" s="30">
        <f t="shared" si="27"/>
        <v>8036.08</v>
      </c>
      <c r="Q44" s="30">
        <f t="shared" si="28"/>
        <v>223.22444444444443</v>
      </c>
      <c r="R44" s="30">
        <f t="shared" si="29"/>
        <v>0</v>
      </c>
      <c r="S44" s="30"/>
      <c r="T44" s="30">
        <f t="shared" si="30"/>
        <v>0</v>
      </c>
      <c r="U44" s="30">
        <v>1</v>
      </c>
      <c r="V44" s="30">
        <f t="shared" si="31"/>
        <v>0</v>
      </c>
      <c r="W44" s="30"/>
      <c r="X44" s="30">
        <f t="shared" si="32"/>
        <v>8036.08</v>
      </c>
      <c r="Y44" s="30">
        <f t="shared" si="33"/>
        <v>8036.08</v>
      </c>
      <c r="Z44" s="30">
        <v>1</v>
      </c>
      <c r="AA44" s="30">
        <f t="shared" si="34"/>
        <v>8036.08</v>
      </c>
      <c r="AB44" s="30">
        <f t="shared" si="35"/>
        <v>8036.08</v>
      </c>
      <c r="AC44" s="30">
        <f t="shared" si="36"/>
        <v>0</v>
      </c>
      <c r="AD44" s="6">
        <f t="shared" si="37"/>
        <v>2011.5833333333333</v>
      </c>
      <c r="AE44" s="6">
        <f t="shared" si="38"/>
        <v>2017.6666666666667</v>
      </c>
      <c r="AF44" s="6">
        <f t="shared" si="39"/>
        <v>2014.5833333333333</v>
      </c>
      <c r="AG44" s="6">
        <f t="shared" si="40"/>
        <v>2016.6666666666667</v>
      </c>
      <c r="AH44" s="6">
        <f t="shared" si="41"/>
        <v>-8.3333333333333329E-2</v>
      </c>
    </row>
    <row r="45" spans="1:34">
      <c r="A45" s="1">
        <v>117102</v>
      </c>
      <c r="D45" s="27" t="s">
        <v>126</v>
      </c>
      <c r="E45" s="10">
        <v>2014</v>
      </c>
      <c r="F45" s="1">
        <v>10</v>
      </c>
      <c r="G45" s="28"/>
      <c r="H45" s="10"/>
      <c r="I45" s="10" t="s">
        <v>92</v>
      </c>
      <c r="J45" s="10">
        <v>5</v>
      </c>
      <c r="K45" s="14">
        <f t="shared" si="26"/>
        <v>2019</v>
      </c>
      <c r="N45" s="29">
        <v>3263.48</v>
      </c>
      <c r="O45" s="29">
        <v>0</v>
      </c>
      <c r="P45" s="30">
        <f t="shared" si="27"/>
        <v>3263.48</v>
      </c>
      <c r="Q45" s="30">
        <f t="shared" si="28"/>
        <v>54.391333333333336</v>
      </c>
      <c r="R45" s="30">
        <f t="shared" si="29"/>
        <v>652.69600000000003</v>
      </c>
      <c r="S45" s="30"/>
      <c r="T45" s="30">
        <f t="shared" si="30"/>
        <v>652.69600000000003</v>
      </c>
      <c r="U45" s="30">
        <v>1</v>
      </c>
      <c r="V45" s="30">
        <f t="shared" si="31"/>
        <v>652.69600000000003</v>
      </c>
      <c r="W45" s="30"/>
      <c r="X45" s="30">
        <f t="shared" si="32"/>
        <v>1251.0006666667161</v>
      </c>
      <c r="Y45" s="30">
        <f t="shared" si="33"/>
        <v>1251.0006666667161</v>
      </c>
      <c r="Z45" s="30">
        <v>1</v>
      </c>
      <c r="AA45" s="30">
        <f t="shared" si="34"/>
        <v>1251.0006666667161</v>
      </c>
      <c r="AB45" s="30">
        <f t="shared" si="35"/>
        <v>1903.6966666667163</v>
      </c>
      <c r="AC45" s="30">
        <f t="shared" si="36"/>
        <v>1686.1313333332837</v>
      </c>
      <c r="AD45" s="6">
        <f t="shared" si="37"/>
        <v>2014.75</v>
      </c>
      <c r="AE45" s="6">
        <f t="shared" si="38"/>
        <v>2017.6666666666667</v>
      </c>
      <c r="AF45" s="6">
        <f t="shared" si="39"/>
        <v>2019.75</v>
      </c>
      <c r="AG45" s="6">
        <f t="shared" si="40"/>
        <v>2016.6666666666667</v>
      </c>
      <c r="AH45" s="6">
        <f t="shared" si="41"/>
        <v>-8.3333333333333329E-2</v>
      </c>
    </row>
    <row r="46" spans="1:34">
      <c r="B46" s="1">
        <v>7</v>
      </c>
      <c r="D46" s="27" t="s">
        <v>127</v>
      </c>
      <c r="E46" s="10">
        <v>2016</v>
      </c>
      <c r="F46" s="1">
        <v>1</v>
      </c>
      <c r="G46" s="28">
        <v>0</v>
      </c>
      <c r="H46" s="10"/>
      <c r="I46" s="10" t="s">
        <v>92</v>
      </c>
      <c r="J46" s="10">
        <v>3</v>
      </c>
      <c r="K46" s="14">
        <f t="shared" si="26"/>
        <v>2019</v>
      </c>
      <c r="N46" s="29">
        <v>5325.68</v>
      </c>
      <c r="O46" s="29"/>
      <c r="P46" s="30">
        <f t="shared" si="27"/>
        <v>5325.68</v>
      </c>
      <c r="Q46" s="30">
        <f t="shared" si="28"/>
        <v>147.93555555555557</v>
      </c>
      <c r="R46" s="30">
        <f t="shared" si="29"/>
        <v>1775.2266666666669</v>
      </c>
      <c r="S46" s="30"/>
      <c r="T46" s="30">
        <f t="shared" si="30"/>
        <v>1775.2266666666669</v>
      </c>
      <c r="U46" s="30">
        <v>1</v>
      </c>
      <c r="V46" s="30">
        <f t="shared" si="31"/>
        <v>1775.2266666666669</v>
      </c>
      <c r="W46" s="30"/>
      <c r="X46" s="30">
        <f t="shared" si="32"/>
        <v>1183.4844444445791</v>
      </c>
      <c r="Y46" s="30">
        <f t="shared" si="33"/>
        <v>1183.4844444445791</v>
      </c>
      <c r="Z46" s="30">
        <v>1</v>
      </c>
      <c r="AA46" s="30">
        <f t="shared" si="34"/>
        <v>1183.4844444445791</v>
      </c>
      <c r="AB46" s="30">
        <f t="shared" si="35"/>
        <v>2958.7111111112463</v>
      </c>
      <c r="AC46" s="30">
        <f t="shared" si="36"/>
        <v>3254.5822222220877</v>
      </c>
      <c r="AD46" s="6">
        <f t="shared" si="37"/>
        <v>2016</v>
      </c>
      <c r="AE46" s="6">
        <f t="shared" si="38"/>
        <v>2017.6666666666667</v>
      </c>
      <c r="AF46" s="6">
        <f t="shared" si="39"/>
        <v>2019</v>
      </c>
      <c r="AG46" s="6">
        <f t="shared" si="40"/>
        <v>2016.6666666666667</v>
      </c>
      <c r="AH46" s="6">
        <f t="shared" si="41"/>
        <v>-8.3333333333333329E-2</v>
      </c>
    </row>
    <row r="47" spans="1:34">
      <c r="D47" s="27"/>
      <c r="E47" s="10"/>
      <c r="G47" s="28"/>
      <c r="H47" s="10"/>
      <c r="I47" s="10"/>
      <c r="J47" s="10"/>
      <c r="K47" s="14"/>
      <c r="N47" s="29"/>
      <c r="O47" s="2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6"/>
      <c r="AE47" s="6"/>
      <c r="AF47" s="6"/>
      <c r="AG47" s="6"/>
      <c r="AH47" s="6"/>
    </row>
    <row r="48" spans="1:34">
      <c r="D48" s="41" t="s">
        <v>128</v>
      </c>
      <c r="E48" s="42"/>
      <c r="F48" s="43"/>
      <c r="G48" s="44"/>
      <c r="H48" s="42"/>
      <c r="I48" s="42"/>
      <c r="J48" s="42"/>
      <c r="K48" s="45"/>
      <c r="L48" s="43"/>
      <c r="M48" s="43"/>
      <c r="N48" s="35">
        <f>SUM(N37:N47)</f>
        <v>129403.48999999999</v>
      </c>
      <c r="O48" s="35"/>
      <c r="P48" s="35">
        <f t="shared" ref="P48:R48" si="42">SUM(P37:P47)</f>
        <v>109053.5197</v>
      </c>
      <c r="Q48" s="35">
        <f t="shared" si="42"/>
        <v>1611.8721234126983</v>
      </c>
      <c r="R48" s="35">
        <f t="shared" si="42"/>
        <v>2427.9226666666668</v>
      </c>
      <c r="S48" s="35"/>
      <c r="T48" s="35">
        <f>SUM(T37:T47)</f>
        <v>2427.9226666666668</v>
      </c>
      <c r="U48" s="35"/>
      <c r="V48" s="35">
        <f>SUM(V37:V47)</f>
        <v>2427.9226666666668</v>
      </c>
      <c r="W48" s="35"/>
      <c r="X48" s="35">
        <f t="shared" ref="X48:Y48" si="43">SUM(X37:X47)</f>
        <v>102898.8448111113</v>
      </c>
      <c r="Y48" s="35">
        <f t="shared" si="43"/>
        <v>102898.8448111113</v>
      </c>
      <c r="Z48" s="35"/>
      <c r="AA48" s="35">
        <f t="shared" ref="AA48:AC48" si="44">SUM(AA37:AA47)</f>
        <v>102898.8448111113</v>
      </c>
      <c r="AB48" s="35">
        <f t="shared" si="44"/>
        <v>105326.76747777796</v>
      </c>
      <c r="AC48" s="35">
        <f t="shared" si="44"/>
        <v>25290.68385555537</v>
      </c>
      <c r="AD48" s="6"/>
      <c r="AE48" s="6"/>
      <c r="AF48" s="6"/>
      <c r="AG48" s="6"/>
      <c r="AH48" s="6"/>
    </row>
    <row r="49" spans="1:34"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34" s="31" customFormat="1">
      <c r="G50" s="12"/>
      <c r="K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34">
      <c r="B51" s="31"/>
      <c r="D51" s="15" t="s">
        <v>129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34">
      <c r="B52" s="1">
        <v>65</v>
      </c>
      <c r="C52" s="1" t="s">
        <v>98</v>
      </c>
      <c r="D52" s="27" t="s">
        <v>130</v>
      </c>
      <c r="E52" s="10">
        <v>2002</v>
      </c>
      <c r="F52" s="1">
        <v>6</v>
      </c>
      <c r="G52" s="28">
        <v>0.2</v>
      </c>
      <c r="H52" s="10"/>
      <c r="I52" s="10" t="s">
        <v>92</v>
      </c>
      <c r="J52" s="10">
        <v>7</v>
      </c>
      <c r="K52" s="14">
        <f>E52+J52</f>
        <v>2009</v>
      </c>
      <c r="N52" s="29">
        <v>55000</v>
      </c>
      <c r="O52" s="29">
        <v>0</v>
      </c>
      <c r="P52" s="30">
        <f>N52-N52*G52</f>
        <v>44000</v>
      </c>
      <c r="Q52" s="30">
        <f>P52/J52/12</f>
        <v>523.80952380952374</v>
      </c>
      <c r="R52" s="30">
        <f>IF(O52&gt;0,0,IF(OR(AD52&gt;AE52,AF52&lt;AG52),0,IF(AND(AF52&gt;=AG52,AF52&lt;=AE52),Q52*((AF52-AG52)*12),IF(AND(AG52&lt;=AD52,AE52&gt;=AD52),((AE52-AD52)*12)*Q52,IF(AF52&gt;AE52,12*Q52,0)))))</f>
        <v>0</v>
      </c>
      <c r="S52" s="30"/>
      <c r="T52" s="30">
        <f>IF(S52&gt;0,S52,R52)</f>
        <v>0</v>
      </c>
      <c r="U52" s="30">
        <v>1</v>
      </c>
      <c r="V52" s="30">
        <f>U52*SUM(R52:S52)</f>
        <v>0</v>
      </c>
      <c r="W52" s="30"/>
      <c r="X52" s="30">
        <f>IF(AD52&gt;AE52,0,IF(AF52&lt;AG52,P52,IF(AND(AF52&gt;=AG52,AF52&lt;=AE52),(P52-T52),IF(AND(AG52&lt;=AD52,AE52&gt;=AD52),0,IF(AF52&gt;AE52,((AG52-AD52)*12)*Q52,0)))))</f>
        <v>44000</v>
      </c>
      <c r="Y52" s="30">
        <f>X52*U52</f>
        <v>44000</v>
      </c>
      <c r="Z52" s="30">
        <v>1</v>
      </c>
      <c r="AA52" s="30">
        <f>Y52*Z52</f>
        <v>44000</v>
      </c>
      <c r="AB52" s="30">
        <f>IF(O52&gt;0,0,AA52+V52*Z52)*Z52</f>
        <v>44000</v>
      </c>
      <c r="AC52" s="30">
        <f>IF(O52&gt;0,(N52-AA52)/2,IF(AD52&gt;=AG52,(((N52*U52)*Z52)-AB52)/2,((((N52*U52)*Z52)-AA52)+(((N52*U52)*Z52)-AB52))/2))</f>
        <v>11000</v>
      </c>
      <c r="AD52" s="6">
        <f>$E52+(($F52-1)/12)</f>
        <v>2002.4166666666667</v>
      </c>
      <c r="AE52" s="6">
        <f t="shared" si="12"/>
        <v>2017.6666666666667</v>
      </c>
      <c r="AF52" s="6">
        <f>$K52+(($F52-1)/12)</f>
        <v>2009.4166666666667</v>
      </c>
      <c r="AG52" s="6">
        <f t="shared" si="14"/>
        <v>2016.6666666666667</v>
      </c>
      <c r="AH52" s="6">
        <f>$L52+(($M52-1)/12)</f>
        <v>-8.3333333333333329E-2</v>
      </c>
    </row>
    <row r="53" spans="1:34">
      <c r="A53" s="1" t="s">
        <v>131</v>
      </c>
      <c r="B53" s="1">
        <v>19</v>
      </c>
      <c r="C53" s="1" t="s">
        <v>132</v>
      </c>
      <c r="D53" s="27" t="s">
        <v>133</v>
      </c>
      <c r="E53" s="10">
        <v>2004</v>
      </c>
      <c r="F53" s="1">
        <v>3</v>
      </c>
      <c r="G53" s="28">
        <v>0.33</v>
      </c>
      <c r="H53" s="10"/>
      <c r="I53" s="10" t="s">
        <v>92</v>
      </c>
      <c r="J53" s="10">
        <v>7</v>
      </c>
      <c r="K53" s="14">
        <f>E53+J53</f>
        <v>2011</v>
      </c>
      <c r="N53" s="29">
        <f>40000+10608.49</f>
        <v>50608.49</v>
      </c>
      <c r="O53" s="29">
        <v>0</v>
      </c>
      <c r="P53" s="30">
        <f>N53-N53*G53</f>
        <v>33907.688299999994</v>
      </c>
      <c r="Q53" s="30">
        <f>P53/J53/12</f>
        <v>403.66295595238086</v>
      </c>
      <c r="R53" s="30">
        <f>IF(O53&gt;0,0,IF(OR(AD53&gt;AE53,AF53&lt;AG53),0,IF(AND(AF53&gt;=AG53,AF53&lt;=AE53),Q53*((AF53-AG53)*12),IF(AND(AG53&lt;=AD53,AE53&gt;=AD53),((AE53-AD53)*12)*Q53,IF(AF53&gt;AE53,12*Q53,0)))))</f>
        <v>0</v>
      </c>
      <c r="S53" s="30"/>
      <c r="T53" s="30">
        <f>IF(S53&gt;0,S53,R53)</f>
        <v>0</v>
      </c>
      <c r="U53" s="30">
        <v>1</v>
      </c>
      <c r="V53" s="30">
        <f>U53*SUM(R53:S53)</f>
        <v>0</v>
      </c>
      <c r="W53" s="30"/>
      <c r="X53" s="30">
        <f>IF(AD53&gt;AE53,0,IF(AF53&lt;AG53,P53,IF(AND(AF53&gt;=AG53,AF53&lt;=AE53),(P53-T53),IF(AND(AG53&lt;=AD53,AE53&gt;=AD53),0,IF(AF53&gt;AE53,((AG53-AD53)*12)*Q53,0)))))</f>
        <v>33907.688299999994</v>
      </c>
      <c r="Y53" s="30">
        <f>X53*U53</f>
        <v>33907.688299999994</v>
      </c>
      <c r="Z53" s="30">
        <v>1</v>
      </c>
      <c r="AA53" s="30">
        <f>Y53*Z53</f>
        <v>33907.688299999994</v>
      </c>
      <c r="AB53" s="30">
        <f>IF(O53&gt;0,0,AA53+V53*Z53)*Z53</f>
        <v>33907.688299999994</v>
      </c>
      <c r="AC53" s="30">
        <f>IF(O53&gt;0,(N53-AA53)/2,IF(AD53&gt;=AG53,(((N53*U53)*Z53)-AB53)/2,((((N53*U53)*Z53)-AA53)+(((N53*U53)*Z53)-AB53))/2))</f>
        <v>16700.801700000004</v>
      </c>
      <c r="AD53" s="6">
        <f>$E53+(($F53-1)/12)</f>
        <v>2004.1666666666667</v>
      </c>
      <c r="AE53" s="6">
        <f t="shared" si="12"/>
        <v>2017.6666666666667</v>
      </c>
      <c r="AF53" s="6">
        <f>$K53+(($F53-1)/12)</f>
        <v>2011.1666666666667</v>
      </c>
      <c r="AG53" s="6">
        <f t="shared" si="14"/>
        <v>2016.6666666666667</v>
      </c>
      <c r="AH53" s="6">
        <f>$L53+(($M53-1)/12)</f>
        <v>-8.3333333333333329E-2</v>
      </c>
    </row>
    <row r="54" spans="1:34">
      <c r="D54" s="27"/>
      <c r="E54" s="10"/>
      <c r="G54" s="28"/>
      <c r="H54" s="10"/>
      <c r="I54" s="10"/>
      <c r="J54" s="10"/>
      <c r="K54" s="14"/>
      <c r="N54" s="29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6"/>
      <c r="AE54" s="6"/>
      <c r="AF54" s="6"/>
      <c r="AG54" s="6"/>
      <c r="AH54" s="6"/>
    </row>
    <row r="55" spans="1:34">
      <c r="D55" s="41" t="s">
        <v>134</v>
      </c>
      <c r="E55" s="42"/>
      <c r="F55" s="43"/>
      <c r="G55" s="44"/>
      <c r="H55" s="42"/>
      <c r="I55" s="42"/>
      <c r="J55" s="42"/>
      <c r="K55" s="45"/>
      <c r="L55" s="43"/>
      <c r="M55" s="43"/>
      <c r="N55" s="35">
        <f>SUM(N52:N54)</f>
        <v>105608.48999999999</v>
      </c>
      <c r="O55" s="35"/>
      <c r="P55" s="35">
        <f>SUM(P52:P54)</f>
        <v>77907.688299999994</v>
      </c>
      <c r="Q55" s="35">
        <f t="shared" ref="Q55:R55" si="45">SUM(Q52:Q54)</f>
        <v>927.47247976190465</v>
      </c>
      <c r="R55" s="35">
        <f t="shared" si="45"/>
        <v>0</v>
      </c>
      <c r="S55" s="35"/>
      <c r="T55" s="35">
        <f>SUM(T52:T54)</f>
        <v>0</v>
      </c>
      <c r="U55" s="35"/>
      <c r="V55" s="35">
        <f>SUM(V52:V54)</f>
        <v>0</v>
      </c>
      <c r="W55" s="35"/>
      <c r="X55" s="35">
        <f t="shared" ref="X55:Y55" si="46">SUM(X52:X54)</f>
        <v>77907.688299999994</v>
      </c>
      <c r="Y55" s="35">
        <f t="shared" si="46"/>
        <v>77907.688299999994</v>
      </c>
      <c r="Z55" s="35"/>
      <c r="AA55" s="35">
        <f t="shared" ref="AA55:AC55" si="47">SUM(AA52:AA54)</f>
        <v>77907.688299999994</v>
      </c>
      <c r="AB55" s="35">
        <f t="shared" si="47"/>
        <v>77907.688299999994</v>
      </c>
      <c r="AC55" s="35">
        <f t="shared" si="47"/>
        <v>27700.801700000004</v>
      </c>
      <c r="AD55" s="6"/>
      <c r="AE55" s="6"/>
      <c r="AF55" s="6"/>
      <c r="AG55" s="6"/>
      <c r="AH55" s="6"/>
    </row>
    <row r="56" spans="1:34"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34">
      <c r="B57" s="31"/>
      <c r="D57" s="15" t="s">
        <v>135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:34">
      <c r="B58" s="1">
        <v>25</v>
      </c>
      <c r="C58" s="1" t="s">
        <v>15</v>
      </c>
      <c r="D58" s="27" t="s">
        <v>136</v>
      </c>
      <c r="E58" s="10">
        <v>1996</v>
      </c>
      <c r="F58" s="1">
        <v>11</v>
      </c>
      <c r="G58" s="28">
        <v>0.2</v>
      </c>
      <c r="H58" s="10"/>
      <c r="I58" s="10" t="s">
        <v>92</v>
      </c>
      <c r="J58" s="10">
        <v>7</v>
      </c>
      <c r="K58" s="14">
        <f>E58+J58</f>
        <v>2003</v>
      </c>
      <c r="N58" s="29">
        <v>42000</v>
      </c>
      <c r="O58" s="29">
        <v>0</v>
      </c>
      <c r="P58" s="30">
        <f>N58-N58*G58</f>
        <v>33600</v>
      </c>
      <c r="Q58" s="30">
        <f>P58/J58/12</f>
        <v>400</v>
      </c>
      <c r="R58" s="30">
        <f>IF(O58&gt;0,0,IF(OR(AD58&gt;AE58,AF58&lt;AG58),0,IF(AND(AF58&gt;=AG58,AF58&lt;=AE58),Q58*((AF58-AG58)*12),IF(AND(AG58&lt;=AD58,AE58&gt;=AD58),((AE58-AD58)*12)*Q58,IF(AF58&gt;AE58,12*Q58,0)))))</f>
        <v>0</v>
      </c>
      <c r="S58" s="30"/>
      <c r="T58" s="30">
        <f>IF(S58&gt;0,S58,R58)</f>
        <v>0</v>
      </c>
      <c r="U58" s="30">
        <v>1</v>
      </c>
      <c r="V58" s="30">
        <f>U58*SUM(R58:S58)</f>
        <v>0</v>
      </c>
      <c r="W58" s="30"/>
      <c r="X58" s="30">
        <f>IF(AD58&gt;AE58,0,IF(AF58&lt;AG58,P58,IF(AND(AF58&gt;=AG58,AF58&lt;=AE58),(P58-T58),IF(AND(AG58&lt;=AD58,AE58&gt;=AD58),0,IF(AF58&gt;AE58,((AG58-AD58)*12)*Q58,0)))))</f>
        <v>33600</v>
      </c>
      <c r="Y58" s="30">
        <f>X58*U58</f>
        <v>33600</v>
      </c>
      <c r="Z58" s="30">
        <v>1</v>
      </c>
      <c r="AA58" s="30">
        <f>Y58*Z58</f>
        <v>33600</v>
      </c>
      <c r="AB58" s="30">
        <f>IF(O58&gt;0,0,AA58+V58*Z58)*Z58</f>
        <v>33600</v>
      </c>
      <c r="AC58" s="30">
        <f>IF(O58&gt;0,(N58-AA58)/2,IF(AD58&gt;=AG58,(((N58*U58)*Z58)-AB58)/2,((((N58*U58)*Z58)-AA58)+(((N58*U58)*Z58)-AB58))/2))</f>
        <v>8400</v>
      </c>
      <c r="AD58" s="6">
        <f>$E58+(($F58-1)/12)</f>
        <v>1996.8333333333333</v>
      </c>
      <c r="AE58" s="6">
        <f>($P$5+1)-($P$2/12)</f>
        <v>2017.6666666666667</v>
      </c>
      <c r="AF58" s="6">
        <f>$K58+(($F58-1)/12)</f>
        <v>2003.8333333333333</v>
      </c>
      <c r="AG58" s="6">
        <f>$P$4+($P$3/12)</f>
        <v>2016.6666666666667</v>
      </c>
      <c r="AH58" s="6">
        <f>$L58+(($M58-1)/12)</f>
        <v>-8.3333333333333329E-2</v>
      </c>
    </row>
    <row r="59" spans="1:34">
      <c r="D59" s="27"/>
      <c r="E59" s="10"/>
      <c r="G59" s="28"/>
      <c r="H59" s="10"/>
      <c r="I59" s="10"/>
      <c r="J59" s="10"/>
      <c r="K59" s="14"/>
      <c r="N59" s="29"/>
      <c r="O59" s="29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6"/>
      <c r="AE59" s="6"/>
      <c r="AF59" s="6"/>
      <c r="AG59" s="6"/>
      <c r="AH59" s="6"/>
    </row>
    <row r="60" spans="1:34">
      <c r="D60" s="41" t="s">
        <v>137</v>
      </c>
      <c r="E60" s="42"/>
      <c r="F60" s="43"/>
      <c r="G60" s="44"/>
      <c r="H60" s="42"/>
      <c r="I60" s="42"/>
      <c r="J60" s="42"/>
      <c r="K60" s="45"/>
      <c r="L60" s="43"/>
      <c r="M60" s="43"/>
      <c r="N60" s="35">
        <f>SUM(N58:N59)</f>
        <v>42000</v>
      </c>
      <c r="O60" s="35"/>
      <c r="P60" s="35">
        <f t="shared" ref="P60:R60" si="48">SUM(P58:P59)</f>
        <v>33600</v>
      </c>
      <c r="Q60" s="35">
        <f t="shared" si="48"/>
        <v>400</v>
      </c>
      <c r="R60" s="35">
        <f t="shared" si="48"/>
        <v>0</v>
      </c>
      <c r="S60" s="35"/>
      <c r="T60" s="35">
        <f>SUM(T58:T59)</f>
        <v>0</v>
      </c>
      <c r="U60" s="35"/>
      <c r="V60" s="35">
        <f>SUM(V58:V59)</f>
        <v>0</v>
      </c>
      <c r="W60" s="35"/>
      <c r="X60" s="35">
        <f t="shared" ref="X60:Y60" si="49">SUM(X58:X59)</f>
        <v>33600</v>
      </c>
      <c r="Y60" s="35">
        <f t="shared" si="49"/>
        <v>33600</v>
      </c>
      <c r="Z60" s="35"/>
      <c r="AA60" s="35">
        <f t="shared" ref="AA60:AC60" si="50">SUM(AA58:AA59)</f>
        <v>33600</v>
      </c>
      <c r="AB60" s="35">
        <f t="shared" si="50"/>
        <v>33600</v>
      </c>
      <c r="AC60" s="35">
        <f t="shared" si="50"/>
        <v>8400</v>
      </c>
      <c r="AD60" s="6"/>
      <c r="AE60" s="6"/>
      <c r="AF60" s="6"/>
      <c r="AG60" s="6"/>
      <c r="AH60" s="6"/>
    </row>
    <row r="61" spans="1:34"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34" s="31" customFormat="1" ht="12" thickBot="1">
      <c r="D62" s="46" t="s">
        <v>138</v>
      </c>
      <c r="E62" s="46"/>
      <c r="F62" s="46"/>
      <c r="G62" s="47"/>
      <c r="H62" s="46"/>
      <c r="I62" s="46"/>
      <c r="J62" s="46"/>
      <c r="K62" s="48"/>
      <c r="L62" s="46"/>
      <c r="M62" s="46"/>
      <c r="N62" s="49">
        <f>N60+N55+N48+N33</f>
        <v>2114839.31</v>
      </c>
      <c r="O62" s="49"/>
      <c r="P62" s="49">
        <f t="shared" ref="P62:R62" si="51">P60+P55+P48+P33</f>
        <v>1678006.5040000002</v>
      </c>
      <c r="Q62" s="49">
        <f t="shared" si="51"/>
        <v>21924.727444444445</v>
      </c>
      <c r="R62" s="49">
        <f t="shared" si="51"/>
        <v>139509.82752380814</v>
      </c>
      <c r="S62" s="49"/>
      <c r="T62" s="49">
        <f>T60+T55+T48+T33</f>
        <v>139509.82752380814</v>
      </c>
      <c r="U62" s="49"/>
      <c r="V62" s="49">
        <f>V60+V55+V48+V33</f>
        <v>139509.82752380814</v>
      </c>
      <c r="W62" s="49"/>
      <c r="X62" s="49">
        <f t="shared" ref="X62:Y62" si="52">X60+X55+X48+X33</f>
        <v>1086434.756460323</v>
      </c>
      <c r="Y62" s="49">
        <f t="shared" si="52"/>
        <v>1086434.756460323</v>
      </c>
      <c r="Z62" s="49"/>
      <c r="AA62" s="49">
        <f t="shared" ref="AA62:AC62" si="53">AA60+AA55+AA48+AA33</f>
        <v>1086434.756460323</v>
      </c>
      <c r="AB62" s="49">
        <f t="shared" si="53"/>
        <v>1225944.583984131</v>
      </c>
      <c r="AC62" s="49">
        <f t="shared" si="53"/>
        <v>951640.13977777294</v>
      </c>
    </row>
    <row r="63" spans="1:34"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:34">
      <c r="D64" s="15" t="s">
        <v>139</v>
      </c>
      <c r="E64" s="10"/>
      <c r="G64" s="1"/>
      <c r="J64" s="10"/>
      <c r="L64" s="23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3:34">
      <c r="C65" s="1">
        <v>10</v>
      </c>
      <c r="D65" s="27" t="s">
        <v>140</v>
      </c>
      <c r="E65" s="10">
        <v>1981</v>
      </c>
      <c r="F65" s="1">
        <v>9</v>
      </c>
      <c r="G65" s="50">
        <v>0</v>
      </c>
      <c r="H65" s="50"/>
      <c r="I65" s="10" t="s">
        <v>92</v>
      </c>
      <c r="J65" s="10">
        <v>10</v>
      </c>
      <c r="K65" s="4">
        <f t="shared" ref="K65:K128" si="54">E65+J65</f>
        <v>1991</v>
      </c>
      <c r="L65" s="51"/>
      <c r="N65" s="29">
        <v>3369.97</v>
      </c>
      <c r="O65" s="38"/>
      <c r="P65" s="30">
        <f t="shared" ref="P65:P128" si="55">N65-N65*G65</f>
        <v>3369.97</v>
      </c>
      <c r="Q65" s="30">
        <f t="shared" ref="Q65:Q128" si="56">P65/J65/12</f>
        <v>28.083083333333331</v>
      </c>
      <c r="R65" s="30">
        <f t="shared" ref="R65:R128" si="57">IF(O65&gt;0,0,IF(OR(AD65&gt;AE65,AF65&lt;AG65),0,IF(AND(AF65&gt;=AG65,AF65&lt;=AE65),Q65*((AF65-AG65)*12),IF(AND(AG65&lt;=AD65,AE65&gt;=AD65),((AE65-AD65)*12)*Q65,IF(AF65&gt;AE65,12*Q65,0)))))</f>
        <v>0</v>
      </c>
      <c r="S65" s="30"/>
      <c r="T65" s="30">
        <f t="shared" ref="T65:T128" si="58">IF(S65&gt;0,S65,R65)</f>
        <v>0</v>
      </c>
      <c r="U65" s="30">
        <v>1</v>
      </c>
      <c r="V65" s="30">
        <f t="shared" ref="V65:V128" si="59">U65*SUM(R65:S65)</f>
        <v>0</v>
      </c>
      <c r="W65" s="30"/>
      <c r="X65" s="30">
        <f t="shared" ref="X65:X128" si="60">IF(AD65&gt;AE65,0,IF(AF65&lt;AG65,P65,IF(AND(AF65&gt;=AG65,AF65&lt;=AE65),(P65-T65),IF(AND(AG65&lt;=AD65,AE65&gt;=AD65),0,IF(AF65&gt;AE65,((AG65-AD65)*12)*Q65,0)))))</f>
        <v>3369.97</v>
      </c>
      <c r="Y65" s="30">
        <f t="shared" ref="Y65:Y128" si="61">X65*U65</f>
        <v>3369.97</v>
      </c>
      <c r="Z65" s="30">
        <v>1</v>
      </c>
      <c r="AA65" s="30">
        <f t="shared" ref="AA65:AA128" si="62">Y65*Z65</f>
        <v>3369.97</v>
      </c>
      <c r="AB65" s="30">
        <f t="shared" ref="AB65:AB128" si="63">IF(O65&gt;0,0,AA65+V65*Z65)*Z65</f>
        <v>3369.97</v>
      </c>
      <c r="AC65" s="30">
        <f t="shared" ref="AC65:AC128" si="64">IF(O65&gt;0,(N65-AA65)/2,IF(AD65&gt;=AG65,(((N65*U65)*Z65)-AB65)/2,((((N65*U65)*Z65)-AA65)+(((N65*U65)*Z65)-AB65))/2))</f>
        <v>0</v>
      </c>
      <c r="AD65" s="6">
        <f t="shared" ref="AD65:AD128" si="65">$E65+(($F65-1)/12)</f>
        <v>1981.6666666666667</v>
      </c>
      <c r="AE65" s="6">
        <f t="shared" ref="AE65:AE128" si="66">($P$5+1)-($P$2/12)</f>
        <v>2017.6666666666667</v>
      </c>
      <c r="AF65" s="6">
        <f t="shared" ref="AF65:AF128" si="67">$K65+(($F65-1)/12)</f>
        <v>1991.6666666666667</v>
      </c>
      <c r="AG65" s="6">
        <f t="shared" ref="AG65:AG128" si="68">$P$4+($P$3/12)</f>
        <v>2016.6666666666667</v>
      </c>
      <c r="AH65" s="6">
        <f t="shared" ref="AH65:AH128" si="69">$L65+(($M65-1)/12)</f>
        <v>-8.3333333333333329E-2</v>
      </c>
    </row>
    <row r="66" spans="3:34">
      <c r="C66" s="1">
        <v>4</v>
      </c>
      <c r="D66" s="27" t="s">
        <v>141</v>
      </c>
      <c r="E66" s="10">
        <v>1982</v>
      </c>
      <c r="F66" s="1">
        <v>6</v>
      </c>
      <c r="G66" s="50">
        <v>0</v>
      </c>
      <c r="H66" s="50"/>
      <c r="I66" s="10" t="s">
        <v>92</v>
      </c>
      <c r="J66" s="10">
        <v>7</v>
      </c>
      <c r="K66" s="4">
        <f t="shared" si="54"/>
        <v>1989</v>
      </c>
      <c r="L66" s="51"/>
      <c r="N66" s="29">
        <v>1076.96</v>
      </c>
      <c r="O66" s="38"/>
      <c r="P66" s="30">
        <f t="shared" si="55"/>
        <v>1076.96</v>
      </c>
      <c r="Q66" s="30">
        <f t="shared" si="56"/>
        <v>12.820952380952383</v>
      </c>
      <c r="R66" s="30">
        <f t="shared" si="57"/>
        <v>0</v>
      </c>
      <c r="S66" s="30"/>
      <c r="T66" s="30">
        <f t="shared" si="58"/>
        <v>0</v>
      </c>
      <c r="U66" s="30">
        <v>1</v>
      </c>
      <c r="V66" s="30">
        <f t="shared" si="59"/>
        <v>0</v>
      </c>
      <c r="W66" s="30"/>
      <c r="X66" s="30">
        <f t="shared" si="60"/>
        <v>1076.96</v>
      </c>
      <c r="Y66" s="30">
        <f t="shared" si="61"/>
        <v>1076.96</v>
      </c>
      <c r="Z66" s="30">
        <v>1</v>
      </c>
      <c r="AA66" s="30">
        <f t="shared" si="62"/>
        <v>1076.96</v>
      </c>
      <c r="AB66" s="30">
        <f t="shared" si="63"/>
        <v>1076.96</v>
      </c>
      <c r="AC66" s="30">
        <f t="shared" si="64"/>
        <v>0</v>
      </c>
      <c r="AD66" s="6">
        <f t="shared" si="65"/>
        <v>1982.4166666666667</v>
      </c>
      <c r="AE66" s="6">
        <f t="shared" si="66"/>
        <v>2017.6666666666667</v>
      </c>
      <c r="AF66" s="6">
        <f t="shared" si="67"/>
        <v>1989.4166666666667</v>
      </c>
      <c r="AG66" s="6">
        <f t="shared" si="68"/>
        <v>2016.6666666666667</v>
      </c>
      <c r="AH66" s="6">
        <f t="shared" si="69"/>
        <v>-8.3333333333333329E-2</v>
      </c>
    </row>
    <row r="67" spans="3:34">
      <c r="C67" s="1">
        <v>12</v>
      </c>
      <c r="D67" s="27" t="s">
        <v>142</v>
      </c>
      <c r="E67" s="10">
        <v>1982</v>
      </c>
      <c r="F67" s="1">
        <v>11</v>
      </c>
      <c r="G67" s="50">
        <v>0</v>
      </c>
      <c r="H67" s="50"/>
      <c r="I67" s="10" t="s">
        <v>92</v>
      </c>
      <c r="J67" s="10">
        <v>7</v>
      </c>
      <c r="K67" s="4">
        <f t="shared" si="54"/>
        <v>1989</v>
      </c>
      <c r="L67" s="51"/>
      <c r="N67" s="29">
        <v>3131</v>
      </c>
      <c r="O67" s="38"/>
      <c r="P67" s="30">
        <f t="shared" si="55"/>
        <v>3131</v>
      </c>
      <c r="Q67" s="30">
        <f t="shared" si="56"/>
        <v>37.273809523809526</v>
      </c>
      <c r="R67" s="30">
        <f t="shared" si="57"/>
        <v>0</v>
      </c>
      <c r="S67" s="30"/>
      <c r="T67" s="30">
        <f t="shared" si="58"/>
        <v>0</v>
      </c>
      <c r="U67" s="30">
        <v>1</v>
      </c>
      <c r="V67" s="30">
        <f t="shared" si="59"/>
        <v>0</v>
      </c>
      <c r="W67" s="30"/>
      <c r="X67" s="30">
        <f t="shared" si="60"/>
        <v>3131</v>
      </c>
      <c r="Y67" s="30">
        <f t="shared" si="61"/>
        <v>3131</v>
      </c>
      <c r="Z67" s="30">
        <v>1</v>
      </c>
      <c r="AA67" s="30">
        <f t="shared" si="62"/>
        <v>3131</v>
      </c>
      <c r="AB67" s="30">
        <f t="shared" si="63"/>
        <v>3131</v>
      </c>
      <c r="AC67" s="30">
        <f t="shared" si="64"/>
        <v>0</v>
      </c>
      <c r="AD67" s="6">
        <f t="shared" si="65"/>
        <v>1982.8333333333333</v>
      </c>
      <c r="AE67" s="6">
        <f t="shared" si="66"/>
        <v>2017.6666666666667</v>
      </c>
      <c r="AF67" s="6">
        <f t="shared" si="67"/>
        <v>1989.8333333333333</v>
      </c>
      <c r="AG67" s="6">
        <f t="shared" si="68"/>
        <v>2016.6666666666667</v>
      </c>
      <c r="AH67" s="6">
        <f t="shared" si="69"/>
        <v>-8.3333333333333329E-2</v>
      </c>
    </row>
    <row r="68" spans="3:34">
      <c r="C68" s="1">
        <v>1</v>
      </c>
      <c r="D68" s="27" t="s">
        <v>143</v>
      </c>
      <c r="E68" s="10">
        <v>1983</v>
      </c>
      <c r="F68" s="1">
        <v>9</v>
      </c>
      <c r="G68" s="50">
        <v>0</v>
      </c>
      <c r="H68" s="50"/>
      <c r="I68" s="10" t="s">
        <v>92</v>
      </c>
      <c r="J68" s="10">
        <v>10</v>
      </c>
      <c r="K68" s="4">
        <f t="shared" si="54"/>
        <v>1993</v>
      </c>
      <c r="L68" s="51"/>
      <c r="N68" s="29">
        <v>2291</v>
      </c>
      <c r="O68" s="38"/>
      <c r="P68" s="30">
        <f t="shared" si="55"/>
        <v>2291</v>
      </c>
      <c r="Q68" s="30">
        <f t="shared" si="56"/>
        <v>19.091666666666665</v>
      </c>
      <c r="R68" s="30">
        <f t="shared" si="57"/>
        <v>0</v>
      </c>
      <c r="S68" s="30"/>
      <c r="T68" s="30">
        <f t="shared" si="58"/>
        <v>0</v>
      </c>
      <c r="U68" s="30">
        <v>1</v>
      </c>
      <c r="V68" s="30">
        <f t="shared" si="59"/>
        <v>0</v>
      </c>
      <c r="W68" s="30"/>
      <c r="X68" s="30">
        <f t="shared" si="60"/>
        <v>2291</v>
      </c>
      <c r="Y68" s="30">
        <f t="shared" si="61"/>
        <v>2291</v>
      </c>
      <c r="Z68" s="30">
        <v>1</v>
      </c>
      <c r="AA68" s="30">
        <f t="shared" si="62"/>
        <v>2291</v>
      </c>
      <c r="AB68" s="30">
        <f t="shared" si="63"/>
        <v>2291</v>
      </c>
      <c r="AC68" s="30">
        <f t="shared" si="64"/>
        <v>0</v>
      </c>
      <c r="AD68" s="6">
        <f t="shared" si="65"/>
        <v>1983.6666666666667</v>
      </c>
      <c r="AE68" s="6">
        <f t="shared" si="66"/>
        <v>2017.6666666666667</v>
      </c>
      <c r="AF68" s="6">
        <f t="shared" si="67"/>
        <v>1993.6666666666667</v>
      </c>
      <c r="AG68" s="6">
        <f t="shared" si="68"/>
        <v>2016.6666666666667</v>
      </c>
      <c r="AH68" s="6">
        <f t="shared" si="69"/>
        <v>-8.3333333333333329E-2</v>
      </c>
    </row>
    <row r="69" spans="3:34">
      <c r="D69" s="27" t="s">
        <v>143</v>
      </c>
      <c r="E69" s="10">
        <v>1983</v>
      </c>
      <c r="F69" s="1">
        <v>9</v>
      </c>
      <c r="G69" s="50">
        <v>0</v>
      </c>
      <c r="H69" s="50"/>
      <c r="I69" s="10" t="s">
        <v>92</v>
      </c>
      <c r="J69" s="10">
        <v>10</v>
      </c>
      <c r="K69" s="4">
        <f t="shared" si="54"/>
        <v>1993</v>
      </c>
      <c r="L69" s="51"/>
      <c r="N69" s="29">
        <v>2290.84</v>
      </c>
      <c r="O69" s="38"/>
      <c r="P69" s="30">
        <f t="shared" si="55"/>
        <v>2290.84</v>
      </c>
      <c r="Q69" s="30">
        <f t="shared" si="56"/>
        <v>19.090333333333334</v>
      </c>
      <c r="R69" s="30">
        <f t="shared" si="57"/>
        <v>0</v>
      </c>
      <c r="S69" s="30"/>
      <c r="T69" s="30">
        <f t="shared" si="58"/>
        <v>0</v>
      </c>
      <c r="U69" s="30">
        <v>1</v>
      </c>
      <c r="V69" s="30">
        <f t="shared" si="59"/>
        <v>0</v>
      </c>
      <c r="W69" s="30"/>
      <c r="X69" s="30">
        <f t="shared" si="60"/>
        <v>2290.84</v>
      </c>
      <c r="Y69" s="30">
        <f t="shared" si="61"/>
        <v>2290.84</v>
      </c>
      <c r="Z69" s="30">
        <v>1</v>
      </c>
      <c r="AA69" s="30">
        <f t="shared" si="62"/>
        <v>2290.84</v>
      </c>
      <c r="AB69" s="30">
        <f t="shared" si="63"/>
        <v>2290.84</v>
      </c>
      <c r="AC69" s="30">
        <f t="shared" si="64"/>
        <v>0</v>
      </c>
      <c r="AD69" s="6">
        <f t="shared" si="65"/>
        <v>1983.6666666666667</v>
      </c>
      <c r="AE69" s="6">
        <f t="shared" si="66"/>
        <v>2017.6666666666667</v>
      </c>
      <c r="AF69" s="6">
        <f t="shared" si="67"/>
        <v>1993.6666666666667</v>
      </c>
      <c r="AG69" s="6">
        <f t="shared" si="68"/>
        <v>2016.6666666666667</v>
      </c>
      <c r="AH69" s="6">
        <f t="shared" si="69"/>
        <v>-8.3333333333333329E-2</v>
      </c>
    </row>
    <row r="70" spans="3:34">
      <c r="C70" s="1">
        <v>12</v>
      </c>
      <c r="D70" s="1" t="str">
        <f>D69</f>
        <v xml:space="preserve">Containers </v>
      </c>
      <c r="E70" s="10">
        <v>1984</v>
      </c>
      <c r="F70" s="1">
        <v>4</v>
      </c>
      <c r="G70" s="50">
        <v>0</v>
      </c>
      <c r="H70" s="50"/>
      <c r="I70" s="10" t="s">
        <v>92</v>
      </c>
      <c r="J70" s="10">
        <v>10</v>
      </c>
      <c r="K70" s="4">
        <f t="shared" si="54"/>
        <v>1994</v>
      </c>
      <c r="L70" s="51"/>
      <c r="N70" s="29">
        <v>3369.97</v>
      </c>
      <c r="O70" s="38"/>
      <c r="P70" s="30">
        <f t="shared" si="55"/>
        <v>3369.97</v>
      </c>
      <c r="Q70" s="30">
        <f t="shared" si="56"/>
        <v>28.083083333333331</v>
      </c>
      <c r="R70" s="30">
        <f t="shared" si="57"/>
        <v>0</v>
      </c>
      <c r="S70" s="30"/>
      <c r="T70" s="30">
        <f t="shared" si="58"/>
        <v>0</v>
      </c>
      <c r="U70" s="30">
        <v>1</v>
      </c>
      <c r="V70" s="30">
        <f t="shared" si="59"/>
        <v>0</v>
      </c>
      <c r="W70" s="30"/>
      <c r="X70" s="30">
        <f t="shared" si="60"/>
        <v>3369.97</v>
      </c>
      <c r="Y70" s="30">
        <f t="shared" si="61"/>
        <v>3369.97</v>
      </c>
      <c r="Z70" s="30">
        <v>1</v>
      </c>
      <c r="AA70" s="30">
        <f t="shared" si="62"/>
        <v>3369.97</v>
      </c>
      <c r="AB70" s="30">
        <f t="shared" si="63"/>
        <v>3369.97</v>
      </c>
      <c r="AC70" s="30">
        <f t="shared" si="64"/>
        <v>0</v>
      </c>
      <c r="AD70" s="6">
        <f t="shared" si="65"/>
        <v>1984.25</v>
      </c>
      <c r="AE70" s="6">
        <f t="shared" si="66"/>
        <v>2017.6666666666667</v>
      </c>
      <c r="AF70" s="6">
        <f t="shared" si="67"/>
        <v>1994.25</v>
      </c>
      <c r="AG70" s="6">
        <f t="shared" si="68"/>
        <v>2016.6666666666667</v>
      </c>
      <c r="AH70" s="6">
        <f t="shared" si="69"/>
        <v>-8.3333333333333329E-2</v>
      </c>
    </row>
    <row r="71" spans="3:34">
      <c r="C71" s="1">
        <v>1</v>
      </c>
      <c r="D71" s="27" t="s">
        <v>144</v>
      </c>
      <c r="E71" s="10">
        <v>1984</v>
      </c>
      <c r="F71" s="1">
        <v>7</v>
      </c>
      <c r="G71" s="50">
        <v>0</v>
      </c>
      <c r="H71" s="50"/>
      <c r="I71" s="10" t="s">
        <v>92</v>
      </c>
      <c r="J71" s="10">
        <v>10</v>
      </c>
      <c r="K71" s="4">
        <f t="shared" si="54"/>
        <v>1994</v>
      </c>
      <c r="L71" s="51"/>
      <c r="N71" s="29">
        <v>3612.77</v>
      </c>
      <c r="O71" s="38"/>
      <c r="P71" s="30">
        <f t="shared" si="55"/>
        <v>3612.77</v>
      </c>
      <c r="Q71" s="30">
        <f t="shared" si="56"/>
        <v>30.106416666666664</v>
      </c>
      <c r="R71" s="30">
        <f t="shared" si="57"/>
        <v>0</v>
      </c>
      <c r="S71" s="30"/>
      <c r="T71" s="30">
        <f t="shared" si="58"/>
        <v>0</v>
      </c>
      <c r="U71" s="30">
        <v>1</v>
      </c>
      <c r="V71" s="30">
        <f t="shared" si="59"/>
        <v>0</v>
      </c>
      <c r="W71" s="30"/>
      <c r="X71" s="30">
        <f t="shared" si="60"/>
        <v>3612.77</v>
      </c>
      <c r="Y71" s="30">
        <f t="shared" si="61"/>
        <v>3612.77</v>
      </c>
      <c r="Z71" s="30">
        <v>1</v>
      </c>
      <c r="AA71" s="30">
        <f t="shared" si="62"/>
        <v>3612.77</v>
      </c>
      <c r="AB71" s="30">
        <f t="shared" si="63"/>
        <v>3612.77</v>
      </c>
      <c r="AC71" s="30">
        <f t="shared" si="64"/>
        <v>0</v>
      </c>
      <c r="AD71" s="6">
        <f t="shared" si="65"/>
        <v>1984.5</v>
      </c>
      <c r="AE71" s="6">
        <f t="shared" si="66"/>
        <v>2017.6666666666667</v>
      </c>
      <c r="AF71" s="6">
        <f t="shared" si="67"/>
        <v>1994.5</v>
      </c>
      <c r="AG71" s="6">
        <f t="shared" si="68"/>
        <v>2016.6666666666667</v>
      </c>
      <c r="AH71" s="6">
        <f t="shared" si="69"/>
        <v>-8.3333333333333329E-2</v>
      </c>
    </row>
    <row r="72" spans="3:34">
      <c r="C72" s="1">
        <v>8</v>
      </c>
      <c r="D72" s="27" t="s">
        <v>145</v>
      </c>
      <c r="E72" s="10">
        <v>1985</v>
      </c>
      <c r="F72" s="1">
        <v>3</v>
      </c>
      <c r="G72" s="50">
        <v>0</v>
      </c>
      <c r="H72" s="50"/>
      <c r="I72" s="10" t="s">
        <v>92</v>
      </c>
      <c r="J72" s="10">
        <v>10</v>
      </c>
      <c r="K72" s="4">
        <f t="shared" si="54"/>
        <v>1995</v>
      </c>
      <c r="L72" s="51"/>
      <c r="N72" s="29">
        <v>3229.62</v>
      </c>
      <c r="O72" s="38"/>
      <c r="P72" s="30">
        <f t="shared" si="55"/>
        <v>3229.62</v>
      </c>
      <c r="Q72" s="30">
        <f t="shared" si="56"/>
        <v>26.913499999999999</v>
      </c>
      <c r="R72" s="30">
        <f t="shared" si="57"/>
        <v>0</v>
      </c>
      <c r="S72" s="30"/>
      <c r="T72" s="30">
        <f t="shared" si="58"/>
        <v>0</v>
      </c>
      <c r="U72" s="30">
        <v>1</v>
      </c>
      <c r="V72" s="30">
        <f t="shared" si="59"/>
        <v>0</v>
      </c>
      <c r="W72" s="30"/>
      <c r="X72" s="30">
        <f t="shared" si="60"/>
        <v>3229.62</v>
      </c>
      <c r="Y72" s="30">
        <f t="shared" si="61"/>
        <v>3229.62</v>
      </c>
      <c r="Z72" s="30">
        <v>1</v>
      </c>
      <c r="AA72" s="30">
        <f t="shared" si="62"/>
        <v>3229.62</v>
      </c>
      <c r="AB72" s="30">
        <f t="shared" si="63"/>
        <v>3229.62</v>
      </c>
      <c r="AC72" s="30">
        <f t="shared" si="64"/>
        <v>0</v>
      </c>
      <c r="AD72" s="6">
        <f t="shared" si="65"/>
        <v>1985.1666666666667</v>
      </c>
      <c r="AE72" s="6">
        <f t="shared" si="66"/>
        <v>2017.6666666666667</v>
      </c>
      <c r="AF72" s="6">
        <f t="shared" si="67"/>
        <v>1995.1666666666667</v>
      </c>
      <c r="AG72" s="6">
        <f t="shared" si="68"/>
        <v>2016.6666666666667</v>
      </c>
      <c r="AH72" s="6">
        <f t="shared" si="69"/>
        <v>-8.3333333333333329E-2</v>
      </c>
    </row>
    <row r="73" spans="3:34">
      <c r="C73" s="1">
        <v>23</v>
      </c>
      <c r="D73" s="27" t="s">
        <v>146</v>
      </c>
      <c r="E73" s="10">
        <v>1985</v>
      </c>
      <c r="F73" s="1">
        <v>6</v>
      </c>
      <c r="G73" s="50">
        <v>0</v>
      </c>
      <c r="H73" s="50"/>
      <c r="I73" s="10" t="s">
        <v>92</v>
      </c>
      <c r="J73" s="10">
        <v>5</v>
      </c>
      <c r="K73" s="4">
        <f t="shared" si="54"/>
        <v>1990</v>
      </c>
      <c r="L73" s="51"/>
      <c r="N73" s="29">
        <v>6882.4</v>
      </c>
      <c r="O73" s="38"/>
      <c r="P73" s="30">
        <f t="shared" si="55"/>
        <v>6882.4</v>
      </c>
      <c r="Q73" s="30">
        <f t="shared" si="56"/>
        <v>114.70666666666666</v>
      </c>
      <c r="R73" s="30">
        <f t="shared" si="57"/>
        <v>0</v>
      </c>
      <c r="S73" s="30"/>
      <c r="T73" s="30">
        <f t="shared" si="58"/>
        <v>0</v>
      </c>
      <c r="U73" s="30">
        <v>1</v>
      </c>
      <c r="V73" s="30">
        <f t="shared" si="59"/>
        <v>0</v>
      </c>
      <c r="W73" s="30"/>
      <c r="X73" s="30">
        <f t="shared" si="60"/>
        <v>6882.4</v>
      </c>
      <c r="Y73" s="30">
        <f t="shared" si="61"/>
        <v>6882.4</v>
      </c>
      <c r="Z73" s="30">
        <v>1</v>
      </c>
      <c r="AA73" s="30">
        <f t="shared" si="62"/>
        <v>6882.4</v>
      </c>
      <c r="AB73" s="30">
        <f t="shared" si="63"/>
        <v>6882.4</v>
      </c>
      <c r="AC73" s="30">
        <f t="shared" si="64"/>
        <v>0</v>
      </c>
      <c r="AD73" s="6">
        <f t="shared" si="65"/>
        <v>1985.4166666666667</v>
      </c>
      <c r="AE73" s="6">
        <f t="shared" si="66"/>
        <v>2017.6666666666667</v>
      </c>
      <c r="AF73" s="6">
        <f t="shared" si="67"/>
        <v>1990.4166666666667</v>
      </c>
      <c r="AG73" s="6">
        <f t="shared" si="68"/>
        <v>2016.6666666666667</v>
      </c>
      <c r="AH73" s="6">
        <f t="shared" si="69"/>
        <v>-8.3333333333333329E-2</v>
      </c>
    </row>
    <row r="74" spans="3:34">
      <c r="C74" s="1">
        <v>2</v>
      </c>
      <c r="D74" s="27" t="s">
        <v>147</v>
      </c>
      <c r="E74" s="10">
        <v>1986</v>
      </c>
      <c r="F74" s="1">
        <v>3</v>
      </c>
      <c r="G74" s="50">
        <v>0</v>
      </c>
      <c r="H74" s="50"/>
      <c r="I74" s="10" t="s">
        <v>92</v>
      </c>
      <c r="J74" s="10">
        <v>10</v>
      </c>
      <c r="K74" s="4">
        <f t="shared" si="54"/>
        <v>1996</v>
      </c>
      <c r="L74" s="51"/>
      <c r="N74" s="29">
        <v>668.36</v>
      </c>
      <c r="O74" s="38"/>
      <c r="P74" s="30">
        <f t="shared" si="55"/>
        <v>668.36</v>
      </c>
      <c r="Q74" s="30">
        <f t="shared" si="56"/>
        <v>5.5696666666666665</v>
      </c>
      <c r="R74" s="30">
        <f t="shared" si="57"/>
        <v>0</v>
      </c>
      <c r="S74" s="30"/>
      <c r="T74" s="30">
        <f t="shared" si="58"/>
        <v>0</v>
      </c>
      <c r="U74" s="30">
        <v>1</v>
      </c>
      <c r="V74" s="30">
        <f t="shared" si="59"/>
        <v>0</v>
      </c>
      <c r="W74" s="30"/>
      <c r="X74" s="30">
        <f t="shared" si="60"/>
        <v>668.36</v>
      </c>
      <c r="Y74" s="30">
        <f t="shared" si="61"/>
        <v>668.36</v>
      </c>
      <c r="Z74" s="30">
        <v>1</v>
      </c>
      <c r="AA74" s="30">
        <f t="shared" si="62"/>
        <v>668.36</v>
      </c>
      <c r="AB74" s="30">
        <f t="shared" si="63"/>
        <v>668.36</v>
      </c>
      <c r="AC74" s="30">
        <f t="shared" si="64"/>
        <v>0</v>
      </c>
      <c r="AD74" s="6">
        <f t="shared" si="65"/>
        <v>1986.1666666666667</v>
      </c>
      <c r="AE74" s="6">
        <f t="shared" si="66"/>
        <v>2017.6666666666667</v>
      </c>
      <c r="AF74" s="6">
        <f t="shared" si="67"/>
        <v>1996.1666666666667</v>
      </c>
      <c r="AG74" s="6">
        <f t="shared" si="68"/>
        <v>2016.6666666666667</v>
      </c>
      <c r="AH74" s="6">
        <f t="shared" si="69"/>
        <v>-8.3333333333333329E-2</v>
      </c>
    </row>
    <row r="75" spans="3:34">
      <c r="C75" s="1">
        <v>4</v>
      </c>
      <c r="D75" s="27" t="s">
        <v>141</v>
      </c>
      <c r="E75" s="10">
        <v>1986</v>
      </c>
      <c r="F75" s="1">
        <v>5</v>
      </c>
      <c r="G75" s="50">
        <v>0</v>
      </c>
      <c r="H75" s="50"/>
      <c r="I75" s="10" t="s">
        <v>92</v>
      </c>
      <c r="J75" s="10">
        <v>10</v>
      </c>
      <c r="K75" s="4">
        <f t="shared" si="54"/>
        <v>1996</v>
      </c>
      <c r="L75" s="51"/>
      <c r="N75" s="29">
        <v>1034.8800000000001</v>
      </c>
      <c r="O75" s="38"/>
      <c r="P75" s="30">
        <f t="shared" si="55"/>
        <v>1034.8800000000001</v>
      </c>
      <c r="Q75" s="30">
        <f t="shared" si="56"/>
        <v>8.6240000000000006</v>
      </c>
      <c r="R75" s="30">
        <f t="shared" si="57"/>
        <v>0</v>
      </c>
      <c r="S75" s="30"/>
      <c r="T75" s="30">
        <f t="shared" si="58"/>
        <v>0</v>
      </c>
      <c r="U75" s="30">
        <v>1</v>
      </c>
      <c r="V75" s="30">
        <f t="shared" si="59"/>
        <v>0</v>
      </c>
      <c r="W75" s="30"/>
      <c r="X75" s="30">
        <f t="shared" si="60"/>
        <v>1034.8800000000001</v>
      </c>
      <c r="Y75" s="30">
        <f t="shared" si="61"/>
        <v>1034.8800000000001</v>
      </c>
      <c r="Z75" s="30">
        <v>1</v>
      </c>
      <c r="AA75" s="30">
        <f t="shared" si="62"/>
        <v>1034.8800000000001</v>
      </c>
      <c r="AB75" s="30">
        <f t="shared" si="63"/>
        <v>1034.8800000000001</v>
      </c>
      <c r="AC75" s="30">
        <f t="shared" si="64"/>
        <v>0</v>
      </c>
      <c r="AD75" s="6">
        <f t="shared" si="65"/>
        <v>1986.3333333333333</v>
      </c>
      <c r="AE75" s="6">
        <f t="shared" si="66"/>
        <v>2017.6666666666667</v>
      </c>
      <c r="AF75" s="6">
        <f t="shared" si="67"/>
        <v>1996.3333333333333</v>
      </c>
      <c r="AG75" s="6">
        <f t="shared" si="68"/>
        <v>2016.6666666666667</v>
      </c>
      <c r="AH75" s="6">
        <f t="shared" si="69"/>
        <v>-8.3333333333333329E-2</v>
      </c>
    </row>
    <row r="76" spans="3:34">
      <c r="C76" s="1">
        <v>1</v>
      </c>
      <c r="D76" s="1" t="str">
        <f>D71</f>
        <v>Containers 1</v>
      </c>
      <c r="E76" s="10">
        <v>1986</v>
      </c>
      <c r="F76" s="1">
        <v>6</v>
      </c>
      <c r="G76" s="50">
        <v>0</v>
      </c>
      <c r="H76" s="50"/>
      <c r="I76" s="10" t="s">
        <v>92</v>
      </c>
      <c r="J76" s="10">
        <v>10</v>
      </c>
      <c r="K76" s="4">
        <f t="shared" si="54"/>
        <v>1996</v>
      </c>
      <c r="L76" s="51"/>
      <c r="N76" s="29">
        <v>315.85000000000002</v>
      </c>
      <c r="O76" s="38"/>
      <c r="P76" s="30">
        <f t="shared" si="55"/>
        <v>315.85000000000002</v>
      </c>
      <c r="Q76" s="30">
        <f t="shared" si="56"/>
        <v>2.6320833333333336</v>
      </c>
      <c r="R76" s="30">
        <f t="shared" si="57"/>
        <v>0</v>
      </c>
      <c r="S76" s="30"/>
      <c r="T76" s="30">
        <f t="shared" si="58"/>
        <v>0</v>
      </c>
      <c r="U76" s="30">
        <v>1</v>
      </c>
      <c r="V76" s="30">
        <f t="shared" si="59"/>
        <v>0</v>
      </c>
      <c r="W76" s="30"/>
      <c r="X76" s="30">
        <f t="shared" si="60"/>
        <v>315.85000000000002</v>
      </c>
      <c r="Y76" s="30">
        <f t="shared" si="61"/>
        <v>315.85000000000002</v>
      </c>
      <c r="Z76" s="30">
        <v>1</v>
      </c>
      <c r="AA76" s="30">
        <f t="shared" si="62"/>
        <v>315.85000000000002</v>
      </c>
      <c r="AB76" s="30">
        <f t="shared" si="63"/>
        <v>315.85000000000002</v>
      </c>
      <c r="AC76" s="30">
        <f t="shared" si="64"/>
        <v>0</v>
      </c>
      <c r="AD76" s="6">
        <f t="shared" si="65"/>
        <v>1986.4166666666667</v>
      </c>
      <c r="AE76" s="6">
        <f t="shared" si="66"/>
        <v>2017.6666666666667</v>
      </c>
      <c r="AF76" s="6">
        <f t="shared" si="67"/>
        <v>1996.4166666666667</v>
      </c>
      <c r="AG76" s="6">
        <f t="shared" si="68"/>
        <v>2016.6666666666667</v>
      </c>
      <c r="AH76" s="6">
        <f t="shared" si="69"/>
        <v>-8.3333333333333329E-2</v>
      </c>
    </row>
    <row r="77" spans="3:34">
      <c r="C77" s="1">
        <v>6</v>
      </c>
      <c r="D77" s="27" t="s">
        <v>148</v>
      </c>
      <c r="E77" s="10">
        <v>1986</v>
      </c>
      <c r="F77" s="1">
        <v>9</v>
      </c>
      <c r="G77" s="50">
        <v>0</v>
      </c>
      <c r="H77" s="50"/>
      <c r="I77" s="10" t="s">
        <v>92</v>
      </c>
      <c r="J77" s="10">
        <v>10</v>
      </c>
      <c r="K77" s="4">
        <f t="shared" si="54"/>
        <v>1996</v>
      </c>
      <c r="L77" s="51"/>
      <c r="N77" s="29">
        <v>1519.23</v>
      </c>
      <c r="O77" s="38"/>
      <c r="P77" s="30">
        <f t="shared" si="55"/>
        <v>1519.23</v>
      </c>
      <c r="Q77" s="30">
        <f t="shared" si="56"/>
        <v>12.66025</v>
      </c>
      <c r="R77" s="30">
        <f t="shared" si="57"/>
        <v>0</v>
      </c>
      <c r="S77" s="30"/>
      <c r="T77" s="30">
        <f t="shared" si="58"/>
        <v>0</v>
      </c>
      <c r="U77" s="30">
        <v>1</v>
      </c>
      <c r="V77" s="30">
        <f t="shared" si="59"/>
        <v>0</v>
      </c>
      <c r="W77" s="30"/>
      <c r="X77" s="30">
        <f t="shared" si="60"/>
        <v>1519.23</v>
      </c>
      <c r="Y77" s="30">
        <f t="shared" si="61"/>
        <v>1519.23</v>
      </c>
      <c r="Z77" s="30">
        <v>1</v>
      </c>
      <c r="AA77" s="30">
        <f t="shared" si="62"/>
        <v>1519.23</v>
      </c>
      <c r="AB77" s="30">
        <f t="shared" si="63"/>
        <v>1519.23</v>
      </c>
      <c r="AC77" s="30">
        <f t="shared" si="64"/>
        <v>0</v>
      </c>
      <c r="AD77" s="6">
        <f t="shared" si="65"/>
        <v>1986.6666666666667</v>
      </c>
      <c r="AE77" s="6">
        <f t="shared" si="66"/>
        <v>2017.6666666666667</v>
      </c>
      <c r="AF77" s="6">
        <f t="shared" si="67"/>
        <v>1996.6666666666667</v>
      </c>
      <c r="AG77" s="6">
        <f t="shared" si="68"/>
        <v>2016.6666666666667</v>
      </c>
      <c r="AH77" s="6">
        <f t="shared" si="69"/>
        <v>-8.3333333333333329E-2</v>
      </c>
    </row>
    <row r="78" spans="3:34">
      <c r="C78" s="1">
        <v>6</v>
      </c>
      <c r="D78" s="1" t="str">
        <f>D77</f>
        <v>Containers 6</v>
      </c>
      <c r="E78" s="10">
        <v>1986</v>
      </c>
      <c r="F78" s="1">
        <v>12</v>
      </c>
      <c r="G78" s="50">
        <v>0</v>
      </c>
      <c r="H78" s="50"/>
      <c r="I78" s="10" t="s">
        <v>92</v>
      </c>
      <c r="J78" s="10">
        <v>10</v>
      </c>
      <c r="K78" s="4">
        <f t="shared" si="54"/>
        <v>1996</v>
      </c>
      <c r="L78" s="51"/>
      <c r="N78" s="29">
        <v>517.44000000000005</v>
      </c>
      <c r="O78" s="38"/>
      <c r="P78" s="30">
        <f t="shared" si="55"/>
        <v>517.44000000000005</v>
      </c>
      <c r="Q78" s="30">
        <f t="shared" si="56"/>
        <v>4.3120000000000003</v>
      </c>
      <c r="R78" s="30">
        <f t="shared" si="57"/>
        <v>0</v>
      </c>
      <c r="S78" s="30"/>
      <c r="T78" s="30">
        <f t="shared" si="58"/>
        <v>0</v>
      </c>
      <c r="U78" s="30">
        <v>1</v>
      </c>
      <c r="V78" s="30">
        <f t="shared" si="59"/>
        <v>0</v>
      </c>
      <c r="W78" s="30"/>
      <c r="X78" s="30">
        <f t="shared" si="60"/>
        <v>517.44000000000005</v>
      </c>
      <c r="Y78" s="30">
        <f t="shared" si="61"/>
        <v>517.44000000000005</v>
      </c>
      <c r="Z78" s="30">
        <v>1</v>
      </c>
      <c r="AA78" s="30">
        <f t="shared" si="62"/>
        <v>517.44000000000005</v>
      </c>
      <c r="AB78" s="30">
        <f t="shared" si="63"/>
        <v>517.44000000000005</v>
      </c>
      <c r="AC78" s="30">
        <f t="shared" si="64"/>
        <v>0</v>
      </c>
      <c r="AD78" s="6">
        <f t="shared" si="65"/>
        <v>1986.9166666666667</v>
      </c>
      <c r="AE78" s="6">
        <f t="shared" si="66"/>
        <v>2017.6666666666667</v>
      </c>
      <c r="AF78" s="6">
        <f t="shared" si="67"/>
        <v>1996.9166666666667</v>
      </c>
      <c r="AG78" s="6">
        <f t="shared" si="68"/>
        <v>2016.6666666666667</v>
      </c>
      <c r="AH78" s="6">
        <f t="shared" si="69"/>
        <v>-8.3333333333333329E-2</v>
      </c>
    </row>
    <row r="79" spans="3:34">
      <c r="D79" s="27" t="s">
        <v>149</v>
      </c>
      <c r="E79" s="10">
        <v>1987</v>
      </c>
      <c r="F79" s="1">
        <v>7</v>
      </c>
      <c r="G79" s="50">
        <v>0</v>
      </c>
      <c r="H79" s="50"/>
      <c r="I79" s="10" t="s">
        <v>92</v>
      </c>
      <c r="J79" s="10">
        <v>10</v>
      </c>
      <c r="K79" s="4">
        <f t="shared" si="54"/>
        <v>1997</v>
      </c>
      <c r="L79" s="51"/>
      <c r="N79" s="29">
        <v>13853.19</v>
      </c>
      <c r="O79" s="38"/>
      <c r="P79" s="30">
        <f t="shared" si="55"/>
        <v>13853.19</v>
      </c>
      <c r="Q79" s="30">
        <f t="shared" si="56"/>
        <v>115.44324999999999</v>
      </c>
      <c r="R79" s="30">
        <f t="shared" si="57"/>
        <v>0</v>
      </c>
      <c r="S79" s="30"/>
      <c r="T79" s="30">
        <f t="shared" si="58"/>
        <v>0</v>
      </c>
      <c r="U79" s="30">
        <v>1</v>
      </c>
      <c r="V79" s="30">
        <f t="shared" si="59"/>
        <v>0</v>
      </c>
      <c r="W79" s="30"/>
      <c r="X79" s="30">
        <f t="shared" si="60"/>
        <v>13853.19</v>
      </c>
      <c r="Y79" s="30">
        <f t="shared" si="61"/>
        <v>13853.19</v>
      </c>
      <c r="Z79" s="30">
        <v>1</v>
      </c>
      <c r="AA79" s="30">
        <f t="shared" si="62"/>
        <v>13853.19</v>
      </c>
      <c r="AB79" s="30">
        <f t="shared" si="63"/>
        <v>13853.19</v>
      </c>
      <c r="AC79" s="30">
        <f t="shared" si="64"/>
        <v>0</v>
      </c>
      <c r="AD79" s="6">
        <f t="shared" si="65"/>
        <v>1987.5</v>
      </c>
      <c r="AE79" s="6">
        <f t="shared" si="66"/>
        <v>2017.6666666666667</v>
      </c>
      <c r="AF79" s="6">
        <f t="shared" si="67"/>
        <v>1997.5</v>
      </c>
      <c r="AG79" s="6">
        <f t="shared" si="68"/>
        <v>2016.6666666666667</v>
      </c>
      <c r="AH79" s="6">
        <f t="shared" si="69"/>
        <v>-8.3333333333333329E-2</v>
      </c>
    </row>
    <row r="80" spans="3:34">
      <c r="C80" s="1">
        <v>13</v>
      </c>
      <c r="D80" s="27" t="s">
        <v>150</v>
      </c>
      <c r="E80" s="10">
        <v>1988</v>
      </c>
      <c r="F80" s="1">
        <v>9</v>
      </c>
      <c r="G80" s="50">
        <v>0</v>
      </c>
      <c r="H80" s="50"/>
      <c r="I80" s="10" t="s">
        <v>92</v>
      </c>
      <c r="J80" s="10">
        <v>10</v>
      </c>
      <c r="K80" s="4">
        <f t="shared" si="54"/>
        <v>1998</v>
      </c>
      <c r="L80" s="51"/>
      <c r="N80" s="29">
        <v>17908.66</v>
      </c>
      <c r="O80" s="38"/>
      <c r="P80" s="30">
        <f t="shared" si="55"/>
        <v>17908.66</v>
      </c>
      <c r="Q80" s="30">
        <f t="shared" si="56"/>
        <v>149.23883333333333</v>
      </c>
      <c r="R80" s="30">
        <f t="shared" si="57"/>
        <v>0</v>
      </c>
      <c r="S80" s="30"/>
      <c r="T80" s="30">
        <f t="shared" si="58"/>
        <v>0</v>
      </c>
      <c r="U80" s="30">
        <v>1</v>
      </c>
      <c r="V80" s="30">
        <f t="shared" si="59"/>
        <v>0</v>
      </c>
      <c r="W80" s="30"/>
      <c r="X80" s="30">
        <f t="shared" si="60"/>
        <v>17908.66</v>
      </c>
      <c r="Y80" s="30">
        <f t="shared" si="61"/>
        <v>17908.66</v>
      </c>
      <c r="Z80" s="30">
        <v>1</v>
      </c>
      <c r="AA80" s="30">
        <f t="shared" si="62"/>
        <v>17908.66</v>
      </c>
      <c r="AB80" s="30">
        <f t="shared" si="63"/>
        <v>17908.66</v>
      </c>
      <c r="AC80" s="30">
        <f t="shared" si="64"/>
        <v>0</v>
      </c>
      <c r="AD80" s="6">
        <f t="shared" si="65"/>
        <v>1988.6666666666667</v>
      </c>
      <c r="AE80" s="6">
        <f t="shared" si="66"/>
        <v>2017.6666666666667</v>
      </c>
      <c r="AF80" s="6">
        <f t="shared" si="67"/>
        <v>1998.6666666666667</v>
      </c>
      <c r="AG80" s="6">
        <f t="shared" si="68"/>
        <v>2016.6666666666667</v>
      </c>
      <c r="AH80" s="6">
        <f t="shared" si="69"/>
        <v>-8.3333333333333329E-2</v>
      </c>
    </row>
    <row r="81" spans="3:34">
      <c r="C81" s="1">
        <v>43</v>
      </c>
      <c r="D81" s="27" t="s">
        <v>151</v>
      </c>
      <c r="E81" s="10">
        <v>1989</v>
      </c>
      <c r="F81" s="1">
        <v>5</v>
      </c>
      <c r="G81" s="50">
        <v>0</v>
      </c>
      <c r="H81" s="50"/>
      <c r="I81" s="10" t="s">
        <v>92</v>
      </c>
      <c r="J81" s="10">
        <v>5</v>
      </c>
      <c r="K81" s="4">
        <f t="shared" si="54"/>
        <v>1994</v>
      </c>
      <c r="L81" s="51"/>
      <c r="N81" s="29">
        <v>14625.21</v>
      </c>
      <c r="O81" s="38"/>
      <c r="P81" s="30">
        <f t="shared" si="55"/>
        <v>14625.21</v>
      </c>
      <c r="Q81" s="30">
        <f t="shared" si="56"/>
        <v>243.7535</v>
      </c>
      <c r="R81" s="30">
        <f t="shared" si="57"/>
        <v>0</v>
      </c>
      <c r="S81" s="30"/>
      <c r="T81" s="30">
        <f t="shared" si="58"/>
        <v>0</v>
      </c>
      <c r="U81" s="30">
        <v>1</v>
      </c>
      <c r="V81" s="30">
        <f t="shared" si="59"/>
        <v>0</v>
      </c>
      <c r="W81" s="30"/>
      <c r="X81" s="30">
        <f t="shared" si="60"/>
        <v>14625.21</v>
      </c>
      <c r="Y81" s="30">
        <f t="shared" si="61"/>
        <v>14625.21</v>
      </c>
      <c r="Z81" s="30">
        <v>1</v>
      </c>
      <c r="AA81" s="30">
        <f t="shared" si="62"/>
        <v>14625.21</v>
      </c>
      <c r="AB81" s="30">
        <f t="shared" si="63"/>
        <v>14625.21</v>
      </c>
      <c r="AC81" s="30">
        <f t="shared" si="64"/>
        <v>0</v>
      </c>
      <c r="AD81" s="6">
        <f t="shared" si="65"/>
        <v>1989.3333333333333</v>
      </c>
      <c r="AE81" s="6">
        <f t="shared" si="66"/>
        <v>2017.6666666666667</v>
      </c>
      <c r="AF81" s="6">
        <f t="shared" si="67"/>
        <v>1994.3333333333333</v>
      </c>
      <c r="AG81" s="6">
        <f t="shared" si="68"/>
        <v>2016.6666666666667</v>
      </c>
      <c r="AH81" s="6">
        <f t="shared" si="69"/>
        <v>-8.3333333333333329E-2</v>
      </c>
    </row>
    <row r="82" spans="3:34">
      <c r="C82" s="1">
        <v>1</v>
      </c>
      <c r="D82" s="27" t="s">
        <v>144</v>
      </c>
      <c r="E82" s="10">
        <v>1990</v>
      </c>
      <c r="F82" s="1">
        <v>1</v>
      </c>
      <c r="G82" s="50">
        <v>0</v>
      </c>
      <c r="H82" s="50"/>
      <c r="I82" s="10" t="s">
        <v>92</v>
      </c>
      <c r="J82" s="10">
        <v>5</v>
      </c>
      <c r="K82" s="4">
        <f t="shared" si="54"/>
        <v>1995</v>
      </c>
      <c r="L82" s="51"/>
      <c r="N82" s="29">
        <v>1075</v>
      </c>
      <c r="O82" s="38"/>
      <c r="P82" s="30">
        <f t="shared" si="55"/>
        <v>1075</v>
      </c>
      <c r="Q82" s="30">
        <f t="shared" si="56"/>
        <v>17.916666666666668</v>
      </c>
      <c r="R82" s="30">
        <f t="shared" si="57"/>
        <v>0</v>
      </c>
      <c r="S82" s="30"/>
      <c r="T82" s="30">
        <f t="shared" si="58"/>
        <v>0</v>
      </c>
      <c r="U82" s="30">
        <v>1</v>
      </c>
      <c r="V82" s="30">
        <f t="shared" si="59"/>
        <v>0</v>
      </c>
      <c r="W82" s="30"/>
      <c r="X82" s="30">
        <f t="shared" si="60"/>
        <v>1075</v>
      </c>
      <c r="Y82" s="30">
        <f t="shared" si="61"/>
        <v>1075</v>
      </c>
      <c r="Z82" s="30">
        <v>1</v>
      </c>
      <c r="AA82" s="30">
        <f t="shared" si="62"/>
        <v>1075</v>
      </c>
      <c r="AB82" s="30">
        <f t="shared" si="63"/>
        <v>1075</v>
      </c>
      <c r="AC82" s="30">
        <f t="shared" si="64"/>
        <v>0</v>
      </c>
      <c r="AD82" s="6">
        <f t="shared" si="65"/>
        <v>1990</v>
      </c>
      <c r="AE82" s="6">
        <f t="shared" si="66"/>
        <v>2017.6666666666667</v>
      </c>
      <c r="AF82" s="6">
        <f t="shared" si="67"/>
        <v>1995</v>
      </c>
      <c r="AG82" s="6">
        <f t="shared" si="68"/>
        <v>2016.6666666666667</v>
      </c>
      <c r="AH82" s="6">
        <f t="shared" si="69"/>
        <v>-8.3333333333333329E-2</v>
      </c>
    </row>
    <row r="83" spans="3:34">
      <c r="C83" s="1">
        <v>1</v>
      </c>
      <c r="D83" s="1" t="str">
        <f>D82</f>
        <v>Containers 1</v>
      </c>
      <c r="E83" s="10">
        <v>1990</v>
      </c>
      <c r="F83" s="1">
        <v>2</v>
      </c>
      <c r="G83" s="50">
        <v>0</v>
      </c>
      <c r="H83" s="50"/>
      <c r="I83" s="10" t="s">
        <v>92</v>
      </c>
      <c r="J83" s="10">
        <v>5</v>
      </c>
      <c r="K83" s="4">
        <f t="shared" si="54"/>
        <v>1995</v>
      </c>
      <c r="L83" s="51"/>
      <c r="N83" s="29">
        <v>1336.4</v>
      </c>
      <c r="O83" s="38"/>
      <c r="P83" s="30">
        <f t="shared" si="55"/>
        <v>1336.4</v>
      </c>
      <c r="Q83" s="30">
        <f t="shared" si="56"/>
        <v>22.273333333333337</v>
      </c>
      <c r="R83" s="30">
        <f t="shared" si="57"/>
        <v>0</v>
      </c>
      <c r="S83" s="30"/>
      <c r="T83" s="30">
        <f t="shared" si="58"/>
        <v>0</v>
      </c>
      <c r="U83" s="30">
        <v>1</v>
      </c>
      <c r="V83" s="30">
        <f t="shared" si="59"/>
        <v>0</v>
      </c>
      <c r="W83" s="30"/>
      <c r="X83" s="30">
        <f t="shared" si="60"/>
        <v>1336.4</v>
      </c>
      <c r="Y83" s="30">
        <f t="shared" si="61"/>
        <v>1336.4</v>
      </c>
      <c r="Z83" s="30">
        <v>1</v>
      </c>
      <c r="AA83" s="30">
        <f t="shared" si="62"/>
        <v>1336.4</v>
      </c>
      <c r="AB83" s="30">
        <f t="shared" si="63"/>
        <v>1336.4</v>
      </c>
      <c r="AC83" s="30">
        <f t="shared" si="64"/>
        <v>0</v>
      </c>
      <c r="AD83" s="6">
        <f t="shared" si="65"/>
        <v>1990.0833333333333</v>
      </c>
      <c r="AE83" s="6">
        <f t="shared" si="66"/>
        <v>2017.6666666666667</v>
      </c>
      <c r="AF83" s="6">
        <f t="shared" si="67"/>
        <v>1995.0833333333333</v>
      </c>
      <c r="AG83" s="6">
        <f t="shared" si="68"/>
        <v>2016.6666666666667</v>
      </c>
      <c r="AH83" s="6">
        <f t="shared" si="69"/>
        <v>-8.3333333333333329E-2</v>
      </c>
    </row>
    <row r="84" spans="3:34">
      <c r="C84" s="1">
        <v>6</v>
      </c>
      <c r="D84" s="27" t="s">
        <v>148</v>
      </c>
      <c r="E84" s="10">
        <v>1990</v>
      </c>
      <c r="F84" s="1">
        <v>3</v>
      </c>
      <c r="G84" s="50">
        <v>0</v>
      </c>
      <c r="H84" s="50"/>
      <c r="I84" s="10" t="s">
        <v>92</v>
      </c>
      <c r="J84" s="10">
        <v>5</v>
      </c>
      <c r="K84" s="4">
        <f t="shared" si="54"/>
        <v>1995</v>
      </c>
      <c r="L84" s="51"/>
      <c r="N84" s="29">
        <v>1662.8</v>
      </c>
      <c r="O84" s="38"/>
      <c r="P84" s="30">
        <f t="shared" si="55"/>
        <v>1662.8</v>
      </c>
      <c r="Q84" s="30">
        <f t="shared" si="56"/>
        <v>27.713333333333335</v>
      </c>
      <c r="R84" s="30">
        <f t="shared" si="57"/>
        <v>0</v>
      </c>
      <c r="S84" s="30"/>
      <c r="T84" s="30">
        <f t="shared" si="58"/>
        <v>0</v>
      </c>
      <c r="U84" s="30">
        <v>1</v>
      </c>
      <c r="V84" s="30">
        <f t="shared" si="59"/>
        <v>0</v>
      </c>
      <c r="W84" s="30"/>
      <c r="X84" s="30">
        <f t="shared" si="60"/>
        <v>1662.8</v>
      </c>
      <c r="Y84" s="30">
        <f t="shared" si="61"/>
        <v>1662.8</v>
      </c>
      <c r="Z84" s="30">
        <v>1</v>
      </c>
      <c r="AA84" s="30">
        <f t="shared" si="62"/>
        <v>1662.8</v>
      </c>
      <c r="AB84" s="30">
        <f t="shared" si="63"/>
        <v>1662.8</v>
      </c>
      <c r="AC84" s="30">
        <f t="shared" si="64"/>
        <v>0</v>
      </c>
      <c r="AD84" s="6">
        <f t="shared" si="65"/>
        <v>1990.1666666666667</v>
      </c>
      <c r="AE84" s="6">
        <f t="shared" si="66"/>
        <v>2017.6666666666667</v>
      </c>
      <c r="AF84" s="6">
        <f t="shared" si="67"/>
        <v>1995.1666666666667</v>
      </c>
      <c r="AG84" s="6">
        <f t="shared" si="68"/>
        <v>2016.6666666666667</v>
      </c>
      <c r="AH84" s="6">
        <f t="shared" si="69"/>
        <v>-8.3333333333333329E-2</v>
      </c>
    </row>
    <row r="85" spans="3:34">
      <c r="C85" s="1">
        <v>1</v>
      </c>
      <c r="D85" s="27" t="s">
        <v>152</v>
      </c>
      <c r="E85" s="10">
        <v>1990</v>
      </c>
      <c r="F85" s="1">
        <v>3</v>
      </c>
      <c r="G85" s="50">
        <v>0</v>
      </c>
      <c r="H85" s="50"/>
      <c r="I85" s="10" t="s">
        <v>92</v>
      </c>
      <c r="J85" s="10">
        <v>10</v>
      </c>
      <c r="K85" s="4">
        <f t="shared" si="54"/>
        <v>2000</v>
      </c>
      <c r="L85" s="51"/>
      <c r="N85" s="29">
        <v>4996</v>
      </c>
      <c r="O85" s="38"/>
      <c r="P85" s="30">
        <f t="shared" si="55"/>
        <v>4996</v>
      </c>
      <c r="Q85" s="30">
        <f t="shared" si="56"/>
        <v>41.633333333333333</v>
      </c>
      <c r="R85" s="30">
        <f t="shared" si="57"/>
        <v>0</v>
      </c>
      <c r="S85" s="30"/>
      <c r="T85" s="30">
        <f t="shared" si="58"/>
        <v>0</v>
      </c>
      <c r="U85" s="30">
        <v>1</v>
      </c>
      <c r="V85" s="30">
        <f t="shared" si="59"/>
        <v>0</v>
      </c>
      <c r="W85" s="30"/>
      <c r="X85" s="30">
        <f t="shared" si="60"/>
        <v>4996</v>
      </c>
      <c r="Y85" s="30">
        <f t="shared" si="61"/>
        <v>4996</v>
      </c>
      <c r="Z85" s="30">
        <v>1</v>
      </c>
      <c r="AA85" s="30">
        <f t="shared" si="62"/>
        <v>4996</v>
      </c>
      <c r="AB85" s="30">
        <f t="shared" si="63"/>
        <v>4996</v>
      </c>
      <c r="AC85" s="30">
        <f t="shared" si="64"/>
        <v>0</v>
      </c>
      <c r="AD85" s="6">
        <f t="shared" si="65"/>
        <v>1990.1666666666667</v>
      </c>
      <c r="AE85" s="6">
        <f t="shared" si="66"/>
        <v>2017.6666666666667</v>
      </c>
      <c r="AF85" s="6">
        <f t="shared" si="67"/>
        <v>2000.1666666666667</v>
      </c>
      <c r="AG85" s="6">
        <f t="shared" si="68"/>
        <v>2016.6666666666667</v>
      </c>
      <c r="AH85" s="6">
        <f t="shared" si="69"/>
        <v>-8.3333333333333329E-2</v>
      </c>
    </row>
    <row r="86" spans="3:34">
      <c r="C86" s="1">
        <v>6</v>
      </c>
      <c r="D86" s="1" t="str">
        <f>D85</f>
        <v>Rolloff 1</v>
      </c>
      <c r="E86" s="10">
        <v>1990</v>
      </c>
      <c r="F86" s="1">
        <v>4</v>
      </c>
      <c r="G86" s="50">
        <v>0</v>
      </c>
      <c r="H86" s="50"/>
      <c r="I86" s="10" t="s">
        <v>92</v>
      </c>
      <c r="J86" s="10">
        <v>5</v>
      </c>
      <c r="K86" s="4">
        <f t="shared" si="54"/>
        <v>1995</v>
      </c>
      <c r="L86" s="51"/>
      <c r="N86" s="29">
        <v>1662.28</v>
      </c>
      <c r="O86" s="38"/>
      <c r="P86" s="30">
        <f t="shared" si="55"/>
        <v>1662.28</v>
      </c>
      <c r="Q86" s="30">
        <f t="shared" si="56"/>
        <v>27.704666666666668</v>
      </c>
      <c r="R86" s="30">
        <f t="shared" si="57"/>
        <v>0</v>
      </c>
      <c r="S86" s="30"/>
      <c r="T86" s="30">
        <f t="shared" si="58"/>
        <v>0</v>
      </c>
      <c r="U86" s="30">
        <v>1</v>
      </c>
      <c r="V86" s="30">
        <f t="shared" si="59"/>
        <v>0</v>
      </c>
      <c r="W86" s="30"/>
      <c r="X86" s="30">
        <f t="shared" si="60"/>
        <v>1662.28</v>
      </c>
      <c r="Y86" s="30">
        <f t="shared" si="61"/>
        <v>1662.28</v>
      </c>
      <c r="Z86" s="30">
        <v>1</v>
      </c>
      <c r="AA86" s="30">
        <f t="shared" si="62"/>
        <v>1662.28</v>
      </c>
      <c r="AB86" s="30">
        <f t="shared" si="63"/>
        <v>1662.28</v>
      </c>
      <c r="AC86" s="30">
        <f t="shared" si="64"/>
        <v>0</v>
      </c>
      <c r="AD86" s="6">
        <f t="shared" si="65"/>
        <v>1990.25</v>
      </c>
      <c r="AE86" s="6">
        <f t="shared" si="66"/>
        <v>2017.6666666666667</v>
      </c>
      <c r="AF86" s="6">
        <f t="shared" si="67"/>
        <v>1995.25</v>
      </c>
      <c r="AG86" s="6">
        <f t="shared" si="68"/>
        <v>2016.6666666666667</v>
      </c>
      <c r="AH86" s="6">
        <f t="shared" si="69"/>
        <v>-8.3333333333333329E-2</v>
      </c>
    </row>
    <row r="87" spans="3:34">
      <c r="C87" s="1">
        <v>2</v>
      </c>
      <c r="D87" s="27" t="s">
        <v>147</v>
      </c>
      <c r="E87" s="10">
        <v>1990</v>
      </c>
      <c r="F87" s="1">
        <v>5</v>
      </c>
      <c r="G87" s="50">
        <v>0</v>
      </c>
      <c r="H87" s="50"/>
      <c r="I87" s="10" t="s">
        <v>92</v>
      </c>
      <c r="J87" s="10">
        <v>5</v>
      </c>
      <c r="K87" s="4">
        <f t="shared" si="54"/>
        <v>1995</v>
      </c>
      <c r="L87" s="51"/>
      <c r="N87" s="29">
        <v>1489.8</v>
      </c>
      <c r="O87" s="38"/>
      <c r="P87" s="30">
        <f t="shared" si="55"/>
        <v>1489.8</v>
      </c>
      <c r="Q87" s="30">
        <f t="shared" si="56"/>
        <v>24.83</v>
      </c>
      <c r="R87" s="30">
        <f t="shared" si="57"/>
        <v>0</v>
      </c>
      <c r="S87" s="30"/>
      <c r="T87" s="30">
        <f t="shared" si="58"/>
        <v>0</v>
      </c>
      <c r="U87" s="30">
        <v>1</v>
      </c>
      <c r="V87" s="30">
        <f t="shared" si="59"/>
        <v>0</v>
      </c>
      <c r="W87" s="30"/>
      <c r="X87" s="30">
        <f t="shared" si="60"/>
        <v>1489.8</v>
      </c>
      <c r="Y87" s="30">
        <f t="shared" si="61"/>
        <v>1489.8</v>
      </c>
      <c r="Z87" s="30">
        <v>1</v>
      </c>
      <c r="AA87" s="30">
        <f t="shared" si="62"/>
        <v>1489.8</v>
      </c>
      <c r="AB87" s="30">
        <f t="shared" si="63"/>
        <v>1489.8</v>
      </c>
      <c r="AC87" s="30">
        <f t="shared" si="64"/>
        <v>0</v>
      </c>
      <c r="AD87" s="6">
        <f t="shared" si="65"/>
        <v>1990.3333333333333</v>
      </c>
      <c r="AE87" s="6">
        <f t="shared" si="66"/>
        <v>2017.6666666666667</v>
      </c>
      <c r="AF87" s="6">
        <f t="shared" si="67"/>
        <v>1995.3333333333333</v>
      </c>
      <c r="AG87" s="6">
        <f t="shared" si="68"/>
        <v>2016.6666666666667</v>
      </c>
      <c r="AH87" s="6">
        <f t="shared" si="69"/>
        <v>-8.3333333333333329E-2</v>
      </c>
    </row>
    <row r="88" spans="3:34">
      <c r="C88" s="1">
        <v>1</v>
      </c>
      <c r="D88" s="27" t="s">
        <v>152</v>
      </c>
      <c r="E88" s="10">
        <v>1990</v>
      </c>
      <c r="F88" s="1">
        <v>5</v>
      </c>
      <c r="G88" s="50">
        <v>0</v>
      </c>
      <c r="H88" s="50"/>
      <c r="I88" s="10" t="s">
        <v>92</v>
      </c>
      <c r="J88" s="10">
        <v>5</v>
      </c>
      <c r="K88" s="4">
        <f t="shared" si="54"/>
        <v>1995</v>
      </c>
      <c r="L88" s="51"/>
      <c r="N88" s="29">
        <v>4931.8500000000004</v>
      </c>
      <c r="O88" s="38"/>
      <c r="P88" s="30">
        <f t="shared" si="55"/>
        <v>4931.8500000000004</v>
      </c>
      <c r="Q88" s="30">
        <f t="shared" si="56"/>
        <v>82.197500000000005</v>
      </c>
      <c r="R88" s="30">
        <f t="shared" si="57"/>
        <v>0</v>
      </c>
      <c r="S88" s="30"/>
      <c r="T88" s="30">
        <f t="shared" si="58"/>
        <v>0</v>
      </c>
      <c r="U88" s="30">
        <v>1</v>
      </c>
      <c r="V88" s="30">
        <f t="shared" si="59"/>
        <v>0</v>
      </c>
      <c r="W88" s="30"/>
      <c r="X88" s="30">
        <f t="shared" si="60"/>
        <v>4931.8500000000004</v>
      </c>
      <c r="Y88" s="30">
        <f t="shared" si="61"/>
        <v>4931.8500000000004</v>
      </c>
      <c r="Z88" s="30">
        <v>1</v>
      </c>
      <c r="AA88" s="30">
        <f t="shared" si="62"/>
        <v>4931.8500000000004</v>
      </c>
      <c r="AB88" s="30">
        <f t="shared" si="63"/>
        <v>4931.8500000000004</v>
      </c>
      <c r="AC88" s="30">
        <f t="shared" si="64"/>
        <v>0</v>
      </c>
      <c r="AD88" s="6">
        <f t="shared" si="65"/>
        <v>1990.3333333333333</v>
      </c>
      <c r="AE88" s="6">
        <f t="shared" si="66"/>
        <v>2017.6666666666667</v>
      </c>
      <c r="AF88" s="6">
        <f t="shared" si="67"/>
        <v>1995.3333333333333</v>
      </c>
      <c r="AG88" s="6">
        <f t="shared" si="68"/>
        <v>2016.6666666666667</v>
      </c>
      <c r="AH88" s="6">
        <f t="shared" si="69"/>
        <v>-8.3333333333333329E-2</v>
      </c>
    </row>
    <row r="89" spans="3:34">
      <c r="C89" s="1">
        <v>2</v>
      </c>
      <c r="D89" s="1" t="str">
        <f>D88</f>
        <v>Rolloff 1</v>
      </c>
      <c r="E89" s="10">
        <v>1990</v>
      </c>
      <c r="F89" s="1">
        <v>6</v>
      </c>
      <c r="G89" s="50">
        <v>0</v>
      </c>
      <c r="H89" s="50"/>
      <c r="I89" s="10" t="s">
        <v>92</v>
      </c>
      <c r="J89" s="10">
        <v>5</v>
      </c>
      <c r="K89" s="4">
        <f t="shared" si="54"/>
        <v>1995</v>
      </c>
      <c r="L89" s="51"/>
      <c r="N89" s="29">
        <v>554.1</v>
      </c>
      <c r="O89" s="38"/>
      <c r="P89" s="30">
        <f t="shared" si="55"/>
        <v>554.1</v>
      </c>
      <c r="Q89" s="30">
        <f t="shared" si="56"/>
        <v>9.2350000000000012</v>
      </c>
      <c r="R89" s="30">
        <f t="shared" si="57"/>
        <v>0</v>
      </c>
      <c r="S89" s="30"/>
      <c r="T89" s="30">
        <f t="shared" si="58"/>
        <v>0</v>
      </c>
      <c r="U89" s="30">
        <v>1</v>
      </c>
      <c r="V89" s="30">
        <f t="shared" si="59"/>
        <v>0</v>
      </c>
      <c r="W89" s="30"/>
      <c r="X89" s="30">
        <f t="shared" si="60"/>
        <v>554.1</v>
      </c>
      <c r="Y89" s="30">
        <f t="shared" si="61"/>
        <v>554.1</v>
      </c>
      <c r="Z89" s="30">
        <v>1</v>
      </c>
      <c r="AA89" s="30">
        <f t="shared" si="62"/>
        <v>554.1</v>
      </c>
      <c r="AB89" s="30">
        <f t="shared" si="63"/>
        <v>554.1</v>
      </c>
      <c r="AC89" s="30">
        <f t="shared" si="64"/>
        <v>0</v>
      </c>
      <c r="AD89" s="6">
        <f t="shared" si="65"/>
        <v>1990.4166666666667</v>
      </c>
      <c r="AE89" s="6">
        <f t="shared" si="66"/>
        <v>2017.6666666666667</v>
      </c>
      <c r="AF89" s="6">
        <f t="shared" si="67"/>
        <v>1995.4166666666667</v>
      </c>
      <c r="AG89" s="6">
        <f t="shared" si="68"/>
        <v>2016.6666666666667</v>
      </c>
      <c r="AH89" s="6">
        <f t="shared" si="69"/>
        <v>-8.3333333333333329E-2</v>
      </c>
    </row>
    <row r="90" spans="3:34">
      <c r="C90" s="1">
        <v>4</v>
      </c>
      <c r="D90" s="27" t="s">
        <v>141</v>
      </c>
      <c r="E90" s="10">
        <v>1990</v>
      </c>
      <c r="F90" s="1">
        <v>7</v>
      </c>
      <c r="G90" s="50">
        <v>0</v>
      </c>
      <c r="H90" s="50"/>
      <c r="I90" s="10" t="s">
        <v>92</v>
      </c>
      <c r="J90" s="10">
        <v>5</v>
      </c>
      <c r="K90" s="4">
        <f t="shared" si="54"/>
        <v>1995</v>
      </c>
      <c r="L90" s="51"/>
      <c r="N90" s="29">
        <v>2397.48</v>
      </c>
      <c r="O90" s="38"/>
      <c r="P90" s="30">
        <f t="shared" si="55"/>
        <v>2397.48</v>
      </c>
      <c r="Q90" s="30">
        <f t="shared" si="56"/>
        <v>39.957999999999998</v>
      </c>
      <c r="R90" s="30">
        <f t="shared" si="57"/>
        <v>0</v>
      </c>
      <c r="S90" s="30"/>
      <c r="T90" s="30">
        <f t="shared" si="58"/>
        <v>0</v>
      </c>
      <c r="U90" s="30">
        <v>1</v>
      </c>
      <c r="V90" s="30">
        <f t="shared" si="59"/>
        <v>0</v>
      </c>
      <c r="W90" s="30"/>
      <c r="X90" s="30">
        <f t="shared" si="60"/>
        <v>2397.48</v>
      </c>
      <c r="Y90" s="30">
        <f t="shared" si="61"/>
        <v>2397.48</v>
      </c>
      <c r="Z90" s="30">
        <v>1</v>
      </c>
      <c r="AA90" s="30">
        <f t="shared" si="62"/>
        <v>2397.48</v>
      </c>
      <c r="AB90" s="30">
        <f t="shared" si="63"/>
        <v>2397.48</v>
      </c>
      <c r="AC90" s="30">
        <f t="shared" si="64"/>
        <v>0</v>
      </c>
      <c r="AD90" s="6">
        <f t="shared" si="65"/>
        <v>1990.5</v>
      </c>
      <c r="AE90" s="6">
        <f t="shared" si="66"/>
        <v>2017.6666666666667</v>
      </c>
      <c r="AF90" s="6">
        <f t="shared" si="67"/>
        <v>1995.5</v>
      </c>
      <c r="AG90" s="6">
        <f t="shared" si="68"/>
        <v>2016.6666666666667</v>
      </c>
      <c r="AH90" s="6">
        <f t="shared" si="69"/>
        <v>-8.3333333333333329E-2</v>
      </c>
    </row>
    <row r="91" spans="3:34">
      <c r="C91" s="1">
        <v>2</v>
      </c>
      <c r="D91" s="1" t="str">
        <f>D89</f>
        <v>Rolloff 1</v>
      </c>
      <c r="E91" s="10">
        <v>1990</v>
      </c>
      <c r="F91" s="1">
        <v>8</v>
      </c>
      <c r="G91" s="50">
        <v>0</v>
      </c>
      <c r="H91" s="50"/>
      <c r="I91" s="10" t="s">
        <v>92</v>
      </c>
      <c r="J91" s="10">
        <v>5</v>
      </c>
      <c r="K91" s="4">
        <f t="shared" si="54"/>
        <v>1995</v>
      </c>
      <c r="L91" s="51"/>
      <c r="N91" s="29">
        <v>728.19</v>
      </c>
      <c r="O91" s="38"/>
      <c r="P91" s="30">
        <f t="shared" si="55"/>
        <v>728.19</v>
      </c>
      <c r="Q91" s="30">
        <f t="shared" si="56"/>
        <v>12.1365</v>
      </c>
      <c r="R91" s="30">
        <f t="shared" si="57"/>
        <v>0</v>
      </c>
      <c r="S91" s="30"/>
      <c r="T91" s="30">
        <f t="shared" si="58"/>
        <v>0</v>
      </c>
      <c r="U91" s="30">
        <v>1</v>
      </c>
      <c r="V91" s="30">
        <f t="shared" si="59"/>
        <v>0</v>
      </c>
      <c r="W91" s="30"/>
      <c r="X91" s="30">
        <f t="shared" si="60"/>
        <v>728.19</v>
      </c>
      <c r="Y91" s="30">
        <f t="shared" si="61"/>
        <v>728.19</v>
      </c>
      <c r="Z91" s="30">
        <v>1</v>
      </c>
      <c r="AA91" s="30">
        <f t="shared" si="62"/>
        <v>728.19</v>
      </c>
      <c r="AB91" s="30">
        <f t="shared" si="63"/>
        <v>728.19</v>
      </c>
      <c r="AC91" s="30">
        <f t="shared" si="64"/>
        <v>0</v>
      </c>
      <c r="AD91" s="6">
        <f t="shared" si="65"/>
        <v>1990.5833333333333</v>
      </c>
      <c r="AE91" s="6">
        <f t="shared" si="66"/>
        <v>2017.6666666666667</v>
      </c>
      <c r="AF91" s="6">
        <f t="shared" si="67"/>
        <v>1995.5833333333333</v>
      </c>
      <c r="AG91" s="6">
        <f t="shared" si="68"/>
        <v>2016.6666666666667</v>
      </c>
      <c r="AH91" s="6">
        <f t="shared" si="69"/>
        <v>-8.3333333333333329E-2</v>
      </c>
    </row>
    <row r="92" spans="3:34">
      <c r="C92" s="1">
        <v>4</v>
      </c>
      <c r="D92" s="1" t="str">
        <f>D90</f>
        <v>Containers 4</v>
      </c>
      <c r="E92" s="10">
        <v>1990</v>
      </c>
      <c r="F92" s="1">
        <v>9</v>
      </c>
      <c r="G92" s="50">
        <v>0</v>
      </c>
      <c r="H92" s="50"/>
      <c r="I92" s="10" t="s">
        <v>92</v>
      </c>
      <c r="J92" s="10">
        <v>5</v>
      </c>
      <c r="K92" s="4">
        <f t="shared" si="54"/>
        <v>1995</v>
      </c>
      <c r="L92" s="51"/>
      <c r="N92" s="29">
        <v>1108.19</v>
      </c>
      <c r="O92" s="38"/>
      <c r="P92" s="30">
        <f t="shared" si="55"/>
        <v>1108.19</v>
      </c>
      <c r="Q92" s="30">
        <f t="shared" si="56"/>
        <v>18.469833333333334</v>
      </c>
      <c r="R92" s="30">
        <f t="shared" si="57"/>
        <v>0</v>
      </c>
      <c r="S92" s="30"/>
      <c r="T92" s="30">
        <f t="shared" si="58"/>
        <v>0</v>
      </c>
      <c r="U92" s="30">
        <v>1</v>
      </c>
      <c r="V92" s="30">
        <f t="shared" si="59"/>
        <v>0</v>
      </c>
      <c r="W92" s="30"/>
      <c r="X92" s="30">
        <f t="shared" si="60"/>
        <v>1108.19</v>
      </c>
      <c r="Y92" s="30">
        <f t="shared" si="61"/>
        <v>1108.19</v>
      </c>
      <c r="Z92" s="30">
        <v>1</v>
      </c>
      <c r="AA92" s="30">
        <f t="shared" si="62"/>
        <v>1108.19</v>
      </c>
      <c r="AB92" s="30">
        <f t="shared" si="63"/>
        <v>1108.19</v>
      </c>
      <c r="AC92" s="30">
        <f t="shared" si="64"/>
        <v>0</v>
      </c>
      <c r="AD92" s="6">
        <f t="shared" si="65"/>
        <v>1990.6666666666667</v>
      </c>
      <c r="AE92" s="6">
        <f t="shared" si="66"/>
        <v>2017.6666666666667</v>
      </c>
      <c r="AF92" s="6">
        <f t="shared" si="67"/>
        <v>1995.6666666666667</v>
      </c>
      <c r="AG92" s="6">
        <f t="shared" si="68"/>
        <v>2016.6666666666667</v>
      </c>
      <c r="AH92" s="6">
        <f t="shared" si="69"/>
        <v>-8.3333333333333329E-2</v>
      </c>
    </row>
    <row r="93" spans="3:34">
      <c r="C93" s="1">
        <v>1</v>
      </c>
      <c r="D93" s="1" t="str">
        <f>D83</f>
        <v>Containers 1</v>
      </c>
      <c r="E93" s="10">
        <v>1990</v>
      </c>
      <c r="F93" s="1">
        <v>12</v>
      </c>
      <c r="G93" s="50">
        <v>0</v>
      </c>
      <c r="H93" s="50"/>
      <c r="I93" s="10" t="s">
        <v>92</v>
      </c>
      <c r="J93" s="10">
        <v>5</v>
      </c>
      <c r="K93" s="4">
        <f t="shared" si="54"/>
        <v>1995</v>
      </c>
      <c r="L93" s="51"/>
      <c r="N93" s="29">
        <v>855.53</v>
      </c>
      <c r="O93" s="38"/>
      <c r="P93" s="30">
        <f t="shared" si="55"/>
        <v>855.53</v>
      </c>
      <c r="Q93" s="30">
        <f t="shared" si="56"/>
        <v>14.258833333333333</v>
      </c>
      <c r="R93" s="30">
        <f t="shared" si="57"/>
        <v>0</v>
      </c>
      <c r="S93" s="30"/>
      <c r="T93" s="30">
        <f t="shared" si="58"/>
        <v>0</v>
      </c>
      <c r="U93" s="30">
        <v>1</v>
      </c>
      <c r="V93" s="30">
        <f t="shared" si="59"/>
        <v>0</v>
      </c>
      <c r="W93" s="30"/>
      <c r="X93" s="30">
        <f t="shared" si="60"/>
        <v>855.53</v>
      </c>
      <c r="Y93" s="30">
        <f t="shared" si="61"/>
        <v>855.53</v>
      </c>
      <c r="Z93" s="30">
        <v>1</v>
      </c>
      <c r="AA93" s="30">
        <f t="shared" si="62"/>
        <v>855.53</v>
      </c>
      <c r="AB93" s="30">
        <f t="shared" si="63"/>
        <v>855.53</v>
      </c>
      <c r="AC93" s="30">
        <f t="shared" si="64"/>
        <v>0</v>
      </c>
      <c r="AD93" s="6">
        <f t="shared" si="65"/>
        <v>1990.9166666666667</v>
      </c>
      <c r="AE93" s="6">
        <f t="shared" si="66"/>
        <v>2017.6666666666667</v>
      </c>
      <c r="AF93" s="6">
        <f t="shared" si="67"/>
        <v>1995.9166666666667</v>
      </c>
      <c r="AG93" s="6">
        <f t="shared" si="68"/>
        <v>2016.6666666666667</v>
      </c>
      <c r="AH93" s="6">
        <f t="shared" si="69"/>
        <v>-8.3333333333333329E-2</v>
      </c>
    </row>
    <row r="94" spans="3:34">
      <c r="C94" s="1">
        <v>1</v>
      </c>
      <c r="D94" s="1" t="str">
        <f>D93</f>
        <v>Containers 1</v>
      </c>
      <c r="E94" s="10">
        <v>1991</v>
      </c>
      <c r="F94" s="1">
        <v>2</v>
      </c>
      <c r="G94" s="50">
        <v>0</v>
      </c>
      <c r="H94" s="50"/>
      <c r="I94" s="10" t="s">
        <v>92</v>
      </c>
      <c r="J94" s="10">
        <v>10</v>
      </c>
      <c r="K94" s="4">
        <f t="shared" si="54"/>
        <v>2001</v>
      </c>
      <c r="L94" s="51"/>
      <c r="N94" s="29">
        <v>4521.01</v>
      </c>
      <c r="O94" s="38"/>
      <c r="P94" s="30">
        <f t="shared" si="55"/>
        <v>4521.01</v>
      </c>
      <c r="Q94" s="30">
        <f t="shared" si="56"/>
        <v>37.675083333333333</v>
      </c>
      <c r="R94" s="30">
        <f t="shared" si="57"/>
        <v>0</v>
      </c>
      <c r="S94" s="30"/>
      <c r="T94" s="30">
        <f t="shared" si="58"/>
        <v>0</v>
      </c>
      <c r="U94" s="30">
        <v>1</v>
      </c>
      <c r="V94" s="30">
        <f t="shared" si="59"/>
        <v>0</v>
      </c>
      <c r="W94" s="30"/>
      <c r="X94" s="30">
        <f t="shared" si="60"/>
        <v>4521.01</v>
      </c>
      <c r="Y94" s="30">
        <f t="shared" si="61"/>
        <v>4521.01</v>
      </c>
      <c r="Z94" s="30">
        <v>1</v>
      </c>
      <c r="AA94" s="30">
        <f t="shared" si="62"/>
        <v>4521.01</v>
      </c>
      <c r="AB94" s="30">
        <f t="shared" si="63"/>
        <v>4521.01</v>
      </c>
      <c r="AC94" s="30">
        <f t="shared" si="64"/>
        <v>0</v>
      </c>
      <c r="AD94" s="6">
        <f t="shared" si="65"/>
        <v>1991.0833333333333</v>
      </c>
      <c r="AE94" s="6">
        <f t="shared" si="66"/>
        <v>2017.6666666666667</v>
      </c>
      <c r="AF94" s="6">
        <f t="shared" si="67"/>
        <v>2001.0833333333333</v>
      </c>
      <c r="AG94" s="6">
        <f t="shared" si="68"/>
        <v>2016.6666666666667</v>
      </c>
      <c r="AH94" s="6">
        <f t="shared" si="69"/>
        <v>-8.3333333333333329E-2</v>
      </c>
    </row>
    <row r="95" spans="3:34">
      <c r="C95" s="1">
        <v>1</v>
      </c>
      <c r="D95" s="1" t="str">
        <f>D93</f>
        <v>Containers 1</v>
      </c>
      <c r="E95" s="10">
        <v>1991</v>
      </c>
      <c r="F95" s="1">
        <v>2</v>
      </c>
      <c r="G95" s="50">
        <v>0</v>
      </c>
      <c r="H95" s="50"/>
      <c r="I95" s="10" t="s">
        <v>92</v>
      </c>
      <c r="J95" s="10">
        <v>5</v>
      </c>
      <c r="K95" s="4">
        <f t="shared" si="54"/>
        <v>1996</v>
      </c>
      <c r="L95" s="51"/>
      <c r="N95" s="29">
        <v>295.64999999999998</v>
      </c>
      <c r="O95" s="38"/>
      <c r="P95" s="30">
        <f t="shared" si="55"/>
        <v>295.64999999999998</v>
      </c>
      <c r="Q95" s="30">
        <f t="shared" si="56"/>
        <v>4.9274999999999993</v>
      </c>
      <c r="R95" s="30">
        <f t="shared" si="57"/>
        <v>0</v>
      </c>
      <c r="S95" s="30"/>
      <c r="T95" s="30">
        <f t="shared" si="58"/>
        <v>0</v>
      </c>
      <c r="U95" s="30">
        <v>1</v>
      </c>
      <c r="V95" s="30">
        <f t="shared" si="59"/>
        <v>0</v>
      </c>
      <c r="W95" s="30"/>
      <c r="X95" s="30">
        <f t="shared" si="60"/>
        <v>295.64999999999998</v>
      </c>
      <c r="Y95" s="30">
        <f t="shared" si="61"/>
        <v>295.64999999999998</v>
      </c>
      <c r="Z95" s="30">
        <v>1</v>
      </c>
      <c r="AA95" s="30">
        <f t="shared" si="62"/>
        <v>295.64999999999998</v>
      </c>
      <c r="AB95" s="30">
        <f t="shared" si="63"/>
        <v>295.64999999999998</v>
      </c>
      <c r="AC95" s="30">
        <f t="shared" si="64"/>
        <v>0</v>
      </c>
      <c r="AD95" s="6">
        <f t="shared" si="65"/>
        <v>1991.0833333333333</v>
      </c>
      <c r="AE95" s="6">
        <f t="shared" si="66"/>
        <v>2017.6666666666667</v>
      </c>
      <c r="AF95" s="6">
        <f t="shared" si="67"/>
        <v>1996.0833333333333</v>
      </c>
      <c r="AG95" s="6">
        <f t="shared" si="68"/>
        <v>2016.6666666666667</v>
      </c>
      <c r="AH95" s="6">
        <f t="shared" si="69"/>
        <v>-8.3333333333333329E-2</v>
      </c>
    </row>
    <row r="96" spans="3:34">
      <c r="C96" s="1">
        <v>2</v>
      </c>
      <c r="D96" s="27" t="s">
        <v>147</v>
      </c>
      <c r="E96" s="10">
        <v>1991</v>
      </c>
      <c r="F96" s="1">
        <v>4</v>
      </c>
      <c r="G96" s="50">
        <v>0</v>
      </c>
      <c r="H96" s="50"/>
      <c r="I96" s="10" t="s">
        <v>92</v>
      </c>
      <c r="J96" s="10">
        <v>5</v>
      </c>
      <c r="K96" s="4">
        <f t="shared" si="54"/>
        <v>1996</v>
      </c>
      <c r="L96" s="51"/>
      <c r="N96" s="29">
        <v>554.61</v>
      </c>
      <c r="O96" s="38"/>
      <c r="P96" s="30">
        <f t="shared" si="55"/>
        <v>554.61</v>
      </c>
      <c r="Q96" s="30">
        <f t="shared" si="56"/>
        <v>9.2434999999999992</v>
      </c>
      <c r="R96" s="30">
        <f t="shared" si="57"/>
        <v>0</v>
      </c>
      <c r="S96" s="30"/>
      <c r="T96" s="30">
        <f t="shared" si="58"/>
        <v>0</v>
      </c>
      <c r="U96" s="30">
        <v>1</v>
      </c>
      <c r="V96" s="30">
        <f t="shared" si="59"/>
        <v>0</v>
      </c>
      <c r="W96" s="30"/>
      <c r="X96" s="30">
        <f t="shared" si="60"/>
        <v>554.61</v>
      </c>
      <c r="Y96" s="30">
        <f t="shared" si="61"/>
        <v>554.61</v>
      </c>
      <c r="Z96" s="30">
        <v>1</v>
      </c>
      <c r="AA96" s="30">
        <f t="shared" si="62"/>
        <v>554.61</v>
      </c>
      <c r="AB96" s="30">
        <f t="shared" si="63"/>
        <v>554.61</v>
      </c>
      <c r="AC96" s="30">
        <f t="shared" si="64"/>
        <v>0</v>
      </c>
      <c r="AD96" s="6">
        <f t="shared" si="65"/>
        <v>1991.25</v>
      </c>
      <c r="AE96" s="6">
        <f t="shared" si="66"/>
        <v>2017.6666666666667</v>
      </c>
      <c r="AF96" s="6">
        <f t="shared" si="67"/>
        <v>1996.25</v>
      </c>
      <c r="AG96" s="6">
        <f t="shared" si="68"/>
        <v>2016.6666666666667</v>
      </c>
      <c r="AH96" s="6">
        <f t="shared" si="69"/>
        <v>-8.3333333333333329E-2</v>
      </c>
    </row>
    <row r="97" spans="3:34">
      <c r="C97" s="1">
        <v>1</v>
      </c>
      <c r="D97" s="1" t="str">
        <f>D95</f>
        <v>Containers 1</v>
      </c>
      <c r="E97" s="10">
        <v>1991</v>
      </c>
      <c r="F97" s="1">
        <v>5</v>
      </c>
      <c r="G97" s="50">
        <v>0</v>
      </c>
      <c r="H97" s="50"/>
      <c r="I97" s="10" t="s">
        <v>92</v>
      </c>
      <c r="J97" s="10">
        <v>5</v>
      </c>
      <c r="K97" s="4">
        <f t="shared" si="54"/>
        <v>1996</v>
      </c>
      <c r="L97" s="51"/>
      <c r="N97" s="29">
        <v>622.04999999999995</v>
      </c>
      <c r="O97" s="38"/>
      <c r="P97" s="30">
        <f t="shared" si="55"/>
        <v>622.04999999999995</v>
      </c>
      <c r="Q97" s="30">
        <f t="shared" si="56"/>
        <v>10.3675</v>
      </c>
      <c r="R97" s="30">
        <f t="shared" si="57"/>
        <v>0</v>
      </c>
      <c r="S97" s="30"/>
      <c r="T97" s="30">
        <f t="shared" si="58"/>
        <v>0</v>
      </c>
      <c r="U97" s="30">
        <v>1</v>
      </c>
      <c r="V97" s="30">
        <f t="shared" si="59"/>
        <v>0</v>
      </c>
      <c r="W97" s="30"/>
      <c r="X97" s="30">
        <f t="shared" si="60"/>
        <v>622.04999999999995</v>
      </c>
      <c r="Y97" s="30">
        <f t="shared" si="61"/>
        <v>622.04999999999995</v>
      </c>
      <c r="Z97" s="30">
        <v>1</v>
      </c>
      <c r="AA97" s="30">
        <f t="shared" si="62"/>
        <v>622.04999999999995</v>
      </c>
      <c r="AB97" s="30">
        <f t="shared" si="63"/>
        <v>622.04999999999995</v>
      </c>
      <c r="AC97" s="30">
        <f t="shared" si="64"/>
        <v>0</v>
      </c>
      <c r="AD97" s="6">
        <f t="shared" si="65"/>
        <v>1991.3333333333333</v>
      </c>
      <c r="AE97" s="6">
        <f t="shared" si="66"/>
        <v>2017.6666666666667</v>
      </c>
      <c r="AF97" s="6">
        <f t="shared" si="67"/>
        <v>1996.3333333333333</v>
      </c>
      <c r="AG97" s="6">
        <f t="shared" si="68"/>
        <v>2016.6666666666667</v>
      </c>
      <c r="AH97" s="6">
        <f t="shared" si="69"/>
        <v>-8.3333333333333329E-2</v>
      </c>
    </row>
    <row r="98" spans="3:34">
      <c r="D98" s="27" t="s">
        <v>153</v>
      </c>
      <c r="E98" s="10">
        <v>1991</v>
      </c>
      <c r="F98" s="1">
        <v>8</v>
      </c>
      <c r="G98" s="50">
        <v>0</v>
      </c>
      <c r="H98" s="50"/>
      <c r="I98" s="10" t="s">
        <v>92</v>
      </c>
      <c r="J98" s="10">
        <v>5</v>
      </c>
      <c r="K98" s="4">
        <f t="shared" si="54"/>
        <v>1996</v>
      </c>
      <c r="L98" s="51"/>
      <c r="N98" s="29">
        <v>464.19</v>
      </c>
      <c r="O98" s="38"/>
      <c r="P98" s="30">
        <f t="shared" si="55"/>
        <v>464.19</v>
      </c>
      <c r="Q98" s="30">
        <f t="shared" si="56"/>
        <v>7.7364999999999995</v>
      </c>
      <c r="R98" s="30">
        <f t="shared" si="57"/>
        <v>0</v>
      </c>
      <c r="S98" s="30"/>
      <c r="T98" s="30">
        <f t="shared" si="58"/>
        <v>0</v>
      </c>
      <c r="U98" s="30">
        <v>1</v>
      </c>
      <c r="V98" s="30">
        <f t="shared" si="59"/>
        <v>0</v>
      </c>
      <c r="W98" s="30"/>
      <c r="X98" s="30">
        <f t="shared" si="60"/>
        <v>464.19</v>
      </c>
      <c r="Y98" s="30">
        <f t="shared" si="61"/>
        <v>464.19</v>
      </c>
      <c r="Z98" s="30">
        <v>1</v>
      </c>
      <c r="AA98" s="30">
        <f t="shared" si="62"/>
        <v>464.19</v>
      </c>
      <c r="AB98" s="30">
        <f t="shared" si="63"/>
        <v>464.19</v>
      </c>
      <c r="AC98" s="30">
        <f t="shared" si="64"/>
        <v>0</v>
      </c>
      <c r="AD98" s="6">
        <f t="shared" si="65"/>
        <v>1991.5833333333333</v>
      </c>
      <c r="AE98" s="6">
        <f t="shared" si="66"/>
        <v>2017.6666666666667</v>
      </c>
      <c r="AF98" s="6">
        <f t="shared" si="67"/>
        <v>1996.5833333333333</v>
      </c>
      <c r="AG98" s="6">
        <f t="shared" si="68"/>
        <v>2016.6666666666667</v>
      </c>
      <c r="AH98" s="6">
        <f t="shared" si="69"/>
        <v>-8.3333333333333329E-2</v>
      </c>
    </row>
    <row r="99" spans="3:34">
      <c r="C99" s="1">
        <v>2</v>
      </c>
      <c r="D99" s="1" t="str">
        <f>D96</f>
        <v>Containers 2</v>
      </c>
      <c r="E99" s="10">
        <v>1991</v>
      </c>
      <c r="F99" s="1">
        <v>9</v>
      </c>
      <c r="G99" s="50">
        <v>0</v>
      </c>
      <c r="H99" s="50"/>
      <c r="I99" s="10" t="s">
        <v>92</v>
      </c>
      <c r="J99" s="10">
        <v>5</v>
      </c>
      <c r="K99" s="4">
        <f t="shared" si="54"/>
        <v>1996</v>
      </c>
      <c r="L99" s="51"/>
      <c r="N99" s="29">
        <v>3608.18</v>
      </c>
      <c r="O99" s="38"/>
      <c r="P99" s="30">
        <f t="shared" si="55"/>
        <v>3608.18</v>
      </c>
      <c r="Q99" s="30">
        <f t="shared" si="56"/>
        <v>60.136333333333333</v>
      </c>
      <c r="R99" s="30">
        <f t="shared" si="57"/>
        <v>0</v>
      </c>
      <c r="S99" s="30"/>
      <c r="T99" s="30">
        <f t="shared" si="58"/>
        <v>0</v>
      </c>
      <c r="U99" s="30">
        <v>1</v>
      </c>
      <c r="V99" s="30">
        <f t="shared" si="59"/>
        <v>0</v>
      </c>
      <c r="W99" s="30"/>
      <c r="X99" s="30">
        <f t="shared" si="60"/>
        <v>3608.18</v>
      </c>
      <c r="Y99" s="30">
        <f t="shared" si="61"/>
        <v>3608.18</v>
      </c>
      <c r="Z99" s="30">
        <v>1</v>
      </c>
      <c r="AA99" s="30">
        <f t="shared" si="62"/>
        <v>3608.18</v>
      </c>
      <c r="AB99" s="30">
        <f t="shared" si="63"/>
        <v>3608.18</v>
      </c>
      <c r="AC99" s="30">
        <f t="shared" si="64"/>
        <v>0</v>
      </c>
      <c r="AD99" s="6">
        <f t="shared" si="65"/>
        <v>1991.6666666666667</v>
      </c>
      <c r="AE99" s="6">
        <f t="shared" si="66"/>
        <v>2017.6666666666667</v>
      </c>
      <c r="AF99" s="6">
        <f t="shared" si="67"/>
        <v>1996.6666666666667</v>
      </c>
      <c r="AG99" s="6">
        <f t="shared" si="68"/>
        <v>2016.6666666666667</v>
      </c>
      <c r="AH99" s="6">
        <f t="shared" si="69"/>
        <v>-8.3333333333333329E-2</v>
      </c>
    </row>
    <row r="100" spans="3:34">
      <c r="D100" s="27" t="s">
        <v>154</v>
      </c>
      <c r="E100" s="10">
        <v>1991</v>
      </c>
      <c r="F100" s="1">
        <v>10</v>
      </c>
      <c r="G100" s="50">
        <v>0</v>
      </c>
      <c r="H100" s="50"/>
      <c r="I100" s="10" t="s">
        <v>92</v>
      </c>
      <c r="J100" s="10">
        <v>5</v>
      </c>
      <c r="K100" s="4">
        <f t="shared" si="54"/>
        <v>1996</v>
      </c>
      <c r="L100" s="51"/>
      <c r="N100" s="29">
        <v>439.16</v>
      </c>
      <c r="O100" s="38"/>
      <c r="P100" s="30">
        <f t="shared" si="55"/>
        <v>439.16</v>
      </c>
      <c r="Q100" s="30">
        <f t="shared" si="56"/>
        <v>7.3193333333333337</v>
      </c>
      <c r="R100" s="30">
        <f t="shared" si="57"/>
        <v>0</v>
      </c>
      <c r="S100" s="30"/>
      <c r="T100" s="30">
        <f t="shared" si="58"/>
        <v>0</v>
      </c>
      <c r="U100" s="30">
        <v>1</v>
      </c>
      <c r="V100" s="30">
        <f t="shared" si="59"/>
        <v>0</v>
      </c>
      <c r="W100" s="30"/>
      <c r="X100" s="30">
        <f t="shared" si="60"/>
        <v>439.16</v>
      </c>
      <c r="Y100" s="30">
        <f t="shared" si="61"/>
        <v>439.16</v>
      </c>
      <c r="Z100" s="30">
        <v>1</v>
      </c>
      <c r="AA100" s="30">
        <f t="shared" si="62"/>
        <v>439.16</v>
      </c>
      <c r="AB100" s="30">
        <f t="shared" si="63"/>
        <v>439.16</v>
      </c>
      <c r="AC100" s="30">
        <f t="shared" si="64"/>
        <v>0</v>
      </c>
      <c r="AD100" s="6">
        <f t="shared" si="65"/>
        <v>1991.75</v>
      </c>
      <c r="AE100" s="6">
        <f t="shared" si="66"/>
        <v>2017.6666666666667</v>
      </c>
      <c r="AF100" s="6">
        <f t="shared" si="67"/>
        <v>1996.75</v>
      </c>
      <c r="AG100" s="6">
        <f t="shared" si="68"/>
        <v>2016.6666666666667</v>
      </c>
      <c r="AH100" s="6">
        <f t="shared" si="69"/>
        <v>-8.3333333333333329E-2</v>
      </c>
    </row>
    <row r="101" spans="3:34">
      <c r="C101" s="1">
        <v>1</v>
      </c>
      <c r="D101" s="27" t="s">
        <v>155</v>
      </c>
      <c r="E101" s="10">
        <v>1992</v>
      </c>
      <c r="F101" s="1">
        <v>2</v>
      </c>
      <c r="G101" s="50">
        <v>0</v>
      </c>
      <c r="H101" s="50"/>
      <c r="I101" s="10" t="s">
        <v>92</v>
      </c>
      <c r="J101" s="10">
        <v>10</v>
      </c>
      <c r="K101" s="4">
        <f t="shared" si="54"/>
        <v>2002</v>
      </c>
      <c r="L101" s="51"/>
      <c r="N101" s="29">
        <v>969</v>
      </c>
      <c r="O101" s="38"/>
      <c r="P101" s="30">
        <f t="shared" si="55"/>
        <v>969</v>
      </c>
      <c r="Q101" s="30">
        <f t="shared" si="56"/>
        <v>8.0750000000000011</v>
      </c>
      <c r="R101" s="30">
        <f t="shared" si="57"/>
        <v>0</v>
      </c>
      <c r="S101" s="30"/>
      <c r="T101" s="30">
        <f t="shared" si="58"/>
        <v>0</v>
      </c>
      <c r="U101" s="30">
        <v>1</v>
      </c>
      <c r="V101" s="30">
        <f t="shared" si="59"/>
        <v>0</v>
      </c>
      <c r="W101" s="30"/>
      <c r="X101" s="30">
        <f t="shared" si="60"/>
        <v>969</v>
      </c>
      <c r="Y101" s="30">
        <f t="shared" si="61"/>
        <v>969</v>
      </c>
      <c r="Z101" s="30">
        <v>1</v>
      </c>
      <c r="AA101" s="30">
        <f t="shared" si="62"/>
        <v>969</v>
      </c>
      <c r="AB101" s="30">
        <f t="shared" si="63"/>
        <v>969</v>
      </c>
      <c r="AC101" s="30">
        <f t="shared" si="64"/>
        <v>0</v>
      </c>
      <c r="AD101" s="6">
        <f t="shared" si="65"/>
        <v>1992.0833333333333</v>
      </c>
      <c r="AE101" s="6">
        <f t="shared" si="66"/>
        <v>2017.6666666666667</v>
      </c>
      <c r="AF101" s="6">
        <f t="shared" si="67"/>
        <v>2002.0833333333333</v>
      </c>
      <c r="AG101" s="6">
        <f t="shared" si="68"/>
        <v>2016.6666666666667</v>
      </c>
      <c r="AH101" s="6">
        <f t="shared" si="69"/>
        <v>-8.3333333333333329E-2</v>
      </c>
    </row>
    <row r="102" spans="3:34">
      <c r="C102" s="1">
        <v>1</v>
      </c>
      <c r="D102" s="1" t="str">
        <f>D101</f>
        <v>6 Yd. Containers 1</v>
      </c>
      <c r="E102" s="10">
        <v>1992</v>
      </c>
      <c r="F102" s="1">
        <v>2</v>
      </c>
      <c r="G102" s="50">
        <v>0</v>
      </c>
      <c r="H102" s="50"/>
      <c r="I102" s="10" t="s">
        <v>92</v>
      </c>
      <c r="J102" s="10">
        <v>10</v>
      </c>
      <c r="K102" s="4">
        <f t="shared" si="54"/>
        <v>2002</v>
      </c>
      <c r="L102" s="51"/>
      <c r="N102" s="29">
        <v>969</v>
      </c>
      <c r="O102" s="38"/>
      <c r="P102" s="30">
        <f t="shared" si="55"/>
        <v>969</v>
      </c>
      <c r="Q102" s="30">
        <f t="shared" si="56"/>
        <v>8.0750000000000011</v>
      </c>
      <c r="R102" s="30">
        <f t="shared" si="57"/>
        <v>0</v>
      </c>
      <c r="S102" s="30"/>
      <c r="T102" s="30">
        <f t="shared" si="58"/>
        <v>0</v>
      </c>
      <c r="U102" s="30">
        <v>1</v>
      </c>
      <c r="V102" s="30">
        <f t="shared" si="59"/>
        <v>0</v>
      </c>
      <c r="W102" s="30"/>
      <c r="X102" s="30">
        <f t="shared" si="60"/>
        <v>969</v>
      </c>
      <c r="Y102" s="30">
        <f t="shared" si="61"/>
        <v>969</v>
      </c>
      <c r="Z102" s="30">
        <v>1</v>
      </c>
      <c r="AA102" s="30">
        <f t="shared" si="62"/>
        <v>969</v>
      </c>
      <c r="AB102" s="30">
        <f t="shared" si="63"/>
        <v>969</v>
      </c>
      <c r="AC102" s="30">
        <f t="shared" si="64"/>
        <v>0</v>
      </c>
      <c r="AD102" s="6">
        <f t="shared" si="65"/>
        <v>1992.0833333333333</v>
      </c>
      <c r="AE102" s="6">
        <f t="shared" si="66"/>
        <v>2017.6666666666667</v>
      </c>
      <c r="AF102" s="6">
        <f t="shared" si="67"/>
        <v>2002.0833333333333</v>
      </c>
      <c r="AG102" s="6">
        <f t="shared" si="68"/>
        <v>2016.6666666666667</v>
      </c>
      <c r="AH102" s="6">
        <f t="shared" si="69"/>
        <v>-8.3333333333333329E-2</v>
      </c>
    </row>
    <row r="103" spans="3:34">
      <c r="D103" s="27" t="s">
        <v>156</v>
      </c>
      <c r="E103" s="10">
        <v>1992</v>
      </c>
      <c r="F103" s="1">
        <v>4</v>
      </c>
      <c r="G103" s="50">
        <v>0</v>
      </c>
      <c r="H103" s="50"/>
      <c r="I103" s="10" t="s">
        <v>92</v>
      </c>
      <c r="J103" s="10">
        <v>5</v>
      </c>
      <c r="K103" s="4">
        <f t="shared" si="54"/>
        <v>1997</v>
      </c>
      <c r="L103" s="51"/>
      <c r="N103" s="29">
        <v>75.8</v>
      </c>
      <c r="O103" s="38"/>
      <c r="P103" s="30">
        <f t="shared" si="55"/>
        <v>75.8</v>
      </c>
      <c r="Q103" s="30">
        <f t="shared" si="56"/>
        <v>1.2633333333333334</v>
      </c>
      <c r="R103" s="30">
        <f t="shared" si="57"/>
        <v>0</v>
      </c>
      <c r="S103" s="30"/>
      <c r="T103" s="30">
        <f t="shared" si="58"/>
        <v>0</v>
      </c>
      <c r="U103" s="30">
        <v>1</v>
      </c>
      <c r="V103" s="30">
        <f t="shared" si="59"/>
        <v>0</v>
      </c>
      <c r="W103" s="30"/>
      <c r="X103" s="30">
        <f t="shared" si="60"/>
        <v>75.8</v>
      </c>
      <c r="Y103" s="30">
        <f t="shared" si="61"/>
        <v>75.8</v>
      </c>
      <c r="Z103" s="30">
        <v>1</v>
      </c>
      <c r="AA103" s="30">
        <f t="shared" si="62"/>
        <v>75.8</v>
      </c>
      <c r="AB103" s="30">
        <f t="shared" si="63"/>
        <v>75.8</v>
      </c>
      <c r="AC103" s="30">
        <f t="shared" si="64"/>
        <v>0</v>
      </c>
      <c r="AD103" s="6">
        <f t="shared" si="65"/>
        <v>1992.25</v>
      </c>
      <c r="AE103" s="6">
        <f t="shared" si="66"/>
        <v>2017.6666666666667</v>
      </c>
      <c r="AF103" s="6">
        <f t="shared" si="67"/>
        <v>1997.25</v>
      </c>
      <c r="AG103" s="6">
        <f t="shared" si="68"/>
        <v>2016.6666666666667</v>
      </c>
      <c r="AH103" s="6">
        <f t="shared" si="69"/>
        <v>-8.3333333333333329E-2</v>
      </c>
    </row>
    <row r="104" spans="3:34">
      <c r="C104" s="1">
        <v>1</v>
      </c>
      <c r="D104" s="1" t="str">
        <f>D102</f>
        <v>6 Yd. Containers 1</v>
      </c>
      <c r="E104" s="10">
        <v>1992</v>
      </c>
      <c r="F104" s="1">
        <v>7</v>
      </c>
      <c r="G104" s="50">
        <v>0</v>
      </c>
      <c r="H104" s="50"/>
      <c r="I104" s="10" t="s">
        <v>92</v>
      </c>
      <c r="J104" s="10">
        <v>10</v>
      </c>
      <c r="K104" s="4">
        <f t="shared" si="54"/>
        <v>2002</v>
      </c>
      <c r="L104" s="51"/>
      <c r="N104" s="29">
        <v>968.76</v>
      </c>
      <c r="O104" s="38"/>
      <c r="P104" s="30">
        <f t="shared" si="55"/>
        <v>968.76</v>
      </c>
      <c r="Q104" s="30">
        <f t="shared" si="56"/>
        <v>8.0730000000000004</v>
      </c>
      <c r="R104" s="30">
        <f t="shared" si="57"/>
        <v>0</v>
      </c>
      <c r="S104" s="30"/>
      <c r="T104" s="30">
        <f t="shared" si="58"/>
        <v>0</v>
      </c>
      <c r="U104" s="30">
        <v>1</v>
      </c>
      <c r="V104" s="30">
        <f t="shared" si="59"/>
        <v>0</v>
      </c>
      <c r="W104" s="30"/>
      <c r="X104" s="30">
        <f t="shared" si="60"/>
        <v>968.76</v>
      </c>
      <c r="Y104" s="30">
        <f t="shared" si="61"/>
        <v>968.76</v>
      </c>
      <c r="Z104" s="30">
        <v>1</v>
      </c>
      <c r="AA104" s="30">
        <f t="shared" si="62"/>
        <v>968.76</v>
      </c>
      <c r="AB104" s="30">
        <f t="shared" si="63"/>
        <v>968.76</v>
      </c>
      <c r="AC104" s="30">
        <f t="shared" si="64"/>
        <v>0</v>
      </c>
      <c r="AD104" s="6">
        <f t="shared" si="65"/>
        <v>1992.5</v>
      </c>
      <c r="AE104" s="6">
        <f t="shared" si="66"/>
        <v>2017.6666666666667</v>
      </c>
      <c r="AF104" s="6">
        <f t="shared" si="67"/>
        <v>2002.5</v>
      </c>
      <c r="AG104" s="6">
        <f t="shared" si="68"/>
        <v>2016.6666666666667</v>
      </c>
      <c r="AH104" s="6">
        <f t="shared" si="69"/>
        <v>-8.3333333333333329E-2</v>
      </c>
    </row>
    <row r="105" spans="3:34">
      <c r="C105" s="1">
        <v>1</v>
      </c>
      <c r="D105" s="1" t="str">
        <f>D104</f>
        <v>6 Yd. Containers 1</v>
      </c>
      <c r="E105" s="10">
        <v>1992</v>
      </c>
      <c r="F105" s="1">
        <v>9</v>
      </c>
      <c r="G105" s="50">
        <v>0</v>
      </c>
      <c r="H105" s="50"/>
      <c r="I105" s="10" t="s">
        <v>92</v>
      </c>
      <c r="J105" s="10">
        <v>10</v>
      </c>
      <c r="K105" s="4">
        <f t="shared" si="54"/>
        <v>2002</v>
      </c>
      <c r="L105" s="51"/>
      <c r="N105" s="29">
        <v>1050</v>
      </c>
      <c r="O105" s="38"/>
      <c r="P105" s="30">
        <f t="shared" si="55"/>
        <v>1050</v>
      </c>
      <c r="Q105" s="30">
        <f t="shared" si="56"/>
        <v>8.75</v>
      </c>
      <c r="R105" s="30">
        <f t="shared" si="57"/>
        <v>0</v>
      </c>
      <c r="S105" s="30"/>
      <c r="T105" s="30">
        <f t="shared" si="58"/>
        <v>0</v>
      </c>
      <c r="U105" s="30">
        <v>1</v>
      </c>
      <c r="V105" s="30">
        <f t="shared" si="59"/>
        <v>0</v>
      </c>
      <c r="W105" s="30"/>
      <c r="X105" s="30">
        <f t="shared" si="60"/>
        <v>1050</v>
      </c>
      <c r="Y105" s="30">
        <f t="shared" si="61"/>
        <v>1050</v>
      </c>
      <c r="Z105" s="30">
        <v>1</v>
      </c>
      <c r="AA105" s="30">
        <f t="shared" si="62"/>
        <v>1050</v>
      </c>
      <c r="AB105" s="30">
        <f t="shared" si="63"/>
        <v>1050</v>
      </c>
      <c r="AC105" s="30">
        <f t="shared" si="64"/>
        <v>0</v>
      </c>
      <c r="AD105" s="6">
        <f t="shared" si="65"/>
        <v>1992.6666666666667</v>
      </c>
      <c r="AE105" s="6">
        <f t="shared" si="66"/>
        <v>2017.6666666666667</v>
      </c>
      <c r="AF105" s="6">
        <f t="shared" si="67"/>
        <v>2002.6666666666667</v>
      </c>
      <c r="AG105" s="6">
        <f t="shared" si="68"/>
        <v>2016.6666666666667</v>
      </c>
      <c r="AH105" s="6">
        <f t="shared" si="69"/>
        <v>-8.3333333333333329E-2</v>
      </c>
    </row>
    <row r="106" spans="3:34">
      <c r="C106" s="1">
        <v>1</v>
      </c>
      <c r="D106" s="1" t="str">
        <f>D105</f>
        <v>6 Yd. Containers 1</v>
      </c>
      <c r="E106" s="10">
        <v>1992</v>
      </c>
      <c r="F106" s="1">
        <v>11</v>
      </c>
      <c r="G106" s="50">
        <v>0</v>
      </c>
      <c r="H106" s="50"/>
      <c r="I106" s="10" t="s">
        <v>92</v>
      </c>
      <c r="J106" s="10">
        <v>10</v>
      </c>
      <c r="K106" s="4">
        <f t="shared" si="54"/>
        <v>2002</v>
      </c>
      <c r="L106" s="51"/>
      <c r="N106" s="29">
        <v>1025</v>
      </c>
      <c r="O106" s="38"/>
      <c r="P106" s="30">
        <f t="shared" si="55"/>
        <v>1025</v>
      </c>
      <c r="Q106" s="30">
        <f t="shared" si="56"/>
        <v>8.5416666666666661</v>
      </c>
      <c r="R106" s="30">
        <f t="shared" si="57"/>
        <v>0</v>
      </c>
      <c r="S106" s="30"/>
      <c r="T106" s="30">
        <f t="shared" si="58"/>
        <v>0</v>
      </c>
      <c r="U106" s="30">
        <v>1</v>
      </c>
      <c r="V106" s="30">
        <f t="shared" si="59"/>
        <v>0</v>
      </c>
      <c r="W106" s="30"/>
      <c r="X106" s="30">
        <f t="shared" si="60"/>
        <v>1025</v>
      </c>
      <c r="Y106" s="30">
        <f t="shared" si="61"/>
        <v>1025</v>
      </c>
      <c r="Z106" s="30">
        <v>1</v>
      </c>
      <c r="AA106" s="30">
        <f t="shared" si="62"/>
        <v>1025</v>
      </c>
      <c r="AB106" s="30">
        <f t="shared" si="63"/>
        <v>1025</v>
      </c>
      <c r="AC106" s="30">
        <f t="shared" si="64"/>
        <v>0</v>
      </c>
      <c r="AD106" s="6">
        <f t="shared" si="65"/>
        <v>1992.8333333333333</v>
      </c>
      <c r="AE106" s="6">
        <f t="shared" si="66"/>
        <v>2017.6666666666667</v>
      </c>
      <c r="AF106" s="6">
        <f t="shared" si="67"/>
        <v>2002.8333333333333</v>
      </c>
      <c r="AG106" s="6">
        <f t="shared" si="68"/>
        <v>2016.6666666666667</v>
      </c>
      <c r="AH106" s="6">
        <f t="shared" si="69"/>
        <v>-8.3333333333333329E-2</v>
      </c>
    </row>
    <row r="107" spans="3:34">
      <c r="D107" s="27" t="s">
        <v>157</v>
      </c>
      <c r="E107" s="10">
        <v>1993</v>
      </c>
      <c r="F107" s="1">
        <v>2</v>
      </c>
      <c r="G107" s="50">
        <v>0</v>
      </c>
      <c r="H107" s="50"/>
      <c r="I107" s="10" t="s">
        <v>92</v>
      </c>
      <c r="J107" s="10">
        <v>10</v>
      </c>
      <c r="K107" s="4">
        <f t="shared" si="54"/>
        <v>2003</v>
      </c>
      <c r="L107" s="51"/>
      <c r="N107" s="29">
        <v>577.79999999999995</v>
      </c>
      <c r="O107" s="38"/>
      <c r="P107" s="30">
        <f t="shared" si="55"/>
        <v>577.79999999999995</v>
      </c>
      <c r="Q107" s="30">
        <f t="shared" si="56"/>
        <v>4.8149999999999995</v>
      </c>
      <c r="R107" s="30">
        <f t="shared" si="57"/>
        <v>0</v>
      </c>
      <c r="S107" s="30"/>
      <c r="T107" s="30">
        <f t="shared" si="58"/>
        <v>0</v>
      </c>
      <c r="U107" s="30">
        <v>1</v>
      </c>
      <c r="V107" s="30">
        <f t="shared" si="59"/>
        <v>0</v>
      </c>
      <c r="W107" s="30"/>
      <c r="X107" s="30">
        <f t="shared" si="60"/>
        <v>577.79999999999995</v>
      </c>
      <c r="Y107" s="30">
        <f t="shared" si="61"/>
        <v>577.79999999999995</v>
      </c>
      <c r="Z107" s="30">
        <v>1</v>
      </c>
      <c r="AA107" s="30">
        <f t="shared" si="62"/>
        <v>577.79999999999995</v>
      </c>
      <c r="AB107" s="30">
        <f t="shared" si="63"/>
        <v>577.79999999999995</v>
      </c>
      <c r="AC107" s="30">
        <f t="shared" si="64"/>
        <v>0</v>
      </c>
      <c r="AD107" s="6">
        <f t="shared" si="65"/>
        <v>1993.0833333333333</v>
      </c>
      <c r="AE107" s="6">
        <f t="shared" si="66"/>
        <v>2017.6666666666667</v>
      </c>
      <c r="AF107" s="6">
        <f t="shared" si="67"/>
        <v>2003.0833333333333</v>
      </c>
      <c r="AG107" s="6">
        <f t="shared" si="68"/>
        <v>2016.6666666666667</v>
      </c>
      <c r="AH107" s="6">
        <f t="shared" si="69"/>
        <v>-8.3333333333333329E-2</v>
      </c>
    </row>
    <row r="108" spans="3:34">
      <c r="C108" s="1">
        <v>1</v>
      </c>
      <c r="D108" s="27" t="s">
        <v>158</v>
      </c>
      <c r="E108" s="10">
        <v>1993</v>
      </c>
      <c r="F108" s="1">
        <v>4</v>
      </c>
      <c r="G108" s="50">
        <v>0</v>
      </c>
      <c r="H108" s="50"/>
      <c r="I108" s="10" t="s">
        <v>92</v>
      </c>
      <c r="J108" s="10">
        <v>10</v>
      </c>
      <c r="K108" s="4">
        <f t="shared" si="54"/>
        <v>2003</v>
      </c>
      <c r="L108" s="51"/>
      <c r="N108" s="29">
        <v>720</v>
      </c>
      <c r="O108" s="38"/>
      <c r="P108" s="30">
        <f t="shared" si="55"/>
        <v>720</v>
      </c>
      <c r="Q108" s="30">
        <f t="shared" si="56"/>
        <v>6</v>
      </c>
      <c r="R108" s="30">
        <f t="shared" si="57"/>
        <v>0</v>
      </c>
      <c r="S108" s="30"/>
      <c r="T108" s="30">
        <f t="shared" si="58"/>
        <v>0</v>
      </c>
      <c r="U108" s="30">
        <v>1</v>
      </c>
      <c r="V108" s="30">
        <f t="shared" si="59"/>
        <v>0</v>
      </c>
      <c r="W108" s="30"/>
      <c r="X108" s="30">
        <f t="shared" si="60"/>
        <v>720</v>
      </c>
      <c r="Y108" s="30">
        <f t="shared" si="61"/>
        <v>720</v>
      </c>
      <c r="Z108" s="30">
        <v>1</v>
      </c>
      <c r="AA108" s="30">
        <f t="shared" si="62"/>
        <v>720</v>
      </c>
      <c r="AB108" s="30">
        <f t="shared" si="63"/>
        <v>720</v>
      </c>
      <c r="AC108" s="30">
        <f t="shared" si="64"/>
        <v>0</v>
      </c>
      <c r="AD108" s="6">
        <f t="shared" si="65"/>
        <v>1993.25</v>
      </c>
      <c r="AE108" s="6">
        <f t="shared" si="66"/>
        <v>2017.6666666666667</v>
      </c>
      <c r="AF108" s="6">
        <f t="shared" si="67"/>
        <v>2003.25</v>
      </c>
      <c r="AG108" s="6">
        <f t="shared" si="68"/>
        <v>2016.6666666666667</v>
      </c>
      <c r="AH108" s="6">
        <f t="shared" si="69"/>
        <v>-8.3333333333333329E-2</v>
      </c>
    </row>
    <row r="109" spans="3:34">
      <c r="D109" s="27" t="s">
        <v>149</v>
      </c>
      <c r="E109" s="10">
        <v>1993</v>
      </c>
      <c r="F109" s="1">
        <v>4</v>
      </c>
      <c r="G109" s="50">
        <v>0</v>
      </c>
      <c r="H109" s="50"/>
      <c r="I109" s="10" t="s">
        <v>92</v>
      </c>
      <c r="J109" s="10">
        <v>10</v>
      </c>
      <c r="K109" s="4">
        <f t="shared" si="54"/>
        <v>2003</v>
      </c>
      <c r="L109" s="51"/>
      <c r="N109" s="29">
        <v>6339.6</v>
      </c>
      <c r="O109" s="38"/>
      <c r="P109" s="30">
        <f t="shared" si="55"/>
        <v>6339.6</v>
      </c>
      <c r="Q109" s="30">
        <f t="shared" si="56"/>
        <v>52.830000000000005</v>
      </c>
      <c r="R109" s="30">
        <f t="shared" si="57"/>
        <v>0</v>
      </c>
      <c r="S109" s="30"/>
      <c r="T109" s="30">
        <f t="shared" si="58"/>
        <v>0</v>
      </c>
      <c r="U109" s="30">
        <v>1</v>
      </c>
      <c r="V109" s="30">
        <f t="shared" si="59"/>
        <v>0</v>
      </c>
      <c r="W109" s="30"/>
      <c r="X109" s="30">
        <f t="shared" si="60"/>
        <v>6339.6</v>
      </c>
      <c r="Y109" s="30">
        <f t="shared" si="61"/>
        <v>6339.6</v>
      </c>
      <c r="Z109" s="30">
        <v>1</v>
      </c>
      <c r="AA109" s="30">
        <f t="shared" si="62"/>
        <v>6339.6</v>
      </c>
      <c r="AB109" s="30">
        <f t="shared" si="63"/>
        <v>6339.6</v>
      </c>
      <c r="AC109" s="30">
        <f t="shared" si="64"/>
        <v>0</v>
      </c>
      <c r="AD109" s="6">
        <f t="shared" si="65"/>
        <v>1993.25</v>
      </c>
      <c r="AE109" s="6">
        <f t="shared" si="66"/>
        <v>2017.6666666666667</v>
      </c>
      <c r="AF109" s="6">
        <f t="shared" si="67"/>
        <v>2003.25</v>
      </c>
      <c r="AG109" s="6">
        <f t="shared" si="68"/>
        <v>2016.6666666666667</v>
      </c>
      <c r="AH109" s="6">
        <f t="shared" si="69"/>
        <v>-8.3333333333333329E-2</v>
      </c>
    </row>
    <row r="110" spans="3:34">
      <c r="D110" s="27" t="s">
        <v>159</v>
      </c>
      <c r="E110" s="10">
        <v>1993</v>
      </c>
      <c r="F110" s="1">
        <v>4</v>
      </c>
      <c r="G110" s="50">
        <v>0</v>
      </c>
      <c r="H110" s="50"/>
      <c r="I110" s="10" t="s">
        <v>92</v>
      </c>
      <c r="J110" s="10">
        <v>10</v>
      </c>
      <c r="K110" s="4">
        <f t="shared" si="54"/>
        <v>2003</v>
      </c>
      <c r="L110" s="51"/>
      <c r="N110" s="29">
        <v>388.8</v>
      </c>
      <c r="O110" s="38"/>
      <c r="P110" s="30">
        <f t="shared" si="55"/>
        <v>388.8</v>
      </c>
      <c r="Q110" s="30">
        <f t="shared" si="56"/>
        <v>3.24</v>
      </c>
      <c r="R110" s="30">
        <f t="shared" si="57"/>
        <v>0</v>
      </c>
      <c r="S110" s="30"/>
      <c r="T110" s="30">
        <f t="shared" si="58"/>
        <v>0</v>
      </c>
      <c r="U110" s="30">
        <v>1</v>
      </c>
      <c r="V110" s="30">
        <f t="shared" si="59"/>
        <v>0</v>
      </c>
      <c r="W110" s="30"/>
      <c r="X110" s="30">
        <f t="shared" si="60"/>
        <v>388.8</v>
      </c>
      <c r="Y110" s="30">
        <f t="shared" si="61"/>
        <v>388.8</v>
      </c>
      <c r="Z110" s="30">
        <v>1</v>
      </c>
      <c r="AA110" s="30">
        <f t="shared" si="62"/>
        <v>388.8</v>
      </c>
      <c r="AB110" s="30">
        <f t="shared" si="63"/>
        <v>388.8</v>
      </c>
      <c r="AC110" s="30">
        <f t="shared" si="64"/>
        <v>0</v>
      </c>
      <c r="AD110" s="6">
        <f t="shared" si="65"/>
        <v>1993.25</v>
      </c>
      <c r="AE110" s="6">
        <f t="shared" si="66"/>
        <v>2017.6666666666667</v>
      </c>
      <c r="AF110" s="6">
        <f t="shared" si="67"/>
        <v>2003.25</v>
      </c>
      <c r="AG110" s="6">
        <f t="shared" si="68"/>
        <v>2016.6666666666667</v>
      </c>
      <c r="AH110" s="6">
        <f t="shared" si="69"/>
        <v>-8.3333333333333329E-2</v>
      </c>
    </row>
    <row r="111" spans="3:34">
      <c r="C111" s="1">
        <v>1</v>
      </c>
      <c r="D111" s="1" t="str">
        <f>D110</f>
        <v>Lids</v>
      </c>
      <c r="E111" s="10">
        <v>1993</v>
      </c>
      <c r="F111" s="1">
        <v>5</v>
      </c>
      <c r="G111" s="50">
        <v>0</v>
      </c>
      <c r="H111" s="50"/>
      <c r="I111" s="10" t="s">
        <v>92</v>
      </c>
      <c r="J111" s="10">
        <v>10</v>
      </c>
      <c r="K111" s="4">
        <f t="shared" si="54"/>
        <v>2003</v>
      </c>
      <c r="L111" s="51"/>
      <c r="N111" s="29">
        <v>5373</v>
      </c>
      <c r="O111" s="38"/>
      <c r="P111" s="30">
        <f t="shared" si="55"/>
        <v>5373</v>
      </c>
      <c r="Q111" s="30">
        <f t="shared" si="56"/>
        <v>44.774999999999999</v>
      </c>
      <c r="R111" s="30">
        <f t="shared" si="57"/>
        <v>0</v>
      </c>
      <c r="S111" s="30"/>
      <c r="T111" s="30">
        <f t="shared" si="58"/>
        <v>0</v>
      </c>
      <c r="U111" s="30">
        <v>1</v>
      </c>
      <c r="V111" s="30">
        <f t="shared" si="59"/>
        <v>0</v>
      </c>
      <c r="W111" s="30"/>
      <c r="X111" s="30">
        <f t="shared" si="60"/>
        <v>5373</v>
      </c>
      <c r="Y111" s="30">
        <f t="shared" si="61"/>
        <v>5373</v>
      </c>
      <c r="Z111" s="30">
        <v>1</v>
      </c>
      <c r="AA111" s="30">
        <f t="shared" si="62"/>
        <v>5373</v>
      </c>
      <c r="AB111" s="30">
        <f t="shared" si="63"/>
        <v>5373</v>
      </c>
      <c r="AC111" s="30">
        <f t="shared" si="64"/>
        <v>0</v>
      </c>
      <c r="AD111" s="6">
        <f t="shared" si="65"/>
        <v>1993.3333333333333</v>
      </c>
      <c r="AE111" s="6">
        <f t="shared" si="66"/>
        <v>2017.6666666666667</v>
      </c>
      <c r="AF111" s="6">
        <f t="shared" si="67"/>
        <v>2003.3333333333333</v>
      </c>
      <c r="AG111" s="6">
        <f t="shared" si="68"/>
        <v>2016.6666666666667</v>
      </c>
      <c r="AH111" s="6">
        <f t="shared" si="69"/>
        <v>-8.3333333333333329E-2</v>
      </c>
    </row>
    <row r="112" spans="3:34">
      <c r="C112" s="1">
        <v>1</v>
      </c>
      <c r="D112" s="1" t="str">
        <f>D111</f>
        <v>Lids</v>
      </c>
      <c r="E112" s="10">
        <v>1993</v>
      </c>
      <c r="F112" s="1">
        <v>8</v>
      </c>
      <c r="G112" s="50">
        <v>0</v>
      </c>
      <c r="H112" s="50"/>
      <c r="I112" s="10" t="s">
        <v>92</v>
      </c>
      <c r="J112" s="10">
        <v>10</v>
      </c>
      <c r="K112" s="4">
        <f t="shared" si="54"/>
        <v>2003</v>
      </c>
      <c r="L112" s="51"/>
      <c r="N112" s="29">
        <v>3781.31</v>
      </c>
      <c r="O112" s="38"/>
      <c r="P112" s="30">
        <f t="shared" si="55"/>
        <v>3781.31</v>
      </c>
      <c r="Q112" s="30">
        <f t="shared" si="56"/>
        <v>31.510916666666663</v>
      </c>
      <c r="R112" s="30">
        <f t="shared" si="57"/>
        <v>0</v>
      </c>
      <c r="S112" s="30"/>
      <c r="T112" s="30">
        <f t="shared" si="58"/>
        <v>0</v>
      </c>
      <c r="U112" s="30">
        <v>1</v>
      </c>
      <c r="V112" s="30">
        <f t="shared" si="59"/>
        <v>0</v>
      </c>
      <c r="W112" s="30"/>
      <c r="X112" s="30">
        <f t="shared" si="60"/>
        <v>3781.31</v>
      </c>
      <c r="Y112" s="30">
        <f t="shared" si="61"/>
        <v>3781.31</v>
      </c>
      <c r="Z112" s="30">
        <v>1</v>
      </c>
      <c r="AA112" s="30">
        <f t="shared" si="62"/>
        <v>3781.31</v>
      </c>
      <c r="AB112" s="30">
        <f t="shared" si="63"/>
        <v>3781.31</v>
      </c>
      <c r="AC112" s="30">
        <f t="shared" si="64"/>
        <v>0</v>
      </c>
      <c r="AD112" s="6">
        <f t="shared" si="65"/>
        <v>1993.5833333333333</v>
      </c>
      <c r="AE112" s="6">
        <f t="shared" si="66"/>
        <v>2017.6666666666667</v>
      </c>
      <c r="AF112" s="6">
        <f t="shared" si="67"/>
        <v>2003.5833333333333</v>
      </c>
      <c r="AG112" s="6">
        <f t="shared" si="68"/>
        <v>2016.6666666666667</v>
      </c>
      <c r="AH112" s="6">
        <f t="shared" si="69"/>
        <v>-8.3333333333333329E-2</v>
      </c>
    </row>
    <row r="113" spans="3:34">
      <c r="C113" s="1">
        <v>1</v>
      </c>
      <c r="D113" s="27" t="s">
        <v>160</v>
      </c>
      <c r="E113" s="10">
        <v>1993</v>
      </c>
      <c r="F113" s="1">
        <v>8</v>
      </c>
      <c r="G113" s="50">
        <v>0</v>
      </c>
      <c r="H113" s="50"/>
      <c r="I113" s="10" t="s">
        <v>92</v>
      </c>
      <c r="J113" s="10">
        <v>10</v>
      </c>
      <c r="K113" s="4">
        <f t="shared" si="54"/>
        <v>2003</v>
      </c>
      <c r="L113" s="51"/>
      <c r="N113" s="29">
        <v>478.44</v>
      </c>
      <c r="O113" s="38"/>
      <c r="P113" s="30">
        <f t="shared" si="55"/>
        <v>478.44</v>
      </c>
      <c r="Q113" s="30">
        <f t="shared" si="56"/>
        <v>3.9870000000000001</v>
      </c>
      <c r="R113" s="30">
        <f t="shared" si="57"/>
        <v>0</v>
      </c>
      <c r="S113" s="30"/>
      <c r="T113" s="30">
        <f t="shared" si="58"/>
        <v>0</v>
      </c>
      <c r="U113" s="30">
        <v>1</v>
      </c>
      <c r="V113" s="30">
        <f t="shared" si="59"/>
        <v>0</v>
      </c>
      <c r="W113" s="30"/>
      <c r="X113" s="30">
        <f t="shared" si="60"/>
        <v>478.44</v>
      </c>
      <c r="Y113" s="30">
        <f t="shared" si="61"/>
        <v>478.44</v>
      </c>
      <c r="Z113" s="30">
        <v>1</v>
      </c>
      <c r="AA113" s="30">
        <f t="shared" si="62"/>
        <v>478.44</v>
      </c>
      <c r="AB113" s="30">
        <f t="shared" si="63"/>
        <v>478.44</v>
      </c>
      <c r="AC113" s="30">
        <f t="shared" si="64"/>
        <v>0</v>
      </c>
      <c r="AD113" s="6">
        <f t="shared" si="65"/>
        <v>1993.5833333333333</v>
      </c>
      <c r="AE113" s="6">
        <f t="shared" si="66"/>
        <v>2017.6666666666667</v>
      </c>
      <c r="AF113" s="6">
        <f t="shared" si="67"/>
        <v>2003.5833333333333</v>
      </c>
      <c r="AG113" s="6">
        <f t="shared" si="68"/>
        <v>2016.6666666666667</v>
      </c>
      <c r="AH113" s="6">
        <f t="shared" si="69"/>
        <v>-8.3333333333333329E-2</v>
      </c>
    </row>
    <row r="114" spans="3:34">
      <c r="C114" s="1">
        <v>1</v>
      </c>
      <c r="D114" s="27" t="s">
        <v>161</v>
      </c>
      <c r="E114" s="10">
        <v>1994</v>
      </c>
      <c r="F114" s="1">
        <v>11</v>
      </c>
      <c r="G114" s="50">
        <v>0</v>
      </c>
      <c r="H114" s="50"/>
      <c r="I114" s="10" t="s">
        <v>92</v>
      </c>
      <c r="J114" s="10">
        <v>10</v>
      </c>
      <c r="K114" s="4">
        <f t="shared" si="54"/>
        <v>2004</v>
      </c>
      <c r="L114" s="51"/>
      <c r="N114" s="29">
        <v>621</v>
      </c>
      <c r="O114" s="38"/>
      <c r="P114" s="30">
        <f t="shared" si="55"/>
        <v>621</v>
      </c>
      <c r="Q114" s="30">
        <f t="shared" si="56"/>
        <v>5.1749999999999998</v>
      </c>
      <c r="R114" s="30">
        <f t="shared" si="57"/>
        <v>0</v>
      </c>
      <c r="S114" s="30"/>
      <c r="T114" s="30">
        <f t="shared" si="58"/>
        <v>0</v>
      </c>
      <c r="U114" s="30">
        <v>1</v>
      </c>
      <c r="V114" s="30">
        <f t="shared" si="59"/>
        <v>0</v>
      </c>
      <c r="W114" s="30"/>
      <c r="X114" s="30">
        <f t="shared" si="60"/>
        <v>621</v>
      </c>
      <c r="Y114" s="30">
        <f t="shared" si="61"/>
        <v>621</v>
      </c>
      <c r="Z114" s="30">
        <v>1</v>
      </c>
      <c r="AA114" s="30">
        <f t="shared" si="62"/>
        <v>621</v>
      </c>
      <c r="AB114" s="30">
        <f t="shared" si="63"/>
        <v>621</v>
      </c>
      <c r="AC114" s="30">
        <f t="shared" si="64"/>
        <v>0</v>
      </c>
      <c r="AD114" s="6">
        <f t="shared" si="65"/>
        <v>1994.8333333333333</v>
      </c>
      <c r="AE114" s="6">
        <f t="shared" si="66"/>
        <v>2017.6666666666667</v>
      </c>
      <c r="AF114" s="6">
        <f t="shared" si="67"/>
        <v>2004.8333333333333</v>
      </c>
      <c r="AG114" s="6">
        <f t="shared" si="68"/>
        <v>2016.6666666666667</v>
      </c>
      <c r="AH114" s="6">
        <f t="shared" si="69"/>
        <v>-8.3333333333333329E-2</v>
      </c>
    </row>
    <row r="115" spans="3:34">
      <c r="D115" s="39" t="s">
        <v>162</v>
      </c>
      <c r="E115" s="10">
        <v>1995</v>
      </c>
      <c r="F115" s="1">
        <v>6</v>
      </c>
      <c r="G115" s="50">
        <v>0</v>
      </c>
      <c r="H115" s="50"/>
      <c r="I115" s="10" t="s">
        <v>92</v>
      </c>
      <c r="J115" s="10">
        <v>10</v>
      </c>
      <c r="K115" s="4">
        <f t="shared" si="54"/>
        <v>2005</v>
      </c>
      <c r="L115" s="51"/>
      <c r="N115" s="29">
        <v>407</v>
      </c>
      <c r="O115" s="38"/>
      <c r="P115" s="30">
        <f t="shared" si="55"/>
        <v>407</v>
      </c>
      <c r="Q115" s="30">
        <f t="shared" si="56"/>
        <v>3.3916666666666671</v>
      </c>
      <c r="R115" s="30">
        <f t="shared" si="57"/>
        <v>0</v>
      </c>
      <c r="S115" s="30"/>
      <c r="T115" s="30">
        <f t="shared" si="58"/>
        <v>0</v>
      </c>
      <c r="U115" s="30">
        <v>1</v>
      </c>
      <c r="V115" s="30">
        <f t="shared" si="59"/>
        <v>0</v>
      </c>
      <c r="W115" s="30"/>
      <c r="X115" s="30">
        <f t="shared" si="60"/>
        <v>407</v>
      </c>
      <c r="Y115" s="30">
        <f t="shared" si="61"/>
        <v>407</v>
      </c>
      <c r="Z115" s="30">
        <v>1</v>
      </c>
      <c r="AA115" s="30">
        <f t="shared" si="62"/>
        <v>407</v>
      </c>
      <c r="AB115" s="30">
        <f t="shared" si="63"/>
        <v>407</v>
      </c>
      <c r="AC115" s="30">
        <f t="shared" si="64"/>
        <v>0</v>
      </c>
      <c r="AD115" s="6">
        <f t="shared" si="65"/>
        <v>1995.4166666666667</v>
      </c>
      <c r="AE115" s="6">
        <f t="shared" si="66"/>
        <v>2017.6666666666667</v>
      </c>
      <c r="AF115" s="6">
        <f t="shared" si="67"/>
        <v>2005.4166666666667</v>
      </c>
      <c r="AG115" s="6">
        <f t="shared" si="68"/>
        <v>2016.6666666666667</v>
      </c>
      <c r="AH115" s="6">
        <f t="shared" si="69"/>
        <v>-8.3333333333333329E-2</v>
      </c>
    </row>
    <row r="116" spans="3:34">
      <c r="C116" s="1">
        <v>4</v>
      </c>
      <c r="D116" s="39" t="s">
        <v>163</v>
      </c>
      <c r="E116" s="10">
        <v>1996</v>
      </c>
      <c r="F116" s="1">
        <v>7</v>
      </c>
      <c r="G116" s="50">
        <v>0</v>
      </c>
      <c r="H116" s="50"/>
      <c r="I116" s="10" t="s">
        <v>92</v>
      </c>
      <c r="J116" s="10">
        <v>10</v>
      </c>
      <c r="K116" s="4">
        <f t="shared" si="54"/>
        <v>2006</v>
      </c>
      <c r="L116" s="51"/>
      <c r="N116" s="29">
        <v>1526</v>
      </c>
      <c r="O116" s="38"/>
      <c r="P116" s="30">
        <f t="shared" si="55"/>
        <v>1526</v>
      </c>
      <c r="Q116" s="30">
        <f t="shared" si="56"/>
        <v>12.716666666666667</v>
      </c>
      <c r="R116" s="30">
        <f t="shared" si="57"/>
        <v>0</v>
      </c>
      <c r="S116" s="30"/>
      <c r="T116" s="30">
        <f t="shared" si="58"/>
        <v>0</v>
      </c>
      <c r="U116" s="30">
        <v>1</v>
      </c>
      <c r="V116" s="30">
        <f t="shared" si="59"/>
        <v>0</v>
      </c>
      <c r="W116" s="30"/>
      <c r="X116" s="30">
        <f t="shared" si="60"/>
        <v>1526</v>
      </c>
      <c r="Y116" s="30">
        <f t="shared" si="61"/>
        <v>1526</v>
      </c>
      <c r="Z116" s="30">
        <v>1</v>
      </c>
      <c r="AA116" s="30">
        <f t="shared" si="62"/>
        <v>1526</v>
      </c>
      <c r="AB116" s="30">
        <f t="shared" si="63"/>
        <v>1526</v>
      </c>
      <c r="AC116" s="30">
        <f t="shared" si="64"/>
        <v>0</v>
      </c>
      <c r="AD116" s="6">
        <f t="shared" si="65"/>
        <v>1996.5</v>
      </c>
      <c r="AE116" s="6">
        <f t="shared" si="66"/>
        <v>2017.6666666666667</v>
      </c>
      <c r="AF116" s="6">
        <f t="shared" si="67"/>
        <v>2006.5</v>
      </c>
      <c r="AG116" s="6">
        <f t="shared" si="68"/>
        <v>2016.6666666666667</v>
      </c>
      <c r="AH116" s="6">
        <f t="shared" si="69"/>
        <v>-8.3333333333333329E-2</v>
      </c>
    </row>
    <row r="117" spans="3:34">
      <c r="C117" s="1">
        <v>6</v>
      </c>
      <c r="D117" s="39" t="s">
        <v>164</v>
      </c>
      <c r="E117" s="10">
        <v>1996</v>
      </c>
      <c r="F117" s="1">
        <v>9</v>
      </c>
      <c r="G117" s="50">
        <v>0</v>
      </c>
      <c r="H117" s="50"/>
      <c r="I117" s="10" t="s">
        <v>92</v>
      </c>
      <c r="J117" s="10">
        <v>10</v>
      </c>
      <c r="K117" s="4">
        <f t="shared" si="54"/>
        <v>2006</v>
      </c>
      <c r="L117" s="51"/>
      <c r="N117" s="29">
        <v>2205.2399999999998</v>
      </c>
      <c r="O117" s="38"/>
      <c r="P117" s="30">
        <f t="shared" si="55"/>
        <v>2205.2399999999998</v>
      </c>
      <c r="Q117" s="30">
        <f t="shared" si="56"/>
        <v>18.376999999999999</v>
      </c>
      <c r="R117" s="30">
        <f t="shared" si="57"/>
        <v>0</v>
      </c>
      <c r="S117" s="30"/>
      <c r="T117" s="30">
        <f t="shared" si="58"/>
        <v>0</v>
      </c>
      <c r="U117" s="30">
        <v>1</v>
      </c>
      <c r="V117" s="30">
        <f t="shared" si="59"/>
        <v>0</v>
      </c>
      <c r="W117" s="30"/>
      <c r="X117" s="30">
        <f t="shared" si="60"/>
        <v>2205.2399999999998</v>
      </c>
      <c r="Y117" s="30">
        <f t="shared" si="61"/>
        <v>2205.2399999999998</v>
      </c>
      <c r="Z117" s="30">
        <v>1</v>
      </c>
      <c r="AA117" s="30">
        <f t="shared" si="62"/>
        <v>2205.2399999999998</v>
      </c>
      <c r="AB117" s="30">
        <f t="shared" si="63"/>
        <v>2205.2399999999998</v>
      </c>
      <c r="AC117" s="30">
        <f t="shared" si="64"/>
        <v>0</v>
      </c>
      <c r="AD117" s="6">
        <f t="shared" si="65"/>
        <v>1996.6666666666667</v>
      </c>
      <c r="AE117" s="6">
        <f t="shared" si="66"/>
        <v>2017.6666666666667</v>
      </c>
      <c r="AF117" s="6">
        <f t="shared" si="67"/>
        <v>2006.6666666666667</v>
      </c>
      <c r="AG117" s="6">
        <f t="shared" si="68"/>
        <v>2016.6666666666667</v>
      </c>
      <c r="AH117" s="6">
        <f t="shared" si="69"/>
        <v>-8.3333333333333329E-2</v>
      </c>
    </row>
    <row r="118" spans="3:34">
      <c r="C118" s="1">
        <v>10</v>
      </c>
      <c r="D118" s="27" t="s">
        <v>165</v>
      </c>
      <c r="E118" s="10">
        <v>1997</v>
      </c>
      <c r="F118" s="1">
        <v>6</v>
      </c>
      <c r="G118" s="50">
        <v>0</v>
      </c>
      <c r="H118" s="50"/>
      <c r="I118" s="10" t="s">
        <v>92</v>
      </c>
      <c r="J118" s="10">
        <v>10</v>
      </c>
      <c r="K118" s="4">
        <f t="shared" si="54"/>
        <v>2007</v>
      </c>
      <c r="L118" s="51"/>
      <c r="N118" s="29">
        <v>8162</v>
      </c>
      <c r="O118" s="38"/>
      <c r="P118" s="30">
        <f t="shared" si="55"/>
        <v>8162</v>
      </c>
      <c r="Q118" s="30">
        <f t="shared" si="56"/>
        <v>68.016666666666666</v>
      </c>
      <c r="R118" s="30">
        <f t="shared" si="57"/>
        <v>0</v>
      </c>
      <c r="S118" s="30"/>
      <c r="T118" s="30">
        <f t="shared" si="58"/>
        <v>0</v>
      </c>
      <c r="U118" s="30">
        <v>1</v>
      </c>
      <c r="V118" s="30">
        <f t="shared" si="59"/>
        <v>0</v>
      </c>
      <c r="W118" s="30"/>
      <c r="X118" s="30">
        <f t="shared" si="60"/>
        <v>8162</v>
      </c>
      <c r="Y118" s="30">
        <f t="shared" si="61"/>
        <v>8162</v>
      </c>
      <c r="Z118" s="30">
        <v>1</v>
      </c>
      <c r="AA118" s="30">
        <f t="shared" si="62"/>
        <v>8162</v>
      </c>
      <c r="AB118" s="30">
        <f t="shared" si="63"/>
        <v>8162</v>
      </c>
      <c r="AC118" s="30">
        <f t="shared" si="64"/>
        <v>0</v>
      </c>
      <c r="AD118" s="6">
        <f t="shared" si="65"/>
        <v>1997.4166666666667</v>
      </c>
      <c r="AE118" s="6">
        <f t="shared" si="66"/>
        <v>2017.6666666666667</v>
      </c>
      <c r="AF118" s="6">
        <f t="shared" si="67"/>
        <v>2007.4166666666667</v>
      </c>
      <c r="AG118" s="6">
        <f t="shared" si="68"/>
        <v>2016.6666666666667</v>
      </c>
      <c r="AH118" s="6">
        <f t="shared" si="69"/>
        <v>-8.3333333333333329E-2</v>
      </c>
    </row>
    <row r="119" spans="3:34">
      <c r="C119" s="1">
        <v>1</v>
      </c>
      <c r="D119" s="27" t="s">
        <v>166</v>
      </c>
      <c r="E119" s="10">
        <v>1997</v>
      </c>
      <c r="F119" s="1">
        <v>7</v>
      </c>
      <c r="G119" s="50">
        <v>0</v>
      </c>
      <c r="H119" s="50"/>
      <c r="I119" s="10" t="s">
        <v>92</v>
      </c>
      <c r="J119" s="10">
        <v>10</v>
      </c>
      <c r="K119" s="4">
        <f t="shared" si="54"/>
        <v>2007</v>
      </c>
      <c r="L119" s="51"/>
      <c r="N119" s="29">
        <v>529</v>
      </c>
      <c r="O119" s="38"/>
      <c r="P119" s="30">
        <f t="shared" si="55"/>
        <v>529</v>
      </c>
      <c r="Q119" s="30">
        <f t="shared" si="56"/>
        <v>4.4083333333333332</v>
      </c>
      <c r="R119" s="30">
        <f t="shared" si="57"/>
        <v>0</v>
      </c>
      <c r="S119" s="30"/>
      <c r="T119" s="30">
        <f t="shared" si="58"/>
        <v>0</v>
      </c>
      <c r="U119" s="30">
        <v>1</v>
      </c>
      <c r="V119" s="30">
        <f t="shared" si="59"/>
        <v>0</v>
      </c>
      <c r="W119" s="30"/>
      <c r="X119" s="30">
        <f t="shared" si="60"/>
        <v>529</v>
      </c>
      <c r="Y119" s="30">
        <f t="shared" si="61"/>
        <v>529</v>
      </c>
      <c r="Z119" s="30">
        <v>1</v>
      </c>
      <c r="AA119" s="30">
        <f t="shared" si="62"/>
        <v>529</v>
      </c>
      <c r="AB119" s="30">
        <f t="shared" si="63"/>
        <v>529</v>
      </c>
      <c r="AC119" s="30">
        <f t="shared" si="64"/>
        <v>0</v>
      </c>
      <c r="AD119" s="6">
        <f t="shared" si="65"/>
        <v>1997.5</v>
      </c>
      <c r="AE119" s="6">
        <f t="shared" si="66"/>
        <v>2017.6666666666667</v>
      </c>
      <c r="AF119" s="6">
        <f t="shared" si="67"/>
        <v>2007.5</v>
      </c>
      <c r="AG119" s="6">
        <f t="shared" si="68"/>
        <v>2016.6666666666667</v>
      </c>
      <c r="AH119" s="6">
        <f t="shared" si="69"/>
        <v>-8.3333333333333329E-2</v>
      </c>
    </row>
    <row r="120" spans="3:34">
      <c r="C120" s="1">
        <v>2</v>
      </c>
      <c r="D120" s="27" t="s">
        <v>167</v>
      </c>
      <c r="E120" s="10">
        <v>1997</v>
      </c>
      <c r="F120" s="1">
        <v>11</v>
      </c>
      <c r="G120" s="50">
        <v>0</v>
      </c>
      <c r="H120" s="50"/>
      <c r="I120" s="10" t="s">
        <v>92</v>
      </c>
      <c r="J120" s="10">
        <v>10</v>
      </c>
      <c r="K120" s="4">
        <f t="shared" si="54"/>
        <v>2007</v>
      </c>
      <c r="L120" s="51"/>
      <c r="N120" s="29">
        <v>1650</v>
      </c>
      <c r="O120" s="38"/>
      <c r="P120" s="30">
        <f t="shared" si="55"/>
        <v>1650</v>
      </c>
      <c r="Q120" s="30">
        <f t="shared" si="56"/>
        <v>13.75</v>
      </c>
      <c r="R120" s="30">
        <f t="shared" si="57"/>
        <v>0</v>
      </c>
      <c r="S120" s="30"/>
      <c r="T120" s="30">
        <f t="shared" si="58"/>
        <v>0</v>
      </c>
      <c r="U120" s="30">
        <v>1</v>
      </c>
      <c r="V120" s="30">
        <f t="shared" si="59"/>
        <v>0</v>
      </c>
      <c r="W120" s="30"/>
      <c r="X120" s="30">
        <f t="shared" si="60"/>
        <v>1650</v>
      </c>
      <c r="Y120" s="30">
        <f t="shared" si="61"/>
        <v>1650</v>
      </c>
      <c r="Z120" s="30">
        <v>1</v>
      </c>
      <c r="AA120" s="30">
        <f t="shared" si="62"/>
        <v>1650</v>
      </c>
      <c r="AB120" s="30">
        <f t="shared" si="63"/>
        <v>1650</v>
      </c>
      <c r="AC120" s="30">
        <f t="shared" si="64"/>
        <v>0</v>
      </c>
      <c r="AD120" s="6">
        <f t="shared" si="65"/>
        <v>1997.8333333333333</v>
      </c>
      <c r="AE120" s="6">
        <f t="shared" si="66"/>
        <v>2017.6666666666667</v>
      </c>
      <c r="AF120" s="6">
        <f t="shared" si="67"/>
        <v>2007.8333333333333</v>
      </c>
      <c r="AG120" s="6">
        <f t="shared" si="68"/>
        <v>2016.6666666666667</v>
      </c>
      <c r="AH120" s="6">
        <f t="shared" si="69"/>
        <v>-8.3333333333333329E-2</v>
      </c>
    </row>
    <row r="121" spans="3:34">
      <c r="D121" s="27" t="s">
        <v>168</v>
      </c>
      <c r="E121" s="10">
        <v>1997</v>
      </c>
      <c r="F121" s="1">
        <v>12</v>
      </c>
      <c r="G121" s="50">
        <v>0</v>
      </c>
      <c r="H121" s="50"/>
      <c r="I121" s="10" t="s">
        <v>92</v>
      </c>
      <c r="J121" s="10">
        <v>10</v>
      </c>
      <c r="K121" s="4">
        <f t="shared" si="54"/>
        <v>2007</v>
      </c>
      <c r="L121" s="51"/>
      <c r="N121" s="29">
        <v>145</v>
      </c>
      <c r="O121" s="38"/>
      <c r="P121" s="30">
        <f t="shared" si="55"/>
        <v>145</v>
      </c>
      <c r="Q121" s="30">
        <f t="shared" si="56"/>
        <v>1.2083333333333333</v>
      </c>
      <c r="R121" s="30">
        <f t="shared" si="57"/>
        <v>0</v>
      </c>
      <c r="S121" s="30"/>
      <c r="T121" s="30">
        <f t="shared" si="58"/>
        <v>0</v>
      </c>
      <c r="U121" s="30">
        <v>1</v>
      </c>
      <c r="V121" s="30">
        <f t="shared" si="59"/>
        <v>0</v>
      </c>
      <c r="W121" s="30"/>
      <c r="X121" s="30">
        <f t="shared" si="60"/>
        <v>145</v>
      </c>
      <c r="Y121" s="30">
        <f t="shared" si="61"/>
        <v>145</v>
      </c>
      <c r="Z121" s="30">
        <v>1</v>
      </c>
      <c r="AA121" s="30">
        <f t="shared" si="62"/>
        <v>145</v>
      </c>
      <c r="AB121" s="30">
        <f t="shared" si="63"/>
        <v>145</v>
      </c>
      <c r="AC121" s="30">
        <f t="shared" si="64"/>
        <v>0</v>
      </c>
      <c r="AD121" s="6">
        <f t="shared" si="65"/>
        <v>1997.9166666666667</v>
      </c>
      <c r="AE121" s="6">
        <f t="shared" si="66"/>
        <v>2017.6666666666667</v>
      </c>
      <c r="AF121" s="6">
        <f t="shared" si="67"/>
        <v>2007.9166666666667</v>
      </c>
      <c r="AG121" s="6">
        <f t="shared" si="68"/>
        <v>2016.6666666666667</v>
      </c>
      <c r="AH121" s="6">
        <f t="shared" si="69"/>
        <v>-8.3333333333333329E-2</v>
      </c>
    </row>
    <row r="122" spans="3:34">
      <c r="C122" s="1">
        <v>1</v>
      </c>
      <c r="D122" s="27" t="s">
        <v>169</v>
      </c>
      <c r="E122" s="10">
        <v>1998</v>
      </c>
      <c r="F122" s="1">
        <v>2</v>
      </c>
      <c r="G122" s="50">
        <v>0</v>
      </c>
      <c r="H122" s="50"/>
      <c r="I122" s="10" t="s">
        <v>92</v>
      </c>
      <c r="J122" s="10">
        <v>10</v>
      </c>
      <c r="K122" s="4">
        <f t="shared" si="54"/>
        <v>2008</v>
      </c>
      <c r="L122" s="51"/>
      <c r="N122" s="29">
        <v>1732</v>
      </c>
      <c r="O122" s="38"/>
      <c r="P122" s="30">
        <f t="shared" si="55"/>
        <v>1732</v>
      </c>
      <c r="Q122" s="30">
        <f t="shared" si="56"/>
        <v>14.433333333333332</v>
      </c>
      <c r="R122" s="30">
        <f t="shared" si="57"/>
        <v>0</v>
      </c>
      <c r="S122" s="30"/>
      <c r="T122" s="30">
        <f t="shared" si="58"/>
        <v>0</v>
      </c>
      <c r="U122" s="30">
        <v>1</v>
      </c>
      <c r="V122" s="30">
        <f t="shared" si="59"/>
        <v>0</v>
      </c>
      <c r="W122" s="30"/>
      <c r="X122" s="30">
        <f t="shared" si="60"/>
        <v>1732</v>
      </c>
      <c r="Y122" s="30">
        <f t="shared" si="61"/>
        <v>1732</v>
      </c>
      <c r="Z122" s="30">
        <v>1</v>
      </c>
      <c r="AA122" s="30">
        <f t="shared" si="62"/>
        <v>1732</v>
      </c>
      <c r="AB122" s="30">
        <f t="shared" si="63"/>
        <v>1732</v>
      </c>
      <c r="AC122" s="30">
        <f t="shared" si="64"/>
        <v>0</v>
      </c>
      <c r="AD122" s="6">
        <f t="shared" si="65"/>
        <v>1998.0833333333333</v>
      </c>
      <c r="AE122" s="6">
        <f t="shared" si="66"/>
        <v>2017.6666666666667</v>
      </c>
      <c r="AF122" s="6">
        <f t="shared" si="67"/>
        <v>2008.0833333333333</v>
      </c>
      <c r="AG122" s="6">
        <f t="shared" si="68"/>
        <v>2016.6666666666667</v>
      </c>
      <c r="AH122" s="6">
        <f t="shared" si="69"/>
        <v>-8.3333333333333329E-2</v>
      </c>
    </row>
    <row r="123" spans="3:34">
      <c r="C123" s="1">
        <v>1</v>
      </c>
      <c r="D123" s="27" t="str">
        <f>+D122</f>
        <v>Containers</v>
      </c>
      <c r="E123" s="10">
        <v>1998</v>
      </c>
      <c r="F123" s="1">
        <v>4</v>
      </c>
      <c r="G123" s="50">
        <v>0</v>
      </c>
      <c r="H123" s="50"/>
      <c r="I123" s="10" t="s">
        <v>92</v>
      </c>
      <c r="J123" s="10">
        <v>10</v>
      </c>
      <c r="K123" s="4">
        <f t="shared" si="54"/>
        <v>2008</v>
      </c>
      <c r="L123" s="51"/>
      <c r="N123" s="29">
        <v>2971</v>
      </c>
      <c r="O123" s="38"/>
      <c r="P123" s="30">
        <f t="shared" si="55"/>
        <v>2971</v>
      </c>
      <c r="Q123" s="30">
        <f t="shared" si="56"/>
        <v>24.758333333333336</v>
      </c>
      <c r="R123" s="30">
        <f t="shared" si="57"/>
        <v>0</v>
      </c>
      <c r="S123" s="30"/>
      <c r="T123" s="30">
        <f t="shared" si="58"/>
        <v>0</v>
      </c>
      <c r="U123" s="30">
        <v>1</v>
      </c>
      <c r="V123" s="30">
        <f t="shared" si="59"/>
        <v>0</v>
      </c>
      <c r="W123" s="30"/>
      <c r="X123" s="30">
        <f t="shared" si="60"/>
        <v>2971</v>
      </c>
      <c r="Y123" s="30">
        <f t="shared" si="61"/>
        <v>2971</v>
      </c>
      <c r="Z123" s="30">
        <v>1</v>
      </c>
      <c r="AA123" s="30">
        <f t="shared" si="62"/>
        <v>2971</v>
      </c>
      <c r="AB123" s="30">
        <f t="shared" si="63"/>
        <v>2971</v>
      </c>
      <c r="AC123" s="30">
        <f t="shared" si="64"/>
        <v>0</v>
      </c>
      <c r="AD123" s="6">
        <f t="shared" si="65"/>
        <v>1998.25</v>
      </c>
      <c r="AE123" s="6">
        <f t="shared" si="66"/>
        <v>2017.6666666666667</v>
      </c>
      <c r="AF123" s="6">
        <f t="shared" si="67"/>
        <v>2008.25</v>
      </c>
      <c r="AG123" s="6">
        <f t="shared" si="68"/>
        <v>2016.6666666666667</v>
      </c>
      <c r="AH123" s="6">
        <f t="shared" si="69"/>
        <v>-8.3333333333333329E-2</v>
      </c>
    </row>
    <row r="124" spans="3:34">
      <c r="C124" s="1">
        <v>1</v>
      </c>
      <c r="D124" s="27" t="str">
        <f>+D112</f>
        <v>Lids</v>
      </c>
      <c r="E124" s="10">
        <v>1998</v>
      </c>
      <c r="F124" s="1">
        <v>8</v>
      </c>
      <c r="G124" s="50">
        <v>0</v>
      </c>
      <c r="H124" s="50"/>
      <c r="I124" s="10" t="s">
        <v>92</v>
      </c>
      <c r="J124" s="10">
        <v>10</v>
      </c>
      <c r="K124" s="4">
        <f t="shared" si="54"/>
        <v>2008</v>
      </c>
      <c r="L124" s="51"/>
      <c r="N124" s="29">
        <v>1692</v>
      </c>
      <c r="O124" s="38"/>
      <c r="P124" s="30">
        <f t="shared" si="55"/>
        <v>1692</v>
      </c>
      <c r="Q124" s="30">
        <f t="shared" si="56"/>
        <v>14.1</v>
      </c>
      <c r="R124" s="30">
        <f t="shared" si="57"/>
        <v>0</v>
      </c>
      <c r="S124" s="30"/>
      <c r="T124" s="30">
        <f t="shared" si="58"/>
        <v>0</v>
      </c>
      <c r="U124" s="30">
        <v>1</v>
      </c>
      <c r="V124" s="30">
        <f t="shared" si="59"/>
        <v>0</v>
      </c>
      <c r="W124" s="30"/>
      <c r="X124" s="30">
        <f t="shared" si="60"/>
        <v>1692</v>
      </c>
      <c r="Y124" s="30">
        <f t="shared" si="61"/>
        <v>1692</v>
      </c>
      <c r="Z124" s="30">
        <v>1</v>
      </c>
      <c r="AA124" s="30">
        <f t="shared" si="62"/>
        <v>1692</v>
      </c>
      <c r="AB124" s="30">
        <f t="shared" si="63"/>
        <v>1692</v>
      </c>
      <c r="AC124" s="30">
        <f t="shared" si="64"/>
        <v>0</v>
      </c>
      <c r="AD124" s="6">
        <f t="shared" si="65"/>
        <v>1998.5833333333333</v>
      </c>
      <c r="AE124" s="6">
        <f t="shared" si="66"/>
        <v>2017.6666666666667</v>
      </c>
      <c r="AF124" s="6">
        <f t="shared" si="67"/>
        <v>2008.5833333333333</v>
      </c>
      <c r="AG124" s="6">
        <f t="shared" si="68"/>
        <v>2016.6666666666667</v>
      </c>
      <c r="AH124" s="6">
        <f t="shared" si="69"/>
        <v>-8.3333333333333329E-2</v>
      </c>
    </row>
    <row r="125" spans="3:34">
      <c r="C125" s="1">
        <v>1</v>
      </c>
      <c r="D125" s="27" t="str">
        <f>+D123</f>
        <v>Containers</v>
      </c>
      <c r="E125" s="10">
        <v>1998</v>
      </c>
      <c r="F125" s="1">
        <v>10</v>
      </c>
      <c r="G125" s="50">
        <v>0</v>
      </c>
      <c r="H125" s="50"/>
      <c r="I125" s="10" t="s">
        <v>92</v>
      </c>
      <c r="J125" s="10">
        <v>10</v>
      </c>
      <c r="K125" s="4">
        <f t="shared" si="54"/>
        <v>2008</v>
      </c>
      <c r="L125" s="51"/>
      <c r="N125" s="29">
        <v>4494</v>
      </c>
      <c r="O125" s="38"/>
      <c r="P125" s="30">
        <f t="shared" si="55"/>
        <v>4494</v>
      </c>
      <c r="Q125" s="30">
        <f t="shared" si="56"/>
        <v>37.449999999999996</v>
      </c>
      <c r="R125" s="30">
        <f t="shared" si="57"/>
        <v>0</v>
      </c>
      <c r="S125" s="30"/>
      <c r="T125" s="30">
        <f t="shared" si="58"/>
        <v>0</v>
      </c>
      <c r="U125" s="30">
        <v>1</v>
      </c>
      <c r="V125" s="30">
        <f t="shared" si="59"/>
        <v>0</v>
      </c>
      <c r="W125" s="30"/>
      <c r="X125" s="30">
        <f t="shared" si="60"/>
        <v>4494</v>
      </c>
      <c r="Y125" s="30">
        <f t="shared" si="61"/>
        <v>4494</v>
      </c>
      <c r="Z125" s="30">
        <v>1</v>
      </c>
      <c r="AA125" s="30">
        <f t="shared" si="62"/>
        <v>4494</v>
      </c>
      <c r="AB125" s="30">
        <f t="shared" si="63"/>
        <v>4494</v>
      </c>
      <c r="AC125" s="30">
        <f t="shared" si="64"/>
        <v>0</v>
      </c>
      <c r="AD125" s="6">
        <f t="shared" si="65"/>
        <v>1998.75</v>
      </c>
      <c r="AE125" s="6">
        <f t="shared" si="66"/>
        <v>2017.6666666666667</v>
      </c>
      <c r="AF125" s="6">
        <f t="shared" si="67"/>
        <v>2008.75</v>
      </c>
      <c r="AG125" s="6">
        <f t="shared" si="68"/>
        <v>2016.6666666666667</v>
      </c>
      <c r="AH125" s="6">
        <f t="shared" si="69"/>
        <v>-8.3333333333333329E-2</v>
      </c>
    </row>
    <row r="126" spans="3:34">
      <c r="D126" s="27" t="str">
        <f>+D125</f>
        <v>Containers</v>
      </c>
      <c r="E126" s="10">
        <v>1999</v>
      </c>
      <c r="F126" s="1">
        <v>3</v>
      </c>
      <c r="G126" s="50">
        <v>0</v>
      </c>
      <c r="H126" s="50"/>
      <c r="I126" s="10" t="s">
        <v>92</v>
      </c>
      <c r="J126" s="10">
        <v>10</v>
      </c>
      <c r="K126" s="4">
        <f t="shared" si="54"/>
        <v>2009</v>
      </c>
      <c r="L126" s="51"/>
      <c r="N126" s="29">
        <v>2751</v>
      </c>
      <c r="O126" s="38"/>
      <c r="P126" s="30">
        <f t="shared" si="55"/>
        <v>2751</v>
      </c>
      <c r="Q126" s="30">
        <f t="shared" si="56"/>
        <v>22.925000000000001</v>
      </c>
      <c r="R126" s="30">
        <f t="shared" si="57"/>
        <v>0</v>
      </c>
      <c r="S126" s="30"/>
      <c r="T126" s="30">
        <f t="shared" si="58"/>
        <v>0</v>
      </c>
      <c r="U126" s="30">
        <v>1</v>
      </c>
      <c r="V126" s="30">
        <f t="shared" si="59"/>
        <v>0</v>
      </c>
      <c r="W126" s="30"/>
      <c r="X126" s="30">
        <f t="shared" si="60"/>
        <v>2751</v>
      </c>
      <c r="Y126" s="30">
        <f t="shared" si="61"/>
        <v>2751</v>
      </c>
      <c r="Z126" s="30">
        <v>1</v>
      </c>
      <c r="AA126" s="30">
        <f t="shared" si="62"/>
        <v>2751</v>
      </c>
      <c r="AB126" s="30">
        <f t="shared" si="63"/>
        <v>2751</v>
      </c>
      <c r="AC126" s="30">
        <f t="shared" si="64"/>
        <v>0</v>
      </c>
      <c r="AD126" s="6">
        <f t="shared" si="65"/>
        <v>1999.1666666666667</v>
      </c>
      <c r="AE126" s="6">
        <f t="shared" si="66"/>
        <v>2017.6666666666667</v>
      </c>
      <c r="AF126" s="6">
        <f t="shared" si="67"/>
        <v>2009.1666666666667</v>
      </c>
      <c r="AG126" s="6">
        <f t="shared" si="68"/>
        <v>2016.6666666666667</v>
      </c>
      <c r="AH126" s="6">
        <f t="shared" si="69"/>
        <v>-8.3333333333333329E-2</v>
      </c>
    </row>
    <row r="127" spans="3:34">
      <c r="D127" s="27" t="str">
        <f>+D126</f>
        <v>Containers</v>
      </c>
      <c r="E127" s="10">
        <v>1999</v>
      </c>
      <c r="F127" s="1">
        <v>7</v>
      </c>
      <c r="G127" s="50">
        <v>0</v>
      </c>
      <c r="H127" s="50"/>
      <c r="I127" s="10" t="s">
        <v>92</v>
      </c>
      <c r="J127" s="10">
        <v>10</v>
      </c>
      <c r="K127" s="4">
        <f t="shared" si="54"/>
        <v>2009</v>
      </c>
      <c r="L127" s="51"/>
      <c r="N127" s="29">
        <v>1740</v>
      </c>
      <c r="O127" s="38"/>
      <c r="P127" s="30">
        <f t="shared" si="55"/>
        <v>1740</v>
      </c>
      <c r="Q127" s="30">
        <f t="shared" si="56"/>
        <v>14.5</v>
      </c>
      <c r="R127" s="30">
        <f t="shared" si="57"/>
        <v>0</v>
      </c>
      <c r="S127" s="30"/>
      <c r="T127" s="30">
        <f t="shared" si="58"/>
        <v>0</v>
      </c>
      <c r="U127" s="30">
        <v>1</v>
      </c>
      <c r="V127" s="30">
        <f t="shared" si="59"/>
        <v>0</v>
      </c>
      <c r="W127" s="30"/>
      <c r="X127" s="30">
        <f t="shared" si="60"/>
        <v>1740</v>
      </c>
      <c r="Y127" s="30">
        <f t="shared" si="61"/>
        <v>1740</v>
      </c>
      <c r="Z127" s="30">
        <v>1</v>
      </c>
      <c r="AA127" s="30">
        <f t="shared" si="62"/>
        <v>1740</v>
      </c>
      <c r="AB127" s="30">
        <f t="shared" si="63"/>
        <v>1740</v>
      </c>
      <c r="AC127" s="30">
        <f t="shared" si="64"/>
        <v>0</v>
      </c>
      <c r="AD127" s="6">
        <f t="shared" si="65"/>
        <v>1999.5</v>
      </c>
      <c r="AE127" s="6">
        <f t="shared" si="66"/>
        <v>2017.6666666666667</v>
      </c>
      <c r="AF127" s="6">
        <f t="shared" si="67"/>
        <v>2009.5</v>
      </c>
      <c r="AG127" s="6">
        <f t="shared" si="68"/>
        <v>2016.6666666666667</v>
      </c>
      <c r="AH127" s="6">
        <f t="shared" si="69"/>
        <v>-8.3333333333333329E-2</v>
      </c>
    </row>
    <row r="128" spans="3:34">
      <c r="D128" s="27" t="s">
        <v>170</v>
      </c>
      <c r="E128" s="10">
        <v>1999</v>
      </c>
      <c r="F128" s="1">
        <v>9</v>
      </c>
      <c r="G128" s="50">
        <v>0</v>
      </c>
      <c r="H128" s="50"/>
      <c r="I128" s="10" t="s">
        <v>92</v>
      </c>
      <c r="J128" s="10">
        <v>10</v>
      </c>
      <c r="K128" s="4">
        <f t="shared" si="54"/>
        <v>2009</v>
      </c>
      <c r="L128" s="51"/>
      <c r="N128" s="29">
        <v>9489</v>
      </c>
      <c r="O128" s="38"/>
      <c r="P128" s="30">
        <f t="shared" si="55"/>
        <v>9489</v>
      </c>
      <c r="Q128" s="30">
        <f t="shared" si="56"/>
        <v>79.075000000000003</v>
      </c>
      <c r="R128" s="30">
        <f t="shared" si="57"/>
        <v>0</v>
      </c>
      <c r="S128" s="30"/>
      <c r="T128" s="30">
        <f t="shared" si="58"/>
        <v>0</v>
      </c>
      <c r="U128" s="30">
        <v>1</v>
      </c>
      <c r="V128" s="30">
        <f t="shared" si="59"/>
        <v>0</v>
      </c>
      <c r="W128" s="30"/>
      <c r="X128" s="30">
        <f t="shared" si="60"/>
        <v>9489</v>
      </c>
      <c r="Y128" s="30">
        <f t="shared" si="61"/>
        <v>9489</v>
      </c>
      <c r="Z128" s="30">
        <v>1</v>
      </c>
      <c r="AA128" s="30">
        <f t="shared" si="62"/>
        <v>9489</v>
      </c>
      <c r="AB128" s="30">
        <f t="shared" si="63"/>
        <v>9489</v>
      </c>
      <c r="AC128" s="30">
        <f t="shared" si="64"/>
        <v>0</v>
      </c>
      <c r="AD128" s="6">
        <f t="shared" si="65"/>
        <v>1999.6666666666667</v>
      </c>
      <c r="AE128" s="6">
        <f t="shared" si="66"/>
        <v>2017.6666666666667</v>
      </c>
      <c r="AF128" s="6">
        <f t="shared" si="67"/>
        <v>2009.6666666666667</v>
      </c>
      <c r="AG128" s="6">
        <f t="shared" si="68"/>
        <v>2016.6666666666667</v>
      </c>
      <c r="AH128" s="6">
        <f t="shared" si="69"/>
        <v>-8.3333333333333329E-2</v>
      </c>
    </row>
    <row r="129" spans="3:34">
      <c r="D129" s="27" t="s">
        <v>171</v>
      </c>
      <c r="E129" s="10">
        <v>1999</v>
      </c>
      <c r="F129" s="1">
        <v>12</v>
      </c>
      <c r="G129" s="50">
        <v>0</v>
      </c>
      <c r="H129" s="50"/>
      <c r="I129" s="10" t="s">
        <v>92</v>
      </c>
      <c r="J129" s="10">
        <v>10</v>
      </c>
      <c r="K129" s="4">
        <f t="shared" ref="K129:K192" si="70">E129+J129</f>
        <v>2009</v>
      </c>
      <c r="L129" s="51"/>
      <c r="N129" s="29">
        <v>1199.9100000000001</v>
      </c>
      <c r="O129" s="38"/>
      <c r="P129" s="30">
        <f t="shared" ref="P129:P192" si="71">N129-N129*G129</f>
        <v>1199.9100000000001</v>
      </c>
      <c r="Q129" s="30">
        <f t="shared" ref="Q129:Q192" si="72">P129/J129/12</f>
        <v>9.9992500000000017</v>
      </c>
      <c r="R129" s="30">
        <f t="shared" ref="R129:R192" si="73">IF(O129&gt;0,0,IF(OR(AD129&gt;AE129,AF129&lt;AG129),0,IF(AND(AF129&gt;=AG129,AF129&lt;=AE129),Q129*((AF129-AG129)*12),IF(AND(AG129&lt;=AD129,AE129&gt;=AD129),((AE129-AD129)*12)*Q129,IF(AF129&gt;AE129,12*Q129,0)))))</f>
        <v>0</v>
      </c>
      <c r="S129" s="30"/>
      <c r="T129" s="30">
        <f t="shared" ref="T129:T192" si="74">IF(S129&gt;0,S129,R129)</f>
        <v>0</v>
      </c>
      <c r="U129" s="30">
        <v>1</v>
      </c>
      <c r="V129" s="30">
        <f t="shared" ref="V129:V192" si="75">U129*SUM(R129:S129)</f>
        <v>0</v>
      </c>
      <c r="W129" s="30"/>
      <c r="X129" s="30">
        <f t="shared" ref="X129:X192" si="76">IF(AD129&gt;AE129,0,IF(AF129&lt;AG129,P129,IF(AND(AF129&gt;=AG129,AF129&lt;=AE129),(P129-T129),IF(AND(AG129&lt;=AD129,AE129&gt;=AD129),0,IF(AF129&gt;AE129,((AG129-AD129)*12)*Q129,0)))))</f>
        <v>1199.9100000000001</v>
      </c>
      <c r="Y129" s="30">
        <f t="shared" ref="Y129:Y192" si="77">X129*U129</f>
        <v>1199.9100000000001</v>
      </c>
      <c r="Z129" s="30">
        <v>1</v>
      </c>
      <c r="AA129" s="30">
        <f t="shared" ref="AA129:AA192" si="78">Y129*Z129</f>
        <v>1199.9100000000001</v>
      </c>
      <c r="AB129" s="30">
        <f t="shared" ref="AB129:AB192" si="79">IF(O129&gt;0,0,AA129+V129*Z129)*Z129</f>
        <v>1199.9100000000001</v>
      </c>
      <c r="AC129" s="30">
        <f t="shared" ref="AC129:AC192" si="80">IF(O129&gt;0,(N129-AA129)/2,IF(AD129&gt;=AG129,(((N129*U129)*Z129)-AB129)/2,((((N129*U129)*Z129)-AA129)+(((N129*U129)*Z129)-AB129))/2))</f>
        <v>0</v>
      </c>
      <c r="AD129" s="6">
        <f t="shared" ref="AD129:AD192" si="81">$E129+(($F129-1)/12)</f>
        <v>1999.9166666666667</v>
      </c>
      <c r="AE129" s="6">
        <f t="shared" ref="AE129:AE192" si="82">($P$5+1)-($P$2/12)</f>
        <v>2017.6666666666667</v>
      </c>
      <c r="AF129" s="6">
        <f t="shared" ref="AF129:AF192" si="83">$K129+(($F129-1)/12)</f>
        <v>2009.9166666666667</v>
      </c>
      <c r="AG129" s="6">
        <f t="shared" ref="AG129:AG192" si="84">$P$4+($P$3/12)</f>
        <v>2016.6666666666667</v>
      </c>
      <c r="AH129" s="6">
        <f t="shared" ref="AH129:AH192" si="85">$L129+(($M129-1)/12)</f>
        <v>-8.3333333333333329E-2</v>
      </c>
    </row>
    <row r="130" spans="3:34">
      <c r="D130" s="27" t="s">
        <v>172</v>
      </c>
      <c r="E130" s="10">
        <v>1999</v>
      </c>
      <c r="F130" s="1">
        <v>12</v>
      </c>
      <c r="G130" s="50">
        <v>0</v>
      </c>
      <c r="H130" s="50"/>
      <c r="I130" s="10" t="s">
        <v>92</v>
      </c>
      <c r="J130" s="10">
        <v>10</v>
      </c>
      <c r="K130" s="4">
        <f t="shared" si="70"/>
        <v>2009</v>
      </c>
      <c r="L130" s="51"/>
      <c r="N130" s="29">
        <v>2578.19</v>
      </c>
      <c r="O130" s="38"/>
      <c r="P130" s="30">
        <f t="shared" si="71"/>
        <v>2578.19</v>
      </c>
      <c r="Q130" s="30">
        <f t="shared" si="72"/>
        <v>21.484916666666667</v>
      </c>
      <c r="R130" s="30">
        <f t="shared" si="73"/>
        <v>0</v>
      </c>
      <c r="S130" s="30"/>
      <c r="T130" s="30">
        <f t="shared" si="74"/>
        <v>0</v>
      </c>
      <c r="U130" s="30">
        <v>1</v>
      </c>
      <c r="V130" s="30">
        <f t="shared" si="75"/>
        <v>0</v>
      </c>
      <c r="W130" s="30"/>
      <c r="X130" s="30">
        <f t="shared" si="76"/>
        <v>2578.19</v>
      </c>
      <c r="Y130" s="30">
        <f t="shared" si="77"/>
        <v>2578.19</v>
      </c>
      <c r="Z130" s="30">
        <v>1</v>
      </c>
      <c r="AA130" s="30">
        <f t="shared" si="78"/>
        <v>2578.19</v>
      </c>
      <c r="AB130" s="30">
        <f t="shared" si="79"/>
        <v>2578.19</v>
      </c>
      <c r="AC130" s="30">
        <f t="shared" si="80"/>
        <v>0</v>
      </c>
      <c r="AD130" s="6">
        <f t="shared" si="81"/>
        <v>1999.9166666666667</v>
      </c>
      <c r="AE130" s="6">
        <f t="shared" si="82"/>
        <v>2017.6666666666667</v>
      </c>
      <c r="AF130" s="6">
        <f t="shared" si="83"/>
        <v>2009.9166666666667</v>
      </c>
      <c r="AG130" s="6">
        <f t="shared" si="84"/>
        <v>2016.6666666666667</v>
      </c>
      <c r="AH130" s="6">
        <f t="shared" si="85"/>
        <v>-8.3333333333333329E-2</v>
      </c>
    </row>
    <row r="131" spans="3:34">
      <c r="D131" s="27" t="s">
        <v>173</v>
      </c>
      <c r="E131" s="10">
        <v>1999</v>
      </c>
      <c r="F131" s="1">
        <v>12</v>
      </c>
      <c r="G131" s="50">
        <v>0</v>
      </c>
      <c r="H131" s="50"/>
      <c r="I131" s="10" t="s">
        <v>92</v>
      </c>
      <c r="J131" s="10">
        <v>10</v>
      </c>
      <c r="K131" s="4">
        <f t="shared" si="70"/>
        <v>2009</v>
      </c>
      <c r="L131" s="51"/>
      <c r="N131" s="29">
        <v>4367.96</v>
      </c>
      <c r="O131" s="38"/>
      <c r="P131" s="30">
        <f t="shared" si="71"/>
        <v>4367.96</v>
      </c>
      <c r="Q131" s="30">
        <f t="shared" si="72"/>
        <v>36.399666666666668</v>
      </c>
      <c r="R131" s="30">
        <f t="shared" si="73"/>
        <v>0</v>
      </c>
      <c r="S131" s="30"/>
      <c r="T131" s="30">
        <f t="shared" si="74"/>
        <v>0</v>
      </c>
      <c r="U131" s="30">
        <v>1</v>
      </c>
      <c r="V131" s="30">
        <f t="shared" si="75"/>
        <v>0</v>
      </c>
      <c r="W131" s="30"/>
      <c r="X131" s="30">
        <f t="shared" si="76"/>
        <v>4367.96</v>
      </c>
      <c r="Y131" s="30">
        <f t="shared" si="77"/>
        <v>4367.96</v>
      </c>
      <c r="Z131" s="30">
        <v>1</v>
      </c>
      <c r="AA131" s="30">
        <f t="shared" si="78"/>
        <v>4367.96</v>
      </c>
      <c r="AB131" s="30">
        <f t="shared" si="79"/>
        <v>4367.96</v>
      </c>
      <c r="AC131" s="30">
        <f t="shared" si="80"/>
        <v>0</v>
      </c>
      <c r="AD131" s="6">
        <f t="shared" si="81"/>
        <v>1999.9166666666667</v>
      </c>
      <c r="AE131" s="6">
        <f t="shared" si="82"/>
        <v>2017.6666666666667</v>
      </c>
      <c r="AF131" s="6">
        <f t="shared" si="83"/>
        <v>2009.9166666666667</v>
      </c>
      <c r="AG131" s="6">
        <f t="shared" si="84"/>
        <v>2016.6666666666667</v>
      </c>
      <c r="AH131" s="6">
        <f t="shared" si="85"/>
        <v>-8.3333333333333329E-2</v>
      </c>
    </row>
    <row r="132" spans="3:34">
      <c r="D132" s="27" t="s">
        <v>174</v>
      </c>
      <c r="E132" s="10">
        <v>2000</v>
      </c>
      <c r="F132" s="1">
        <v>7</v>
      </c>
      <c r="G132" s="50">
        <v>0</v>
      </c>
      <c r="H132" s="50"/>
      <c r="I132" s="10" t="s">
        <v>92</v>
      </c>
      <c r="J132" s="10">
        <v>10</v>
      </c>
      <c r="K132" s="4">
        <f t="shared" si="70"/>
        <v>2010</v>
      </c>
      <c r="L132" s="51"/>
      <c r="N132" s="29">
        <v>1491.78</v>
      </c>
      <c r="O132" s="38"/>
      <c r="P132" s="30">
        <f t="shared" si="71"/>
        <v>1491.78</v>
      </c>
      <c r="Q132" s="30">
        <f t="shared" si="72"/>
        <v>12.4315</v>
      </c>
      <c r="R132" s="30">
        <f t="shared" si="73"/>
        <v>0</v>
      </c>
      <c r="S132" s="30"/>
      <c r="T132" s="30">
        <f t="shared" si="74"/>
        <v>0</v>
      </c>
      <c r="U132" s="30">
        <v>1</v>
      </c>
      <c r="V132" s="30">
        <f t="shared" si="75"/>
        <v>0</v>
      </c>
      <c r="W132" s="30"/>
      <c r="X132" s="30">
        <f t="shared" si="76"/>
        <v>1491.78</v>
      </c>
      <c r="Y132" s="30">
        <f t="shared" si="77"/>
        <v>1491.78</v>
      </c>
      <c r="Z132" s="30">
        <v>1</v>
      </c>
      <c r="AA132" s="30">
        <f t="shared" si="78"/>
        <v>1491.78</v>
      </c>
      <c r="AB132" s="30">
        <f t="shared" si="79"/>
        <v>1491.78</v>
      </c>
      <c r="AC132" s="30">
        <f t="shared" si="80"/>
        <v>0</v>
      </c>
      <c r="AD132" s="6">
        <f t="shared" si="81"/>
        <v>2000.5</v>
      </c>
      <c r="AE132" s="6">
        <f t="shared" si="82"/>
        <v>2017.6666666666667</v>
      </c>
      <c r="AF132" s="6">
        <f t="shared" si="83"/>
        <v>2010.5</v>
      </c>
      <c r="AG132" s="6">
        <f t="shared" si="84"/>
        <v>2016.6666666666667</v>
      </c>
      <c r="AH132" s="6">
        <f t="shared" si="85"/>
        <v>-8.3333333333333329E-2</v>
      </c>
    </row>
    <row r="133" spans="3:34">
      <c r="D133" s="27" t="s">
        <v>175</v>
      </c>
      <c r="E133" s="10">
        <v>2000</v>
      </c>
      <c r="F133" s="1">
        <v>8</v>
      </c>
      <c r="G133" s="50">
        <v>0</v>
      </c>
      <c r="H133" s="50"/>
      <c r="I133" s="10" t="s">
        <v>92</v>
      </c>
      <c r="J133" s="10">
        <v>10</v>
      </c>
      <c r="K133" s="4">
        <f t="shared" si="70"/>
        <v>2010</v>
      </c>
      <c r="L133" s="51"/>
      <c r="N133" s="29">
        <v>713.46</v>
      </c>
      <c r="O133" s="38"/>
      <c r="P133" s="30">
        <f t="shared" si="71"/>
        <v>713.46</v>
      </c>
      <c r="Q133" s="30">
        <f t="shared" si="72"/>
        <v>5.9455</v>
      </c>
      <c r="R133" s="30">
        <f t="shared" si="73"/>
        <v>0</v>
      </c>
      <c r="S133" s="30"/>
      <c r="T133" s="30">
        <f t="shared" si="74"/>
        <v>0</v>
      </c>
      <c r="U133" s="30">
        <v>1</v>
      </c>
      <c r="V133" s="30">
        <f t="shared" si="75"/>
        <v>0</v>
      </c>
      <c r="W133" s="30"/>
      <c r="X133" s="30">
        <f t="shared" si="76"/>
        <v>713.46</v>
      </c>
      <c r="Y133" s="30">
        <f t="shared" si="77"/>
        <v>713.46</v>
      </c>
      <c r="Z133" s="30">
        <v>1</v>
      </c>
      <c r="AA133" s="30">
        <f t="shared" si="78"/>
        <v>713.46</v>
      </c>
      <c r="AB133" s="30">
        <f t="shared" si="79"/>
        <v>713.46</v>
      </c>
      <c r="AC133" s="30">
        <f t="shared" si="80"/>
        <v>0</v>
      </c>
      <c r="AD133" s="6">
        <f t="shared" si="81"/>
        <v>2000.5833333333333</v>
      </c>
      <c r="AE133" s="6">
        <f t="shared" si="82"/>
        <v>2017.6666666666667</v>
      </c>
      <c r="AF133" s="6">
        <f t="shared" si="83"/>
        <v>2010.5833333333333</v>
      </c>
      <c r="AG133" s="6">
        <f t="shared" si="84"/>
        <v>2016.6666666666667</v>
      </c>
      <c r="AH133" s="6">
        <f t="shared" si="85"/>
        <v>-8.3333333333333329E-2</v>
      </c>
    </row>
    <row r="134" spans="3:34">
      <c r="D134" s="27" t="s">
        <v>176</v>
      </c>
      <c r="E134" s="10">
        <v>2000</v>
      </c>
      <c r="F134" s="1">
        <v>8</v>
      </c>
      <c r="G134" s="50">
        <v>0</v>
      </c>
      <c r="H134" s="50"/>
      <c r="I134" s="10" t="s">
        <v>92</v>
      </c>
      <c r="J134" s="10">
        <v>10</v>
      </c>
      <c r="K134" s="4">
        <f t="shared" si="70"/>
        <v>2010</v>
      </c>
      <c r="L134" s="51"/>
      <c r="N134" s="29">
        <v>778.32</v>
      </c>
      <c r="O134" s="38"/>
      <c r="P134" s="30">
        <f t="shared" si="71"/>
        <v>778.32</v>
      </c>
      <c r="Q134" s="30">
        <f t="shared" si="72"/>
        <v>6.4860000000000007</v>
      </c>
      <c r="R134" s="30">
        <f t="shared" si="73"/>
        <v>0</v>
      </c>
      <c r="S134" s="30"/>
      <c r="T134" s="30">
        <f t="shared" si="74"/>
        <v>0</v>
      </c>
      <c r="U134" s="30">
        <v>1</v>
      </c>
      <c r="V134" s="30">
        <f t="shared" si="75"/>
        <v>0</v>
      </c>
      <c r="W134" s="30"/>
      <c r="X134" s="30">
        <f t="shared" si="76"/>
        <v>778.32</v>
      </c>
      <c r="Y134" s="30">
        <f t="shared" si="77"/>
        <v>778.32</v>
      </c>
      <c r="Z134" s="30">
        <v>1</v>
      </c>
      <c r="AA134" s="30">
        <f t="shared" si="78"/>
        <v>778.32</v>
      </c>
      <c r="AB134" s="30">
        <f t="shared" si="79"/>
        <v>778.32</v>
      </c>
      <c r="AC134" s="30">
        <f t="shared" si="80"/>
        <v>0</v>
      </c>
      <c r="AD134" s="6">
        <f t="shared" si="81"/>
        <v>2000.5833333333333</v>
      </c>
      <c r="AE134" s="6">
        <f t="shared" si="82"/>
        <v>2017.6666666666667</v>
      </c>
      <c r="AF134" s="6">
        <f t="shared" si="83"/>
        <v>2010.5833333333333</v>
      </c>
      <c r="AG134" s="6">
        <f t="shared" si="84"/>
        <v>2016.6666666666667</v>
      </c>
      <c r="AH134" s="6">
        <f t="shared" si="85"/>
        <v>-8.3333333333333329E-2</v>
      </c>
    </row>
    <row r="135" spans="3:34">
      <c r="D135" s="27" t="s">
        <v>169</v>
      </c>
      <c r="E135" s="10">
        <v>2000</v>
      </c>
      <c r="F135" s="1">
        <v>8</v>
      </c>
      <c r="G135" s="50">
        <v>0</v>
      </c>
      <c r="H135" s="50"/>
      <c r="I135" s="10" t="s">
        <v>92</v>
      </c>
      <c r="J135" s="10">
        <v>10</v>
      </c>
      <c r="K135" s="4">
        <f t="shared" si="70"/>
        <v>2010</v>
      </c>
      <c r="L135" s="51"/>
      <c r="N135" s="29">
        <v>6739.42</v>
      </c>
      <c r="O135" s="38"/>
      <c r="P135" s="30">
        <f t="shared" si="71"/>
        <v>6739.42</v>
      </c>
      <c r="Q135" s="30">
        <f t="shared" si="72"/>
        <v>56.161833333333334</v>
      </c>
      <c r="R135" s="30">
        <f t="shared" si="73"/>
        <v>0</v>
      </c>
      <c r="S135" s="30"/>
      <c r="T135" s="30">
        <f t="shared" si="74"/>
        <v>0</v>
      </c>
      <c r="U135" s="30">
        <v>1</v>
      </c>
      <c r="V135" s="30">
        <f t="shared" si="75"/>
        <v>0</v>
      </c>
      <c r="W135" s="30"/>
      <c r="X135" s="30">
        <f t="shared" si="76"/>
        <v>6739.42</v>
      </c>
      <c r="Y135" s="30">
        <f t="shared" si="77"/>
        <v>6739.42</v>
      </c>
      <c r="Z135" s="30">
        <v>1</v>
      </c>
      <c r="AA135" s="30">
        <f t="shared" si="78"/>
        <v>6739.42</v>
      </c>
      <c r="AB135" s="30">
        <f t="shared" si="79"/>
        <v>6739.42</v>
      </c>
      <c r="AC135" s="30">
        <f t="shared" si="80"/>
        <v>0</v>
      </c>
      <c r="AD135" s="6">
        <f t="shared" si="81"/>
        <v>2000.5833333333333</v>
      </c>
      <c r="AE135" s="6">
        <f t="shared" si="82"/>
        <v>2017.6666666666667</v>
      </c>
      <c r="AF135" s="6">
        <f t="shared" si="83"/>
        <v>2010.5833333333333</v>
      </c>
      <c r="AG135" s="6">
        <f t="shared" si="84"/>
        <v>2016.6666666666667</v>
      </c>
      <c r="AH135" s="6">
        <f t="shared" si="85"/>
        <v>-8.3333333333333329E-2</v>
      </c>
    </row>
    <row r="136" spans="3:34">
      <c r="D136" s="27" t="s">
        <v>174</v>
      </c>
      <c r="E136" s="10">
        <v>2000</v>
      </c>
      <c r="F136" s="1">
        <v>10</v>
      </c>
      <c r="G136" s="50">
        <v>0</v>
      </c>
      <c r="H136" s="50"/>
      <c r="I136" s="10" t="s">
        <v>92</v>
      </c>
      <c r="J136" s="10">
        <v>10</v>
      </c>
      <c r="K136" s="4">
        <f t="shared" si="70"/>
        <v>2010</v>
      </c>
      <c r="L136" s="51"/>
      <c r="N136" s="29">
        <v>1459.35</v>
      </c>
      <c r="O136" s="38"/>
      <c r="P136" s="30">
        <f t="shared" si="71"/>
        <v>1459.35</v>
      </c>
      <c r="Q136" s="30">
        <f t="shared" si="72"/>
        <v>12.161250000000001</v>
      </c>
      <c r="R136" s="30">
        <f t="shared" si="73"/>
        <v>0</v>
      </c>
      <c r="S136" s="30"/>
      <c r="T136" s="30">
        <f t="shared" si="74"/>
        <v>0</v>
      </c>
      <c r="U136" s="30">
        <v>1</v>
      </c>
      <c r="V136" s="30">
        <f t="shared" si="75"/>
        <v>0</v>
      </c>
      <c r="W136" s="30"/>
      <c r="X136" s="30">
        <f t="shared" si="76"/>
        <v>1459.35</v>
      </c>
      <c r="Y136" s="30">
        <f t="shared" si="77"/>
        <v>1459.35</v>
      </c>
      <c r="Z136" s="30">
        <v>1</v>
      </c>
      <c r="AA136" s="30">
        <f t="shared" si="78"/>
        <v>1459.35</v>
      </c>
      <c r="AB136" s="30">
        <f t="shared" si="79"/>
        <v>1459.35</v>
      </c>
      <c r="AC136" s="30">
        <f t="shared" si="80"/>
        <v>0</v>
      </c>
      <c r="AD136" s="6">
        <f t="shared" si="81"/>
        <v>2000.75</v>
      </c>
      <c r="AE136" s="6">
        <f t="shared" si="82"/>
        <v>2017.6666666666667</v>
      </c>
      <c r="AF136" s="6">
        <f t="shared" si="83"/>
        <v>2010.75</v>
      </c>
      <c r="AG136" s="6">
        <f t="shared" si="84"/>
        <v>2016.6666666666667</v>
      </c>
      <c r="AH136" s="6">
        <f t="shared" si="85"/>
        <v>-8.3333333333333329E-2</v>
      </c>
    </row>
    <row r="137" spans="3:34">
      <c r="D137" s="27" t="s">
        <v>177</v>
      </c>
      <c r="E137" s="10">
        <v>2000</v>
      </c>
      <c r="F137" s="1">
        <v>11</v>
      </c>
      <c r="G137" s="50">
        <v>0</v>
      </c>
      <c r="H137" s="50"/>
      <c r="I137" s="10" t="s">
        <v>92</v>
      </c>
      <c r="J137" s="10">
        <v>10</v>
      </c>
      <c r="K137" s="4">
        <f t="shared" si="70"/>
        <v>2010</v>
      </c>
      <c r="L137" s="51"/>
      <c r="N137" s="29">
        <f>610*1.081</f>
        <v>659.41</v>
      </c>
      <c r="O137" s="38"/>
      <c r="P137" s="30">
        <f t="shared" si="71"/>
        <v>659.41</v>
      </c>
      <c r="Q137" s="30">
        <f t="shared" si="72"/>
        <v>5.4950833333333335</v>
      </c>
      <c r="R137" s="30">
        <f t="shared" si="73"/>
        <v>0</v>
      </c>
      <c r="S137" s="30"/>
      <c r="T137" s="30">
        <f t="shared" si="74"/>
        <v>0</v>
      </c>
      <c r="U137" s="30">
        <v>1</v>
      </c>
      <c r="V137" s="30">
        <f t="shared" si="75"/>
        <v>0</v>
      </c>
      <c r="W137" s="30"/>
      <c r="X137" s="30">
        <f t="shared" si="76"/>
        <v>659.41</v>
      </c>
      <c r="Y137" s="30">
        <f t="shared" si="77"/>
        <v>659.41</v>
      </c>
      <c r="Z137" s="30">
        <v>1</v>
      </c>
      <c r="AA137" s="30">
        <f t="shared" si="78"/>
        <v>659.41</v>
      </c>
      <c r="AB137" s="30">
        <f t="shared" si="79"/>
        <v>659.41</v>
      </c>
      <c r="AC137" s="30">
        <f t="shared" si="80"/>
        <v>0</v>
      </c>
      <c r="AD137" s="6">
        <f t="shared" si="81"/>
        <v>2000.8333333333333</v>
      </c>
      <c r="AE137" s="6">
        <f t="shared" si="82"/>
        <v>2017.6666666666667</v>
      </c>
      <c r="AF137" s="6">
        <f t="shared" si="83"/>
        <v>2010.8333333333333</v>
      </c>
      <c r="AG137" s="6">
        <f t="shared" si="84"/>
        <v>2016.6666666666667</v>
      </c>
      <c r="AH137" s="6">
        <f t="shared" si="85"/>
        <v>-8.3333333333333329E-2</v>
      </c>
    </row>
    <row r="138" spans="3:34">
      <c r="D138" s="27" t="s">
        <v>178</v>
      </c>
      <c r="E138" s="10">
        <v>2000</v>
      </c>
      <c r="F138" s="1">
        <v>11</v>
      </c>
      <c r="G138" s="50">
        <v>0</v>
      </c>
      <c r="H138" s="50"/>
      <c r="I138" s="10" t="s">
        <v>92</v>
      </c>
      <c r="J138" s="10">
        <v>10</v>
      </c>
      <c r="K138" s="4">
        <f t="shared" si="70"/>
        <v>2010</v>
      </c>
      <c r="L138" s="51"/>
      <c r="N138" s="29">
        <f>740*1.081</f>
        <v>799.93999999999994</v>
      </c>
      <c r="O138" s="38"/>
      <c r="P138" s="30">
        <f t="shared" si="71"/>
        <v>799.93999999999994</v>
      </c>
      <c r="Q138" s="30">
        <f t="shared" si="72"/>
        <v>6.6661666666666664</v>
      </c>
      <c r="R138" s="30">
        <f t="shared" si="73"/>
        <v>0</v>
      </c>
      <c r="S138" s="30"/>
      <c r="T138" s="30">
        <f t="shared" si="74"/>
        <v>0</v>
      </c>
      <c r="U138" s="30">
        <v>1</v>
      </c>
      <c r="V138" s="30">
        <f t="shared" si="75"/>
        <v>0</v>
      </c>
      <c r="W138" s="30"/>
      <c r="X138" s="30">
        <f t="shared" si="76"/>
        <v>799.93999999999994</v>
      </c>
      <c r="Y138" s="30">
        <f t="shared" si="77"/>
        <v>799.93999999999994</v>
      </c>
      <c r="Z138" s="30">
        <v>1</v>
      </c>
      <c r="AA138" s="30">
        <f t="shared" si="78"/>
        <v>799.93999999999994</v>
      </c>
      <c r="AB138" s="30">
        <f t="shared" si="79"/>
        <v>799.93999999999994</v>
      </c>
      <c r="AC138" s="30">
        <f t="shared" si="80"/>
        <v>0</v>
      </c>
      <c r="AD138" s="6">
        <f t="shared" si="81"/>
        <v>2000.8333333333333</v>
      </c>
      <c r="AE138" s="6">
        <f t="shared" si="82"/>
        <v>2017.6666666666667</v>
      </c>
      <c r="AF138" s="6">
        <f t="shared" si="83"/>
        <v>2010.8333333333333</v>
      </c>
      <c r="AG138" s="6">
        <f t="shared" si="84"/>
        <v>2016.6666666666667</v>
      </c>
      <c r="AH138" s="6">
        <f t="shared" si="85"/>
        <v>-8.3333333333333329E-2</v>
      </c>
    </row>
    <row r="139" spans="3:34">
      <c r="D139" s="39" t="s">
        <v>179</v>
      </c>
      <c r="E139" s="10">
        <v>2000</v>
      </c>
      <c r="F139" s="1">
        <v>12</v>
      </c>
      <c r="G139" s="50">
        <v>0</v>
      </c>
      <c r="H139" s="50"/>
      <c r="I139" s="10" t="s">
        <v>92</v>
      </c>
      <c r="J139" s="10">
        <v>10</v>
      </c>
      <c r="K139" s="4">
        <f t="shared" si="70"/>
        <v>2010</v>
      </c>
      <c r="L139" s="51"/>
      <c r="N139" s="29">
        <v>2788.98</v>
      </c>
      <c r="O139" s="38"/>
      <c r="P139" s="30">
        <f t="shared" si="71"/>
        <v>2788.98</v>
      </c>
      <c r="Q139" s="30">
        <f t="shared" si="72"/>
        <v>23.241500000000002</v>
      </c>
      <c r="R139" s="30">
        <f t="shared" si="73"/>
        <v>0</v>
      </c>
      <c r="S139" s="30"/>
      <c r="T139" s="30">
        <f t="shared" si="74"/>
        <v>0</v>
      </c>
      <c r="U139" s="30">
        <v>1</v>
      </c>
      <c r="V139" s="30">
        <f t="shared" si="75"/>
        <v>0</v>
      </c>
      <c r="W139" s="30"/>
      <c r="X139" s="30">
        <f t="shared" si="76"/>
        <v>2788.98</v>
      </c>
      <c r="Y139" s="30">
        <f t="shared" si="77"/>
        <v>2788.98</v>
      </c>
      <c r="Z139" s="30">
        <v>1</v>
      </c>
      <c r="AA139" s="30">
        <f t="shared" si="78"/>
        <v>2788.98</v>
      </c>
      <c r="AB139" s="30">
        <f t="shared" si="79"/>
        <v>2788.98</v>
      </c>
      <c r="AC139" s="30">
        <f t="shared" si="80"/>
        <v>0</v>
      </c>
      <c r="AD139" s="6">
        <f t="shared" si="81"/>
        <v>2000.9166666666667</v>
      </c>
      <c r="AE139" s="6">
        <f t="shared" si="82"/>
        <v>2017.6666666666667</v>
      </c>
      <c r="AF139" s="6">
        <f t="shared" si="83"/>
        <v>2010.9166666666667</v>
      </c>
      <c r="AG139" s="6">
        <f t="shared" si="84"/>
        <v>2016.6666666666667</v>
      </c>
      <c r="AH139" s="6">
        <f t="shared" si="85"/>
        <v>-8.3333333333333329E-2</v>
      </c>
    </row>
    <row r="140" spans="3:34">
      <c r="D140" s="27" t="s">
        <v>180</v>
      </c>
      <c r="E140" s="10">
        <v>2001</v>
      </c>
      <c r="F140" s="1">
        <v>3</v>
      </c>
      <c r="G140" s="50">
        <v>0</v>
      </c>
      <c r="H140" s="50"/>
      <c r="I140" s="10" t="s">
        <v>92</v>
      </c>
      <c r="J140" s="10">
        <v>10</v>
      </c>
      <c r="K140" s="4">
        <f t="shared" si="70"/>
        <v>2011</v>
      </c>
      <c r="L140" s="51"/>
      <c r="N140" s="29">
        <f>795*1.081</f>
        <v>859.39499999999998</v>
      </c>
      <c r="O140" s="38"/>
      <c r="P140" s="30">
        <f t="shared" si="71"/>
        <v>859.39499999999998</v>
      </c>
      <c r="Q140" s="30">
        <f t="shared" si="72"/>
        <v>7.1616249999999999</v>
      </c>
      <c r="R140" s="30">
        <f t="shared" si="73"/>
        <v>0</v>
      </c>
      <c r="S140" s="30"/>
      <c r="T140" s="30">
        <f t="shared" si="74"/>
        <v>0</v>
      </c>
      <c r="U140" s="30">
        <v>1</v>
      </c>
      <c r="V140" s="30">
        <f t="shared" si="75"/>
        <v>0</v>
      </c>
      <c r="W140" s="30"/>
      <c r="X140" s="30">
        <f t="shared" si="76"/>
        <v>859.39499999999998</v>
      </c>
      <c r="Y140" s="30">
        <f t="shared" si="77"/>
        <v>859.39499999999998</v>
      </c>
      <c r="Z140" s="30">
        <v>1</v>
      </c>
      <c r="AA140" s="30">
        <f t="shared" si="78"/>
        <v>859.39499999999998</v>
      </c>
      <c r="AB140" s="30">
        <f t="shared" si="79"/>
        <v>859.39499999999998</v>
      </c>
      <c r="AC140" s="30">
        <f t="shared" si="80"/>
        <v>0</v>
      </c>
      <c r="AD140" s="6">
        <f t="shared" si="81"/>
        <v>2001.1666666666667</v>
      </c>
      <c r="AE140" s="6">
        <f t="shared" si="82"/>
        <v>2017.6666666666667</v>
      </c>
      <c r="AF140" s="6">
        <f t="shared" si="83"/>
        <v>2011.1666666666667</v>
      </c>
      <c r="AG140" s="6">
        <f t="shared" si="84"/>
        <v>2016.6666666666667</v>
      </c>
      <c r="AH140" s="6">
        <f t="shared" si="85"/>
        <v>-8.3333333333333329E-2</v>
      </c>
    </row>
    <row r="141" spans="3:34">
      <c r="D141" s="27" t="s">
        <v>181</v>
      </c>
      <c r="E141" s="10">
        <v>2001</v>
      </c>
      <c r="F141" s="1">
        <v>3</v>
      </c>
      <c r="G141" s="50">
        <v>0</v>
      </c>
      <c r="H141" s="50"/>
      <c r="I141" s="10" t="s">
        <v>92</v>
      </c>
      <c r="J141" s="10">
        <v>10</v>
      </c>
      <c r="K141" s="4">
        <f t="shared" si="70"/>
        <v>2011</v>
      </c>
      <c r="L141" s="51"/>
      <c r="N141" s="29">
        <f>1440*1.081</f>
        <v>1556.6399999999999</v>
      </c>
      <c r="O141" s="38"/>
      <c r="P141" s="30">
        <f t="shared" si="71"/>
        <v>1556.6399999999999</v>
      </c>
      <c r="Q141" s="30">
        <f t="shared" si="72"/>
        <v>12.972</v>
      </c>
      <c r="R141" s="30">
        <f t="shared" si="73"/>
        <v>0</v>
      </c>
      <c r="S141" s="30"/>
      <c r="T141" s="30">
        <f t="shared" si="74"/>
        <v>0</v>
      </c>
      <c r="U141" s="30">
        <v>1</v>
      </c>
      <c r="V141" s="30">
        <f t="shared" si="75"/>
        <v>0</v>
      </c>
      <c r="W141" s="30"/>
      <c r="X141" s="30">
        <f t="shared" si="76"/>
        <v>1556.6399999999999</v>
      </c>
      <c r="Y141" s="30">
        <f t="shared" si="77"/>
        <v>1556.6399999999999</v>
      </c>
      <c r="Z141" s="30">
        <v>1</v>
      </c>
      <c r="AA141" s="30">
        <f t="shared" si="78"/>
        <v>1556.6399999999999</v>
      </c>
      <c r="AB141" s="30">
        <f t="shared" si="79"/>
        <v>1556.6399999999999</v>
      </c>
      <c r="AC141" s="30">
        <f t="shared" si="80"/>
        <v>0</v>
      </c>
      <c r="AD141" s="6">
        <f t="shared" si="81"/>
        <v>2001.1666666666667</v>
      </c>
      <c r="AE141" s="6">
        <f t="shared" si="82"/>
        <v>2017.6666666666667</v>
      </c>
      <c r="AF141" s="6">
        <f t="shared" si="83"/>
        <v>2011.1666666666667</v>
      </c>
      <c r="AG141" s="6">
        <f t="shared" si="84"/>
        <v>2016.6666666666667</v>
      </c>
      <c r="AH141" s="6">
        <f t="shared" si="85"/>
        <v>-8.3333333333333329E-2</v>
      </c>
    </row>
    <row r="142" spans="3:34">
      <c r="C142" s="1">
        <v>3</v>
      </c>
      <c r="D142" s="27" t="s">
        <v>182</v>
      </c>
      <c r="E142" s="10">
        <v>2003</v>
      </c>
      <c r="F142" s="1">
        <v>2</v>
      </c>
      <c r="G142" s="50">
        <v>0</v>
      </c>
      <c r="H142" s="50"/>
      <c r="I142" s="10" t="s">
        <v>92</v>
      </c>
      <c r="J142" s="10">
        <v>10</v>
      </c>
      <c r="K142" s="4">
        <f t="shared" si="70"/>
        <v>2013</v>
      </c>
      <c r="L142" s="51"/>
      <c r="N142" s="29">
        <v>1261</v>
      </c>
      <c r="O142" s="38"/>
      <c r="P142" s="30">
        <f t="shared" si="71"/>
        <v>1261</v>
      </c>
      <c r="Q142" s="30">
        <f t="shared" si="72"/>
        <v>10.508333333333333</v>
      </c>
      <c r="R142" s="30">
        <f t="shared" si="73"/>
        <v>0</v>
      </c>
      <c r="S142" s="30"/>
      <c r="T142" s="30">
        <f t="shared" si="74"/>
        <v>0</v>
      </c>
      <c r="U142" s="30">
        <v>1</v>
      </c>
      <c r="V142" s="30">
        <f t="shared" si="75"/>
        <v>0</v>
      </c>
      <c r="W142" s="30"/>
      <c r="X142" s="30">
        <f t="shared" si="76"/>
        <v>1261</v>
      </c>
      <c r="Y142" s="30">
        <f t="shared" si="77"/>
        <v>1261</v>
      </c>
      <c r="Z142" s="30">
        <v>1</v>
      </c>
      <c r="AA142" s="30">
        <f t="shared" si="78"/>
        <v>1261</v>
      </c>
      <c r="AB142" s="30">
        <f t="shared" si="79"/>
        <v>1261</v>
      </c>
      <c r="AC142" s="30">
        <f t="shared" si="80"/>
        <v>0</v>
      </c>
      <c r="AD142" s="6">
        <f t="shared" si="81"/>
        <v>2003.0833333333333</v>
      </c>
      <c r="AE142" s="6">
        <f t="shared" si="82"/>
        <v>2017.6666666666667</v>
      </c>
      <c r="AF142" s="6">
        <f t="shared" si="83"/>
        <v>2013.0833333333333</v>
      </c>
      <c r="AG142" s="6">
        <f t="shared" si="84"/>
        <v>2016.6666666666667</v>
      </c>
      <c r="AH142" s="6">
        <f t="shared" si="85"/>
        <v>-8.3333333333333329E-2</v>
      </c>
    </row>
    <row r="143" spans="3:34">
      <c r="C143" s="1">
        <v>15</v>
      </c>
      <c r="D143" s="27" t="s">
        <v>183</v>
      </c>
      <c r="E143" s="10">
        <v>2003</v>
      </c>
      <c r="F143" s="1">
        <v>5</v>
      </c>
      <c r="G143" s="50">
        <v>0</v>
      </c>
      <c r="H143" s="50"/>
      <c r="I143" s="10" t="s">
        <v>92</v>
      </c>
      <c r="J143" s="10">
        <v>10</v>
      </c>
      <c r="K143" s="4">
        <f t="shared" si="70"/>
        <v>2013</v>
      </c>
      <c r="L143" s="51"/>
      <c r="N143" s="29">
        <v>6180.08</v>
      </c>
      <c r="O143" s="38"/>
      <c r="P143" s="30">
        <f t="shared" si="71"/>
        <v>6180.08</v>
      </c>
      <c r="Q143" s="30">
        <f t="shared" si="72"/>
        <v>51.500666666666667</v>
      </c>
      <c r="R143" s="30">
        <f t="shared" si="73"/>
        <v>0</v>
      </c>
      <c r="S143" s="30"/>
      <c r="T143" s="30">
        <f t="shared" si="74"/>
        <v>0</v>
      </c>
      <c r="U143" s="30">
        <v>1</v>
      </c>
      <c r="V143" s="30">
        <f t="shared" si="75"/>
        <v>0</v>
      </c>
      <c r="W143" s="30"/>
      <c r="X143" s="30">
        <f t="shared" si="76"/>
        <v>6180.08</v>
      </c>
      <c r="Y143" s="30">
        <f t="shared" si="77"/>
        <v>6180.08</v>
      </c>
      <c r="Z143" s="30">
        <v>1</v>
      </c>
      <c r="AA143" s="30">
        <f t="shared" si="78"/>
        <v>6180.08</v>
      </c>
      <c r="AB143" s="30">
        <f t="shared" si="79"/>
        <v>6180.08</v>
      </c>
      <c r="AC143" s="30">
        <f t="shared" si="80"/>
        <v>0</v>
      </c>
      <c r="AD143" s="6">
        <f t="shared" si="81"/>
        <v>2003.3333333333333</v>
      </c>
      <c r="AE143" s="6">
        <f t="shared" si="82"/>
        <v>2017.6666666666667</v>
      </c>
      <c r="AF143" s="6">
        <f t="shared" si="83"/>
        <v>2013.3333333333333</v>
      </c>
      <c r="AG143" s="6">
        <f t="shared" si="84"/>
        <v>2016.6666666666667</v>
      </c>
      <c r="AH143" s="6">
        <f t="shared" si="85"/>
        <v>-8.3333333333333329E-2</v>
      </c>
    </row>
    <row r="144" spans="3:34">
      <c r="C144" s="1">
        <v>2</v>
      </c>
      <c r="D144" s="27" t="s">
        <v>184</v>
      </c>
      <c r="E144" s="10">
        <v>2003</v>
      </c>
      <c r="F144" s="1">
        <v>5</v>
      </c>
      <c r="G144" s="50">
        <v>0</v>
      </c>
      <c r="H144" s="50"/>
      <c r="I144" s="10" t="s">
        <v>92</v>
      </c>
      <c r="J144" s="10">
        <v>10</v>
      </c>
      <c r="K144" s="4">
        <f t="shared" si="70"/>
        <v>2013</v>
      </c>
      <c r="L144" s="51"/>
      <c r="N144" s="29">
        <v>778.32</v>
      </c>
      <c r="O144" s="38"/>
      <c r="P144" s="30">
        <f t="shared" si="71"/>
        <v>778.32</v>
      </c>
      <c r="Q144" s="30">
        <f t="shared" si="72"/>
        <v>6.4860000000000007</v>
      </c>
      <c r="R144" s="30">
        <f t="shared" si="73"/>
        <v>0</v>
      </c>
      <c r="S144" s="30"/>
      <c r="T144" s="30">
        <f t="shared" si="74"/>
        <v>0</v>
      </c>
      <c r="U144" s="30">
        <v>1</v>
      </c>
      <c r="V144" s="30">
        <f t="shared" si="75"/>
        <v>0</v>
      </c>
      <c r="W144" s="30"/>
      <c r="X144" s="30">
        <f t="shared" si="76"/>
        <v>778.32</v>
      </c>
      <c r="Y144" s="30">
        <f t="shared" si="77"/>
        <v>778.32</v>
      </c>
      <c r="Z144" s="30">
        <v>1</v>
      </c>
      <c r="AA144" s="30">
        <f t="shared" si="78"/>
        <v>778.32</v>
      </c>
      <c r="AB144" s="30">
        <f t="shared" si="79"/>
        <v>778.32</v>
      </c>
      <c r="AC144" s="30">
        <f t="shared" si="80"/>
        <v>0</v>
      </c>
      <c r="AD144" s="6">
        <f t="shared" si="81"/>
        <v>2003.3333333333333</v>
      </c>
      <c r="AE144" s="6">
        <f t="shared" si="82"/>
        <v>2017.6666666666667</v>
      </c>
      <c r="AF144" s="6">
        <f t="shared" si="83"/>
        <v>2013.3333333333333</v>
      </c>
      <c r="AG144" s="6">
        <f t="shared" si="84"/>
        <v>2016.6666666666667</v>
      </c>
      <c r="AH144" s="6">
        <f t="shared" si="85"/>
        <v>-8.3333333333333329E-2</v>
      </c>
    </row>
    <row r="145" spans="3:34">
      <c r="C145" s="1">
        <v>13</v>
      </c>
      <c r="D145" s="27" t="s">
        <v>185</v>
      </c>
      <c r="E145" s="10">
        <v>2003</v>
      </c>
      <c r="F145" s="1">
        <v>7</v>
      </c>
      <c r="G145" s="50">
        <v>0</v>
      </c>
      <c r="H145" s="50"/>
      <c r="I145" s="10" t="s">
        <v>92</v>
      </c>
      <c r="J145" s="10">
        <v>7</v>
      </c>
      <c r="K145" s="4">
        <f t="shared" si="70"/>
        <v>2010</v>
      </c>
      <c r="L145" s="51"/>
      <c r="N145" s="29">
        <v>2425.92</v>
      </c>
      <c r="O145" s="38"/>
      <c r="P145" s="30">
        <f t="shared" si="71"/>
        <v>2425.92</v>
      </c>
      <c r="Q145" s="30">
        <f t="shared" si="72"/>
        <v>28.88</v>
      </c>
      <c r="R145" s="30">
        <f t="shared" si="73"/>
        <v>0</v>
      </c>
      <c r="S145" s="30"/>
      <c r="T145" s="30">
        <f t="shared" si="74"/>
        <v>0</v>
      </c>
      <c r="U145" s="30">
        <v>1</v>
      </c>
      <c r="V145" s="30">
        <f t="shared" si="75"/>
        <v>0</v>
      </c>
      <c r="W145" s="30"/>
      <c r="X145" s="30">
        <f t="shared" si="76"/>
        <v>2425.92</v>
      </c>
      <c r="Y145" s="30">
        <f t="shared" si="77"/>
        <v>2425.92</v>
      </c>
      <c r="Z145" s="30">
        <v>1</v>
      </c>
      <c r="AA145" s="30">
        <f t="shared" si="78"/>
        <v>2425.92</v>
      </c>
      <c r="AB145" s="30">
        <f t="shared" si="79"/>
        <v>2425.92</v>
      </c>
      <c r="AC145" s="30">
        <f t="shared" si="80"/>
        <v>0</v>
      </c>
      <c r="AD145" s="6">
        <f t="shared" si="81"/>
        <v>2003.5</v>
      </c>
      <c r="AE145" s="6">
        <f t="shared" si="82"/>
        <v>2017.6666666666667</v>
      </c>
      <c r="AF145" s="6">
        <f t="shared" si="83"/>
        <v>2010.5</v>
      </c>
      <c r="AG145" s="6">
        <f t="shared" si="84"/>
        <v>2016.6666666666667</v>
      </c>
      <c r="AH145" s="6">
        <f t="shared" si="85"/>
        <v>-8.3333333333333329E-2</v>
      </c>
    </row>
    <row r="146" spans="3:34">
      <c r="C146" s="1">
        <v>1</v>
      </c>
      <c r="D146" s="27" t="s">
        <v>186</v>
      </c>
      <c r="E146" s="10">
        <v>2003</v>
      </c>
      <c r="F146" s="1">
        <v>7</v>
      </c>
      <c r="G146" s="50">
        <v>0</v>
      </c>
      <c r="H146" s="50"/>
      <c r="I146" s="10" t="s">
        <v>92</v>
      </c>
      <c r="J146" s="10">
        <v>10</v>
      </c>
      <c r="K146" s="4">
        <f t="shared" si="70"/>
        <v>2013</v>
      </c>
      <c r="L146" s="51"/>
      <c r="N146" s="29">
        <v>989.12</v>
      </c>
      <c r="O146" s="38"/>
      <c r="P146" s="30">
        <f t="shared" si="71"/>
        <v>989.12</v>
      </c>
      <c r="Q146" s="30">
        <f t="shared" si="72"/>
        <v>8.2426666666666666</v>
      </c>
      <c r="R146" s="30">
        <f t="shared" si="73"/>
        <v>0</v>
      </c>
      <c r="S146" s="30"/>
      <c r="T146" s="30">
        <f t="shared" si="74"/>
        <v>0</v>
      </c>
      <c r="U146" s="30">
        <v>1</v>
      </c>
      <c r="V146" s="30">
        <f t="shared" si="75"/>
        <v>0</v>
      </c>
      <c r="W146" s="30"/>
      <c r="X146" s="30">
        <f t="shared" si="76"/>
        <v>989.12</v>
      </c>
      <c r="Y146" s="30">
        <f t="shared" si="77"/>
        <v>989.12</v>
      </c>
      <c r="Z146" s="30">
        <v>1</v>
      </c>
      <c r="AA146" s="30">
        <f t="shared" si="78"/>
        <v>989.12</v>
      </c>
      <c r="AB146" s="30">
        <f t="shared" si="79"/>
        <v>989.12</v>
      </c>
      <c r="AC146" s="30">
        <f t="shared" si="80"/>
        <v>0</v>
      </c>
      <c r="AD146" s="6">
        <f t="shared" si="81"/>
        <v>2003.5</v>
      </c>
      <c r="AE146" s="6">
        <f t="shared" si="82"/>
        <v>2017.6666666666667</v>
      </c>
      <c r="AF146" s="6">
        <f t="shared" si="83"/>
        <v>2013.5</v>
      </c>
      <c r="AG146" s="6">
        <f t="shared" si="84"/>
        <v>2016.6666666666667</v>
      </c>
      <c r="AH146" s="6">
        <f t="shared" si="85"/>
        <v>-8.3333333333333329E-2</v>
      </c>
    </row>
    <row r="147" spans="3:34">
      <c r="D147" s="27" t="s">
        <v>187</v>
      </c>
      <c r="E147" s="10">
        <v>2003</v>
      </c>
      <c r="F147" s="1">
        <v>7</v>
      </c>
      <c r="G147" s="50">
        <v>0</v>
      </c>
      <c r="H147" s="50"/>
      <c r="I147" s="10" t="s">
        <v>92</v>
      </c>
      <c r="J147" s="10">
        <v>10</v>
      </c>
      <c r="K147" s="4">
        <f t="shared" si="70"/>
        <v>2013</v>
      </c>
      <c r="L147" s="51"/>
      <c r="N147" s="29">
        <v>4763.8500000000004</v>
      </c>
      <c r="O147" s="38"/>
      <c r="P147" s="30">
        <f t="shared" si="71"/>
        <v>4763.8500000000004</v>
      </c>
      <c r="Q147" s="30">
        <f t="shared" si="72"/>
        <v>39.698750000000004</v>
      </c>
      <c r="R147" s="30">
        <f t="shared" si="73"/>
        <v>0</v>
      </c>
      <c r="S147" s="30"/>
      <c r="T147" s="30">
        <f t="shared" si="74"/>
        <v>0</v>
      </c>
      <c r="U147" s="30">
        <v>1</v>
      </c>
      <c r="V147" s="30">
        <f t="shared" si="75"/>
        <v>0</v>
      </c>
      <c r="W147" s="30"/>
      <c r="X147" s="30">
        <f t="shared" si="76"/>
        <v>4763.8500000000004</v>
      </c>
      <c r="Y147" s="30">
        <f t="shared" si="77"/>
        <v>4763.8500000000004</v>
      </c>
      <c r="Z147" s="30">
        <v>1</v>
      </c>
      <c r="AA147" s="30">
        <f t="shared" si="78"/>
        <v>4763.8500000000004</v>
      </c>
      <c r="AB147" s="30">
        <f t="shared" si="79"/>
        <v>4763.8500000000004</v>
      </c>
      <c r="AC147" s="30">
        <f t="shared" si="80"/>
        <v>0</v>
      </c>
      <c r="AD147" s="6">
        <f t="shared" si="81"/>
        <v>2003.5</v>
      </c>
      <c r="AE147" s="6">
        <f t="shared" si="82"/>
        <v>2017.6666666666667</v>
      </c>
      <c r="AF147" s="6">
        <f t="shared" si="83"/>
        <v>2013.5</v>
      </c>
      <c r="AG147" s="6">
        <f t="shared" si="84"/>
        <v>2016.6666666666667</v>
      </c>
      <c r="AH147" s="6">
        <f t="shared" si="85"/>
        <v>-8.3333333333333329E-2</v>
      </c>
    </row>
    <row r="148" spans="3:34">
      <c r="C148" s="1">
        <v>2</v>
      </c>
      <c r="D148" s="27" t="s">
        <v>188</v>
      </c>
      <c r="E148" s="10">
        <v>2003</v>
      </c>
      <c r="F148" s="1">
        <v>9</v>
      </c>
      <c r="G148" s="50">
        <v>0</v>
      </c>
      <c r="H148" s="50"/>
      <c r="I148" s="10" t="s">
        <v>92</v>
      </c>
      <c r="J148" s="10">
        <v>10</v>
      </c>
      <c r="K148" s="4">
        <f t="shared" si="70"/>
        <v>2013</v>
      </c>
      <c r="L148" s="51"/>
      <c r="N148" s="29">
        <v>1563.13</v>
      </c>
      <c r="O148" s="38"/>
      <c r="P148" s="30">
        <f t="shared" si="71"/>
        <v>1563.13</v>
      </c>
      <c r="Q148" s="30">
        <f t="shared" si="72"/>
        <v>13.026083333333334</v>
      </c>
      <c r="R148" s="30">
        <f t="shared" si="73"/>
        <v>0</v>
      </c>
      <c r="S148" s="30"/>
      <c r="T148" s="30">
        <f t="shared" si="74"/>
        <v>0</v>
      </c>
      <c r="U148" s="30">
        <v>1</v>
      </c>
      <c r="V148" s="30">
        <f t="shared" si="75"/>
        <v>0</v>
      </c>
      <c r="W148" s="30"/>
      <c r="X148" s="30">
        <f t="shared" si="76"/>
        <v>1563.13</v>
      </c>
      <c r="Y148" s="30">
        <f t="shared" si="77"/>
        <v>1563.13</v>
      </c>
      <c r="Z148" s="30">
        <v>1</v>
      </c>
      <c r="AA148" s="30">
        <f t="shared" si="78"/>
        <v>1563.13</v>
      </c>
      <c r="AB148" s="30">
        <f t="shared" si="79"/>
        <v>1563.13</v>
      </c>
      <c r="AC148" s="30">
        <f t="shared" si="80"/>
        <v>0</v>
      </c>
      <c r="AD148" s="6">
        <f t="shared" si="81"/>
        <v>2003.6666666666667</v>
      </c>
      <c r="AE148" s="6">
        <f t="shared" si="82"/>
        <v>2017.6666666666667</v>
      </c>
      <c r="AF148" s="6">
        <f t="shared" si="83"/>
        <v>2013.6666666666667</v>
      </c>
      <c r="AG148" s="6">
        <f t="shared" si="84"/>
        <v>2016.6666666666667</v>
      </c>
      <c r="AH148" s="6">
        <f t="shared" si="85"/>
        <v>-8.3333333333333329E-2</v>
      </c>
    </row>
    <row r="149" spans="3:34">
      <c r="C149" s="1">
        <v>2</v>
      </c>
      <c r="D149" s="27" t="s">
        <v>167</v>
      </c>
      <c r="E149" s="10">
        <v>2003</v>
      </c>
      <c r="F149" s="1">
        <v>9</v>
      </c>
      <c r="G149" s="50">
        <v>0</v>
      </c>
      <c r="H149" s="50"/>
      <c r="I149" s="10" t="s">
        <v>92</v>
      </c>
      <c r="J149" s="10">
        <v>10</v>
      </c>
      <c r="K149" s="4">
        <f t="shared" si="70"/>
        <v>2013</v>
      </c>
      <c r="L149" s="51"/>
      <c r="N149" s="29">
        <v>1714.47</v>
      </c>
      <c r="O149" s="38"/>
      <c r="P149" s="30">
        <f t="shared" si="71"/>
        <v>1714.47</v>
      </c>
      <c r="Q149" s="30">
        <f t="shared" si="72"/>
        <v>14.28725</v>
      </c>
      <c r="R149" s="30">
        <f t="shared" si="73"/>
        <v>0</v>
      </c>
      <c r="S149" s="30"/>
      <c r="T149" s="30">
        <f t="shared" si="74"/>
        <v>0</v>
      </c>
      <c r="U149" s="30">
        <v>1</v>
      </c>
      <c r="V149" s="30">
        <f t="shared" si="75"/>
        <v>0</v>
      </c>
      <c r="W149" s="30"/>
      <c r="X149" s="30">
        <f t="shared" si="76"/>
        <v>1714.47</v>
      </c>
      <c r="Y149" s="30">
        <f t="shared" si="77"/>
        <v>1714.47</v>
      </c>
      <c r="Z149" s="30">
        <v>1</v>
      </c>
      <c r="AA149" s="30">
        <f t="shared" si="78"/>
        <v>1714.47</v>
      </c>
      <c r="AB149" s="30">
        <f t="shared" si="79"/>
        <v>1714.47</v>
      </c>
      <c r="AC149" s="30">
        <f t="shared" si="80"/>
        <v>0</v>
      </c>
      <c r="AD149" s="6">
        <f t="shared" si="81"/>
        <v>2003.6666666666667</v>
      </c>
      <c r="AE149" s="6">
        <f t="shared" si="82"/>
        <v>2017.6666666666667</v>
      </c>
      <c r="AF149" s="6">
        <f t="shared" si="83"/>
        <v>2013.6666666666667</v>
      </c>
      <c r="AG149" s="6">
        <f t="shared" si="84"/>
        <v>2016.6666666666667</v>
      </c>
      <c r="AH149" s="6">
        <f t="shared" si="85"/>
        <v>-8.3333333333333329E-2</v>
      </c>
    </row>
    <row r="150" spans="3:34">
      <c r="C150" s="1">
        <v>3</v>
      </c>
      <c r="D150" s="27" t="s">
        <v>182</v>
      </c>
      <c r="E150" s="10">
        <v>2003</v>
      </c>
      <c r="F150" s="1">
        <v>9</v>
      </c>
      <c r="G150" s="50">
        <v>0</v>
      </c>
      <c r="H150" s="50"/>
      <c r="I150" s="10" t="s">
        <v>92</v>
      </c>
      <c r="J150" s="10">
        <v>10</v>
      </c>
      <c r="K150" s="4">
        <f t="shared" si="70"/>
        <v>2013</v>
      </c>
      <c r="L150" s="51"/>
      <c r="N150" s="29">
        <v>1092.8900000000001</v>
      </c>
      <c r="O150" s="38"/>
      <c r="P150" s="30">
        <f t="shared" si="71"/>
        <v>1092.8900000000001</v>
      </c>
      <c r="Q150" s="30">
        <f t="shared" si="72"/>
        <v>9.1074166666666674</v>
      </c>
      <c r="R150" s="30">
        <f t="shared" si="73"/>
        <v>0</v>
      </c>
      <c r="S150" s="30"/>
      <c r="T150" s="30">
        <f t="shared" si="74"/>
        <v>0</v>
      </c>
      <c r="U150" s="30">
        <v>1</v>
      </c>
      <c r="V150" s="30">
        <f t="shared" si="75"/>
        <v>0</v>
      </c>
      <c r="W150" s="30"/>
      <c r="X150" s="30">
        <f t="shared" si="76"/>
        <v>1092.8900000000001</v>
      </c>
      <c r="Y150" s="30">
        <f t="shared" si="77"/>
        <v>1092.8900000000001</v>
      </c>
      <c r="Z150" s="30">
        <v>1</v>
      </c>
      <c r="AA150" s="30">
        <f t="shared" si="78"/>
        <v>1092.8900000000001</v>
      </c>
      <c r="AB150" s="30">
        <f t="shared" si="79"/>
        <v>1092.8900000000001</v>
      </c>
      <c r="AC150" s="30">
        <f t="shared" si="80"/>
        <v>0</v>
      </c>
      <c r="AD150" s="6">
        <f t="shared" si="81"/>
        <v>2003.6666666666667</v>
      </c>
      <c r="AE150" s="6">
        <f t="shared" si="82"/>
        <v>2017.6666666666667</v>
      </c>
      <c r="AF150" s="6">
        <f t="shared" si="83"/>
        <v>2013.6666666666667</v>
      </c>
      <c r="AG150" s="6">
        <f t="shared" si="84"/>
        <v>2016.6666666666667</v>
      </c>
      <c r="AH150" s="6">
        <f t="shared" si="85"/>
        <v>-8.3333333333333329E-2</v>
      </c>
    </row>
    <row r="151" spans="3:34">
      <c r="C151" s="1">
        <v>10</v>
      </c>
      <c r="D151" s="27" t="s">
        <v>189</v>
      </c>
      <c r="E151" s="10">
        <v>2004</v>
      </c>
      <c r="F151" s="1">
        <v>7</v>
      </c>
      <c r="G151" s="50">
        <v>0</v>
      </c>
      <c r="H151" s="50"/>
      <c r="I151" s="10" t="s">
        <v>92</v>
      </c>
      <c r="J151" s="10">
        <v>10</v>
      </c>
      <c r="K151" s="4">
        <f t="shared" si="70"/>
        <v>2014</v>
      </c>
      <c r="L151" s="51"/>
      <c r="N151" s="29">
        <v>3950</v>
      </c>
      <c r="O151" s="38"/>
      <c r="P151" s="30">
        <f t="shared" si="71"/>
        <v>3950</v>
      </c>
      <c r="Q151" s="30">
        <f t="shared" si="72"/>
        <v>32.916666666666664</v>
      </c>
      <c r="R151" s="30">
        <f t="shared" si="73"/>
        <v>0</v>
      </c>
      <c r="S151" s="30"/>
      <c r="T151" s="30">
        <f t="shared" si="74"/>
        <v>0</v>
      </c>
      <c r="U151" s="30">
        <v>1</v>
      </c>
      <c r="V151" s="30">
        <f t="shared" si="75"/>
        <v>0</v>
      </c>
      <c r="W151" s="30"/>
      <c r="X151" s="30">
        <f t="shared" si="76"/>
        <v>3950</v>
      </c>
      <c r="Y151" s="30">
        <f t="shared" si="77"/>
        <v>3950</v>
      </c>
      <c r="Z151" s="30">
        <v>1</v>
      </c>
      <c r="AA151" s="30">
        <f t="shared" si="78"/>
        <v>3950</v>
      </c>
      <c r="AB151" s="30">
        <f t="shared" si="79"/>
        <v>3950</v>
      </c>
      <c r="AC151" s="30">
        <f t="shared" si="80"/>
        <v>0</v>
      </c>
      <c r="AD151" s="6">
        <f t="shared" si="81"/>
        <v>2004.5</v>
      </c>
      <c r="AE151" s="6">
        <f t="shared" si="82"/>
        <v>2017.6666666666667</v>
      </c>
      <c r="AF151" s="6">
        <f t="shared" si="83"/>
        <v>2014.5</v>
      </c>
      <c r="AG151" s="6">
        <f t="shared" si="84"/>
        <v>2016.6666666666667</v>
      </c>
      <c r="AH151" s="6">
        <f t="shared" si="85"/>
        <v>-8.3333333333333329E-2</v>
      </c>
    </row>
    <row r="152" spans="3:34">
      <c r="C152" s="1">
        <v>4</v>
      </c>
      <c r="D152" s="27" t="s">
        <v>190</v>
      </c>
      <c r="E152" s="10">
        <v>2004</v>
      </c>
      <c r="F152" s="1">
        <v>7</v>
      </c>
      <c r="G152" s="50">
        <v>0</v>
      </c>
      <c r="H152" s="50"/>
      <c r="I152" s="10" t="s">
        <v>92</v>
      </c>
      <c r="J152" s="10">
        <v>10</v>
      </c>
      <c r="K152" s="4">
        <f t="shared" si="70"/>
        <v>2014</v>
      </c>
      <c r="L152" s="51"/>
      <c r="N152" s="29">
        <v>3040</v>
      </c>
      <c r="O152" s="38"/>
      <c r="P152" s="30">
        <f t="shared" si="71"/>
        <v>3040</v>
      </c>
      <c r="Q152" s="30">
        <f t="shared" si="72"/>
        <v>25.333333333333332</v>
      </c>
      <c r="R152" s="30">
        <f t="shared" si="73"/>
        <v>0</v>
      </c>
      <c r="S152" s="30"/>
      <c r="T152" s="30">
        <f t="shared" si="74"/>
        <v>0</v>
      </c>
      <c r="U152" s="30">
        <v>1</v>
      </c>
      <c r="V152" s="30">
        <f t="shared" si="75"/>
        <v>0</v>
      </c>
      <c r="W152" s="30"/>
      <c r="X152" s="30">
        <f t="shared" si="76"/>
        <v>3040</v>
      </c>
      <c r="Y152" s="30">
        <f t="shared" si="77"/>
        <v>3040</v>
      </c>
      <c r="Z152" s="30">
        <v>1</v>
      </c>
      <c r="AA152" s="30">
        <f t="shared" si="78"/>
        <v>3040</v>
      </c>
      <c r="AB152" s="30">
        <f t="shared" si="79"/>
        <v>3040</v>
      </c>
      <c r="AC152" s="30">
        <f t="shared" si="80"/>
        <v>0</v>
      </c>
      <c r="AD152" s="6">
        <f t="shared" si="81"/>
        <v>2004.5</v>
      </c>
      <c r="AE152" s="6">
        <f t="shared" si="82"/>
        <v>2017.6666666666667</v>
      </c>
      <c r="AF152" s="6">
        <f t="shared" si="83"/>
        <v>2014.5</v>
      </c>
      <c r="AG152" s="6">
        <f t="shared" si="84"/>
        <v>2016.6666666666667</v>
      </c>
      <c r="AH152" s="6">
        <f t="shared" si="85"/>
        <v>-8.3333333333333329E-2</v>
      </c>
    </row>
    <row r="153" spans="3:34">
      <c r="C153" s="1">
        <v>5</v>
      </c>
      <c r="D153" s="27" t="s">
        <v>191</v>
      </c>
      <c r="E153" s="10">
        <v>2004</v>
      </c>
      <c r="F153" s="1">
        <v>7</v>
      </c>
      <c r="G153" s="50">
        <v>0</v>
      </c>
      <c r="H153" s="50"/>
      <c r="I153" s="10" t="s">
        <v>92</v>
      </c>
      <c r="J153" s="10">
        <v>10</v>
      </c>
      <c r="K153" s="4">
        <f t="shared" si="70"/>
        <v>2014</v>
      </c>
      <c r="L153" s="51"/>
      <c r="N153" s="29">
        <v>1925</v>
      </c>
      <c r="O153" s="38"/>
      <c r="P153" s="30">
        <f t="shared" si="71"/>
        <v>1925</v>
      </c>
      <c r="Q153" s="30">
        <f t="shared" si="72"/>
        <v>16.041666666666668</v>
      </c>
      <c r="R153" s="30">
        <f t="shared" si="73"/>
        <v>0</v>
      </c>
      <c r="S153" s="30"/>
      <c r="T153" s="30">
        <f t="shared" si="74"/>
        <v>0</v>
      </c>
      <c r="U153" s="30">
        <v>1</v>
      </c>
      <c r="V153" s="30">
        <f t="shared" si="75"/>
        <v>0</v>
      </c>
      <c r="W153" s="30"/>
      <c r="X153" s="30">
        <f t="shared" si="76"/>
        <v>1925</v>
      </c>
      <c r="Y153" s="30">
        <f t="shared" si="77"/>
        <v>1925</v>
      </c>
      <c r="Z153" s="30">
        <v>1</v>
      </c>
      <c r="AA153" s="30">
        <f t="shared" si="78"/>
        <v>1925</v>
      </c>
      <c r="AB153" s="30">
        <f t="shared" si="79"/>
        <v>1925</v>
      </c>
      <c r="AC153" s="30">
        <f t="shared" si="80"/>
        <v>0</v>
      </c>
      <c r="AD153" s="6">
        <f t="shared" si="81"/>
        <v>2004.5</v>
      </c>
      <c r="AE153" s="6">
        <f t="shared" si="82"/>
        <v>2017.6666666666667</v>
      </c>
      <c r="AF153" s="6">
        <f t="shared" si="83"/>
        <v>2014.5</v>
      </c>
      <c r="AG153" s="6">
        <f t="shared" si="84"/>
        <v>2016.6666666666667</v>
      </c>
      <c r="AH153" s="6">
        <f t="shared" si="85"/>
        <v>-8.3333333333333329E-2</v>
      </c>
    </row>
    <row r="154" spans="3:34">
      <c r="C154" s="1">
        <v>6</v>
      </c>
      <c r="D154" s="27" t="s">
        <v>192</v>
      </c>
      <c r="E154" s="10">
        <v>2004</v>
      </c>
      <c r="F154" s="1">
        <v>7</v>
      </c>
      <c r="G154" s="50">
        <v>0</v>
      </c>
      <c r="H154" s="50"/>
      <c r="I154" s="10" t="s">
        <v>92</v>
      </c>
      <c r="J154" s="10">
        <v>10</v>
      </c>
      <c r="K154" s="4">
        <f t="shared" si="70"/>
        <v>2014</v>
      </c>
      <c r="L154" s="51"/>
      <c r="N154" s="29">
        <v>4590</v>
      </c>
      <c r="O154" s="38"/>
      <c r="P154" s="30">
        <f t="shared" si="71"/>
        <v>4590</v>
      </c>
      <c r="Q154" s="30">
        <f t="shared" si="72"/>
        <v>38.25</v>
      </c>
      <c r="R154" s="30">
        <f t="shared" si="73"/>
        <v>0</v>
      </c>
      <c r="S154" s="30"/>
      <c r="T154" s="30">
        <f t="shared" si="74"/>
        <v>0</v>
      </c>
      <c r="U154" s="30">
        <v>1</v>
      </c>
      <c r="V154" s="30">
        <f t="shared" si="75"/>
        <v>0</v>
      </c>
      <c r="W154" s="30"/>
      <c r="X154" s="30">
        <f t="shared" si="76"/>
        <v>4590</v>
      </c>
      <c r="Y154" s="30">
        <f t="shared" si="77"/>
        <v>4590</v>
      </c>
      <c r="Z154" s="30">
        <v>1</v>
      </c>
      <c r="AA154" s="30">
        <f t="shared" si="78"/>
        <v>4590</v>
      </c>
      <c r="AB154" s="30">
        <f t="shared" si="79"/>
        <v>4590</v>
      </c>
      <c r="AC154" s="30">
        <f t="shared" si="80"/>
        <v>0</v>
      </c>
      <c r="AD154" s="6">
        <f t="shared" si="81"/>
        <v>2004.5</v>
      </c>
      <c r="AE154" s="6">
        <f t="shared" si="82"/>
        <v>2017.6666666666667</v>
      </c>
      <c r="AF154" s="6">
        <f t="shared" si="83"/>
        <v>2014.5</v>
      </c>
      <c r="AG154" s="6">
        <f t="shared" si="84"/>
        <v>2016.6666666666667</v>
      </c>
      <c r="AH154" s="6">
        <f t="shared" si="85"/>
        <v>-8.3333333333333329E-2</v>
      </c>
    </row>
    <row r="155" spans="3:34">
      <c r="C155" s="1">
        <v>3</v>
      </c>
      <c r="D155" s="27" t="s">
        <v>193</v>
      </c>
      <c r="E155" s="10">
        <v>2004</v>
      </c>
      <c r="F155" s="1">
        <v>8</v>
      </c>
      <c r="G155" s="50">
        <v>0</v>
      </c>
      <c r="H155" s="50"/>
      <c r="I155" s="10" t="s">
        <v>92</v>
      </c>
      <c r="J155" s="10">
        <v>10</v>
      </c>
      <c r="K155" s="4">
        <f t="shared" si="70"/>
        <v>2014</v>
      </c>
      <c r="L155" s="51"/>
      <c r="N155" s="29">
        <v>2745</v>
      </c>
      <c r="O155" s="38"/>
      <c r="P155" s="30">
        <f t="shared" si="71"/>
        <v>2745</v>
      </c>
      <c r="Q155" s="30">
        <f t="shared" si="72"/>
        <v>22.875</v>
      </c>
      <c r="R155" s="30">
        <f t="shared" si="73"/>
        <v>0</v>
      </c>
      <c r="S155" s="30"/>
      <c r="T155" s="30">
        <f t="shared" si="74"/>
        <v>0</v>
      </c>
      <c r="U155" s="30">
        <v>1</v>
      </c>
      <c r="V155" s="30">
        <f t="shared" si="75"/>
        <v>0</v>
      </c>
      <c r="W155" s="30"/>
      <c r="X155" s="30">
        <f t="shared" si="76"/>
        <v>2745</v>
      </c>
      <c r="Y155" s="30">
        <f t="shared" si="77"/>
        <v>2745</v>
      </c>
      <c r="Z155" s="30">
        <v>1</v>
      </c>
      <c r="AA155" s="30">
        <f t="shared" si="78"/>
        <v>2745</v>
      </c>
      <c r="AB155" s="30">
        <f t="shared" si="79"/>
        <v>2745</v>
      </c>
      <c r="AC155" s="30">
        <f t="shared" si="80"/>
        <v>0</v>
      </c>
      <c r="AD155" s="6">
        <f t="shared" si="81"/>
        <v>2004.5833333333333</v>
      </c>
      <c r="AE155" s="6">
        <f t="shared" si="82"/>
        <v>2017.6666666666667</v>
      </c>
      <c r="AF155" s="6">
        <f t="shared" si="83"/>
        <v>2014.5833333333333</v>
      </c>
      <c r="AG155" s="6">
        <f t="shared" si="84"/>
        <v>2016.6666666666667</v>
      </c>
      <c r="AH155" s="6">
        <f t="shared" si="85"/>
        <v>-8.3333333333333329E-2</v>
      </c>
    </row>
    <row r="156" spans="3:34">
      <c r="C156" s="1">
        <v>8</v>
      </c>
      <c r="D156" s="39" t="s">
        <v>194</v>
      </c>
      <c r="E156" s="10">
        <v>2005</v>
      </c>
      <c r="F156" s="1">
        <v>3</v>
      </c>
      <c r="G156" s="50">
        <v>0</v>
      </c>
      <c r="H156" s="50"/>
      <c r="I156" s="10" t="s">
        <v>92</v>
      </c>
      <c r="J156" s="10">
        <v>10</v>
      </c>
      <c r="K156" s="4">
        <f t="shared" si="70"/>
        <v>2015</v>
      </c>
      <c r="L156" s="51"/>
      <c r="N156" s="29">
        <v>6400</v>
      </c>
      <c r="O156" s="38"/>
      <c r="P156" s="30">
        <f t="shared" si="71"/>
        <v>6400</v>
      </c>
      <c r="Q156" s="30">
        <f t="shared" si="72"/>
        <v>53.333333333333336</v>
      </c>
      <c r="R156" s="30">
        <f t="shared" si="73"/>
        <v>0</v>
      </c>
      <c r="S156" s="30"/>
      <c r="T156" s="30">
        <f t="shared" si="74"/>
        <v>0</v>
      </c>
      <c r="U156" s="30">
        <v>1</v>
      </c>
      <c r="V156" s="30">
        <f t="shared" si="75"/>
        <v>0</v>
      </c>
      <c r="W156" s="30"/>
      <c r="X156" s="30">
        <f t="shared" si="76"/>
        <v>6400</v>
      </c>
      <c r="Y156" s="30">
        <f t="shared" si="77"/>
        <v>6400</v>
      </c>
      <c r="Z156" s="30">
        <v>1</v>
      </c>
      <c r="AA156" s="30">
        <f t="shared" si="78"/>
        <v>6400</v>
      </c>
      <c r="AB156" s="30">
        <f t="shared" si="79"/>
        <v>6400</v>
      </c>
      <c r="AC156" s="30">
        <f t="shared" si="80"/>
        <v>0</v>
      </c>
      <c r="AD156" s="6">
        <f t="shared" si="81"/>
        <v>2005.1666666666667</v>
      </c>
      <c r="AE156" s="6">
        <f t="shared" si="82"/>
        <v>2017.6666666666667</v>
      </c>
      <c r="AF156" s="6">
        <f t="shared" si="83"/>
        <v>2015.1666666666667</v>
      </c>
      <c r="AG156" s="6">
        <f t="shared" si="84"/>
        <v>2016.6666666666667</v>
      </c>
      <c r="AH156" s="6">
        <f t="shared" si="85"/>
        <v>-8.3333333333333329E-2</v>
      </c>
    </row>
    <row r="157" spans="3:34">
      <c r="C157" s="1">
        <v>3</v>
      </c>
      <c r="D157" s="27" t="s">
        <v>195</v>
      </c>
      <c r="E157" s="10">
        <v>2005</v>
      </c>
      <c r="F157" s="1">
        <v>5</v>
      </c>
      <c r="G157" s="50">
        <v>0</v>
      </c>
      <c r="H157" s="50"/>
      <c r="I157" s="10" t="s">
        <v>92</v>
      </c>
      <c r="J157" s="10">
        <v>10</v>
      </c>
      <c r="K157" s="4">
        <f t="shared" si="70"/>
        <v>2015</v>
      </c>
      <c r="L157" s="51"/>
      <c r="N157" s="29">
        <v>2469</v>
      </c>
      <c r="O157" s="38"/>
      <c r="P157" s="30">
        <f t="shared" si="71"/>
        <v>2469</v>
      </c>
      <c r="Q157" s="30">
        <f t="shared" si="72"/>
        <v>20.574999999999999</v>
      </c>
      <c r="R157" s="30">
        <f t="shared" si="73"/>
        <v>0</v>
      </c>
      <c r="S157" s="30"/>
      <c r="T157" s="30">
        <f t="shared" si="74"/>
        <v>0</v>
      </c>
      <c r="U157" s="30">
        <v>1</v>
      </c>
      <c r="V157" s="30">
        <f t="shared" si="75"/>
        <v>0</v>
      </c>
      <c r="W157" s="30"/>
      <c r="X157" s="30">
        <f t="shared" si="76"/>
        <v>2469</v>
      </c>
      <c r="Y157" s="30">
        <f t="shared" si="77"/>
        <v>2469</v>
      </c>
      <c r="Z157" s="30">
        <v>1</v>
      </c>
      <c r="AA157" s="30">
        <f t="shared" si="78"/>
        <v>2469</v>
      </c>
      <c r="AB157" s="30">
        <f t="shared" si="79"/>
        <v>2469</v>
      </c>
      <c r="AC157" s="30">
        <f t="shared" si="80"/>
        <v>0</v>
      </c>
      <c r="AD157" s="6">
        <f t="shared" si="81"/>
        <v>2005.3333333333333</v>
      </c>
      <c r="AE157" s="6">
        <f t="shared" si="82"/>
        <v>2017.6666666666667</v>
      </c>
      <c r="AF157" s="6">
        <f t="shared" si="83"/>
        <v>2015.3333333333333</v>
      </c>
      <c r="AG157" s="6">
        <f t="shared" si="84"/>
        <v>2016.6666666666667</v>
      </c>
      <c r="AH157" s="6">
        <f t="shared" si="85"/>
        <v>-8.3333333333333329E-2</v>
      </c>
    </row>
    <row r="158" spans="3:34">
      <c r="C158" s="1">
        <v>2</v>
      </c>
      <c r="D158" s="27" t="s">
        <v>196</v>
      </c>
      <c r="E158" s="10">
        <v>2005</v>
      </c>
      <c r="F158" s="1">
        <v>5</v>
      </c>
      <c r="G158" s="50">
        <v>0</v>
      </c>
      <c r="H158" s="50"/>
      <c r="I158" s="10" t="s">
        <v>92</v>
      </c>
      <c r="J158" s="10">
        <v>10</v>
      </c>
      <c r="K158" s="4">
        <f t="shared" si="70"/>
        <v>2015</v>
      </c>
      <c r="L158" s="51"/>
      <c r="N158" s="29">
        <v>863</v>
      </c>
      <c r="O158" s="38"/>
      <c r="P158" s="30">
        <f t="shared" si="71"/>
        <v>863</v>
      </c>
      <c r="Q158" s="30">
        <f t="shared" si="72"/>
        <v>7.1916666666666664</v>
      </c>
      <c r="R158" s="30">
        <f t="shared" si="73"/>
        <v>0</v>
      </c>
      <c r="S158" s="30"/>
      <c r="T158" s="30">
        <f t="shared" si="74"/>
        <v>0</v>
      </c>
      <c r="U158" s="30">
        <v>1</v>
      </c>
      <c r="V158" s="30">
        <f t="shared" si="75"/>
        <v>0</v>
      </c>
      <c r="W158" s="30"/>
      <c r="X158" s="30">
        <f t="shared" si="76"/>
        <v>863</v>
      </c>
      <c r="Y158" s="30">
        <f t="shared" si="77"/>
        <v>863</v>
      </c>
      <c r="Z158" s="30">
        <v>1</v>
      </c>
      <c r="AA158" s="30">
        <f t="shared" si="78"/>
        <v>863</v>
      </c>
      <c r="AB158" s="30">
        <f t="shared" si="79"/>
        <v>863</v>
      </c>
      <c r="AC158" s="30">
        <f t="shared" si="80"/>
        <v>0</v>
      </c>
      <c r="AD158" s="6">
        <f t="shared" si="81"/>
        <v>2005.3333333333333</v>
      </c>
      <c r="AE158" s="6">
        <f t="shared" si="82"/>
        <v>2017.6666666666667</v>
      </c>
      <c r="AF158" s="6">
        <f t="shared" si="83"/>
        <v>2015.3333333333333</v>
      </c>
      <c r="AG158" s="6">
        <f t="shared" si="84"/>
        <v>2016.6666666666667</v>
      </c>
      <c r="AH158" s="6">
        <f t="shared" si="85"/>
        <v>-8.3333333333333329E-2</v>
      </c>
    </row>
    <row r="159" spans="3:34">
      <c r="C159" s="1">
        <v>3</v>
      </c>
      <c r="D159" s="27" t="s">
        <v>195</v>
      </c>
      <c r="E159" s="10">
        <v>2005</v>
      </c>
      <c r="F159" s="1">
        <v>8</v>
      </c>
      <c r="G159" s="50">
        <v>0</v>
      </c>
      <c r="H159" s="50"/>
      <c r="I159" s="10" t="s">
        <v>92</v>
      </c>
      <c r="J159" s="10">
        <v>10</v>
      </c>
      <c r="K159" s="4">
        <f t="shared" si="70"/>
        <v>2015</v>
      </c>
      <c r="L159" s="51"/>
      <c r="N159" s="29">
        <v>2469</v>
      </c>
      <c r="O159" s="38"/>
      <c r="P159" s="30">
        <f t="shared" si="71"/>
        <v>2469</v>
      </c>
      <c r="Q159" s="30">
        <f t="shared" si="72"/>
        <v>20.574999999999999</v>
      </c>
      <c r="R159" s="30">
        <f t="shared" si="73"/>
        <v>0</v>
      </c>
      <c r="S159" s="30"/>
      <c r="T159" s="30">
        <f t="shared" si="74"/>
        <v>0</v>
      </c>
      <c r="U159" s="30">
        <v>1</v>
      </c>
      <c r="V159" s="30">
        <f t="shared" si="75"/>
        <v>0</v>
      </c>
      <c r="W159" s="30"/>
      <c r="X159" s="30">
        <f t="shared" si="76"/>
        <v>2469</v>
      </c>
      <c r="Y159" s="30">
        <f t="shared" si="77"/>
        <v>2469</v>
      </c>
      <c r="Z159" s="30">
        <v>1</v>
      </c>
      <c r="AA159" s="30">
        <f t="shared" si="78"/>
        <v>2469</v>
      </c>
      <c r="AB159" s="30">
        <f t="shared" si="79"/>
        <v>2469</v>
      </c>
      <c r="AC159" s="30">
        <f t="shared" si="80"/>
        <v>0</v>
      </c>
      <c r="AD159" s="6">
        <f t="shared" si="81"/>
        <v>2005.5833333333333</v>
      </c>
      <c r="AE159" s="6">
        <f t="shared" si="82"/>
        <v>2017.6666666666667</v>
      </c>
      <c r="AF159" s="6">
        <f t="shared" si="83"/>
        <v>2015.5833333333333</v>
      </c>
      <c r="AG159" s="6">
        <f t="shared" si="84"/>
        <v>2016.6666666666667</v>
      </c>
      <c r="AH159" s="6">
        <f t="shared" si="85"/>
        <v>-8.3333333333333329E-2</v>
      </c>
    </row>
    <row r="160" spans="3:34">
      <c r="C160" s="1">
        <v>4</v>
      </c>
      <c r="D160" s="27" t="s">
        <v>195</v>
      </c>
      <c r="E160" s="10">
        <v>2006</v>
      </c>
      <c r="F160" s="1">
        <v>2</v>
      </c>
      <c r="G160" s="50">
        <v>0</v>
      </c>
      <c r="H160" s="50"/>
      <c r="I160" s="10" t="s">
        <v>92</v>
      </c>
      <c r="J160" s="10">
        <v>10</v>
      </c>
      <c r="K160" s="4">
        <f t="shared" si="70"/>
        <v>2016</v>
      </c>
      <c r="L160" s="51"/>
      <c r="N160" s="29">
        <v>2588.33</v>
      </c>
      <c r="O160" s="38"/>
      <c r="P160" s="30">
        <f t="shared" si="71"/>
        <v>2588.33</v>
      </c>
      <c r="Q160" s="30">
        <f t="shared" si="72"/>
        <v>21.569416666666665</v>
      </c>
      <c r="R160" s="30">
        <f t="shared" si="73"/>
        <v>0</v>
      </c>
      <c r="S160" s="30"/>
      <c r="T160" s="30">
        <f t="shared" si="74"/>
        <v>0</v>
      </c>
      <c r="U160" s="30">
        <v>1</v>
      </c>
      <c r="V160" s="30">
        <f t="shared" si="75"/>
        <v>0</v>
      </c>
      <c r="W160" s="30"/>
      <c r="X160" s="30">
        <f t="shared" si="76"/>
        <v>2588.33</v>
      </c>
      <c r="Y160" s="30">
        <f t="shared" si="77"/>
        <v>2588.33</v>
      </c>
      <c r="Z160" s="30">
        <v>1</v>
      </c>
      <c r="AA160" s="30">
        <f t="shared" si="78"/>
        <v>2588.33</v>
      </c>
      <c r="AB160" s="30">
        <f t="shared" si="79"/>
        <v>2588.33</v>
      </c>
      <c r="AC160" s="30">
        <f t="shared" si="80"/>
        <v>0</v>
      </c>
      <c r="AD160" s="6">
        <f t="shared" si="81"/>
        <v>2006.0833333333333</v>
      </c>
      <c r="AE160" s="6">
        <f t="shared" si="82"/>
        <v>2017.6666666666667</v>
      </c>
      <c r="AF160" s="6">
        <f t="shared" si="83"/>
        <v>2016.0833333333333</v>
      </c>
      <c r="AG160" s="6">
        <f t="shared" si="84"/>
        <v>2016.6666666666667</v>
      </c>
      <c r="AH160" s="6">
        <f t="shared" si="85"/>
        <v>-8.3333333333333329E-2</v>
      </c>
    </row>
    <row r="161" spans="3:34">
      <c r="C161" s="1">
        <v>4</v>
      </c>
      <c r="D161" s="27" t="s">
        <v>196</v>
      </c>
      <c r="E161" s="10">
        <v>2006</v>
      </c>
      <c r="F161" s="1">
        <v>2</v>
      </c>
      <c r="G161" s="50">
        <v>0</v>
      </c>
      <c r="H161" s="50"/>
      <c r="I161" s="10" t="s">
        <v>92</v>
      </c>
      <c r="J161" s="10">
        <v>10</v>
      </c>
      <c r="K161" s="4">
        <f t="shared" si="70"/>
        <v>2016</v>
      </c>
      <c r="L161" s="51"/>
      <c r="N161" s="29">
        <v>3127.61</v>
      </c>
      <c r="O161" s="38"/>
      <c r="P161" s="30">
        <f t="shared" si="71"/>
        <v>3127.61</v>
      </c>
      <c r="Q161" s="30">
        <f t="shared" si="72"/>
        <v>26.063416666666669</v>
      </c>
      <c r="R161" s="30">
        <f t="shared" si="73"/>
        <v>0</v>
      </c>
      <c r="S161" s="30"/>
      <c r="T161" s="30">
        <f t="shared" si="74"/>
        <v>0</v>
      </c>
      <c r="U161" s="30">
        <v>1</v>
      </c>
      <c r="V161" s="30">
        <f t="shared" si="75"/>
        <v>0</v>
      </c>
      <c r="W161" s="30"/>
      <c r="X161" s="30">
        <f t="shared" si="76"/>
        <v>3127.61</v>
      </c>
      <c r="Y161" s="30">
        <f t="shared" si="77"/>
        <v>3127.61</v>
      </c>
      <c r="Z161" s="30">
        <v>1</v>
      </c>
      <c r="AA161" s="30">
        <f t="shared" si="78"/>
        <v>3127.61</v>
      </c>
      <c r="AB161" s="30">
        <f t="shared" si="79"/>
        <v>3127.61</v>
      </c>
      <c r="AC161" s="30">
        <f t="shared" si="80"/>
        <v>0</v>
      </c>
      <c r="AD161" s="6">
        <f t="shared" si="81"/>
        <v>2006.0833333333333</v>
      </c>
      <c r="AE161" s="6">
        <f t="shared" si="82"/>
        <v>2017.6666666666667</v>
      </c>
      <c r="AF161" s="6">
        <f t="shared" si="83"/>
        <v>2016.0833333333333</v>
      </c>
      <c r="AG161" s="6">
        <f t="shared" si="84"/>
        <v>2016.6666666666667</v>
      </c>
      <c r="AH161" s="6">
        <f t="shared" si="85"/>
        <v>-8.3333333333333329E-2</v>
      </c>
    </row>
    <row r="162" spans="3:34">
      <c r="C162" s="1">
        <v>8</v>
      </c>
      <c r="D162" s="27" t="s">
        <v>197</v>
      </c>
      <c r="E162" s="10">
        <v>2006</v>
      </c>
      <c r="F162" s="1">
        <v>3</v>
      </c>
      <c r="G162" s="50">
        <v>0</v>
      </c>
      <c r="H162" s="50"/>
      <c r="I162" s="10" t="s">
        <v>92</v>
      </c>
      <c r="J162" s="10">
        <v>10</v>
      </c>
      <c r="K162" s="4">
        <f t="shared" si="70"/>
        <v>2016</v>
      </c>
      <c r="L162" s="51"/>
      <c r="N162" s="29">
        <v>3749.76</v>
      </c>
      <c r="O162" s="38"/>
      <c r="P162" s="30">
        <f t="shared" si="71"/>
        <v>3749.76</v>
      </c>
      <c r="Q162" s="30">
        <f t="shared" si="72"/>
        <v>31.248000000000001</v>
      </c>
      <c r="R162" s="30">
        <f t="shared" si="73"/>
        <v>0</v>
      </c>
      <c r="S162" s="30"/>
      <c r="T162" s="30">
        <f t="shared" si="74"/>
        <v>0</v>
      </c>
      <c r="U162" s="30">
        <v>1</v>
      </c>
      <c r="V162" s="30">
        <f t="shared" si="75"/>
        <v>0</v>
      </c>
      <c r="W162" s="30"/>
      <c r="X162" s="30">
        <f t="shared" si="76"/>
        <v>3749.76</v>
      </c>
      <c r="Y162" s="30">
        <f t="shared" si="77"/>
        <v>3749.76</v>
      </c>
      <c r="Z162" s="30">
        <v>1</v>
      </c>
      <c r="AA162" s="30">
        <f t="shared" si="78"/>
        <v>3749.76</v>
      </c>
      <c r="AB162" s="30">
        <f t="shared" si="79"/>
        <v>3749.76</v>
      </c>
      <c r="AC162" s="30">
        <f t="shared" si="80"/>
        <v>0</v>
      </c>
      <c r="AD162" s="6">
        <f t="shared" si="81"/>
        <v>2006.1666666666667</v>
      </c>
      <c r="AE162" s="6">
        <f t="shared" si="82"/>
        <v>2017.6666666666667</v>
      </c>
      <c r="AF162" s="6">
        <f t="shared" si="83"/>
        <v>2016.1666666666667</v>
      </c>
      <c r="AG162" s="6">
        <f t="shared" si="84"/>
        <v>2016.6666666666667</v>
      </c>
      <c r="AH162" s="6">
        <f t="shared" si="85"/>
        <v>-8.3333333333333329E-2</v>
      </c>
    </row>
    <row r="163" spans="3:34">
      <c r="C163" s="1">
        <v>13</v>
      </c>
      <c r="D163" s="27" t="s">
        <v>198</v>
      </c>
      <c r="E163" s="10">
        <v>2006</v>
      </c>
      <c r="F163" s="1">
        <v>4</v>
      </c>
      <c r="G163" s="50">
        <v>0</v>
      </c>
      <c r="H163" s="50"/>
      <c r="I163" s="10" t="s">
        <v>92</v>
      </c>
      <c r="J163" s="10">
        <v>10</v>
      </c>
      <c r="K163" s="4">
        <f t="shared" si="70"/>
        <v>2016</v>
      </c>
      <c r="L163" s="51"/>
      <c r="N163" s="29">
        <f>5005+430.43</f>
        <v>5435.43</v>
      </c>
      <c r="O163" s="38"/>
      <c r="P163" s="30">
        <f t="shared" si="71"/>
        <v>5435.43</v>
      </c>
      <c r="Q163" s="30">
        <f t="shared" si="72"/>
        <v>45.295250000000003</v>
      </c>
      <c r="R163" s="30">
        <f t="shared" si="73"/>
        <v>0</v>
      </c>
      <c r="S163" s="30"/>
      <c r="T163" s="30">
        <f t="shared" si="74"/>
        <v>0</v>
      </c>
      <c r="U163" s="30">
        <v>1</v>
      </c>
      <c r="V163" s="30">
        <f t="shared" si="75"/>
        <v>0</v>
      </c>
      <c r="W163" s="30"/>
      <c r="X163" s="30">
        <f t="shared" si="76"/>
        <v>5435.43</v>
      </c>
      <c r="Y163" s="30">
        <f t="shared" si="77"/>
        <v>5435.43</v>
      </c>
      <c r="Z163" s="30">
        <v>1</v>
      </c>
      <c r="AA163" s="30">
        <f t="shared" si="78"/>
        <v>5435.43</v>
      </c>
      <c r="AB163" s="30">
        <f t="shared" si="79"/>
        <v>5435.43</v>
      </c>
      <c r="AC163" s="30">
        <f t="shared" si="80"/>
        <v>0</v>
      </c>
      <c r="AD163" s="6">
        <f t="shared" si="81"/>
        <v>2006.25</v>
      </c>
      <c r="AE163" s="6">
        <f t="shared" si="82"/>
        <v>2017.6666666666667</v>
      </c>
      <c r="AF163" s="6">
        <f t="shared" si="83"/>
        <v>2016.25</v>
      </c>
      <c r="AG163" s="6">
        <f t="shared" si="84"/>
        <v>2016.6666666666667</v>
      </c>
      <c r="AH163" s="6">
        <f t="shared" si="85"/>
        <v>-8.3333333333333329E-2</v>
      </c>
    </row>
    <row r="164" spans="3:34">
      <c r="C164" s="1">
        <v>5</v>
      </c>
      <c r="D164" s="27" t="s">
        <v>199</v>
      </c>
      <c r="E164" s="10">
        <v>2006</v>
      </c>
      <c r="F164" s="1">
        <v>4</v>
      </c>
      <c r="G164" s="50">
        <v>0</v>
      </c>
      <c r="H164" s="50"/>
      <c r="I164" s="10" t="s">
        <v>92</v>
      </c>
      <c r="J164" s="10">
        <v>10</v>
      </c>
      <c r="K164" s="4">
        <f t="shared" si="70"/>
        <v>2016</v>
      </c>
      <c r="L164" s="51"/>
      <c r="N164" s="29">
        <f>2075+178.45</f>
        <v>2253.4499999999998</v>
      </c>
      <c r="O164" s="38"/>
      <c r="P164" s="30">
        <f t="shared" si="71"/>
        <v>2253.4499999999998</v>
      </c>
      <c r="Q164" s="30">
        <f t="shared" si="72"/>
        <v>18.778749999999999</v>
      </c>
      <c r="R164" s="30">
        <f t="shared" si="73"/>
        <v>0</v>
      </c>
      <c r="S164" s="30"/>
      <c r="T164" s="30">
        <f t="shared" si="74"/>
        <v>0</v>
      </c>
      <c r="U164" s="30">
        <v>1</v>
      </c>
      <c r="V164" s="30">
        <f t="shared" si="75"/>
        <v>0</v>
      </c>
      <c r="W164" s="30"/>
      <c r="X164" s="30">
        <f t="shared" si="76"/>
        <v>2253.4499999999998</v>
      </c>
      <c r="Y164" s="30">
        <f t="shared" si="77"/>
        <v>2253.4499999999998</v>
      </c>
      <c r="Z164" s="30">
        <v>1</v>
      </c>
      <c r="AA164" s="30">
        <f t="shared" si="78"/>
        <v>2253.4499999999998</v>
      </c>
      <c r="AB164" s="30">
        <f t="shared" si="79"/>
        <v>2253.4499999999998</v>
      </c>
      <c r="AC164" s="30">
        <f t="shared" si="80"/>
        <v>0</v>
      </c>
      <c r="AD164" s="6">
        <f t="shared" si="81"/>
        <v>2006.25</v>
      </c>
      <c r="AE164" s="6">
        <f t="shared" si="82"/>
        <v>2017.6666666666667</v>
      </c>
      <c r="AF164" s="6">
        <f t="shared" si="83"/>
        <v>2016.25</v>
      </c>
      <c r="AG164" s="6">
        <f t="shared" si="84"/>
        <v>2016.6666666666667</v>
      </c>
      <c r="AH164" s="6">
        <f t="shared" si="85"/>
        <v>-8.3333333333333329E-2</v>
      </c>
    </row>
    <row r="165" spans="3:34">
      <c r="C165" s="1">
        <v>2</v>
      </c>
      <c r="D165" s="27" t="s">
        <v>195</v>
      </c>
      <c r="E165" s="10">
        <v>2006</v>
      </c>
      <c r="F165" s="1">
        <v>4</v>
      </c>
      <c r="G165" s="50">
        <v>0</v>
      </c>
      <c r="H165" s="50"/>
      <c r="I165" s="10" t="s">
        <v>92</v>
      </c>
      <c r="J165" s="10">
        <v>10</v>
      </c>
      <c r="K165" s="4">
        <f t="shared" si="70"/>
        <v>2016</v>
      </c>
      <c r="L165" s="51"/>
      <c r="N165" s="29">
        <f>1660+142.76</f>
        <v>1802.76</v>
      </c>
      <c r="O165" s="38"/>
      <c r="P165" s="30">
        <f t="shared" si="71"/>
        <v>1802.76</v>
      </c>
      <c r="Q165" s="30">
        <f t="shared" si="72"/>
        <v>15.023000000000001</v>
      </c>
      <c r="R165" s="30">
        <f t="shared" si="73"/>
        <v>0</v>
      </c>
      <c r="S165" s="30"/>
      <c r="T165" s="30">
        <f t="shared" si="74"/>
        <v>0</v>
      </c>
      <c r="U165" s="30">
        <v>1</v>
      </c>
      <c r="V165" s="30">
        <f t="shared" si="75"/>
        <v>0</v>
      </c>
      <c r="W165" s="30"/>
      <c r="X165" s="30">
        <f t="shared" si="76"/>
        <v>1802.76</v>
      </c>
      <c r="Y165" s="30">
        <f t="shared" si="77"/>
        <v>1802.76</v>
      </c>
      <c r="Z165" s="30">
        <v>1</v>
      </c>
      <c r="AA165" s="30">
        <f t="shared" si="78"/>
        <v>1802.76</v>
      </c>
      <c r="AB165" s="30">
        <f t="shared" si="79"/>
        <v>1802.76</v>
      </c>
      <c r="AC165" s="30">
        <f t="shared" si="80"/>
        <v>0</v>
      </c>
      <c r="AD165" s="6">
        <f t="shared" si="81"/>
        <v>2006.25</v>
      </c>
      <c r="AE165" s="6">
        <f t="shared" si="82"/>
        <v>2017.6666666666667</v>
      </c>
      <c r="AF165" s="6">
        <f t="shared" si="83"/>
        <v>2016.25</v>
      </c>
      <c r="AG165" s="6">
        <f t="shared" si="84"/>
        <v>2016.6666666666667</v>
      </c>
      <c r="AH165" s="6">
        <f t="shared" si="85"/>
        <v>-8.3333333333333329E-2</v>
      </c>
    </row>
    <row r="166" spans="3:34">
      <c r="C166" s="1">
        <v>8</v>
      </c>
      <c r="D166" s="27" t="s">
        <v>195</v>
      </c>
      <c r="E166" s="10">
        <v>2006</v>
      </c>
      <c r="F166" s="1">
        <v>8</v>
      </c>
      <c r="G166" s="50">
        <v>0</v>
      </c>
      <c r="H166" s="50"/>
      <c r="I166" s="10" t="s">
        <v>92</v>
      </c>
      <c r="J166" s="10">
        <v>10</v>
      </c>
      <c r="K166" s="4">
        <f t="shared" si="70"/>
        <v>2016</v>
      </c>
      <c r="L166" s="51"/>
      <c r="N166" s="29">
        <v>4912</v>
      </c>
      <c r="O166" s="38"/>
      <c r="P166" s="30">
        <f t="shared" si="71"/>
        <v>4912</v>
      </c>
      <c r="Q166" s="30">
        <f t="shared" si="72"/>
        <v>40.93333333333333</v>
      </c>
      <c r="R166" s="30">
        <f t="shared" si="73"/>
        <v>0</v>
      </c>
      <c r="S166" s="30"/>
      <c r="T166" s="30">
        <f t="shared" si="74"/>
        <v>0</v>
      </c>
      <c r="U166" s="30">
        <v>1</v>
      </c>
      <c r="V166" s="30">
        <f t="shared" si="75"/>
        <v>0</v>
      </c>
      <c r="W166" s="30"/>
      <c r="X166" s="30">
        <f t="shared" si="76"/>
        <v>4912</v>
      </c>
      <c r="Y166" s="30">
        <f t="shared" si="77"/>
        <v>4912</v>
      </c>
      <c r="Z166" s="30">
        <v>1</v>
      </c>
      <c r="AA166" s="30">
        <f t="shared" si="78"/>
        <v>4912</v>
      </c>
      <c r="AB166" s="30">
        <f t="shared" si="79"/>
        <v>4912</v>
      </c>
      <c r="AC166" s="30">
        <f t="shared" si="80"/>
        <v>0</v>
      </c>
      <c r="AD166" s="6">
        <f t="shared" si="81"/>
        <v>2006.5833333333333</v>
      </c>
      <c r="AE166" s="6">
        <f t="shared" si="82"/>
        <v>2017.6666666666667</v>
      </c>
      <c r="AF166" s="6">
        <f t="shared" si="83"/>
        <v>2016.5833333333333</v>
      </c>
      <c r="AG166" s="6">
        <f t="shared" si="84"/>
        <v>2016.6666666666667</v>
      </c>
      <c r="AH166" s="6">
        <f t="shared" si="85"/>
        <v>-8.3333333333333329E-2</v>
      </c>
    </row>
    <row r="167" spans="3:34">
      <c r="C167" s="1">
        <v>2</v>
      </c>
      <c r="D167" s="27" t="s">
        <v>196</v>
      </c>
      <c r="E167" s="10">
        <v>2006</v>
      </c>
      <c r="F167" s="1">
        <v>8</v>
      </c>
      <c r="G167" s="50">
        <v>0</v>
      </c>
      <c r="H167" s="50"/>
      <c r="I167" s="10" t="s">
        <v>92</v>
      </c>
      <c r="J167" s="10">
        <v>10</v>
      </c>
      <c r="K167" s="4">
        <f t="shared" si="70"/>
        <v>2016</v>
      </c>
      <c r="L167" s="51"/>
      <c r="N167" s="29">
        <v>1454</v>
      </c>
      <c r="O167" s="38"/>
      <c r="P167" s="30">
        <f t="shared" si="71"/>
        <v>1454</v>
      </c>
      <c r="Q167" s="30">
        <f t="shared" si="72"/>
        <v>12.116666666666667</v>
      </c>
      <c r="R167" s="30">
        <f t="shared" si="73"/>
        <v>0</v>
      </c>
      <c r="S167" s="30"/>
      <c r="T167" s="30">
        <f t="shared" si="74"/>
        <v>0</v>
      </c>
      <c r="U167" s="30">
        <v>1</v>
      </c>
      <c r="V167" s="30">
        <f t="shared" si="75"/>
        <v>0</v>
      </c>
      <c r="W167" s="30"/>
      <c r="X167" s="30">
        <f t="shared" si="76"/>
        <v>1454</v>
      </c>
      <c r="Y167" s="30">
        <f t="shared" si="77"/>
        <v>1454</v>
      </c>
      <c r="Z167" s="30">
        <v>1</v>
      </c>
      <c r="AA167" s="30">
        <f t="shared" si="78"/>
        <v>1454</v>
      </c>
      <c r="AB167" s="30">
        <f t="shared" si="79"/>
        <v>1454</v>
      </c>
      <c r="AC167" s="30">
        <f t="shared" si="80"/>
        <v>0</v>
      </c>
      <c r="AD167" s="6">
        <f t="shared" si="81"/>
        <v>2006.5833333333333</v>
      </c>
      <c r="AE167" s="6">
        <f t="shared" si="82"/>
        <v>2017.6666666666667</v>
      </c>
      <c r="AF167" s="6">
        <f t="shared" si="83"/>
        <v>2016.5833333333333</v>
      </c>
      <c r="AG167" s="6">
        <f t="shared" si="84"/>
        <v>2016.6666666666667</v>
      </c>
      <c r="AH167" s="6">
        <f t="shared" si="85"/>
        <v>-8.3333333333333329E-2</v>
      </c>
    </row>
    <row r="168" spans="3:34">
      <c r="C168" s="1">
        <v>2</v>
      </c>
      <c r="D168" s="27" t="s">
        <v>198</v>
      </c>
      <c r="E168" s="10">
        <v>2007</v>
      </c>
      <c r="F168" s="1">
        <v>1</v>
      </c>
      <c r="G168" s="50">
        <v>0</v>
      </c>
      <c r="H168" s="50"/>
      <c r="I168" s="10" t="s">
        <v>92</v>
      </c>
      <c r="J168" s="10">
        <v>10</v>
      </c>
      <c r="K168" s="4">
        <f t="shared" si="70"/>
        <v>2017</v>
      </c>
      <c r="L168" s="51"/>
      <c r="N168" s="29">
        <v>860</v>
      </c>
      <c r="O168" s="38"/>
      <c r="P168" s="30">
        <f t="shared" si="71"/>
        <v>860</v>
      </c>
      <c r="Q168" s="30">
        <f t="shared" si="72"/>
        <v>7.166666666666667</v>
      </c>
      <c r="R168" s="30">
        <f t="shared" si="73"/>
        <v>28.666666666660149</v>
      </c>
      <c r="S168" s="30"/>
      <c r="T168" s="30">
        <f t="shared" si="74"/>
        <v>28.666666666660149</v>
      </c>
      <c r="U168" s="30">
        <v>1</v>
      </c>
      <c r="V168" s="30">
        <f t="shared" si="75"/>
        <v>28.666666666660149</v>
      </c>
      <c r="W168" s="30"/>
      <c r="X168" s="30">
        <f t="shared" si="76"/>
        <v>831.33333333333985</v>
      </c>
      <c r="Y168" s="30">
        <f t="shared" si="77"/>
        <v>831.33333333333985</v>
      </c>
      <c r="Z168" s="30">
        <v>1</v>
      </c>
      <c r="AA168" s="30">
        <f t="shared" si="78"/>
        <v>831.33333333333985</v>
      </c>
      <c r="AB168" s="30">
        <f t="shared" si="79"/>
        <v>860</v>
      </c>
      <c r="AC168" s="30">
        <f t="shared" si="80"/>
        <v>14.333333333330074</v>
      </c>
      <c r="AD168" s="6">
        <f t="shared" si="81"/>
        <v>2007</v>
      </c>
      <c r="AE168" s="6">
        <f t="shared" si="82"/>
        <v>2017.6666666666667</v>
      </c>
      <c r="AF168" s="6">
        <f t="shared" si="83"/>
        <v>2017</v>
      </c>
      <c r="AG168" s="6">
        <f t="shared" si="84"/>
        <v>2016.6666666666667</v>
      </c>
      <c r="AH168" s="6">
        <f t="shared" si="85"/>
        <v>-8.3333333333333329E-2</v>
      </c>
    </row>
    <row r="169" spans="3:34">
      <c r="C169" s="1">
        <v>2</v>
      </c>
      <c r="D169" s="27" t="s">
        <v>199</v>
      </c>
      <c r="E169" s="10">
        <v>2007</v>
      </c>
      <c r="F169" s="1">
        <v>1</v>
      </c>
      <c r="G169" s="50">
        <v>0</v>
      </c>
      <c r="H169" s="50"/>
      <c r="I169" s="10" t="s">
        <v>92</v>
      </c>
      <c r="J169" s="10">
        <v>10</v>
      </c>
      <c r="K169" s="4">
        <f t="shared" si="70"/>
        <v>2017</v>
      </c>
      <c r="L169" s="51"/>
      <c r="N169" s="29">
        <v>900</v>
      </c>
      <c r="O169" s="38"/>
      <c r="P169" s="30">
        <f t="shared" si="71"/>
        <v>900</v>
      </c>
      <c r="Q169" s="30">
        <f t="shared" si="72"/>
        <v>7.5</v>
      </c>
      <c r="R169" s="30">
        <f t="shared" si="73"/>
        <v>29.999999999993179</v>
      </c>
      <c r="S169" s="30"/>
      <c r="T169" s="30">
        <f t="shared" si="74"/>
        <v>29.999999999993179</v>
      </c>
      <c r="U169" s="30">
        <v>1</v>
      </c>
      <c r="V169" s="30">
        <f t="shared" si="75"/>
        <v>29.999999999993179</v>
      </c>
      <c r="W169" s="30"/>
      <c r="X169" s="30">
        <f t="shared" si="76"/>
        <v>870.00000000000682</v>
      </c>
      <c r="Y169" s="30">
        <f t="shared" si="77"/>
        <v>870.00000000000682</v>
      </c>
      <c r="Z169" s="30">
        <v>1</v>
      </c>
      <c r="AA169" s="30">
        <f t="shared" si="78"/>
        <v>870.00000000000682</v>
      </c>
      <c r="AB169" s="30">
        <f t="shared" si="79"/>
        <v>900</v>
      </c>
      <c r="AC169" s="30">
        <f t="shared" si="80"/>
        <v>14.999999999996589</v>
      </c>
      <c r="AD169" s="6">
        <f t="shared" si="81"/>
        <v>2007</v>
      </c>
      <c r="AE169" s="6">
        <f t="shared" si="82"/>
        <v>2017.6666666666667</v>
      </c>
      <c r="AF169" s="6">
        <f t="shared" si="83"/>
        <v>2017</v>
      </c>
      <c r="AG169" s="6">
        <f t="shared" si="84"/>
        <v>2016.6666666666667</v>
      </c>
      <c r="AH169" s="6">
        <f t="shared" si="85"/>
        <v>-8.3333333333333329E-2</v>
      </c>
    </row>
    <row r="170" spans="3:34">
      <c r="C170" s="1">
        <v>3</v>
      </c>
      <c r="D170" s="27" t="s">
        <v>197</v>
      </c>
      <c r="E170" s="10">
        <v>2007</v>
      </c>
      <c r="F170" s="1">
        <v>1</v>
      </c>
      <c r="G170" s="50">
        <v>0</v>
      </c>
      <c r="H170" s="50"/>
      <c r="I170" s="10" t="s">
        <v>92</v>
      </c>
      <c r="J170" s="10">
        <v>10</v>
      </c>
      <c r="K170" s="4">
        <f t="shared" si="70"/>
        <v>2017</v>
      </c>
      <c r="L170" s="51"/>
      <c r="N170" s="29">
        <v>1410</v>
      </c>
      <c r="O170" s="38"/>
      <c r="P170" s="30">
        <f t="shared" si="71"/>
        <v>1410</v>
      </c>
      <c r="Q170" s="30">
        <f t="shared" si="72"/>
        <v>11.75</v>
      </c>
      <c r="R170" s="30">
        <f t="shared" si="73"/>
        <v>46.999999999989313</v>
      </c>
      <c r="S170" s="30"/>
      <c r="T170" s="30">
        <f t="shared" si="74"/>
        <v>46.999999999989313</v>
      </c>
      <c r="U170" s="30">
        <v>1</v>
      </c>
      <c r="V170" s="30">
        <f t="shared" si="75"/>
        <v>46.999999999989313</v>
      </c>
      <c r="W170" s="30"/>
      <c r="X170" s="30">
        <f t="shared" si="76"/>
        <v>1363.0000000000107</v>
      </c>
      <c r="Y170" s="30">
        <f t="shared" si="77"/>
        <v>1363.0000000000107</v>
      </c>
      <c r="Z170" s="30">
        <v>1</v>
      </c>
      <c r="AA170" s="30">
        <f t="shared" si="78"/>
        <v>1363.0000000000107</v>
      </c>
      <c r="AB170" s="30">
        <f t="shared" si="79"/>
        <v>1410</v>
      </c>
      <c r="AC170" s="30">
        <f t="shared" si="80"/>
        <v>23.499999999994657</v>
      </c>
      <c r="AD170" s="6">
        <f t="shared" si="81"/>
        <v>2007</v>
      </c>
      <c r="AE170" s="6">
        <f t="shared" si="82"/>
        <v>2017.6666666666667</v>
      </c>
      <c r="AF170" s="6">
        <f t="shared" si="83"/>
        <v>2017</v>
      </c>
      <c r="AG170" s="6">
        <f t="shared" si="84"/>
        <v>2016.6666666666667</v>
      </c>
      <c r="AH170" s="6">
        <f t="shared" si="85"/>
        <v>-8.3333333333333329E-2</v>
      </c>
    </row>
    <row r="171" spans="3:34">
      <c r="C171" s="1">
        <v>12</v>
      </c>
      <c r="D171" s="27" t="s">
        <v>198</v>
      </c>
      <c r="E171" s="10">
        <v>2007</v>
      </c>
      <c r="F171" s="1">
        <v>7</v>
      </c>
      <c r="G171" s="50">
        <v>0</v>
      </c>
      <c r="H171" s="50"/>
      <c r="I171" s="10" t="s">
        <v>92</v>
      </c>
      <c r="J171" s="10">
        <v>10</v>
      </c>
      <c r="K171" s="4">
        <f t="shared" si="70"/>
        <v>2017</v>
      </c>
      <c r="L171" s="51"/>
      <c r="N171" s="29">
        <v>5539</v>
      </c>
      <c r="O171" s="38"/>
      <c r="P171" s="30">
        <f t="shared" si="71"/>
        <v>5539</v>
      </c>
      <c r="Q171" s="30">
        <f t="shared" si="72"/>
        <v>46.158333333333331</v>
      </c>
      <c r="R171" s="30">
        <f t="shared" si="73"/>
        <v>461.58333333329131</v>
      </c>
      <c r="S171" s="30"/>
      <c r="T171" s="30">
        <f t="shared" si="74"/>
        <v>461.58333333329131</v>
      </c>
      <c r="U171" s="30">
        <v>1</v>
      </c>
      <c r="V171" s="30">
        <f t="shared" si="75"/>
        <v>461.58333333329131</v>
      </c>
      <c r="W171" s="30"/>
      <c r="X171" s="30">
        <f t="shared" si="76"/>
        <v>5077.4166666667088</v>
      </c>
      <c r="Y171" s="30">
        <f t="shared" si="77"/>
        <v>5077.4166666667088</v>
      </c>
      <c r="Z171" s="30">
        <v>1</v>
      </c>
      <c r="AA171" s="30">
        <f t="shared" si="78"/>
        <v>5077.4166666667088</v>
      </c>
      <c r="AB171" s="30">
        <f t="shared" si="79"/>
        <v>5539</v>
      </c>
      <c r="AC171" s="30">
        <f t="shared" si="80"/>
        <v>230.7916666666456</v>
      </c>
      <c r="AD171" s="6">
        <f t="shared" si="81"/>
        <v>2007.5</v>
      </c>
      <c r="AE171" s="6">
        <f t="shared" si="82"/>
        <v>2017.6666666666667</v>
      </c>
      <c r="AF171" s="6">
        <f t="shared" si="83"/>
        <v>2017.5</v>
      </c>
      <c r="AG171" s="6">
        <f t="shared" si="84"/>
        <v>2016.6666666666667</v>
      </c>
      <c r="AH171" s="6">
        <f t="shared" si="85"/>
        <v>-8.3333333333333329E-2</v>
      </c>
    </row>
    <row r="172" spans="3:34">
      <c r="C172" s="1">
        <v>3</v>
      </c>
      <c r="D172" s="27" t="s">
        <v>199</v>
      </c>
      <c r="E172" s="10">
        <v>2007</v>
      </c>
      <c r="F172" s="1">
        <v>7</v>
      </c>
      <c r="G172" s="50">
        <v>0</v>
      </c>
      <c r="H172" s="50"/>
      <c r="I172" s="10" t="s">
        <v>92</v>
      </c>
      <c r="J172" s="10">
        <v>10</v>
      </c>
      <c r="K172" s="4">
        <f t="shared" si="70"/>
        <v>2017</v>
      </c>
      <c r="L172" s="51"/>
      <c r="N172" s="29">
        <f>1335*1.086</f>
        <v>1449.8100000000002</v>
      </c>
      <c r="O172" s="38"/>
      <c r="P172" s="30">
        <f t="shared" si="71"/>
        <v>1449.8100000000002</v>
      </c>
      <c r="Q172" s="30">
        <f t="shared" si="72"/>
        <v>12.081750000000001</v>
      </c>
      <c r="R172" s="30">
        <f t="shared" si="73"/>
        <v>120.81749999998902</v>
      </c>
      <c r="S172" s="30"/>
      <c r="T172" s="30">
        <f t="shared" si="74"/>
        <v>120.81749999998902</v>
      </c>
      <c r="U172" s="30">
        <v>1</v>
      </c>
      <c r="V172" s="30">
        <f t="shared" si="75"/>
        <v>120.81749999998902</v>
      </c>
      <c r="W172" s="30"/>
      <c r="X172" s="30">
        <f t="shared" si="76"/>
        <v>1328.9925000000112</v>
      </c>
      <c r="Y172" s="30">
        <f t="shared" si="77"/>
        <v>1328.9925000000112</v>
      </c>
      <c r="Z172" s="30">
        <v>1</v>
      </c>
      <c r="AA172" s="30">
        <f t="shared" si="78"/>
        <v>1328.9925000000112</v>
      </c>
      <c r="AB172" s="30">
        <f t="shared" si="79"/>
        <v>1449.8100000000002</v>
      </c>
      <c r="AC172" s="30">
        <f t="shared" si="80"/>
        <v>60.408749999994484</v>
      </c>
      <c r="AD172" s="6">
        <f t="shared" si="81"/>
        <v>2007.5</v>
      </c>
      <c r="AE172" s="6">
        <f t="shared" si="82"/>
        <v>2017.6666666666667</v>
      </c>
      <c r="AF172" s="6">
        <f t="shared" si="83"/>
        <v>2017.5</v>
      </c>
      <c r="AG172" s="6">
        <f t="shared" si="84"/>
        <v>2016.6666666666667</v>
      </c>
      <c r="AH172" s="6">
        <f t="shared" si="85"/>
        <v>-8.3333333333333329E-2</v>
      </c>
    </row>
    <row r="173" spans="3:34">
      <c r="C173" s="1">
        <v>2</v>
      </c>
      <c r="D173" s="27" t="s">
        <v>197</v>
      </c>
      <c r="E173" s="10">
        <v>2007</v>
      </c>
      <c r="F173" s="1">
        <v>7</v>
      </c>
      <c r="G173" s="50">
        <v>0</v>
      </c>
      <c r="H173" s="50"/>
      <c r="I173" s="10" t="s">
        <v>92</v>
      </c>
      <c r="J173" s="10">
        <v>10</v>
      </c>
      <c r="K173" s="4">
        <f t="shared" si="70"/>
        <v>2017</v>
      </c>
      <c r="L173" s="51"/>
      <c r="N173" s="29">
        <f>930*1.086</f>
        <v>1009.98</v>
      </c>
      <c r="O173" s="38"/>
      <c r="P173" s="30">
        <f t="shared" si="71"/>
        <v>1009.98</v>
      </c>
      <c r="Q173" s="30">
        <f t="shared" si="72"/>
        <v>8.416500000000001</v>
      </c>
      <c r="R173" s="30">
        <f t="shared" si="73"/>
        <v>84.164999999992361</v>
      </c>
      <c r="S173" s="30"/>
      <c r="T173" s="30">
        <f t="shared" si="74"/>
        <v>84.164999999992361</v>
      </c>
      <c r="U173" s="30">
        <v>1</v>
      </c>
      <c r="V173" s="30">
        <f t="shared" si="75"/>
        <v>84.164999999992361</v>
      </c>
      <c r="W173" s="30"/>
      <c r="X173" s="30">
        <f t="shared" si="76"/>
        <v>925.81500000000767</v>
      </c>
      <c r="Y173" s="30">
        <f t="shared" si="77"/>
        <v>925.81500000000767</v>
      </c>
      <c r="Z173" s="30">
        <v>1</v>
      </c>
      <c r="AA173" s="30">
        <f t="shared" si="78"/>
        <v>925.81500000000767</v>
      </c>
      <c r="AB173" s="30">
        <f t="shared" si="79"/>
        <v>1009.98</v>
      </c>
      <c r="AC173" s="30">
        <f t="shared" si="80"/>
        <v>42.082499999996173</v>
      </c>
      <c r="AD173" s="6">
        <f t="shared" si="81"/>
        <v>2007.5</v>
      </c>
      <c r="AE173" s="6">
        <f t="shared" si="82"/>
        <v>2017.6666666666667</v>
      </c>
      <c r="AF173" s="6">
        <f t="shared" si="83"/>
        <v>2017.5</v>
      </c>
      <c r="AG173" s="6">
        <f t="shared" si="84"/>
        <v>2016.6666666666667</v>
      </c>
      <c r="AH173" s="6">
        <f t="shared" si="85"/>
        <v>-8.3333333333333329E-2</v>
      </c>
    </row>
    <row r="174" spans="3:34">
      <c r="C174" s="1">
        <v>2</v>
      </c>
      <c r="D174" s="27" t="s">
        <v>197</v>
      </c>
      <c r="E174" s="10">
        <v>2007</v>
      </c>
      <c r="F174" s="1">
        <v>7</v>
      </c>
      <c r="G174" s="50">
        <v>0</v>
      </c>
      <c r="H174" s="50"/>
      <c r="I174" s="10" t="s">
        <v>92</v>
      </c>
      <c r="J174" s="10">
        <v>10</v>
      </c>
      <c r="K174" s="4">
        <f t="shared" si="70"/>
        <v>2017</v>
      </c>
      <c r="L174" s="51"/>
      <c r="N174" s="29">
        <f>930*1.086</f>
        <v>1009.98</v>
      </c>
      <c r="O174" s="38"/>
      <c r="P174" s="30">
        <f t="shared" si="71"/>
        <v>1009.98</v>
      </c>
      <c r="Q174" s="30">
        <f t="shared" si="72"/>
        <v>8.416500000000001</v>
      </c>
      <c r="R174" s="30">
        <f t="shared" si="73"/>
        <v>84.164999999992361</v>
      </c>
      <c r="S174" s="30"/>
      <c r="T174" s="30">
        <f t="shared" si="74"/>
        <v>84.164999999992361</v>
      </c>
      <c r="U174" s="30">
        <v>1</v>
      </c>
      <c r="V174" s="30">
        <f t="shared" si="75"/>
        <v>84.164999999992361</v>
      </c>
      <c r="W174" s="30"/>
      <c r="X174" s="30">
        <f t="shared" si="76"/>
        <v>925.81500000000767</v>
      </c>
      <c r="Y174" s="30">
        <f t="shared" si="77"/>
        <v>925.81500000000767</v>
      </c>
      <c r="Z174" s="30">
        <v>1</v>
      </c>
      <c r="AA174" s="30">
        <f t="shared" si="78"/>
        <v>925.81500000000767</v>
      </c>
      <c r="AB174" s="30">
        <f t="shared" si="79"/>
        <v>1009.98</v>
      </c>
      <c r="AC174" s="30">
        <f t="shared" si="80"/>
        <v>42.082499999996173</v>
      </c>
      <c r="AD174" s="6">
        <f t="shared" si="81"/>
        <v>2007.5</v>
      </c>
      <c r="AE174" s="6">
        <f t="shared" si="82"/>
        <v>2017.6666666666667</v>
      </c>
      <c r="AF174" s="6">
        <f t="shared" si="83"/>
        <v>2017.5</v>
      </c>
      <c r="AG174" s="6">
        <f t="shared" si="84"/>
        <v>2016.6666666666667</v>
      </c>
      <c r="AH174" s="6">
        <f t="shared" si="85"/>
        <v>-8.3333333333333329E-2</v>
      </c>
    </row>
    <row r="175" spans="3:34">
      <c r="C175" s="1">
        <v>3</v>
      </c>
      <c r="D175" s="27" t="s">
        <v>195</v>
      </c>
      <c r="E175" s="10">
        <v>2007</v>
      </c>
      <c r="F175" s="1">
        <v>8</v>
      </c>
      <c r="G175" s="50">
        <v>0</v>
      </c>
      <c r="H175" s="50"/>
      <c r="I175" s="10" t="s">
        <v>92</v>
      </c>
      <c r="J175" s="10">
        <v>10</v>
      </c>
      <c r="K175" s="4">
        <f t="shared" si="70"/>
        <v>2017</v>
      </c>
      <c r="L175" s="51"/>
      <c r="N175" s="29">
        <f>1668+148.32+127.14</f>
        <v>1943.46</v>
      </c>
      <c r="O175" s="38"/>
      <c r="P175" s="30">
        <f t="shared" si="71"/>
        <v>1943.46</v>
      </c>
      <c r="Q175" s="30">
        <f t="shared" si="72"/>
        <v>16.195499999999999</v>
      </c>
      <c r="R175" s="30">
        <f t="shared" si="73"/>
        <v>178.15049999997052</v>
      </c>
      <c r="S175" s="30"/>
      <c r="T175" s="30">
        <f t="shared" si="74"/>
        <v>178.15049999997052</v>
      </c>
      <c r="U175" s="30">
        <v>1</v>
      </c>
      <c r="V175" s="30">
        <f t="shared" si="75"/>
        <v>178.15049999997052</v>
      </c>
      <c r="W175" s="30"/>
      <c r="X175" s="30">
        <f t="shared" si="76"/>
        <v>1765.3095000000294</v>
      </c>
      <c r="Y175" s="30">
        <f t="shared" si="77"/>
        <v>1765.3095000000294</v>
      </c>
      <c r="Z175" s="30">
        <v>1</v>
      </c>
      <c r="AA175" s="30">
        <f t="shared" si="78"/>
        <v>1765.3095000000294</v>
      </c>
      <c r="AB175" s="30">
        <f t="shared" si="79"/>
        <v>1943.46</v>
      </c>
      <c r="AC175" s="30">
        <f t="shared" si="80"/>
        <v>89.075249999985317</v>
      </c>
      <c r="AD175" s="6">
        <f t="shared" si="81"/>
        <v>2007.5833333333333</v>
      </c>
      <c r="AE175" s="6">
        <f t="shared" si="82"/>
        <v>2017.6666666666667</v>
      </c>
      <c r="AF175" s="6">
        <f t="shared" si="83"/>
        <v>2017.5833333333333</v>
      </c>
      <c r="AG175" s="6">
        <f t="shared" si="84"/>
        <v>2016.6666666666667</v>
      </c>
      <c r="AH175" s="6">
        <f t="shared" si="85"/>
        <v>-8.3333333333333329E-2</v>
      </c>
    </row>
    <row r="176" spans="3:34">
      <c r="C176" s="1">
        <v>6</v>
      </c>
      <c r="D176" s="27" t="s">
        <v>196</v>
      </c>
      <c r="E176" s="10">
        <v>2007</v>
      </c>
      <c r="F176" s="1">
        <v>8</v>
      </c>
      <c r="G176" s="50">
        <v>0</v>
      </c>
      <c r="H176" s="50"/>
      <c r="I176" s="10" t="s">
        <v>92</v>
      </c>
      <c r="J176" s="10">
        <v>10</v>
      </c>
      <c r="K176" s="4">
        <f t="shared" si="70"/>
        <v>2017</v>
      </c>
      <c r="L176" s="51"/>
      <c r="N176" s="29">
        <f>6639.35-N175</f>
        <v>4695.8900000000003</v>
      </c>
      <c r="O176" s="38"/>
      <c r="P176" s="30">
        <f t="shared" si="71"/>
        <v>4695.8900000000003</v>
      </c>
      <c r="Q176" s="30">
        <f t="shared" si="72"/>
        <v>39.132416666666671</v>
      </c>
      <c r="R176" s="30">
        <f t="shared" si="73"/>
        <v>430.45658333326219</v>
      </c>
      <c r="S176" s="30"/>
      <c r="T176" s="30">
        <f t="shared" si="74"/>
        <v>430.45658333326219</v>
      </c>
      <c r="U176" s="30">
        <v>1</v>
      </c>
      <c r="V176" s="30">
        <f t="shared" si="75"/>
        <v>430.45658333326219</v>
      </c>
      <c r="W176" s="30"/>
      <c r="X176" s="30">
        <f t="shared" si="76"/>
        <v>4265.4334166667377</v>
      </c>
      <c r="Y176" s="30">
        <f t="shared" si="77"/>
        <v>4265.4334166667377</v>
      </c>
      <c r="Z176" s="30">
        <v>1</v>
      </c>
      <c r="AA176" s="30">
        <f t="shared" si="78"/>
        <v>4265.4334166667377</v>
      </c>
      <c r="AB176" s="30">
        <f t="shared" si="79"/>
        <v>4695.8899999999994</v>
      </c>
      <c r="AC176" s="30">
        <f t="shared" si="80"/>
        <v>215.22829166663178</v>
      </c>
      <c r="AD176" s="6">
        <f t="shared" si="81"/>
        <v>2007.5833333333333</v>
      </c>
      <c r="AE176" s="6">
        <f t="shared" si="82"/>
        <v>2017.6666666666667</v>
      </c>
      <c r="AF176" s="6">
        <f t="shared" si="83"/>
        <v>2017.5833333333333</v>
      </c>
      <c r="AG176" s="6">
        <f t="shared" si="84"/>
        <v>2016.6666666666667</v>
      </c>
      <c r="AH176" s="6">
        <f t="shared" si="85"/>
        <v>-8.3333333333333329E-2</v>
      </c>
    </row>
    <row r="177" spans="1:34">
      <c r="C177" s="1">
        <v>10</v>
      </c>
      <c r="D177" s="27" t="s">
        <v>200</v>
      </c>
      <c r="E177" s="10">
        <v>2009</v>
      </c>
      <c r="F177" s="1">
        <v>4</v>
      </c>
      <c r="G177" s="50">
        <v>0</v>
      </c>
      <c r="H177" s="50"/>
      <c r="I177" s="10" t="s">
        <v>92</v>
      </c>
      <c r="J177" s="10">
        <v>5</v>
      </c>
      <c r="K177" s="4">
        <f t="shared" si="70"/>
        <v>2014</v>
      </c>
      <c r="L177" s="51"/>
      <c r="N177" s="29">
        <v>1005</v>
      </c>
      <c r="O177" s="38"/>
      <c r="P177" s="30">
        <f t="shared" si="71"/>
        <v>1005</v>
      </c>
      <c r="Q177" s="30">
        <f t="shared" si="72"/>
        <v>16.75</v>
      </c>
      <c r="R177" s="30">
        <f t="shared" si="73"/>
        <v>0</v>
      </c>
      <c r="S177" s="30"/>
      <c r="T177" s="30">
        <f t="shared" si="74"/>
        <v>0</v>
      </c>
      <c r="U177" s="30">
        <v>1</v>
      </c>
      <c r="V177" s="30">
        <f t="shared" si="75"/>
        <v>0</v>
      </c>
      <c r="W177" s="30"/>
      <c r="X177" s="30">
        <f t="shared" si="76"/>
        <v>1005</v>
      </c>
      <c r="Y177" s="30">
        <f t="shared" si="77"/>
        <v>1005</v>
      </c>
      <c r="Z177" s="30">
        <v>1</v>
      </c>
      <c r="AA177" s="30">
        <f t="shared" si="78"/>
        <v>1005</v>
      </c>
      <c r="AB177" s="30">
        <f t="shared" si="79"/>
        <v>1005</v>
      </c>
      <c r="AC177" s="30">
        <f t="shared" si="80"/>
        <v>0</v>
      </c>
      <c r="AD177" s="6">
        <f t="shared" si="81"/>
        <v>2009.25</v>
      </c>
      <c r="AE177" s="6">
        <f t="shared" si="82"/>
        <v>2017.6666666666667</v>
      </c>
      <c r="AF177" s="6">
        <f t="shared" si="83"/>
        <v>2014.25</v>
      </c>
      <c r="AG177" s="6">
        <f t="shared" si="84"/>
        <v>2016.6666666666667</v>
      </c>
      <c r="AH177" s="6">
        <f t="shared" si="85"/>
        <v>-8.3333333333333329E-2</v>
      </c>
    </row>
    <row r="178" spans="1:34">
      <c r="C178" s="1">
        <v>5</v>
      </c>
      <c r="D178" s="27" t="s">
        <v>201</v>
      </c>
      <c r="E178" s="10">
        <v>2009</v>
      </c>
      <c r="F178" s="1">
        <v>4</v>
      </c>
      <c r="G178" s="50">
        <v>0</v>
      </c>
      <c r="H178" s="50"/>
      <c r="I178" s="10" t="s">
        <v>92</v>
      </c>
      <c r="J178" s="10">
        <v>5</v>
      </c>
      <c r="K178" s="4">
        <f t="shared" si="70"/>
        <v>2014</v>
      </c>
      <c r="L178" s="51"/>
      <c r="N178" s="29">
        <v>588</v>
      </c>
      <c r="O178" s="38"/>
      <c r="P178" s="30">
        <f t="shared" si="71"/>
        <v>588</v>
      </c>
      <c r="Q178" s="30">
        <f t="shared" si="72"/>
        <v>9.7999999999999989</v>
      </c>
      <c r="R178" s="30">
        <f t="shared" si="73"/>
        <v>0</v>
      </c>
      <c r="S178" s="30"/>
      <c r="T178" s="30">
        <f t="shared" si="74"/>
        <v>0</v>
      </c>
      <c r="U178" s="30">
        <v>1</v>
      </c>
      <c r="V178" s="30">
        <f t="shared" si="75"/>
        <v>0</v>
      </c>
      <c r="W178" s="30"/>
      <c r="X178" s="30">
        <f t="shared" si="76"/>
        <v>588</v>
      </c>
      <c r="Y178" s="30">
        <f t="shared" si="77"/>
        <v>588</v>
      </c>
      <c r="Z178" s="30">
        <v>1</v>
      </c>
      <c r="AA178" s="30">
        <f t="shared" si="78"/>
        <v>588</v>
      </c>
      <c r="AB178" s="30">
        <f t="shared" si="79"/>
        <v>588</v>
      </c>
      <c r="AC178" s="30">
        <f t="shared" si="80"/>
        <v>0</v>
      </c>
      <c r="AD178" s="6">
        <f t="shared" si="81"/>
        <v>2009.25</v>
      </c>
      <c r="AE178" s="6">
        <f t="shared" si="82"/>
        <v>2017.6666666666667</v>
      </c>
      <c r="AF178" s="6">
        <f t="shared" si="83"/>
        <v>2014.25</v>
      </c>
      <c r="AG178" s="6">
        <f t="shared" si="84"/>
        <v>2016.6666666666667</v>
      </c>
      <c r="AH178" s="6">
        <f t="shared" si="85"/>
        <v>-8.3333333333333329E-2</v>
      </c>
    </row>
    <row r="179" spans="1:34">
      <c r="C179" s="1">
        <v>4</v>
      </c>
      <c r="D179" s="27" t="s">
        <v>202</v>
      </c>
      <c r="E179" s="10">
        <v>2009</v>
      </c>
      <c r="F179" s="1">
        <v>4</v>
      </c>
      <c r="G179" s="50">
        <v>0</v>
      </c>
      <c r="H179" s="50"/>
      <c r="I179" s="10" t="s">
        <v>92</v>
      </c>
      <c r="J179" s="10">
        <v>5</v>
      </c>
      <c r="K179" s="4">
        <f t="shared" si="70"/>
        <v>2014</v>
      </c>
      <c r="L179" s="51"/>
      <c r="N179" s="29">
        <v>873</v>
      </c>
      <c r="O179" s="38"/>
      <c r="P179" s="30">
        <f t="shared" si="71"/>
        <v>873</v>
      </c>
      <c r="Q179" s="30">
        <f t="shared" si="72"/>
        <v>14.549999999999999</v>
      </c>
      <c r="R179" s="30">
        <f t="shared" si="73"/>
        <v>0</v>
      </c>
      <c r="S179" s="30"/>
      <c r="T179" s="30">
        <f t="shared" si="74"/>
        <v>0</v>
      </c>
      <c r="U179" s="30">
        <v>1</v>
      </c>
      <c r="V179" s="30">
        <f t="shared" si="75"/>
        <v>0</v>
      </c>
      <c r="W179" s="30"/>
      <c r="X179" s="30">
        <f t="shared" si="76"/>
        <v>873</v>
      </c>
      <c r="Y179" s="30">
        <f t="shared" si="77"/>
        <v>873</v>
      </c>
      <c r="Z179" s="30">
        <v>1</v>
      </c>
      <c r="AA179" s="30">
        <f t="shared" si="78"/>
        <v>873</v>
      </c>
      <c r="AB179" s="30">
        <f t="shared" si="79"/>
        <v>873</v>
      </c>
      <c r="AC179" s="30">
        <f t="shared" si="80"/>
        <v>0</v>
      </c>
      <c r="AD179" s="6">
        <f t="shared" si="81"/>
        <v>2009.25</v>
      </c>
      <c r="AE179" s="6">
        <f t="shared" si="82"/>
        <v>2017.6666666666667</v>
      </c>
      <c r="AF179" s="6">
        <f t="shared" si="83"/>
        <v>2014.25</v>
      </c>
      <c r="AG179" s="6">
        <f t="shared" si="84"/>
        <v>2016.6666666666667</v>
      </c>
      <c r="AH179" s="6">
        <f t="shared" si="85"/>
        <v>-8.3333333333333329E-2</v>
      </c>
    </row>
    <row r="180" spans="1:34">
      <c r="C180" s="1">
        <v>6</v>
      </c>
      <c r="D180" s="27" t="s">
        <v>203</v>
      </c>
      <c r="E180" s="10">
        <v>2009</v>
      </c>
      <c r="F180" s="1">
        <v>4</v>
      </c>
      <c r="G180" s="50">
        <v>0</v>
      </c>
      <c r="H180" s="50"/>
      <c r="I180" s="10" t="s">
        <v>92</v>
      </c>
      <c r="J180" s="10">
        <v>5</v>
      </c>
      <c r="K180" s="4">
        <f t="shared" si="70"/>
        <v>2014</v>
      </c>
      <c r="L180" s="51"/>
      <c r="N180" s="29">
        <v>1560</v>
      </c>
      <c r="O180" s="38"/>
      <c r="P180" s="30">
        <f t="shared" si="71"/>
        <v>1560</v>
      </c>
      <c r="Q180" s="30">
        <f t="shared" si="72"/>
        <v>26</v>
      </c>
      <c r="R180" s="30">
        <f t="shared" si="73"/>
        <v>0</v>
      </c>
      <c r="S180" s="30"/>
      <c r="T180" s="30">
        <f t="shared" si="74"/>
        <v>0</v>
      </c>
      <c r="U180" s="30">
        <v>1</v>
      </c>
      <c r="V180" s="30">
        <f t="shared" si="75"/>
        <v>0</v>
      </c>
      <c r="W180" s="30"/>
      <c r="X180" s="30">
        <f t="shared" si="76"/>
        <v>1560</v>
      </c>
      <c r="Y180" s="30">
        <f t="shared" si="77"/>
        <v>1560</v>
      </c>
      <c r="Z180" s="30">
        <v>1</v>
      </c>
      <c r="AA180" s="30">
        <f t="shared" si="78"/>
        <v>1560</v>
      </c>
      <c r="AB180" s="30">
        <f t="shared" si="79"/>
        <v>1560</v>
      </c>
      <c r="AC180" s="30">
        <f t="shared" si="80"/>
        <v>0</v>
      </c>
      <c r="AD180" s="6">
        <f t="shared" si="81"/>
        <v>2009.25</v>
      </c>
      <c r="AE180" s="6">
        <f t="shared" si="82"/>
        <v>2017.6666666666667</v>
      </c>
      <c r="AF180" s="6">
        <f t="shared" si="83"/>
        <v>2014.25</v>
      </c>
      <c r="AG180" s="6">
        <f t="shared" si="84"/>
        <v>2016.6666666666667</v>
      </c>
      <c r="AH180" s="6">
        <f t="shared" si="85"/>
        <v>-8.3333333333333329E-2</v>
      </c>
    </row>
    <row r="181" spans="1:34">
      <c r="C181" s="1">
        <v>7</v>
      </c>
      <c r="D181" s="27" t="s">
        <v>198</v>
      </c>
      <c r="E181" s="10">
        <v>2010</v>
      </c>
      <c r="F181" s="1">
        <v>5</v>
      </c>
      <c r="G181" s="50">
        <v>0</v>
      </c>
      <c r="H181" s="50"/>
      <c r="I181" s="10" t="s">
        <v>92</v>
      </c>
      <c r="J181" s="10">
        <v>10</v>
      </c>
      <c r="K181" s="4">
        <f t="shared" si="70"/>
        <v>2020</v>
      </c>
      <c r="L181" s="51"/>
      <c r="N181" s="29">
        <v>2792</v>
      </c>
      <c r="O181" s="38"/>
      <c r="P181" s="30">
        <f t="shared" si="71"/>
        <v>2792</v>
      </c>
      <c r="Q181" s="30">
        <f t="shared" si="72"/>
        <v>23.266666666666666</v>
      </c>
      <c r="R181" s="30">
        <f t="shared" si="73"/>
        <v>279.2</v>
      </c>
      <c r="S181" s="30"/>
      <c r="T181" s="30">
        <f t="shared" si="74"/>
        <v>279.2</v>
      </c>
      <c r="U181" s="30">
        <v>1</v>
      </c>
      <c r="V181" s="30">
        <f t="shared" si="75"/>
        <v>279.2</v>
      </c>
      <c r="W181" s="30"/>
      <c r="X181" s="30">
        <f t="shared" si="76"/>
        <v>1768.2666666667089</v>
      </c>
      <c r="Y181" s="30">
        <f t="shared" si="77"/>
        <v>1768.2666666667089</v>
      </c>
      <c r="Z181" s="30">
        <v>1</v>
      </c>
      <c r="AA181" s="30">
        <f t="shared" si="78"/>
        <v>1768.2666666667089</v>
      </c>
      <c r="AB181" s="30">
        <f t="shared" si="79"/>
        <v>2047.466666666709</v>
      </c>
      <c r="AC181" s="30">
        <f t="shared" si="80"/>
        <v>884.13333333329103</v>
      </c>
      <c r="AD181" s="6">
        <f t="shared" si="81"/>
        <v>2010.3333333333333</v>
      </c>
      <c r="AE181" s="6">
        <f t="shared" si="82"/>
        <v>2017.6666666666667</v>
      </c>
      <c r="AF181" s="6">
        <f t="shared" si="83"/>
        <v>2020.3333333333333</v>
      </c>
      <c r="AG181" s="6">
        <f t="shared" si="84"/>
        <v>2016.6666666666667</v>
      </c>
      <c r="AH181" s="6">
        <f t="shared" si="85"/>
        <v>-8.3333333333333329E-2</v>
      </c>
    </row>
    <row r="182" spans="1:34">
      <c r="C182" s="1">
        <v>3</v>
      </c>
      <c r="D182" s="27" t="s">
        <v>199</v>
      </c>
      <c r="E182" s="10">
        <v>2010</v>
      </c>
      <c r="F182" s="1">
        <v>5</v>
      </c>
      <c r="G182" s="50">
        <v>0</v>
      </c>
      <c r="H182" s="50"/>
      <c r="I182" s="10" t="s">
        <v>92</v>
      </c>
      <c r="J182" s="10">
        <v>10</v>
      </c>
      <c r="K182" s="4">
        <f t="shared" si="70"/>
        <v>2020</v>
      </c>
      <c r="L182" s="51"/>
      <c r="N182" s="29">
        <v>1294</v>
      </c>
      <c r="O182" s="38"/>
      <c r="P182" s="30">
        <f t="shared" si="71"/>
        <v>1294</v>
      </c>
      <c r="Q182" s="30">
        <f t="shared" si="72"/>
        <v>10.783333333333333</v>
      </c>
      <c r="R182" s="30">
        <f t="shared" si="73"/>
        <v>129.4</v>
      </c>
      <c r="S182" s="30"/>
      <c r="T182" s="30">
        <f t="shared" si="74"/>
        <v>129.4</v>
      </c>
      <c r="U182" s="30">
        <v>1</v>
      </c>
      <c r="V182" s="30">
        <f t="shared" si="75"/>
        <v>129.4</v>
      </c>
      <c r="W182" s="30"/>
      <c r="X182" s="30">
        <f t="shared" si="76"/>
        <v>819.53333333335297</v>
      </c>
      <c r="Y182" s="30">
        <f t="shared" si="77"/>
        <v>819.53333333335297</v>
      </c>
      <c r="Z182" s="30">
        <v>1</v>
      </c>
      <c r="AA182" s="30">
        <f t="shared" si="78"/>
        <v>819.53333333335297</v>
      </c>
      <c r="AB182" s="30">
        <f t="shared" si="79"/>
        <v>948.93333333335295</v>
      </c>
      <c r="AC182" s="30">
        <f t="shared" si="80"/>
        <v>409.76666666664704</v>
      </c>
      <c r="AD182" s="6">
        <f t="shared" si="81"/>
        <v>2010.3333333333333</v>
      </c>
      <c r="AE182" s="6">
        <f t="shared" si="82"/>
        <v>2017.6666666666667</v>
      </c>
      <c r="AF182" s="6">
        <f t="shared" si="83"/>
        <v>2020.3333333333333</v>
      </c>
      <c r="AG182" s="6">
        <f t="shared" si="84"/>
        <v>2016.6666666666667</v>
      </c>
      <c r="AH182" s="6">
        <f t="shared" si="85"/>
        <v>-8.3333333333333329E-2</v>
      </c>
    </row>
    <row r="183" spans="1:34">
      <c r="C183" s="1">
        <v>3</v>
      </c>
      <c r="D183" s="27" t="s">
        <v>199</v>
      </c>
      <c r="E183" s="10">
        <v>2011</v>
      </c>
      <c r="F183" s="1">
        <v>1</v>
      </c>
      <c r="G183" s="50">
        <v>0</v>
      </c>
      <c r="H183" s="50"/>
      <c r="I183" s="10" t="s">
        <v>92</v>
      </c>
      <c r="J183" s="10">
        <v>10</v>
      </c>
      <c r="K183" s="4">
        <f t="shared" si="70"/>
        <v>2021</v>
      </c>
      <c r="L183" s="51"/>
      <c r="N183" s="29">
        <v>1623.47</v>
      </c>
      <c r="O183" s="38"/>
      <c r="P183" s="30">
        <f t="shared" si="71"/>
        <v>1623.47</v>
      </c>
      <c r="Q183" s="30">
        <f t="shared" si="72"/>
        <v>13.528916666666667</v>
      </c>
      <c r="R183" s="30">
        <f t="shared" si="73"/>
        <v>162.34700000000001</v>
      </c>
      <c r="S183" s="30"/>
      <c r="T183" s="30">
        <f t="shared" si="74"/>
        <v>162.34700000000001</v>
      </c>
      <c r="U183" s="30">
        <v>1</v>
      </c>
      <c r="V183" s="30">
        <f t="shared" si="75"/>
        <v>162.34700000000001</v>
      </c>
      <c r="W183" s="30"/>
      <c r="X183" s="30">
        <f t="shared" si="76"/>
        <v>919.96633333334569</v>
      </c>
      <c r="Y183" s="30">
        <f t="shared" si="77"/>
        <v>919.96633333334569</v>
      </c>
      <c r="Z183" s="30">
        <v>1</v>
      </c>
      <c r="AA183" s="30">
        <f t="shared" si="78"/>
        <v>919.96633333334569</v>
      </c>
      <c r="AB183" s="30">
        <f t="shared" si="79"/>
        <v>1082.3133333333458</v>
      </c>
      <c r="AC183" s="30">
        <f t="shared" si="80"/>
        <v>622.33016666665435</v>
      </c>
      <c r="AD183" s="6">
        <f t="shared" si="81"/>
        <v>2011</v>
      </c>
      <c r="AE183" s="6">
        <f t="shared" si="82"/>
        <v>2017.6666666666667</v>
      </c>
      <c r="AF183" s="6">
        <f t="shared" si="83"/>
        <v>2021</v>
      </c>
      <c r="AG183" s="6">
        <f t="shared" si="84"/>
        <v>2016.6666666666667</v>
      </c>
      <c r="AH183" s="6">
        <f t="shared" si="85"/>
        <v>-8.3333333333333329E-2</v>
      </c>
    </row>
    <row r="184" spans="1:34">
      <c r="C184" s="1">
        <v>2</v>
      </c>
      <c r="D184" s="27" t="s">
        <v>197</v>
      </c>
      <c r="E184" s="10">
        <v>2011</v>
      </c>
      <c r="F184" s="1">
        <v>1</v>
      </c>
      <c r="G184" s="50">
        <v>0</v>
      </c>
      <c r="H184" s="50"/>
      <c r="I184" s="10" t="s">
        <v>92</v>
      </c>
      <c r="J184" s="10">
        <v>10</v>
      </c>
      <c r="K184" s="4">
        <f t="shared" si="70"/>
        <v>2021</v>
      </c>
      <c r="L184" s="51"/>
      <c r="N184" s="29">
        <v>1636.4</v>
      </c>
      <c r="O184" s="38"/>
      <c r="P184" s="30">
        <f t="shared" si="71"/>
        <v>1636.4</v>
      </c>
      <c r="Q184" s="30">
        <f t="shared" si="72"/>
        <v>13.636666666666668</v>
      </c>
      <c r="R184" s="30">
        <f t="shared" si="73"/>
        <v>163.64000000000001</v>
      </c>
      <c r="S184" s="30"/>
      <c r="T184" s="30">
        <f t="shared" si="74"/>
        <v>163.64000000000001</v>
      </c>
      <c r="U184" s="30">
        <v>1</v>
      </c>
      <c r="V184" s="30">
        <f t="shared" si="75"/>
        <v>163.64000000000001</v>
      </c>
      <c r="W184" s="30"/>
      <c r="X184" s="30">
        <f t="shared" si="76"/>
        <v>927.29333333334591</v>
      </c>
      <c r="Y184" s="30">
        <f t="shared" si="77"/>
        <v>927.29333333334591</v>
      </c>
      <c r="Z184" s="30">
        <v>1</v>
      </c>
      <c r="AA184" s="30">
        <f t="shared" si="78"/>
        <v>927.29333333334591</v>
      </c>
      <c r="AB184" s="30">
        <f t="shared" si="79"/>
        <v>1090.9333333333459</v>
      </c>
      <c r="AC184" s="30">
        <f t="shared" si="80"/>
        <v>627.28666666665413</v>
      </c>
      <c r="AD184" s="6">
        <f t="shared" si="81"/>
        <v>2011</v>
      </c>
      <c r="AE184" s="6">
        <f t="shared" si="82"/>
        <v>2017.6666666666667</v>
      </c>
      <c r="AF184" s="6">
        <f t="shared" si="83"/>
        <v>2021</v>
      </c>
      <c r="AG184" s="6">
        <f t="shared" si="84"/>
        <v>2016.6666666666667</v>
      </c>
      <c r="AH184" s="6">
        <f t="shared" si="85"/>
        <v>-8.3333333333333329E-2</v>
      </c>
    </row>
    <row r="185" spans="1:34">
      <c r="C185" s="1">
        <v>4</v>
      </c>
      <c r="D185" s="27" t="s">
        <v>199</v>
      </c>
      <c r="E185" s="10">
        <v>2011</v>
      </c>
      <c r="F185" s="1">
        <v>12</v>
      </c>
      <c r="G185" s="50">
        <v>0</v>
      </c>
      <c r="H185" s="50"/>
      <c r="I185" s="10" t="s">
        <v>92</v>
      </c>
      <c r="J185" s="10">
        <v>10</v>
      </c>
      <c r="K185" s="4">
        <f t="shared" si="70"/>
        <v>2021</v>
      </c>
      <c r="L185" s="51"/>
      <c r="N185" s="29">
        <v>2165</v>
      </c>
      <c r="O185" s="38"/>
      <c r="P185" s="30">
        <f t="shared" si="71"/>
        <v>2165</v>
      </c>
      <c r="Q185" s="30">
        <f t="shared" si="72"/>
        <v>18.041666666666668</v>
      </c>
      <c r="R185" s="30">
        <f t="shared" si="73"/>
        <v>216.5</v>
      </c>
      <c r="S185" s="30"/>
      <c r="T185" s="30">
        <f t="shared" si="74"/>
        <v>216.5</v>
      </c>
      <c r="U185" s="30">
        <v>1</v>
      </c>
      <c r="V185" s="30">
        <f t="shared" si="75"/>
        <v>216.5</v>
      </c>
      <c r="W185" s="30"/>
      <c r="X185" s="30">
        <f t="shared" si="76"/>
        <v>1028.375</v>
      </c>
      <c r="Y185" s="30">
        <f t="shared" si="77"/>
        <v>1028.375</v>
      </c>
      <c r="Z185" s="30">
        <v>1</v>
      </c>
      <c r="AA185" s="30">
        <f t="shared" si="78"/>
        <v>1028.375</v>
      </c>
      <c r="AB185" s="30">
        <f t="shared" si="79"/>
        <v>1244.875</v>
      </c>
      <c r="AC185" s="30">
        <f t="shared" si="80"/>
        <v>1028.375</v>
      </c>
      <c r="AD185" s="6">
        <f t="shared" si="81"/>
        <v>2011.9166666666667</v>
      </c>
      <c r="AE185" s="6">
        <f t="shared" si="82"/>
        <v>2017.6666666666667</v>
      </c>
      <c r="AF185" s="6">
        <f t="shared" si="83"/>
        <v>2021.9166666666667</v>
      </c>
      <c r="AG185" s="6">
        <f t="shared" si="84"/>
        <v>2016.6666666666667</v>
      </c>
      <c r="AH185" s="6">
        <f t="shared" si="85"/>
        <v>-8.3333333333333329E-2</v>
      </c>
    </row>
    <row r="186" spans="1:34">
      <c r="C186" s="1">
        <v>4</v>
      </c>
      <c r="D186" s="27" t="s">
        <v>195</v>
      </c>
      <c r="E186" s="10">
        <v>2011</v>
      </c>
      <c r="F186" s="1">
        <v>12</v>
      </c>
      <c r="G186" s="50">
        <v>0</v>
      </c>
      <c r="H186" s="50"/>
      <c r="I186" s="10" t="s">
        <v>92</v>
      </c>
      <c r="J186" s="10">
        <v>10</v>
      </c>
      <c r="K186" s="4">
        <f t="shared" si="70"/>
        <v>2021</v>
      </c>
      <c r="L186" s="51"/>
      <c r="N186" s="29">
        <v>3060.43</v>
      </c>
      <c r="O186" s="38"/>
      <c r="P186" s="30">
        <f t="shared" si="71"/>
        <v>3060.43</v>
      </c>
      <c r="Q186" s="30">
        <f t="shared" si="72"/>
        <v>25.503583333333335</v>
      </c>
      <c r="R186" s="30">
        <f t="shared" si="73"/>
        <v>306.04300000000001</v>
      </c>
      <c r="S186" s="30"/>
      <c r="T186" s="30">
        <f t="shared" si="74"/>
        <v>306.04300000000001</v>
      </c>
      <c r="U186" s="30">
        <v>1</v>
      </c>
      <c r="V186" s="30">
        <f t="shared" si="75"/>
        <v>306.04300000000001</v>
      </c>
      <c r="W186" s="30"/>
      <c r="X186" s="30">
        <f t="shared" si="76"/>
        <v>1453.70425</v>
      </c>
      <c r="Y186" s="30">
        <f t="shared" si="77"/>
        <v>1453.70425</v>
      </c>
      <c r="Z186" s="30">
        <v>1</v>
      </c>
      <c r="AA186" s="30">
        <f t="shared" si="78"/>
        <v>1453.70425</v>
      </c>
      <c r="AB186" s="30">
        <f t="shared" si="79"/>
        <v>1759.7472499999999</v>
      </c>
      <c r="AC186" s="30">
        <f t="shared" si="80"/>
        <v>1453.7042499999998</v>
      </c>
      <c r="AD186" s="6">
        <f t="shared" si="81"/>
        <v>2011.9166666666667</v>
      </c>
      <c r="AE186" s="6">
        <f t="shared" si="82"/>
        <v>2017.6666666666667</v>
      </c>
      <c r="AF186" s="6">
        <f t="shared" si="83"/>
        <v>2021.9166666666667</v>
      </c>
      <c r="AG186" s="6">
        <f t="shared" si="84"/>
        <v>2016.6666666666667</v>
      </c>
      <c r="AH186" s="6">
        <f t="shared" si="85"/>
        <v>-8.3333333333333329E-2</v>
      </c>
    </row>
    <row r="187" spans="1:34">
      <c r="C187" s="1">
        <v>3</v>
      </c>
      <c r="D187" s="27" t="s">
        <v>196</v>
      </c>
      <c r="E187" s="10">
        <v>2011</v>
      </c>
      <c r="F187" s="1">
        <v>12</v>
      </c>
      <c r="G187" s="50">
        <v>0</v>
      </c>
      <c r="H187" s="50"/>
      <c r="I187" s="10" t="s">
        <v>92</v>
      </c>
      <c r="J187" s="10">
        <v>10</v>
      </c>
      <c r="K187" s="4">
        <f t="shared" si="70"/>
        <v>2021</v>
      </c>
      <c r="L187" s="51"/>
      <c r="N187" s="29">
        <v>2347.9499999999998</v>
      </c>
      <c r="O187" s="38"/>
      <c r="P187" s="30">
        <f t="shared" si="71"/>
        <v>2347.9499999999998</v>
      </c>
      <c r="Q187" s="30">
        <f t="shared" si="72"/>
        <v>19.56625</v>
      </c>
      <c r="R187" s="30">
        <f t="shared" si="73"/>
        <v>234.79500000000002</v>
      </c>
      <c r="S187" s="30"/>
      <c r="T187" s="30">
        <f t="shared" si="74"/>
        <v>234.79500000000002</v>
      </c>
      <c r="U187" s="30">
        <v>1</v>
      </c>
      <c r="V187" s="30">
        <f t="shared" si="75"/>
        <v>234.79500000000002</v>
      </c>
      <c r="W187" s="30"/>
      <c r="X187" s="30">
        <f t="shared" si="76"/>
        <v>1115.2762500000001</v>
      </c>
      <c r="Y187" s="30">
        <f t="shared" si="77"/>
        <v>1115.2762500000001</v>
      </c>
      <c r="Z187" s="30">
        <v>1</v>
      </c>
      <c r="AA187" s="30">
        <f t="shared" si="78"/>
        <v>1115.2762500000001</v>
      </c>
      <c r="AB187" s="30">
        <f t="shared" si="79"/>
        <v>1350.0712500000002</v>
      </c>
      <c r="AC187" s="30">
        <f t="shared" si="80"/>
        <v>1115.2762499999997</v>
      </c>
      <c r="AD187" s="6">
        <f t="shared" si="81"/>
        <v>2011.9166666666667</v>
      </c>
      <c r="AE187" s="6">
        <f t="shared" si="82"/>
        <v>2017.6666666666667</v>
      </c>
      <c r="AF187" s="6">
        <f t="shared" si="83"/>
        <v>2021.9166666666667</v>
      </c>
      <c r="AG187" s="6">
        <f t="shared" si="84"/>
        <v>2016.6666666666667</v>
      </c>
      <c r="AH187" s="6">
        <f t="shared" si="85"/>
        <v>-8.3333333333333329E-2</v>
      </c>
    </row>
    <row r="188" spans="1:34">
      <c r="C188" s="1">
        <v>3</v>
      </c>
      <c r="D188" s="27" t="s">
        <v>198</v>
      </c>
      <c r="E188" s="10">
        <v>2012</v>
      </c>
      <c r="F188" s="1">
        <v>11</v>
      </c>
      <c r="G188" s="50">
        <v>0</v>
      </c>
      <c r="H188" s="50"/>
      <c r="I188" s="10" t="s">
        <v>92</v>
      </c>
      <c r="J188" s="10">
        <v>10</v>
      </c>
      <c r="K188" s="4">
        <f t="shared" si="70"/>
        <v>2022</v>
      </c>
      <c r="L188" s="51"/>
      <c r="N188" s="29">
        <v>1342</v>
      </c>
      <c r="O188" s="38"/>
      <c r="P188" s="30">
        <f t="shared" si="71"/>
        <v>1342</v>
      </c>
      <c r="Q188" s="30">
        <f t="shared" si="72"/>
        <v>11.183333333333332</v>
      </c>
      <c r="R188" s="30">
        <f t="shared" si="73"/>
        <v>134.19999999999999</v>
      </c>
      <c r="S188" s="30"/>
      <c r="T188" s="30">
        <f t="shared" si="74"/>
        <v>134.19999999999999</v>
      </c>
      <c r="U188" s="30">
        <v>1</v>
      </c>
      <c r="V188" s="30">
        <f t="shared" si="75"/>
        <v>134.19999999999999</v>
      </c>
      <c r="W188" s="30"/>
      <c r="X188" s="30">
        <f t="shared" si="76"/>
        <v>514.43333333335363</v>
      </c>
      <c r="Y188" s="30">
        <f t="shared" si="77"/>
        <v>514.43333333335363</v>
      </c>
      <c r="Z188" s="30">
        <v>1</v>
      </c>
      <c r="AA188" s="30">
        <f t="shared" si="78"/>
        <v>514.43333333335363</v>
      </c>
      <c r="AB188" s="30">
        <f t="shared" si="79"/>
        <v>648.63333333335368</v>
      </c>
      <c r="AC188" s="30">
        <f t="shared" si="80"/>
        <v>760.46666666664635</v>
      </c>
      <c r="AD188" s="6">
        <f t="shared" si="81"/>
        <v>2012.8333333333333</v>
      </c>
      <c r="AE188" s="6">
        <f t="shared" si="82"/>
        <v>2017.6666666666667</v>
      </c>
      <c r="AF188" s="6">
        <f t="shared" si="83"/>
        <v>2022.8333333333333</v>
      </c>
      <c r="AG188" s="6">
        <f t="shared" si="84"/>
        <v>2016.6666666666667</v>
      </c>
      <c r="AH188" s="6">
        <f t="shared" si="85"/>
        <v>-8.3333333333333329E-2</v>
      </c>
    </row>
    <row r="189" spans="1:34">
      <c r="C189" s="1">
        <v>5</v>
      </c>
      <c r="D189" s="27" t="s">
        <v>197</v>
      </c>
      <c r="E189" s="10">
        <v>2012</v>
      </c>
      <c r="F189" s="1">
        <v>11</v>
      </c>
      <c r="G189" s="50">
        <v>0</v>
      </c>
      <c r="H189" s="50"/>
      <c r="I189" s="10" t="s">
        <v>92</v>
      </c>
      <c r="J189" s="10">
        <v>10</v>
      </c>
      <c r="K189" s="4">
        <f t="shared" si="70"/>
        <v>2022</v>
      </c>
      <c r="L189" s="51"/>
      <c r="N189" s="29">
        <v>2485</v>
      </c>
      <c r="O189" s="38"/>
      <c r="P189" s="30">
        <f t="shared" si="71"/>
        <v>2485</v>
      </c>
      <c r="Q189" s="30">
        <f t="shared" si="72"/>
        <v>20.708333333333332</v>
      </c>
      <c r="R189" s="30">
        <f t="shared" si="73"/>
        <v>248.5</v>
      </c>
      <c r="S189" s="30"/>
      <c r="T189" s="30">
        <f t="shared" si="74"/>
        <v>248.5</v>
      </c>
      <c r="U189" s="30">
        <v>1</v>
      </c>
      <c r="V189" s="30">
        <f t="shared" si="75"/>
        <v>248.5</v>
      </c>
      <c r="W189" s="30"/>
      <c r="X189" s="30">
        <f t="shared" si="76"/>
        <v>952.583333333371</v>
      </c>
      <c r="Y189" s="30">
        <f t="shared" si="77"/>
        <v>952.583333333371</v>
      </c>
      <c r="Z189" s="30">
        <v>1</v>
      </c>
      <c r="AA189" s="30">
        <f t="shared" si="78"/>
        <v>952.583333333371</v>
      </c>
      <c r="AB189" s="30">
        <f t="shared" si="79"/>
        <v>1201.083333333371</v>
      </c>
      <c r="AC189" s="30">
        <f t="shared" si="80"/>
        <v>1408.166666666629</v>
      </c>
      <c r="AD189" s="6">
        <f t="shared" si="81"/>
        <v>2012.8333333333333</v>
      </c>
      <c r="AE189" s="6">
        <f t="shared" si="82"/>
        <v>2017.6666666666667</v>
      </c>
      <c r="AF189" s="6">
        <f t="shared" si="83"/>
        <v>2022.8333333333333</v>
      </c>
      <c r="AG189" s="6">
        <f t="shared" si="84"/>
        <v>2016.6666666666667</v>
      </c>
      <c r="AH189" s="6">
        <f t="shared" si="85"/>
        <v>-8.3333333333333329E-2</v>
      </c>
    </row>
    <row r="190" spans="1:34">
      <c r="A190" s="1">
        <v>118261</v>
      </c>
      <c r="C190" s="1">
        <v>8</v>
      </c>
      <c r="D190" s="27" t="s">
        <v>198</v>
      </c>
      <c r="E190" s="10">
        <v>2014</v>
      </c>
      <c r="F190" s="1">
        <v>12</v>
      </c>
      <c r="G190" s="50">
        <v>0</v>
      </c>
      <c r="H190" s="50"/>
      <c r="I190" s="10" t="s">
        <v>92</v>
      </c>
      <c r="J190" s="10">
        <v>10</v>
      </c>
      <c r="K190" s="4">
        <f t="shared" si="70"/>
        <v>2024</v>
      </c>
      <c r="L190" s="51"/>
      <c r="N190" s="29">
        <v>4064.06</v>
      </c>
      <c r="O190" s="38"/>
      <c r="P190" s="30">
        <f t="shared" si="71"/>
        <v>4064.06</v>
      </c>
      <c r="Q190" s="30">
        <f t="shared" si="72"/>
        <v>33.86716666666667</v>
      </c>
      <c r="R190" s="30">
        <f t="shared" si="73"/>
        <v>406.40600000000006</v>
      </c>
      <c r="S190" s="30"/>
      <c r="T190" s="30">
        <f t="shared" si="74"/>
        <v>406.40600000000006</v>
      </c>
      <c r="U190" s="30">
        <v>1</v>
      </c>
      <c r="V190" s="30">
        <f t="shared" si="75"/>
        <v>406.40600000000006</v>
      </c>
      <c r="W190" s="30"/>
      <c r="X190" s="30">
        <f t="shared" si="76"/>
        <v>711.21050000000002</v>
      </c>
      <c r="Y190" s="30">
        <f t="shared" si="77"/>
        <v>711.21050000000002</v>
      </c>
      <c r="Z190" s="30">
        <v>1</v>
      </c>
      <c r="AA190" s="30">
        <f t="shared" si="78"/>
        <v>711.21050000000002</v>
      </c>
      <c r="AB190" s="30">
        <f t="shared" si="79"/>
        <v>1117.6165000000001</v>
      </c>
      <c r="AC190" s="30">
        <f t="shared" si="80"/>
        <v>3149.6464999999998</v>
      </c>
      <c r="AD190" s="6">
        <f t="shared" si="81"/>
        <v>2014.9166666666667</v>
      </c>
      <c r="AE190" s="6">
        <f t="shared" si="82"/>
        <v>2017.6666666666667</v>
      </c>
      <c r="AF190" s="6">
        <f t="shared" si="83"/>
        <v>2024.9166666666667</v>
      </c>
      <c r="AG190" s="6">
        <f t="shared" si="84"/>
        <v>2016.6666666666667</v>
      </c>
      <c r="AH190" s="6">
        <f t="shared" si="85"/>
        <v>-8.3333333333333329E-2</v>
      </c>
    </row>
    <row r="191" spans="1:34">
      <c r="A191" s="1">
        <v>118262</v>
      </c>
      <c r="C191" s="1">
        <v>3</v>
      </c>
      <c r="D191" s="27" t="s">
        <v>199</v>
      </c>
      <c r="E191" s="10">
        <v>2014</v>
      </c>
      <c r="F191" s="1">
        <v>12</v>
      </c>
      <c r="G191" s="50">
        <v>0</v>
      </c>
      <c r="H191" s="50"/>
      <c r="I191" s="10" t="s">
        <v>92</v>
      </c>
      <c r="J191" s="10">
        <v>10</v>
      </c>
      <c r="K191" s="4">
        <f t="shared" si="70"/>
        <v>2024</v>
      </c>
      <c r="L191" s="51"/>
      <c r="N191" s="29">
        <v>1656.89</v>
      </c>
      <c r="O191" s="38"/>
      <c r="P191" s="30">
        <f t="shared" si="71"/>
        <v>1656.89</v>
      </c>
      <c r="Q191" s="30">
        <f t="shared" si="72"/>
        <v>13.807416666666668</v>
      </c>
      <c r="R191" s="30">
        <f t="shared" si="73"/>
        <v>165.68900000000002</v>
      </c>
      <c r="S191" s="30"/>
      <c r="T191" s="30">
        <f t="shared" si="74"/>
        <v>165.68900000000002</v>
      </c>
      <c r="U191" s="30">
        <v>1</v>
      </c>
      <c r="V191" s="30">
        <f t="shared" si="75"/>
        <v>165.68900000000002</v>
      </c>
      <c r="W191" s="30"/>
      <c r="X191" s="30">
        <f t="shared" si="76"/>
        <v>289.95575000000002</v>
      </c>
      <c r="Y191" s="30">
        <f t="shared" si="77"/>
        <v>289.95575000000002</v>
      </c>
      <c r="Z191" s="30">
        <v>1</v>
      </c>
      <c r="AA191" s="30">
        <f t="shared" si="78"/>
        <v>289.95575000000002</v>
      </c>
      <c r="AB191" s="30">
        <f t="shared" si="79"/>
        <v>455.64475000000004</v>
      </c>
      <c r="AC191" s="30">
        <f t="shared" si="80"/>
        <v>1284.0897500000001</v>
      </c>
      <c r="AD191" s="6">
        <f t="shared" si="81"/>
        <v>2014.9166666666667</v>
      </c>
      <c r="AE191" s="6">
        <f t="shared" si="82"/>
        <v>2017.6666666666667</v>
      </c>
      <c r="AF191" s="6">
        <f t="shared" si="83"/>
        <v>2024.9166666666667</v>
      </c>
      <c r="AG191" s="6">
        <f t="shared" si="84"/>
        <v>2016.6666666666667</v>
      </c>
      <c r="AH191" s="6">
        <f t="shared" si="85"/>
        <v>-8.3333333333333329E-2</v>
      </c>
    </row>
    <row r="192" spans="1:34">
      <c r="A192" s="1">
        <v>118263</v>
      </c>
      <c r="C192" s="1">
        <v>2</v>
      </c>
      <c r="D192" s="27" t="s">
        <v>195</v>
      </c>
      <c r="E192" s="10">
        <v>2014</v>
      </c>
      <c r="F192" s="1">
        <v>12</v>
      </c>
      <c r="G192" s="50">
        <v>0</v>
      </c>
      <c r="H192" s="50"/>
      <c r="I192" s="10" t="s">
        <v>92</v>
      </c>
      <c r="J192" s="10">
        <v>10</v>
      </c>
      <c r="K192" s="4">
        <f t="shared" si="70"/>
        <v>2024</v>
      </c>
      <c r="L192" s="51"/>
      <c r="N192" s="29">
        <v>1621.31</v>
      </c>
      <c r="O192" s="38"/>
      <c r="P192" s="30">
        <f t="shared" si="71"/>
        <v>1621.31</v>
      </c>
      <c r="Q192" s="30">
        <f t="shared" si="72"/>
        <v>13.510916666666667</v>
      </c>
      <c r="R192" s="30">
        <f t="shared" si="73"/>
        <v>162.131</v>
      </c>
      <c r="S192" s="30"/>
      <c r="T192" s="30">
        <f t="shared" si="74"/>
        <v>162.131</v>
      </c>
      <c r="U192" s="30">
        <v>1</v>
      </c>
      <c r="V192" s="30">
        <f t="shared" si="75"/>
        <v>162.131</v>
      </c>
      <c r="W192" s="30"/>
      <c r="X192" s="30">
        <f t="shared" si="76"/>
        <v>283.72924999999998</v>
      </c>
      <c r="Y192" s="30">
        <f t="shared" si="77"/>
        <v>283.72924999999998</v>
      </c>
      <c r="Z192" s="30">
        <v>1</v>
      </c>
      <c r="AA192" s="30">
        <f t="shared" si="78"/>
        <v>283.72924999999998</v>
      </c>
      <c r="AB192" s="30">
        <f t="shared" si="79"/>
        <v>445.86024999999995</v>
      </c>
      <c r="AC192" s="30">
        <f t="shared" si="80"/>
        <v>1256.5152499999999</v>
      </c>
      <c r="AD192" s="6">
        <f t="shared" si="81"/>
        <v>2014.9166666666667</v>
      </c>
      <c r="AE192" s="6">
        <f t="shared" si="82"/>
        <v>2017.6666666666667</v>
      </c>
      <c r="AF192" s="6">
        <f t="shared" si="83"/>
        <v>2024.9166666666667</v>
      </c>
      <c r="AG192" s="6">
        <f t="shared" si="84"/>
        <v>2016.6666666666667</v>
      </c>
      <c r="AH192" s="6">
        <f t="shared" si="85"/>
        <v>-8.3333333333333329E-2</v>
      </c>
    </row>
    <row r="193" spans="1:34">
      <c r="A193" s="1">
        <v>118264</v>
      </c>
      <c r="C193" s="1">
        <v>2</v>
      </c>
      <c r="D193" s="27" t="s">
        <v>196</v>
      </c>
      <c r="E193" s="10">
        <v>2014</v>
      </c>
      <c r="F193" s="1">
        <v>12</v>
      </c>
      <c r="G193" s="50">
        <v>0</v>
      </c>
      <c r="H193" s="50"/>
      <c r="I193" s="10" t="s">
        <v>92</v>
      </c>
      <c r="J193" s="10">
        <v>10</v>
      </c>
      <c r="K193" s="4">
        <f t="shared" ref="K193:K199" si="86">E193+J193</f>
        <v>2024</v>
      </c>
      <c r="L193" s="51"/>
      <c r="N193" s="29">
        <v>1892.97</v>
      </c>
      <c r="O193" s="38"/>
      <c r="P193" s="30">
        <f t="shared" ref="P193:P199" si="87">N193-N193*G193</f>
        <v>1892.97</v>
      </c>
      <c r="Q193" s="30">
        <f t="shared" ref="Q193:Q199" si="88">P193/J193/12</f>
        <v>15.774749999999999</v>
      </c>
      <c r="R193" s="30">
        <f t="shared" ref="R193:R199" si="89">IF(O193&gt;0,0,IF(OR(AD193&gt;AE193,AF193&lt;AG193),0,IF(AND(AF193&gt;=AG193,AF193&lt;=AE193),Q193*((AF193-AG193)*12),IF(AND(AG193&lt;=AD193,AE193&gt;=AD193),((AE193-AD193)*12)*Q193,IF(AF193&gt;AE193,12*Q193,0)))))</f>
        <v>189.297</v>
      </c>
      <c r="S193" s="30"/>
      <c r="T193" s="30">
        <f t="shared" ref="T193:T199" si="90">IF(S193&gt;0,S193,R193)</f>
        <v>189.297</v>
      </c>
      <c r="U193" s="30">
        <v>1</v>
      </c>
      <c r="V193" s="30">
        <f t="shared" ref="V193:V199" si="91">U193*SUM(R193:S193)</f>
        <v>189.297</v>
      </c>
      <c r="W193" s="30"/>
      <c r="X193" s="30">
        <f t="shared" ref="X193:X199" si="92">IF(AD193&gt;AE193,0,IF(AF193&lt;AG193,P193,IF(AND(AF193&gt;=AG193,AF193&lt;=AE193),(P193-T193),IF(AND(AG193&lt;=AD193,AE193&gt;=AD193),0,IF(AF193&gt;AE193,((AG193-AD193)*12)*Q193,0)))))</f>
        <v>331.26974999999999</v>
      </c>
      <c r="Y193" s="30">
        <f t="shared" ref="Y193:Y199" si="93">X193*U193</f>
        <v>331.26974999999999</v>
      </c>
      <c r="Z193" s="30">
        <v>1</v>
      </c>
      <c r="AA193" s="30">
        <f t="shared" ref="AA193:AA199" si="94">Y193*Z193</f>
        <v>331.26974999999999</v>
      </c>
      <c r="AB193" s="30">
        <f t="shared" ref="AB193:AB199" si="95">IF(O193&gt;0,0,AA193+V193*Z193)*Z193</f>
        <v>520.56674999999996</v>
      </c>
      <c r="AC193" s="30">
        <f t="shared" ref="AC193:AC199" si="96">IF(O193&gt;0,(N193-AA193)/2,IF(AD193&gt;=AG193,(((N193*U193)*Z193)-AB193)/2,((((N193*U193)*Z193)-AA193)+(((N193*U193)*Z193)-AB193))/2))</f>
        <v>1467.0517500000001</v>
      </c>
      <c r="AD193" s="6">
        <f t="shared" ref="AD193:AD203" si="97">$E193+(($F193-1)/12)</f>
        <v>2014.9166666666667</v>
      </c>
      <c r="AE193" s="6">
        <f t="shared" ref="AE193:AE203" si="98">($P$5+1)-($P$2/12)</f>
        <v>2017.6666666666667</v>
      </c>
      <c r="AF193" s="6">
        <f t="shared" ref="AF193:AF203" si="99">$K193+(($F193-1)/12)</f>
        <v>2024.9166666666667</v>
      </c>
      <c r="AG193" s="6">
        <f t="shared" ref="AG193:AG203" si="100">$P$4+($P$3/12)</f>
        <v>2016.6666666666667</v>
      </c>
      <c r="AH193" s="6">
        <f t="shared" ref="AH193:AH203" si="101">$L193+(($M193-1)/12)</f>
        <v>-8.3333333333333329E-2</v>
      </c>
    </row>
    <row r="194" spans="1:34">
      <c r="A194" s="1">
        <v>126206</v>
      </c>
      <c r="C194" s="1">
        <v>6</v>
      </c>
      <c r="D194" s="27" t="s">
        <v>204</v>
      </c>
      <c r="E194" s="10">
        <v>2015</v>
      </c>
      <c r="F194" s="1">
        <v>10</v>
      </c>
      <c r="G194" s="50">
        <v>0</v>
      </c>
      <c r="H194" s="50"/>
      <c r="I194" s="10" t="s">
        <v>92</v>
      </c>
      <c r="J194" s="10">
        <v>10</v>
      </c>
      <c r="K194" s="4">
        <f t="shared" si="86"/>
        <v>2025</v>
      </c>
      <c r="L194" s="51"/>
      <c r="N194" s="29">
        <v>3148.08</v>
      </c>
      <c r="O194" s="38"/>
      <c r="P194" s="30">
        <f t="shared" si="87"/>
        <v>3148.08</v>
      </c>
      <c r="Q194" s="30">
        <f t="shared" si="88"/>
        <v>26.233999999999998</v>
      </c>
      <c r="R194" s="30">
        <f t="shared" si="89"/>
        <v>314.80799999999999</v>
      </c>
      <c r="S194" s="30"/>
      <c r="T194" s="30">
        <f t="shared" si="90"/>
        <v>314.80799999999999</v>
      </c>
      <c r="U194" s="30">
        <v>1</v>
      </c>
      <c r="V194" s="30">
        <f t="shared" si="91"/>
        <v>314.80799999999999</v>
      </c>
      <c r="W194" s="30"/>
      <c r="X194" s="30">
        <f t="shared" si="92"/>
        <v>288.57400000002383</v>
      </c>
      <c r="Y194" s="30">
        <f t="shared" si="93"/>
        <v>288.57400000002383</v>
      </c>
      <c r="Z194" s="30">
        <v>1</v>
      </c>
      <c r="AA194" s="30">
        <f t="shared" si="94"/>
        <v>288.57400000002383</v>
      </c>
      <c r="AB194" s="30">
        <f t="shared" si="95"/>
        <v>603.38200000002382</v>
      </c>
      <c r="AC194" s="30">
        <f t="shared" si="96"/>
        <v>2702.1019999999762</v>
      </c>
      <c r="AD194" s="6">
        <f t="shared" si="97"/>
        <v>2015.75</v>
      </c>
      <c r="AE194" s="6">
        <f t="shared" si="98"/>
        <v>2017.6666666666667</v>
      </c>
      <c r="AF194" s="6">
        <f t="shared" si="99"/>
        <v>2025.75</v>
      </c>
      <c r="AG194" s="6">
        <f t="shared" si="100"/>
        <v>2016.6666666666667</v>
      </c>
      <c r="AH194" s="6">
        <f t="shared" si="101"/>
        <v>-8.3333333333333329E-2</v>
      </c>
    </row>
    <row r="195" spans="1:34">
      <c r="A195" s="1">
        <v>126207</v>
      </c>
      <c r="C195" s="1">
        <v>6</v>
      </c>
      <c r="D195" s="27" t="s">
        <v>205</v>
      </c>
      <c r="E195" s="10">
        <v>2015</v>
      </c>
      <c r="F195" s="1">
        <v>10</v>
      </c>
      <c r="G195" s="50">
        <v>0</v>
      </c>
      <c r="H195" s="50"/>
      <c r="I195" s="10" t="s">
        <v>92</v>
      </c>
      <c r="J195" s="10">
        <v>10</v>
      </c>
      <c r="K195" s="4">
        <f t="shared" si="86"/>
        <v>2025</v>
      </c>
      <c r="L195" s="51"/>
      <c r="N195" s="29">
        <v>4592.3999999999996</v>
      </c>
      <c r="O195" s="38"/>
      <c r="P195" s="30">
        <f t="shared" si="87"/>
        <v>4592.3999999999996</v>
      </c>
      <c r="Q195" s="30">
        <f t="shared" si="88"/>
        <v>38.269999999999996</v>
      </c>
      <c r="R195" s="30">
        <f t="shared" si="89"/>
        <v>459.23999999999995</v>
      </c>
      <c r="S195" s="30"/>
      <c r="T195" s="30">
        <f t="shared" si="90"/>
        <v>459.23999999999995</v>
      </c>
      <c r="U195" s="30">
        <v>1</v>
      </c>
      <c r="V195" s="30">
        <f t="shared" si="91"/>
        <v>459.23999999999995</v>
      </c>
      <c r="W195" s="30"/>
      <c r="X195" s="30">
        <f t="shared" si="92"/>
        <v>420.97000000003476</v>
      </c>
      <c r="Y195" s="30">
        <f t="shared" si="93"/>
        <v>420.97000000003476</v>
      </c>
      <c r="Z195" s="30">
        <v>1</v>
      </c>
      <c r="AA195" s="30">
        <f t="shared" si="94"/>
        <v>420.97000000003476</v>
      </c>
      <c r="AB195" s="30">
        <f t="shared" si="95"/>
        <v>880.21000000003471</v>
      </c>
      <c r="AC195" s="30">
        <f t="shared" si="96"/>
        <v>3941.8099999999649</v>
      </c>
      <c r="AD195" s="6">
        <f t="shared" si="97"/>
        <v>2015.75</v>
      </c>
      <c r="AE195" s="6">
        <f t="shared" si="98"/>
        <v>2017.6666666666667</v>
      </c>
      <c r="AF195" s="6">
        <f t="shared" si="99"/>
        <v>2025.75</v>
      </c>
      <c r="AG195" s="6">
        <f t="shared" si="100"/>
        <v>2016.6666666666667</v>
      </c>
      <c r="AH195" s="6">
        <f t="shared" si="101"/>
        <v>-8.3333333333333329E-2</v>
      </c>
    </row>
    <row r="196" spans="1:34">
      <c r="A196" s="1">
        <v>126208</v>
      </c>
      <c r="C196" s="1">
        <v>4</v>
      </c>
      <c r="D196" s="27" t="s">
        <v>206</v>
      </c>
      <c r="E196" s="10">
        <v>2015</v>
      </c>
      <c r="F196" s="1">
        <v>10</v>
      </c>
      <c r="G196" s="50">
        <v>0</v>
      </c>
      <c r="H196" s="50"/>
      <c r="I196" s="10" t="s">
        <v>92</v>
      </c>
      <c r="J196" s="10">
        <v>10</v>
      </c>
      <c r="K196" s="4">
        <f t="shared" si="86"/>
        <v>2025</v>
      </c>
      <c r="L196" s="51"/>
      <c r="N196" s="29">
        <v>3647.51</v>
      </c>
      <c r="O196" s="38"/>
      <c r="P196" s="30">
        <f t="shared" si="87"/>
        <v>3647.51</v>
      </c>
      <c r="Q196" s="30">
        <f t="shared" si="88"/>
        <v>30.395916666666668</v>
      </c>
      <c r="R196" s="30">
        <f t="shared" si="89"/>
        <v>364.75100000000003</v>
      </c>
      <c r="S196" s="30"/>
      <c r="T196" s="30">
        <f t="shared" si="90"/>
        <v>364.75100000000003</v>
      </c>
      <c r="U196" s="30">
        <v>1</v>
      </c>
      <c r="V196" s="30">
        <f t="shared" si="91"/>
        <v>364.75100000000003</v>
      </c>
      <c r="W196" s="30"/>
      <c r="X196" s="30">
        <f t="shared" si="92"/>
        <v>334.35508333336099</v>
      </c>
      <c r="Y196" s="30">
        <f t="shared" si="93"/>
        <v>334.35508333336099</v>
      </c>
      <c r="Z196" s="30">
        <v>1</v>
      </c>
      <c r="AA196" s="30">
        <f t="shared" si="94"/>
        <v>334.35508333336099</v>
      </c>
      <c r="AB196" s="30">
        <f t="shared" si="95"/>
        <v>699.10608333336108</v>
      </c>
      <c r="AC196" s="30">
        <f t="shared" si="96"/>
        <v>3130.779416666639</v>
      </c>
      <c r="AD196" s="6">
        <f t="shared" si="97"/>
        <v>2015.75</v>
      </c>
      <c r="AE196" s="6">
        <f t="shared" si="98"/>
        <v>2017.6666666666667</v>
      </c>
      <c r="AF196" s="6">
        <f t="shared" si="99"/>
        <v>2025.75</v>
      </c>
      <c r="AG196" s="6">
        <f t="shared" si="100"/>
        <v>2016.6666666666667</v>
      </c>
      <c r="AH196" s="6">
        <f t="shared" si="101"/>
        <v>-8.3333333333333329E-2</v>
      </c>
    </row>
    <row r="197" spans="1:34">
      <c r="A197" s="1">
        <v>126342</v>
      </c>
      <c r="C197" s="1">
        <v>6</v>
      </c>
      <c r="D197" s="27" t="s">
        <v>207</v>
      </c>
      <c r="E197" s="10">
        <v>2015</v>
      </c>
      <c r="F197" s="1">
        <v>10</v>
      </c>
      <c r="G197" s="50">
        <v>0</v>
      </c>
      <c r="H197" s="50"/>
      <c r="I197" s="10" t="s">
        <v>92</v>
      </c>
      <c r="J197" s="10">
        <v>10</v>
      </c>
      <c r="K197" s="4">
        <f t="shared" si="86"/>
        <v>2025</v>
      </c>
      <c r="L197" s="51"/>
      <c r="N197" s="29">
        <v>2781.24</v>
      </c>
      <c r="O197" s="38"/>
      <c r="P197" s="30">
        <f t="shared" si="87"/>
        <v>2781.24</v>
      </c>
      <c r="Q197" s="30">
        <f t="shared" si="88"/>
        <v>23.176999999999996</v>
      </c>
      <c r="R197" s="30">
        <f t="shared" si="89"/>
        <v>278.12399999999997</v>
      </c>
      <c r="S197" s="30"/>
      <c r="T197" s="30">
        <f t="shared" si="90"/>
        <v>278.12399999999997</v>
      </c>
      <c r="U197" s="30">
        <v>1</v>
      </c>
      <c r="V197" s="30">
        <f t="shared" si="91"/>
        <v>278.12399999999997</v>
      </c>
      <c r="W197" s="30"/>
      <c r="X197" s="30">
        <f t="shared" si="92"/>
        <v>254.94700000002103</v>
      </c>
      <c r="Y197" s="30">
        <f t="shared" si="93"/>
        <v>254.94700000002103</v>
      </c>
      <c r="Z197" s="30">
        <v>1</v>
      </c>
      <c r="AA197" s="30">
        <f t="shared" si="94"/>
        <v>254.94700000002103</v>
      </c>
      <c r="AB197" s="30">
        <f t="shared" si="95"/>
        <v>533.07100000002106</v>
      </c>
      <c r="AC197" s="30">
        <f t="shared" si="96"/>
        <v>2387.2309999999788</v>
      </c>
      <c r="AD197" s="6">
        <f t="shared" si="97"/>
        <v>2015.75</v>
      </c>
      <c r="AE197" s="6">
        <f t="shared" si="98"/>
        <v>2017.6666666666667</v>
      </c>
      <c r="AF197" s="6">
        <f t="shared" si="99"/>
        <v>2025.75</v>
      </c>
      <c r="AG197" s="6">
        <f t="shared" si="100"/>
        <v>2016.6666666666667</v>
      </c>
      <c r="AH197" s="6">
        <f t="shared" si="101"/>
        <v>-8.3333333333333329E-2</v>
      </c>
    </row>
    <row r="198" spans="1:34">
      <c r="A198" s="1">
        <v>126343</v>
      </c>
      <c r="C198" s="1">
        <v>1</v>
      </c>
      <c r="D198" s="27" t="s">
        <v>208</v>
      </c>
      <c r="E198" s="10">
        <v>2015</v>
      </c>
      <c r="F198" s="1">
        <v>10</v>
      </c>
      <c r="G198" s="50">
        <v>0</v>
      </c>
      <c r="H198" s="50"/>
      <c r="I198" s="10" t="s">
        <v>92</v>
      </c>
      <c r="J198" s="10">
        <v>10</v>
      </c>
      <c r="K198" s="4">
        <f t="shared" si="86"/>
        <v>2025</v>
      </c>
      <c r="L198" s="51"/>
      <c r="N198" s="29">
        <v>1588.97</v>
      </c>
      <c r="O198" s="38"/>
      <c r="P198" s="30">
        <f t="shared" si="87"/>
        <v>1588.97</v>
      </c>
      <c r="Q198" s="30">
        <f t="shared" si="88"/>
        <v>13.241416666666666</v>
      </c>
      <c r="R198" s="30">
        <f t="shared" si="89"/>
        <v>158.89699999999999</v>
      </c>
      <c r="S198" s="30"/>
      <c r="T198" s="30">
        <f t="shared" si="90"/>
        <v>158.89699999999999</v>
      </c>
      <c r="U198" s="30">
        <v>1</v>
      </c>
      <c r="V198" s="30">
        <f t="shared" si="91"/>
        <v>158.89699999999999</v>
      </c>
      <c r="W198" s="30"/>
      <c r="X198" s="30">
        <f t="shared" si="92"/>
        <v>145.65558333334536</v>
      </c>
      <c r="Y198" s="30">
        <f t="shared" si="93"/>
        <v>145.65558333334536</v>
      </c>
      <c r="Z198" s="30">
        <v>1</v>
      </c>
      <c r="AA198" s="30">
        <f t="shared" si="94"/>
        <v>145.65558333334536</v>
      </c>
      <c r="AB198" s="30">
        <f t="shared" si="95"/>
        <v>304.55258333334535</v>
      </c>
      <c r="AC198" s="30">
        <f t="shared" si="96"/>
        <v>1363.8659166666548</v>
      </c>
      <c r="AD198" s="6">
        <f t="shared" si="97"/>
        <v>2015.75</v>
      </c>
      <c r="AE198" s="6">
        <f t="shared" si="98"/>
        <v>2017.6666666666667</v>
      </c>
      <c r="AF198" s="6">
        <f t="shared" si="99"/>
        <v>2025.75</v>
      </c>
      <c r="AG198" s="6">
        <f t="shared" si="100"/>
        <v>2016.6666666666667</v>
      </c>
      <c r="AH198" s="6">
        <f t="shared" si="101"/>
        <v>-8.3333333333333329E-2</v>
      </c>
    </row>
    <row r="199" spans="1:34">
      <c r="A199" s="1">
        <v>126344</v>
      </c>
      <c r="C199" s="1">
        <v>10</v>
      </c>
      <c r="D199" s="27" t="s">
        <v>209</v>
      </c>
      <c r="E199" s="10">
        <v>2015</v>
      </c>
      <c r="F199" s="1">
        <v>10</v>
      </c>
      <c r="G199" s="50">
        <v>0</v>
      </c>
      <c r="H199" s="50"/>
      <c r="I199" s="10" t="s">
        <v>92</v>
      </c>
      <c r="J199" s="10">
        <v>10</v>
      </c>
      <c r="K199" s="4">
        <f t="shared" si="86"/>
        <v>2025</v>
      </c>
      <c r="L199" s="51"/>
      <c r="N199" s="29">
        <v>14261.94</v>
      </c>
      <c r="O199" s="38"/>
      <c r="P199" s="30">
        <f t="shared" si="87"/>
        <v>14261.94</v>
      </c>
      <c r="Q199" s="30">
        <f t="shared" si="88"/>
        <v>118.84949999999999</v>
      </c>
      <c r="R199" s="30">
        <f t="shared" si="89"/>
        <v>1426.194</v>
      </c>
      <c r="S199" s="30"/>
      <c r="T199" s="30">
        <f t="shared" si="90"/>
        <v>1426.194</v>
      </c>
      <c r="U199" s="30">
        <v>1</v>
      </c>
      <c r="V199" s="30">
        <f t="shared" si="91"/>
        <v>1426.194</v>
      </c>
      <c r="W199" s="30"/>
      <c r="X199" s="30">
        <f t="shared" si="92"/>
        <v>1307.3445000001079</v>
      </c>
      <c r="Y199" s="30">
        <f t="shared" si="93"/>
        <v>1307.3445000001079</v>
      </c>
      <c r="Z199" s="30">
        <v>1</v>
      </c>
      <c r="AA199" s="30">
        <f t="shared" si="94"/>
        <v>1307.3445000001079</v>
      </c>
      <c r="AB199" s="30">
        <f t="shared" si="95"/>
        <v>2733.5385000001079</v>
      </c>
      <c r="AC199" s="30">
        <f t="shared" si="96"/>
        <v>12241.498499999892</v>
      </c>
      <c r="AD199" s="6">
        <f t="shared" si="97"/>
        <v>2015.75</v>
      </c>
      <c r="AE199" s="6">
        <f t="shared" si="98"/>
        <v>2017.6666666666667</v>
      </c>
      <c r="AF199" s="6">
        <f t="shared" si="99"/>
        <v>2025.75</v>
      </c>
      <c r="AG199" s="6">
        <f t="shared" si="100"/>
        <v>2016.6666666666667</v>
      </c>
      <c r="AH199" s="6">
        <f t="shared" si="101"/>
        <v>-8.3333333333333329E-2</v>
      </c>
    </row>
    <row r="200" spans="1:34">
      <c r="A200" s="1">
        <v>167242</v>
      </c>
      <c r="C200" s="1">
        <v>6</v>
      </c>
      <c r="D200" s="27" t="s">
        <v>281</v>
      </c>
      <c r="E200" s="10">
        <v>2016</v>
      </c>
      <c r="F200" s="1">
        <v>9</v>
      </c>
      <c r="G200" s="50">
        <v>0</v>
      </c>
      <c r="H200" s="50"/>
      <c r="I200" s="10" t="s">
        <v>92</v>
      </c>
      <c r="J200" s="10">
        <v>12</v>
      </c>
      <c r="K200" s="4">
        <f t="shared" ref="K200" si="102">E200+J200</f>
        <v>2028</v>
      </c>
      <c r="L200" s="51"/>
      <c r="N200" s="29">
        <v>3945.48</v>
      </c>
      <c r="O200" s="38"/>
      <c r="P200" s="30">
        <f t="shared" ref="P200" si="103">N200-N200*G200</f>
        <v>3945.48</v>
      </c>
      <c r="Q200" s="30">
        <f t="shared" ref="Q200" si="104">P200/J200/12</f>
        <v>27.39916666666667</v>
      </c>
      <c r="R200" s="30">
        <f t="shared" ref="R200" si="105">IF(O200&gt;0,0,IF(OR(AD200&gt;AE200,AF200&lt;AG200),0,IF(AND(AF200&gt;=AG200,AF200&lt;=AE200),Q200*((AF200-AG200)*12),IF(AND(AG200&lt;=AD200,AE200&gt;=AD200),((AE200-AD200)*12)*Q200,IF(AF200&gt;AE200,12*Q200,0)))))</f>
        <v>328.79</v>
      </c>
      <c r="S200" s="30"/>
      <c r="T200" s="30">
        <f t="shared" ref="T200" si="106">IF(S200&gt;0,S200,R200)</f>
        <v>328.79</v>
      </c>
      <c r="U200" s="30">
        <v>1</v>
      </c>
      <c r="V200" s="30">
        <f t="shared" ref="V200" si="107">U200*SUM(R200:S200)</f>
        <v>328.79</v>
      </c>
      <c r="W200" s="30"/>
      <c r="X200" s="30">
        <f t="shared" ref="X200" si="108">IF(AD200&gt;AE200,0,IF(AF200&lt;AG200,P200,IF(AND(AF200&gt;=AG200,AF200&lt;=AE200),(P200-T200),IF(AND(AG200&lt;=AD200,AE200&gt;=AD200),0,IF(AF200&gt;AE200,((AG200-AD200)*12)*Q200,0)))))</f>
        <v>0</v>
      </c>
      <c r="Y200" s="30">
        <f t="shared" ref="Y200" si="109">X200*U200</f>
        <v>0</v>
      </c>
      <c r="Z200" s="30">
        <v>1</v>
      </c>
      <c r="AA200" s="30">
        <f t="shared" ref="AA200" si="110">Y200*Z200</f>
        <v>0</v>
      </c>
      <c r="AB200" s="30">
        <f t="shared" ref="AB200" si="111">IF(O200&gt;0,0,AA200+V200*Z200)*Z200</f>
        <v>328.79</v>
      </c>
      <c r="AC200" s="30">
        <f t="shared" ref="AC200" si="112">IF(O200&gt;0,(N200-AA200)/2,IF(AD200&gt;=AG200,(((N200*U200)*Z200)-AB200)/2,((((N200*U200)*Z200)-AA200)+(((N200*U200)*Z200)-AB200))/2))</f>
        <v>1808.345</v>
      </c>
      <c r="AD200" s="6">
        <f t="shared" si="97"/>
        <v>2016.6666666666667</v>
      </c>
      <c r="AE200" s="6">
        <f t="shared" si="98"/>
        <v>2017.6666666666667</v>
      </c>
      <c r="AF200" s="6">
        <f t="shared" si="99"/>
        <v>2028.6666666666667</v>
      </c>
      <c r="AG200" s="6">
        <f t="shared" si="100"/>
        <v>2016.6666666666667</v>
      </c>
      <c r="AH200" s="6">
        <f t="shared" si="101"/>
        <v>-8.3333333333333329E-2</v>
      </c>
    </row>
    <row r="201" spans="1:34">
      <c r="A201" s="1">
        <v>168823</v>
      </c>
      <c r="C201" s="1">
        <v>15</v>
      </c>
      <c r="D201" s="27" t="s">
        <v>204</v>
      </c>
      <c r="E201" s="10">
        <v>2016</v>
      </c>
      <c r="F201" s="1">
        <v>10</v>
      </c>
      <c r="G201" s="50">
        <v>0</v>
      </c>
      <c r="H201" s="50"/>
      <c r="I201" s="10" t="s">
        <v>92</v>
      </c>
      <c r="J201" s="10">
        <v>12</v>
      </c>
      <c r="K201" s="4">
        <f t="shared" ref="K201" si="113">E201+J201</f>
        <v>2028</v>
      </c>
      <c r="L201" s="51"/>
      <c r="N201" s="29">
        <v>8418.82</v>
      </c>
      <c r="O201" s="38"/>
      <c r="P201" s="30">
        <f t="shared" ref="P201" si="114">N201-N201*G201</f>
        <v>8418.82</v>
      </c>
      <c r="Q201" s="30">
        <f t="shared" ref="Q201" si="115">P201/J201/12</f>
        <v>58.464027777777773</v>
      </c>
      <c r="R201" s="30">
        <f t="shared" ref="R201" si="116">IF(O201&gt;0,0,IF(OR(AD201&gt;AE201,AF201&lt;AG201),0,IF(AND(AF201&gt;=AG201,AF201&lt;=AE201),Q201*((AF201-AG201)*12),IF(AND(AG201&lt;=AD201,AE201&gt;=AD201),((AE201-AD201)*12)*Q201,IF(AF201&gt;AE201,12*Q201,0)))))</f>
        <v>643.10430555560868</v>
      </c>
      <c r="S201" s="30"/>
      <c r="T201" s="30">
        <f t="shared" ref="T201" si="117">IF(S201&gt;0,S201,R201)</f>
        <v>643.10430555560868</v>
      </c>
      <c r="U201" s="30">
        <v>1</v>
      </c>
      <c r="V201" s="30">
        <f t="shared" ref="V201" si="118">U201*SUM(R201:S201)</f>
        <v>643.10430555560868</v>
      </c>
      <c r="W201" s="30"/>
      <c r="X201" s="30">
        <f t="shared" ref="X201" si="119">IF(AD201&gt;AE201,0,IF(AF201&lt;AG201,P201,IF(AND(AF201&gt;=AG201,AF201&lt;=AE201),(P201-T201),IF(AND(AG201&lt;=AD201,AE201&gt;=AD201),0,IF(AF201&gt;AE201,((AG201-AD201)*12)*Q201,0)))))</f>
        <v>0</v>
      </c>
      <c r="Y201" s="30">
        <f t="shared" ref="Y201" si="120">X201*U201</f>
        <v>0</v>
      </c>
      <c r="Z201" s="30">
        <v>1</v>
      </c>
      <c r="AA201" s="30">
        <f t="shared" ref="AA201" si="121">Y201*Z201</f>
        <v>0</v>
      </c>
      <c r="AB201" s="30">
        <f t="shared" ref="AB201" si="122">IF(O201&gt;0,0,AA201+V201*Z201)*Z201</f>
        <v>643.10430555560868</v>
      </c>
      <c r="AC201" s="30">
        <f t="shared" ref="AC201" si="123">IF(O201&gt;0,(N201-AA201)/2,IF(AD201&gt;=AG201,(((N201*U201)*Z201)-AB201)/2,((((N201*U201)*Z201)-AA201)+(((N201*U201)*Z201)-AB201))/2))</f>
        <v>3887.8578472221957</v>
      </c>
      <c r="AD201" s="6">
        <f t="shared" si="97"/>
        <v>2016.75</v>
      </c>
      <c r="AE201" s="6">
        <f t="shared" si="98"/>
        <v>2017.6666666666667</v>
      </c>
      <c r="AF201" s="6">
        <f t="shared" si="99"/>
        <v>2028.75</v>
      </c>
      <c r="AG201" s="6">
        <f t="shared" si="100"/>
        <v>2016.6666666666667</v>
      </c>
      <c r="AH201" s="6">
        <f t="shared" si="101"/>
        <v>-8.3333333333333329E-2</v>
      </c>
    </row>
    <row r="202" spans="1:34">
      <c r="A202" s="1">
        <v>168824</v>
      </c>
      <c r="C202" s="1">
        <v>6</v>
      </c>
      <c r="D202" s="27" t="s">
        <v>205</v>
      </c>
      <c r="E202" s="10">
        <v>2016</v>
      </c>
      <c r="F202" s="1">
        <v>10</v>
      </c>
      <c r="G202" s="50">
        <v>0</v>
      </c>
      <c r="H202" s="50"/>
      <c r="I202" s="10" t="s">
        <v>92</v>
      </c>
      <c r="J202" s="10">
        <v>12</v>
      </c>
      <c r="K202" s="4">
        <f t="shared" ref="K202" si="124">E202+J202</f>
        <v>2028</v>
      </c>
      <c r="L202" s="51"/>
      <c r="N202" s="29">
        <v>5116.91</v>
      </c>
      <c r="O202" s="38"/>
      <c r="P202" s="30">
        <f t="shared" ref="P202" si="125">N202-N202*G202</f>
        <v>5116.91</v>
      </c>
      <c r="Q202" s="30">
        <f t="shared" ref="Q202" si="126">P202/J202/12</f>
        <v>35.534097222222222</v>
      </c>
      <c r="R202" s="30">
        <f t="shared" ref="R202" si="127">IF(O202&gt;0,0,IF(OR(AD202&gt;AE202,AF202&lt;AG202),0,IF(AND(AF202&gt;=AG202,AF202&lt;=AE202),Q202*((AF202-AG202)*12),IF(AND(AG202&lt;=AD202,AE202&gt;=AD202),((AE202-AD202)*12)*Q202,IF(AF202&gt;AE202,12*Q202,0)))))</f>
        <v>390.87506944447676</v>
      </c>
      <c r="S202" s="30"/>
      <c r="T202" s="30">
        <f t="shared" ref="T202" si="128">IF(S202&gt;0,S202,R202)</f>
        <v>390.87506944447676</v>
      </c>
      <c r="U202" s="30">
        <v>1</v>
      </c>
      <c r="V202" s="30">
        <f t="shared" ref="V202" si="129">U202*SUM(R202:S202)</f>
        <v>390.87506944447676</v>
      </c>
      <c r="W202" s="30"/>
      <c r="X202" s="30">
        <f t="shared" ref="X202" si="130">IF(AD202&gt;AE202,0,IF(AF202&lt;AG202,P202,IF(AND(AF202&gt;=AG202,AF202&lt;=AE202),(P202-T202),IF(AND(AG202&lt;=AD202,AE202&gt;=AD202),0,IF(AF202&gt;AE202,((AG202-AD202)*12)*Q202,0)))))</f>
        <v>0</v>
      </c>
      <c r="Y202" s="30">
        <f t="shared" ref="Y202" si="131">X202*U202</f>
        <v>0</v>
      </c>
      <c r="Z202" s="30">
        <v>1</v>
      </c>
      <c r="AA202" s="30">
        <f t="shared" ref="AA202" si="132">Y202*Z202</f>
        <v>0</v>
      </c>
      <c r="AB202" s="30">
        <f t="shared" ref="AB202" si="133">IF(O202&gt;0,0,AA202+V202*Z202)*Z202</f>
        <v>390.87506944447676</v>
      </c>
      <c r="AC202" s="30">
        <f t="shared" ref="AC202" si="134">IF(O202&gt;0,(N202-AA202)/2,IF(AD202&gt;=AG202,(((N202*U202)*Z202)-AB202)/2,((((N202*U202)*Z202)-AA202)+(((N202*U202)*Z202)-AB202))/2))</f>
        <v>2363.0174652777614</v>
      </c>
      <c r="AD202" s="6">
        <f t="shared" si="97"/>
        <v>2016.75</v>
      </c>
      <c r="AE202" s="6">
        <f t="shared" si="98"/>
        <v>2017.6666666666667</v>
      </c>
      <c r="AF202" s="6">
        <f t="shared" si="99"/>
        <v>2028.75</v>
      </c>
      <c r="AG202" s="6">
        <f t="shared" si="100"/>
        <v>2016.6666666666667</v>
      </c>
      <c r="AH202" s="6">
        <f t="shared" si="101"/>
        <v>-8.3333333333333329E-2</v>
      </c>
    </row>
    <row r="203" spans="1:34">
      <c r="A203" s="1">
        <v>168825</v>
      </c>
      <c r="C203" s="1">
        <v>25</v>
      </c>
      <c r="D203" s="27" t="s">
        <v>284</v>
      </c>
      <c r="E203" s="10">
        <v>2016</v>
      </c>
      <c r="F203" s="1">
        <v>10</v>
      </c>
      <c r="G203" s="50">
        <v>0</v>
      </c>
      <c r="H203" s="50"/>
      <c r="I203" s="10" t="s">
        <v>92</v>
      </c>
      <c r="J203" s="10">
        <v>12</v>
      </c>
      <c r="K203" s="4">
        <f t="shared" ref="K203" si="135">E203+J203</f>
        <v>2028</v>
      </c>
      <c r="L203" s="51"/>
      <c r="N203" s="29">
        <v>13420.74</v>
      </c>
      <c r="O203" s="38"/>
      <c r="P203" s="30">
        <f t="shared" ref="P203" si="136">N203-N203*G203</f>
        <v>13420.74</v>
      </c>
      <c r="Q203" s="30">
        <f t="shared" ref="Q203" si="137">P203/J203/12</f>
        <v>93.199583333333337</v>
      </c>
      <c r="R203" s="30">
        <f t="shared" ref="R203" si="138">IF(O203&gt;0,0,IF(OR(AD203&gt;AE203,AF203&lt;AG203),0,IF(AND(AF203&gt;=AG203,AF203&lt;=AE203),Q203*((AF203-AG203)*12),IF(AND(AG203&lt;=AD203,AE203&gt;=AD203),((AE203-AD203)*12)*Q203,IF(AF203&gt;AE203,12*Q203,0)))))</f>
        <v>1025.1954166667515</v>
      </c>
      <c r="S203" s="30"/>
      <c r="T203" s="30">
        <f t="shared" ref="T203" si="139">IF(S203&gt;0,S203,R203)</f>
        <v>1025.1954166667515</v>
      </c>
      <c r="U203" s="30">
        <v>1</v>
      </c>
      <c r="V203" s="30">
        <f t="shared" ref="V203" si="140">U203*SUM(R203:S203)</f>
        <v>1025.1954166667515</v>
      </c>
      <c r="W203" s="30"/>
      <c r="X203" s="30">
        <f t="shared" ref="X203" si="141">IF(AD203&gt;AE203,0,IF(AF203&lt;AG203,P203,IF(AND(AF203&gt;=AG203,AF203&lt;=AE203),(P203-T203),IF(AND(AG203&lt;=AD203,AE203&gt;=AD203),0,IF(AF203&gt;AE203,((AG203-AD203)*12)*Q203,0)))))</f>
        <v>0</v>
      </c>
      <c r="Y203" s="30">
        <f t="shared" ref="Y203" si="142">X203*U203</f>
        <v>0</v>
      </c>
      <c r="Z203" s="30">
        <v>1</v>
      </c>
      <c r="AA203" s="30">
        <f t="shared" ref="AA203" si="143">Y203*Z203</f>
        <v>0</v>
      </c>
      <c r="AB203" s="30">
        <f t="shared" ref="AB203" si="144">IF(O203&gt;0,0,AA203+V203*Z203)*Z203</f>
        <v>1025.1954166667515</v>
      </c>
      <c r="AC203" s="30">
        <f t="shared" ref="AC203" si="145">IF(O203&gt;0,(N203-AA203)/2,IF(AD203&gt;=AG203,(((N203*U203)*Z203)-AB203)/2,((((N203*U203)*Z203)-AA203)+(((N203*U203)*Z203)-AB203))/2))</f>
        <v>6197.7722916666244</v>
      </c>
      <c r="AD203" s="6">
        <f t="shared" si="97"/>
        <v>2016.75</v>
      </c>
      <c r="AE203" s="6">
        <f t="shared" si="98"/>
        <v>2017.6666666666667</v>
      </c>
      <c r="AF203" s="6">
        <f t="shared" si="99"/>
        <v>2028.75</v>
      </c>
      <c r="AG203" s="6">
        <f t="shared" si="100"/>
        <v>2016.6666666666667</v>
      </c>
      <c r="AH203" s="6">
        <f t="shared" si="101"/>
        <v>-8.3333333333333329E-2</v>
      </c>
    </row>
    <row r="204" spans="1:34">
      <c r="D204" s="27"/>
      <c r="E204" s="10"/>
      <c r="G204" s="50"/>
      <c r="H204" s="50"/>
      <c r="I204" s="10"/>
      <c r="J204" s="10"/>
      <c r="L204" s="51"/>
      <c r="N204" s="29"/>
      <c r="O204" s="38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6"/>
      <c r="AE204" s="6"/>
      <c r="AF204" s="6"/>
      <c r="AG204" s="6"/>
      <c r="AH204" s="6"/>
    </row>
    <row r="205" spans="1:34">
      <c r="C205" s="52"/>
      <c r="D205" s="53"/>
      <c r="E205" s="54"/>
      <c r="F205" s="53"/>
      <c r="G205" s="50"/>
      <c r="H205" s="50"/>
      <c r="I205" s="55"/>
      <c r="J205" s="53"/>
      <c r="L205" s="51"/>
      <c r="N205" s="29"/>
      <c r="O205" s="38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6"/>
      <c r="AE205" s="6"/>
      <c r="AF205" s="6"/>
      <c r="AG205" s="6"/>
      <c r="AH205" s="6"/>
    </row>
    <row r="206" spans="1:34">
      <c r="C206" s="52"/>
      <c r="D206" s="41" t="s">
        <v>210</v>
      </c>
      <c r="E206" s="56"/>
      <c r="F206" s="57"/>
      <c r="G206" s="43"/>
      <c r="H206" s="43"/>
      <c r="I206" s="43"/>
      <c r="J206" s="42"/>
      <c r="K206" s="58"/>
      <c r="L206" s="59"/>
      <c r="M206" s="43"/>
      <c r="N206" s="60">
        <f>SUM(N65:N205)</f>
        <v>388114.13500000001</v>
      </c>
      <c r="O206" s="61"/>
      <c r="P206" s="60">
        <f>SUM(P65:P205)</f>
        <v>388114.13500000001</v>
      </c>
      <c r="Q206" s="60">
        <f>SUM(Q65:Q205)</f>
        <v>3626.681428571429</v>
      </c>
      <c r="R206" s="60">
        <f>SUM(R65:R205)</f>
        <v>9653.1313749999754</v>
      </c>
      <c r="S206" s="60"/>
      <c r="T206" s="60">
        <f>SUM(T65:T205)</f>
        <v>9653.1313749999754</v>
      </c>
      <c r="U206" s="60"/>
      <c r="V206" s="60">
        <f>SUM(V65:V205)</f>
        <v>9653.1313749999754</v>
      </c>
      <c r="W206" s="60"/>
      <c r="X206" s="60">
        <f t="shared" ref="X206:AB206" si="146">SUM(X65:X205)</f>
        <v>311613.00366666721</v>
      </c>
      <c r="Y206" s="60">
        <f t="shared" si="146"/>
        <v>311613.00366666721</v>
      </c>
      <c r="Z206" s="60"/>
      <c r="AA206" s="60">
        <f t="shared" si="146"/>
        <v>311613.00366666721</v>
      </c>
      <c r="AB206" s="60">
        <f t="shared" si="146"/>
        <v>321266.13504166726</v>
      </c>
      <c r="AC206" s="60">
        <f>SUM(AC65:AC205)</f>
        <v>56223.590645832774</v>
      </c>
    </row>
    <row r="207" spans="1:34">
      <c r="C207" s="52"/>
      <c r="D207" s="15"/>
      <c r="E207" s="62"/>
      <c r="F207" s="52"/>
      <c r="G207" s="1"/>
      <c r="J207" s="10"/>
      <c r="L207" s="63"/>
      <c r="N207" s="64"/>
      <c r="O207" s="38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</row>
    <row r="208" spans="1:34"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</row>
    <row r="209" spans="1:34">
      <c r="B209" s="31"/>
      <c r="D209" s="15" t="s">
        <v>211</v>
      </c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</row>
    <row r="210" spans="1:34">
      <c r="C210" s="1">
        <f>325+350</f>
        <v>675</v>
      </c>
      <c r="D210" s="27" t="s">
        <v>212</v>
      </c>
      <c r="E210" s="10">
        <v>2005</v>
      </c>
      <c r="F210" s="1">
        <v>3</v>
      </c>
      <c r="G210" s="50">
        <v>0</v>
      </c>
      <c r="H210" s="50"/>
      <c r="I210" s="10" t="s">
        <v>92</v>
      </c>
      <c r="J210" s="10">
        <v>10</v>
      </c>
      <c r="K210" s="4">
        <f t="shared" ref="K210:K219" si="147">E210+J210</f>
        <v>2015</v>
      </c>
      <c r="L210" s="51"/>
      <c r="N210" s="29">
        <v>25795.88</v>
      </c>
      <c r="O210" s="38"/>
      <c r="P210" s="30">
        <f t="shared" ref="P210:P219" si="148">N210-N210*G210</f>
        <v>25795.88</v>
      </c>
      <c r="Q210" s="30">
        <f t="shared" ref="Q210:Q219" si="149">P210/J210/12</f>
        <v>214.96566666666669</v>
      </c>
      <c r="R210" s="30">
        <f t="shared" ref="R210:R219" si="150">IF(O210&gt;0,0,IF(OR(AD210&gt;AE210,AF210&lt;AG210),0,IF(AND(AF210&gt;=AG210,AF210&lt;=AE210),Q210*((AF210-AG210)*12),IF(AND(AG210&lt;=AD210,AE210&gt;=AD210),((AE210-AD210)*12)*Q210,IF(AF210&gt;AE210,12*Q210,0)))))</f>
        <v>0</v>
      </c>
      <c r="S210" s="30"/>
      <c r="T210" s="30">
        <f t="shared" ref="T210:T219" si="151">IF(S210&gt;0,S210,R210)</f>
        <v>0</v>
      </c>
      <c r="U210" s="30">
        <v>1</v>
      </c>
      <c r="V210" s="30">
        <f t="shared" ref="V210:V219" si="152">U210*SUM(R210:S210)</f>
        <v>0</v>
      </c>
      <c r="W210" s="30"/>
      <c r="X210" s="30">
        <f t="shared" ref="X210:X219" si="153">IF(AD210&gt;AE210,0,IF(AF210&lt;AG210,P210,IF(AND(AF210&gt;=AG210,AF210&lt;=AE210),(P210-T210),IF(AND(AG210&lt;=AD210,AE210&gt;=AD210),0,IF(AF210&gt;AE210,((AG210-AD210)*12)*Q210,0)))))</f>
        <v>25795.88</v>
      </c>
      <c r="Y210" s="30">
        <f t="shared" ref="Y210:Y219" si="154">X210*U210</f>
        <v>25795.88</v>
      </c>
      <c r="Z210" s="30">
        <v>1</v>
      </c>
      <c r="AA210" s="30">
        <f t="shared" ref="AA210:AA219" si="155">Y210*Z210</f>
        <v>25795.88</v>
      </c>
      <c r="AB210" s="30">
        <f t="shared" ref="AB210:AB219" si="156">IF(O210&gt;0,0,AA210+V210*Z210)*Z210</f>
        <v>25795.88</v>
      </c>
      <c r="AC210" s="30">
        <f t="shared" ref="AC210:AC219" si="157">IF(O210&gt;0,(N210-AA210)/2,IF(AD210&gt;=AG210,(((N210*U210)*Z210)-AB210)/2,((((N210*U210)*Z210)-AA210)+(((N210*U210)*Z210)-AB210))/2))</f>
        <v>0</v>
      </c>
      <c r="AD210" s="6">
        <f t="shared" ref="AD210:AD222" si="158">$E210+(($F210-1)/12)</f>
        <v>2005.1666666666667</v>
      </c>
      <c r="AE210" s="6">
        <f t="shared" ref="AE210:AE222" si="159">($P$5+1)-($P$2/12)</f>
        <v>2017.6666666666667</v>
      </c>
      <c r="AF210" s="6">
        <f t="shared" ref="AF210:AF222" si="160">$K210+(($F210-1)/12)</f>
        <v>2015.1666666666667</v>
      </c>
      <c r="AG210" s="6">
        <f t="shared" ref="AG210:AG222" si="161">$P$4+($P$3/12)</f>
        <v>2016.6666666666667</v>
      </c>
      <c r="AH210" s="6">
        <f t="shared" ref="AH210:AH222" si="162">$L210+(($M210-1)/12)</f>
        <v>-8.3333333333333329E-2</v>
      </c>
    </row>
    <row r="211" spans="1:34">
      <c r="C211" s="1">
        <v>150</v>
      </c>
      <c r="D211" s="27" t="s">
        <v>213</v>
      </c>
      <c r="E211" s="10">
        <v>2005</v>
      </c>
      <c r="F211" s="1">
        <v>12</v>
      </c>
      <c r="G211" s="50">
        <v>0</v>
      </c>
      <c r="H211" s="50"/>
      <c r="I211" s="10" t="s">
        <v>92</v>
      </c>
      <c r="J211" s="10">
        <v>10</v>
      </c>
      <c r="K211" s="4">
        <f t="shared" si="147"/>
        <v>2015</v>
      </c>
      <c r="L211" s="51"/>
      <c r="N211" s="29">
        <v>10022.94</v>
      </c>
      <c r="O211" s="38"/>
      <c r="P211" s="30">
        <f t="shared" si="148"/>
        <v>10022.94</v>
      </c>
      <c r="Q211" s="30">
        <f t="shared" si="149"/>
        <v>83.524500000000003</v>
      </c>
      <c r="R211" s="30">
        <f t="shared" si="150"/>
        <v>0</v>
      </c>
      <c r="S211" s="30"/>
      <c r="T211" s="30">
        <f t="shared" si="151"/>
        <v>0</v>
      </c>
      <c r="U211" s="30">
        <v>1</v>
      </c>
      <c r="V211" s="30">
        <f t="shared" si="152"/>
        <v>0</v>
      </c>
      <c r="W211" s="30"/>
      <c r="X211" s="30">
        <f t="shared" si="153"/>
        <v>10022.94</v>
      </c>
      <c r="Y211" s="30">
        <f t="shared" si="154"/>
        <v>10022.94</v>
      </c>
      <c r="Z211" s="30">
        <v>1</v>
      </c>
      <c r="AA211" s="30">
        <f t="shared" si="155"/>
        <v>10022.94</v>
      </c>
      <c r="AB211" s="30">
        <f t="shared" si="156"/>
        <v>10022.94</v>
      </c>
      <c r="AC211" s="30">
        <f t="shared" si="157"/>
        <v>0</v>
      </c>
      <c r="AD211" s="6">
        <f t="shared" si="158"/>
        <v>2005.9166666666667</v>
      </c>
      <c r="AE211" s="6">
        <f t="shared" si="159"/>
        <v>2017.6666666666667</v>
      </c>
      <c r="AF211" s="6">
        <f t="shared" si="160"/>
        <v>2015.9166666666667</v>
      </c>
      <c r="AG211" s="6">
        <f t="shared" si="161"/>
        <v>2016.6666666666667</v>
      </c>
      <c r="AH211" s="6">
        <f t="shared" si="162"/>
        <v>-8.3333333333333329E-2</v>
      </c>
    </row>
    <row r="212" spans="1:34">
      <c r="C212" s="1">
        <v>325</v>
      </c>
      <c r="D212" s="27" t="s">
        <v>213</v>
      </c>
      <c r="E212" s="10">
        <v>2006</v>
      </c>
      <c r="F212" s="1">
        <v>2</v>
      </c>
      <c r="G212" s="50">
        <v>0</v>
      </c>
      <c r="H212" s="50"/>
      <c r="I212" s="10" t="s">
        <v>92</v>
      </c>
      <c r="J212" s="10">
        <v>10</v>
      </c>
      <c r="K212" s="4">
        <f t="shared" si="147"/>
        <v>2016</v>
      </c>
      <c r="L212" s="51"/>
      <c r="N212" s="29">
        <v>17320.62</v>
      </c>
      <c r="O212" s="38"/>
      <c r="P212" s="30">
        <f t="shared" si="148"/>
        <v>17320.62</v>
      </c>
      <c r="Q212" s="30">
        <f t="shared" si="149"/>
        <v>144.33849999999998</v>
      </c>
      <c r="R212" s="30">
        <f t="shared" si="150"/>
        <v>0</v>
      </c>
      <c r="S212" s="30"/>
      <c r="T212" s="30">
        <f t="shared" si="151"/>
        <v>0</v>
      </c>
      <c r="U212" s="30">
        <v>1</v>
      </c>
      <c r="V212" s="30">
        <f t="shared" si="152"/>
        <v>0</v>
      </c>
      <c r="W212" s="30"/>
      <c r="X212" s="30">
        <f t="shared" si="153"/>
        <v>17320.62</v>
      </c>
      <c r="Y212" s="30">
        <f t="shared" si="154"/>
        <v>17320.62</v>
      </c>
      <c r="Z212" s="30">
        <v>1</v>
      </c>
      <c r="AA212" s="30">
        <f t="shared" si="155"/>
        <v>17320.62</v>
      </c>
      <c r="AB212" s="30">
        <f t="shared" si="156"/>
        <v>17320.62</v>
      </c>
      <c r="AC212" s="30">
        <f t="shared" si="157"/>
        <v>0</v>
      </c>
      <c r="AD212" s="6">
        <f t="shared" si="158"/>
        <v>2006.0833333333333</v>
      </c>
      <c r="AE212" s="6">
        <f t="shared" si="159"/>
        <v>2017.6666666666667</v>
      </c>
      <c r="AF212" s="6">
        <f t="shared" si="160"/>
        <v>2016.0833333333333</v>
      </c>
      <c r="AG212" s="6">
        <f t="shared" si="161"/>
        <v>2016.6666666666667</v>
      </c>
      <c r="AH212" s="6">
        <f t="shared" si="162"/>
        <v>-8.3333333333333329E-2</v>
      </c>
    </row>
    <row r="213" spans="1:34">
      <c r="C213" s="1">
        <v>427</v>
      </c>
      <c r="D213" s="27" t="s">
        <v>213</v>
      </c>
      <c r="E213" s="10">
        <v>2006</v>
      </c>
      <c r="F213" s="1">
        <v>4</v>
      </c>
      <c r="G213" s="50">
        <v>0</v>
      </c>
      <c r="H213" s="50"/>
      <c r="I213" s="10" t="s">
        <v>92</v>
      </c>
      <c r="J213" s="10">
        <v>10</v>
      </c>
      <c r="K213" s="4">
        <f t="shared" si="147"/>
        <v>2016</v>
      </c>
      <c r="L213" s="51"/>
      <c r="N213" s="29">
        <v>24016.26</v>
      </c>
      <c r="O213" s="38"/>
      <c r="P213" s="30">
        <f t="shared" si="148"/>
        <v>24016.26</v>
      </c>
      <c r="Q213" s="30">
        <f t="shared" si="149"/>
        <v>200.13549999999998</v>
      </c>
      <c r="R213" s="30">
        <f t="shared" si="150"/>
        <v>0</v>
      </c>
      <c r="S213" s="30"/>
      <c r="T213" s="30">
        <f t="shared" si="151"/>
        <v>0</v>
      </c>
      <c r="U213" s="30">
        <v>1</v>
      </c>
      <c r="V213" s="30">
        <f t="shared" si="152"/>
        <v>0</v>
      </c>
      <c r="W213" s="30"/>
      <c r="X213" s="30">
        <f t="shared" si="153"/>
        <v>24016.26</v>
      </c>
      <c r="Y213" s="30">
        <f t="shared" si="154"/>
        <v>24016.26</v>
      </c>
      <c r="Z213" s="30">
        <v>1</v>
      </c>
      <c r="AA213" s="30">
        <f t="shared" si="155"/>
        <v>24016.26</v>
      </c>
      <c r="AB213" s="30">
        <f t="shared" si="156"/>
        <v>24016.26</v>
      </c>
      <c r="AC213" s="30">
        <f t="shared" si="157"/>
        <v>0</v>
      </c>
      <c r="AD213" s="6">
        <f t="shared" si="158"/>
        <v>2006.25</v>
      </c>
      <c r="AE213" s="6">
        <f t="shared" si="159"/>
        <v>2017.6666666666667</v>
      </c>
      <c r="AF213" s="6">
        <f t="shared" si="160"/>
        <v>2016.25</v>
      </c>
      <c r="AG213" s="6">
        <f t="shared" si="161"/>
        <v>2016.6666666666667</v>
      </c>
      <c r="AH213" s="6">
        <f t="shared" si="162"/>
        <v>-8.3333333333333329E-2</v>
      </c>
    </row>
    <row r="214" spans="1:34">
      <c r="C214" s="1">
        <v>300</v>
      </c>
      <c r="D214" s="27" t="s">
        <v>213</v>
      </c>
      <c r="E214" s="10">
        <v>2007</v>
      </c>
      <c r="F214" s="1">
        <v>12</v>
      </c>
      <c r="G214" s="50">
        <v>0</v>
      </c>
      <c r="H214" s="50"/>
      <c r="I214" s="10" t="s">
        <v>92</v>
      </c>
      <c r="J214" s="10">
        <v>10</v>
      </c>
      <c r="K214" s="4">
        <f t="shared" si="147"/>
        <v>2017</v>
      </c>
      <c r="L214" s="51"/>
      <c r="N214" s="29">
        <f>17653.66</f>
        <v>17653.66</v>
      </c>
      <c r="O214" s="38"/>
      <c r="P214" s="30">
        <f t="shared" si="148"/>
        <v>17653.66</v>
      </c>
      <c r="Q214" s="30">
        <f t="shared" si="149"/>
        <v>147.11383333333333</v>
      </c>
      <c r="R214" s="30">
        <f t="shared" si="150"/>
        <v>1765.366</v>
      </c>
      <c r="S214" s="30"/>
      <c r="T214" s="30">
        <f t="shared" si="151"/>
        <v>1765.366</v>
      </c>
      <c r="U214" s="30">
        <v>1</v>
      </c>
      <c r="V214" s="30">
        <f t="shared" si="152"/>
        <v>1765.366</v>
      </c>
      <c r="W214" s="30"/>
      <c r="X214" s="30">
        <f t="shared" si="153"/>
        <v>15446.952499999999</v>
      </c>
      <c r="Y214" s="30">
        <f t="shared" si="154"/>
        <v>15446.952499999999</v>
      </c>
      <c r="Z214" s="30">
        <v>1</v>
      </c>
      <c r="AA214" s="30">
        <f t="shared" si="155"/>
        <v>15446.952499999999</v>
      </c>
      <c r="AB214" s="30">
        <f t="shared" si="156"/>
        <v>17212.318500000001</v>
      </c>
      <c r="AC214" s="30">
        <f t="shared" si="157"/>
        <v>1324.0244999999995</v>
      </c>
      <c r="AD214" s="6">
        <f t="shared" si="158"/>
        <v>2007.9166666666667</v>
      </c>
      <c r="AE214" s="6">
        <f t="shared" si="159"/>
        <v>2017.6666666666667</v>
      </c>
      <c r="AF214" s="6">
        <f t="shared" si="160"/>
        <v>2017.9166666666667</v>
      </c>
      <c r="AG214" s="6">
        <f t="shared" si="161"/>
        <v>2016.6666666666667</v>
      </c>
      <c r="AH214" s="6">
        <f t="shared" si="162"/>
        <v>-8.3333333333333329E-2</v>
      </c>
    </row>
    <row r="215" spans="1:34">
      <c r="C215" s="1">
        <v>289</v>
      </c>
      <c r="D215" s="27" t="s">
        <v>214</v>
      </c>
      <c r="E215" s="10">
        <v>2009</v>
      </c>
      <c r="F215" s="1">
        <v>6</v>
      </c>
      <c r="G215" s="50">
        <v>0</v>
      </c>
      <c r="H215" s="50"/>
      <c r="I215" s="10" t="s">
        <v>92</v>
      </c>
      <c r="J215" s="10">
        <v>10</v>
      </c>
      <c r="K215" s="4">
        <f t="shared" si="147"/>
        <v>2019</v>
      </c>
      <c r="L215" s="51"/>
      <c r="N215" s="29">
        <f>289*51.76</f>
        <v>14958.64</v>
      </c>
      <c r="O215" s="38"/>
      <c r="P215" s="30">
        <f t="shared" si="148"/>
        <v>14958.64</v>
      </c>
      <c r="Q215" s="30">
        <f t="shared" si="149"/>
        <v>124.65533333333333</v>
      </c>
      <c r="R215" s="30">
        <f t="shared" si="150"/>
        <v>1495.864</v>
      </c>
      <c r="S215" s="30"/>
      <c r="T215" s="30">
        <f t="shared" si="151"/>
        <v>1495.864</v>
      </c>
      <c r="U215" s="30">
        <v>1</v>
      </c>
      <c r="V215" s="30">
        <f t="shared" si="152"/>
        <v>1495.864</v>
      </c>
      <c r="W215" s="30"/>
      <c r="X215" s="30">
        <f t="shared" si="153"/>
        <v>10845.013999999999</v>
      </c>
      <c r="Y215" s="30">
        <f t="shared" si="154"/>
        <v>10845.013999999999</v>
      </c>
      <c r="Z215" s="30">
        <v>1</v>
      </c>
      <c r="AA215" s="30">
        <f t="shared" si="155"/>
        <v>10845.013999999999</v>
      </c>
      <c r="AB215" s="30">
        <f t="shared" si="156"/>
        <v>12340.877999999999</v>
      </c>
      <c r="AC215" s="30">
        <f t="shared" si="157"/>
        <v>3365.6940000000004</v>
      </c>
      <c r="AD215" s="6">
        <f t="shared" si="158"/>
        <v>2009.4166666666667</v>
      </c>
      <c r="AE215" s="6">
        <f t="shared" si="159"/>
        <v>2017.6666666666667</v>
      </c>
      <c r="AF215" s="6">
        <f t="shared" si="160"/>
        <v>2019.4166666666667</v>
      </c>
      <c r="AG215" s="6">
        <f t="shared" si="161"/>
        <v>2016.6666666666667</v>
      </c>
      <c r="AH215" s="6">
        <f t="shared" si="162"/>
        <v>-8.3333333333333329E-2</v>
      </c>
    </row>
    <row r="216" spans="1:34">
      <c r="C216" s="1">
        <v>238</v>
      </c>
      <c r="D216" s="27" t="s">
        <v>213</v>
      </c>
      <c r="E216" s="10">
        <v>2011</v>
      </c>
      <c r="F216" s="1">
        <v>11</v>
      </c>
      <c r="G216" s="50">
        <v>0</v>
      </c>
      <c r="H216" s="50"/>
      <c r="I216" s="10" t="s">
        <v>92</v>
      </c>
      <c r="J216" s="10">
        <v>10</v>
      </c>
      <c r="K216" s="4">
        <f t="shared" si="147"/>
        <v>2021</v>
      </c>
      <c r="L216" s="51"/>
      <c r="N216" s="29">
        <f>11941.29+4.62*238</f>
        <v>13040.85</v>
      </c>
      <c r="O216" s="38"/>
      <c r="P216" s="30">
        <f t="shared" si="148"/>
        <v>13040.85</v>
      </c>
      <c r="Q216" s="30">
        <f t="shared" si="149"/>
        <v>108.67375</v>
      </c>
      <c r="R216" s="30">
        <f t="shared" si="150"/>
        <v>1304.085</v>
      </c>
      <c r="S216" s="30"/>
      <c r="T216" s="30">
        <f t="shared" si="151"/>
        <v>1304.085</v>
      </c>
      <c r="U216" s="30">
        <v>1</v>
      </c>
      <c r="V216" s="30">
        <f t="shared" si="152"/>
        <v>1304.085</v>
      </c>
      <c r="W216" s="30"/>
      <c r="X216" s="30">
        <f t="shared" si="153"/>
        <v>6303.0775000001977</v>
      </c>
      <c r="Y216" s="30">
        <f t="shared" si="154"/>
        <v>6303.0775000001977</v>
      </c>
      <c r="Z216" s="30">
        <v>1</v>
      </c>
      <c r="AA216" s="30">
        <f t="shared" si="155"/>
        <v>6303.0775000001977</v>
      </c>
      <c r="AB216" s="30">
        <f t="shared" si="156"/>
        <v>7607.1625000001977</v>
      </c>
      <c r="AC216" s="30">
        <f t="shared" si="157"/>
        <v>6085.7299999998031</v>
      </c>
      <c r="AD216" s="6">
        <f t="shared" si="158"/>
        <v>2011.8333333333333</v>
      </c>
      <c r="AE216" s="6">
        <f t="shared" si="159"/>
        <v>2017.6666666666667</v>
      </c>
      <c r="AF216" s="6">
        <f t="shared" si="160"/>
        <v>2021.8333333333333</v>
      </c>
      <c r="AG216" s="6">
        <f t="shared" si="161"/>
        <v>2016.6666666666667</v>
      </c>
      <c r="AH216" s="6">
        <f t="shared" si="162"/>
        <v>-8.3333333333333329E-2</v>
      </c>
    </row>
    <row r="217" spans="1:34">
      <c r="A217" s="1">
        <v>105993</v>
      </c>
      <c r="C217" s="1">
        <v>90</v>
      </c>
      <c r="D217" s="27" t="s">
        <v>215</v>
      </c>
      <c r="E217" s="10">
        <v>2013</v>
      </c>
      <c r="F217" s="1">
        <v>7</v>
      </c>
      <c r="G217" s="50">
        <v>0</v>
      </c>
      <c r="H217" s="50"/>
      <c r="I217" s="10" t="s">
        <v>92</v>
      </c>
      <c r="J217" s="10">
        <v>10</v>
      </c>
      <c r="K217" s="4">
        <f t="shared" si="147"/>
        <v>2023</v>
      </c>
      <c r="L217" s="51"/>
      <c r="N217" s="29">
        <v>13689.69</v>
      </c>
      <c r="O217" s="38"/>
      <c r="P217" s="30">
        <f t="shared" si="148"/>
        <v>13689.69</v>
      </c>
      <c r="Q217" s="30">
        <f t="shared" si="149"/>
        <v>114.08075000000001</v>
      </c>
      <c r="R217" s="30">
        <f t="shared" si="150"/>
        <v>1368.9690000000001</v>
      </c>
      <c r="S217" s="30"/>
      <c r="T217" s="30">
        <f t="shared" si="151"/>
        <v>1368.9690000000001</v>
      </c>
      <c r="U217" s="30">
        <v>1</v>
      </c>
      <c r="V217" s="30">
        <f t="shared" si="152"/>
        <v>1368.9690000000001</v>
      </c>
      <c r="W217" s="30"/>
      <c r="X217" s="30">
        <f t="shared" si="153"/>
        <v>4335.068500000104</v>
      </c>
      <c r="Y217" s="30">
        <f t="shared" si="154"/>
        <v>4335.068500000104</v>
      </c>
      <c r="Z217" s="30">
        <v>1</v>
      </c>
      <c r="AA217" s="30">
        <f t="shared" si="155"/>
        <v>4335.068500000104</v>
      </c>
      <c r="AB217" s="30">
        <f t="shared" si="156"/>
        <v>5704.037500000104</v>
      </c>
      <c r="AC217" s="30">
        <f t="shared" si="157"/>
        <v>8670.1369999998969</v>
      </c>
      <c r="AD217" s="6">
        <f t="shared" si="158"/>
        <v>2013.5</v>
      </c>
      <c r="AE217" s="6">
        <f t="shared" si="159"/>
        <v>2017.6666666666667</v>
      </c>
      <c r="AF217" s="6">
        <f t="shared" si="160"/>
        <v>2023.5</v>
      </c>
      <c r="AG217" s="6">
        <f t="shared" si="161"/>
        <v>2016.6666666666667</v>
      </c>
      <c r="AH217" s="6">
        <f t="shared" si="162"/>
        <v>-8.3333333333333329E-2</v>
      </c>
    </row>
    <row r="218" spans="1:34">
      <c r="A218" s="1">
        <v>115098</v>
      </c>
      <c r="C218" s="1">
        <v>350</v>
      </c>
      <c r="D218" s="27" t="s">
        <v>215</v>
      </c>
      <c r="E218" s="10">
        <v>2014</v>
      </c>
      <c r="F218" s="1">
        <v>7</v>
      </c>
      <c r="G218" s="50">
        <v>0</v>
      </c>
      <c r="H218" s="50"/>
      <c r="I218" s="10" t="s">
        <v>92</v>
      </c>
      <c r="J218" s="10">
        <v>10</v>
      </c>
      <c r="K218" s="4">
        <f t="shared" si="147"/>
        <v>2024</v>
      </c>
      <c r="L218" s="51"/>
      <c r="N218" s="29">
        <v>19892.87</v>
      </c>
      <c r="O218" s="38"/>
      <c r="P218" s="30">
        <f t="shared" si="148"/>
        <v>19892.87</v>
      </c>
      <c r="Q218" s="30">
        <f t="shared" si="149"/>
        <v>165.77391666666665</v>
      </c>
      <c r="R218" s="30">
        <f t="shared" si="150"/>
        <v>1989.2869999999998</v>
      </c>
      <c r="S218" s="30"/>
      <c r="T218" s="30">
        <f t="shared" si="151"/>
        <v>1989.2869999999998</v>
      </c>
      <c r="U218" s="30">
        <v>1</v>
      </c>
      <c r="V218" s="30">
        <f t="shared" si="152"/>
        <v>1989.2869999999998</v>
      </c>
      <c r="W218" s="30"/>
      <c r="X218" s="30">
        <f t="shared" si="153"/>
        <v>4310.1218333334837</v>
      </c>
      <c r="Y218" s="30">
        <f t="shared" si="154"/>
        <v>4310.1218333334837</v>
      </c>
      <c r="Z218" s="30">
        <v>1</v>
      </c>
      <c r="AA218" s="30">
        <f t="shared" si="155"/>
        <v>4310.1218333334837</v>
      </c>
      <c r="AB218" s="30">
        <f t="shared" si="156"/>
        <v>6299.4088333334839</v>
      </c>
      <c r="AC218" s="30">
        <f t="shared" si="157"/>
        <v>14588.104666666515</v>
      </c>
      <c r="AD218" s="6">
        <f t="shared" si="158"/>
        <v>2014.5</v>
      </c>
      <c r="AE218" s="6">
        <f t="shared" si="159"/>
        <v>2017.6666666666667</v>
      </c>
      <c r="AF218" s="6">
        <f t="shared" si="160"/>
        <v>2024.5</v>
      </c>
      <c r="AG218" s="6">
        <f t="shared" si="161"/>
        <v>2016.6666666666667</v>
      </c>
      <c r="AH218" s="6">
        <f t="shared" si="162"/>
        <v>-8.3333333333333329E-2</v>
      </c>
    </row>
    <row r="219" spans="1:34">
      <c r="A219" s="1">
        <v>126735</v>
      </c>
      <c r="C219" s="1">
        <v>100</v>
      </c>
      <c r="D219" s="27" t="s">
        <v>216</v>
      </c>
      <c r="E219" s="10">
        <v>2015</v>
      </c>
      <c r="F219" s="1">
        <v>11</v>
      </c>
      <c r="G219" s="50">
        <v>0</v>
      </c>
      <c r="H219" s="50"/>
      <c r="I219" s="10" t="s">
        <v>92</v>
      </c>
      <c r="J219" s="10">
        <v>10</v>
      </c>
      <c r="K219" s="4">
        <f t="shared" si="147"/>
        <v>2025</v>
      </c>
      <c r="L219" s="51"/>
      <c r="N219" s="29">
        <v>5641.04</v>
      </c>
      <c r="O219" s="38"/>
      <c r="P219" s="30">
        <f t="shared" si="148"/>
        <v>5641.04</v>
      </c>
      <c r="Q219" s="30">
        <f t="shared" si="149"/>
        <v>47.00866666666667</v>
      </c>
      <c r="R219" s="30">
        <f t="shared" si="150"/>
        <v>564.10400000000004</v>
      </c>
      <c r="S219" s="30"/>
      <c r="T219" s="30">
        <f t="shared" si="151"/>
        <v>564.10400000000004</v>
      </c>
      <c r="U219" s="30">
        <v>1</v>
      </c>
      <c r="V219" s="30">
        <f t="shared" si="152"/>
        <v>564.10400000000004</v>
      </c>
      <c r="W219" s="30"/>
      <c r="X219" s="30">
        <f t="shared" si="153"/>
        <v>470.08666666675219</v>
      </c>
      <c r="Y219" s="30">
        <f t="shared" si="154"/>
        <v>470.08666666675219</v>
      </c>
      <c r="Z219" s="30">
        <v>1</v>
      </c>
      <c r="AA219" s="30">
        <f t="shared" si="155"/>
        <v>470.08666666675219</v>
      </c>
      <c r="AB219" s="30">
        <f t="shared" si="156"/>
        <v>1034.1906666667523</v>
      </c>
      <c r="AC219" s="30">
        <f t="shared" si="157"/>
        <v>4888.9013333332477</v>
      </c>
      <c r="AD219" s="6">
        <f t="shared" si="158"/>
        <v>2015.8333333333333</v>
      </c>
      <c r="AE219" s="6">
        <f t="shared" si="159"/>
        <v>2017.6666666666667</v>
      </c>
      <c r="AF219" s="6">
        <f t="shared" si="160"/>
        <v>2025.8333333333333</v>
      </c>
      <c r="AG219" s="6">
        <f t="shared" si="161"/>
        <v>2016.6666666666667</v>
      </c>
      <c r="AH219" s="6">
        <f t="shared" si="162"/>
        <v>-8.3333333333333329E-2</v>
      </c>
    </row>
    <row r="220" spans="1:34">
      <c r="A220" s="1">
        <v>168949</v>
      </c>
      <c r="C220" s="1">
        <v>100</v>
      </c>
      <c r="D220" s="27" t="s">
        <v>285</v>
      </c>
      <c r="E220" s="10">
        <v>2016</v>
      </c>
      <c r="F220" s="1">
        <v>10</v>
      </c>
      <c r="G220" s="50">
        <v>0</v>
      </c>
      <c r="H220" s="50"/>
      <c r="I220" s="10" t="s">
        <v>92</v>
      </c>
      <c r="J220" s="10">
        <v>7</v>
      </c>
      <c r="K220" s="4">
        <f t="shared" ref="K220:K222" si="163">E220+J220</f>
        <v>2023</v>
      </c>
      <c r="L220" s="51"/>
      <c r="N220" s="29">
        <v>6085.16</v>
      </c>
      <c r="O220" s="38"/>
      <c r="P220" s="30">
        <f t="shared" ref="P220:P222" si="164">N220-N220*G220</f>
        <v>6085.16</v>
      </c>
      <c r="Q220" s="30">
        <f t="shared" ref="Q220:Q222" si="165">P220/J220/12</f>
        <v>72.442380952380958</v>
      </c>
      <c r="R220" s="30">
        <f t="shared" ref="R220" si="166">IF(O220&gt;0,0,IF(OR(AD220&gt;AE220,AF220&lt;AG220),0,IF(AND(AF220&gt;=AG220,AF220&lt;=AE220),Q220*((AF220-AG220)*12),IF(AND(AG220&lt;=AD220,AE220&gt;=AD220),((AE220-AD220)*12)*Q220,IF(AF220&gt;AE220,12*Q220,0)))))</f>
        <v>796.86619047625641</v>
      </c>
      <c r="S220" s="30"/>
      <c r="T220" s="30">
        <f t="shared" ref="T220" si="167">IF(S220&gt;0,S220,R220)</f>
        <v>796.86619047625641</v>
      </c>
      <c r="U220" s="30">
        <v>1</v>
      </c>
      <c r="V220" s="30">
        <f t="shared" ref="V220" si="168">U220*SUM(R220:S220)</f>
        <v>796.86619047625641</v>
      </c>
      <c r="W220" s="30"/>
      <c r="X220" s="30">
        <f t="shared" ref="X220" si="169">IF(AD220&gt;AE220,0,IF(AF220&lt;AG220,P220,IF(AND(AF220&gt;=AG220,AF220&lt;=AE220),(P220-T220),IF(AND(AG220&lt;=AD220,AE220&gt;=AD220),0,IF(AF220&gt;AE220,((AG220-AD220)*12)*Q220,0)))))</f>
        <v>0</v>
      </c>
      <c r="Y220" s="30">
        <f t="shared" ref="Y220" si="170">X220*U220</f>
        <v>0</v>
      </c>
      <c r="Z220" s="30">
        <v>1</v>
      </c>
      <c r="AA220" s="30">
        <f t="shared" ref="AA220" si="171">Y220*Z220</f>
        <v>0</v>
      </c>
      <c r="AB220" s="30">
        <f t="shared" ref="AB220" si="172">IF(O220&gt;0,0,AA220+V220*Z220)*Z220</f>
        <v>796.86619047625641</v>
      </c>
      <c r="AC220" s="30">
        <f t="shared" ref="AC220" si="173">IF(O220&gt;0,(N220-AA220)/2,IF(AD220&gt;=AG220,(((N220*U220)*Z220)-AB220)/2,((((N220*U220)*Z220)-AA220)+(((N220*U220)*Z220)-AB220))/2))</f>
        <v>2644.1469047618716</v>
      </c>
      <c r="AD220" s="6">
        <f t="shared" si="158"/>
        <v>2016.75</v>
      </c>
      <c r="AE220" s="6">
        <f t="shared" si="159"/>
        <v>2017.6666666666667</v>
      </c>
      <c r="AF220" s="6">
        <f t="shared" si="160"/>
        <v>2023.75</v>
      </c>
      <c r="AG220" s="6">
        <f t="shared" si="161"/>
        <v>2016.6666666666667</v>
      </c>
      <c r="AH220" s="6">
        <f t="shared" si="162"/>
        <v>-8.3333333333333329E-2</v>
      </c>
    </row>
    <row r="221" spans="1:34" s="82" customFormat="1">
      <c r="A221" s="82">
        <v>179935</v>
      </c>
      <c r="C221" s="82">
        <v>100</v>
      </c>
      <c r="D221" s="83" t="s">
        <v>296</v>
      </c>
      <c r="E221" s="84">
        <v>2017</v>
      </c>
      <c r="F221" s="82">
        <v>4</v>
      </c>
      <c r="G221" s="85">
        <v>0</v>
      </c>
      <c r="H221" s="85"/>
      <c r="I221" s="84" t="s">
        <v>92</v>
      </c>
      <c r="J221" s="84">
        <v>7</v>
      </c>
      <c r="K221" s="86">
        <f t="shared" si="163"/>
        <v>2024</v>
      </c>
      <c r="L221" s="87"/>
      <c r="N221" s="88">
        <v>5398.28</v>
      </c>
      <c r="O221" s="89"/>
      <c r="P221" s="90">
        <f t="shared" si="164"/>
        <v>5398.28</v>
      </c>
      <c r="Q221" s="90">
        <f t="shared" si="165"/>
        <v>64.265238095238089</v>
      </c>
      <c r="R221" s="90">
        <f t="shared" ref="R221" si="174">IF(O221&gt;0,0,IF(OR(AD221&gt;AE221,AF221&lt;AG221),0,IF(AND(AF221&gt;=AG221,AF221&lt;=AE221),Q221*((AF221-AG221)*12),IF(AND(AG221&lt;=AD221,AE221&gt;=AD221),((AE221-AD221)*12)*Q221,IF(AF221&gt;AE221,12*Q221,0)))))</f>
        <v>321.32619047624888</v>
      </c>
      <c r="S221" s="90"/>
      <c r="T221" s="90">
        <f t="shared" ref="T221" si="175">IF(S221&gt;0,S221,R221)</f>
        <v>321.32619047624888</v>
      </c>
      <c r="U221" s="90">
        <v>1</v>
      </c>
      <c r="V221" s="90">
        <f t="shared" ref="V221" si="176">U221*SUM(R221:S221)</f>
        <v>321.32619047624888</v>
      </c>
      <c r="W221" s="90"/>
      <c r="X221" s="90">
        <f t="shared" ref="X221" si="177">IF(AD221&gt;AE221,0,IF(AF221&lt;AG221,P221,IF(AND(AF221&gt;=AG221,AF221&lt;=AE221),(P221-T221),IF(AND(AG221&lt;=AD221,AE221&gt;=AD221),0,IF(AF221&gt;AE221,((AG221-AD221)*12)*Q221,0)))))</f>
        <v>0</v>
      </c>
      <c r="Y221" s="90">
        <f t="shared" ref="Y221" si="178">X221*U221</f>
        <v>0</v>
      </c>
      <c r="Z221" s="90">
        <v>1</v>
      </c>
      <c r="AA221" s="90">
        <f t="shared" ref="AA221" si="179">Y221*Z221</f>
        <v>0</v>
      </c>
      <c r="AB221" s="90">
        <f t="shared" ref="AB221" si="180">IF(O221&gt;0,0,AA221+V221*Z221)*Z221</f>
        <v>321.32619047624888</v>
      </c>
      <c r="AC221" s="90">
        <f t="shared" ref="AC221" si="181">IF(O221&gt;0,(N221-AA221)/2,IF(AD221&gt;=AG221,(((N221*U221)*Z221)-AB221)/2,((((N221*U221)*Z221)-AA221)+(((N221*U221)*Z221)-AB221))/2))</f>
        <v>2538.4769047618756</v>
      </c>
      <c r="AD221" s="91">
        <f t="shared" si="158"/>
        <v>2017.25</v>
      </c>
      <c r="AE221" s="91">
        <f t="shared" si="159"/>
        <v>2017.6666666666667</v>
      </c>
      <c r="AF221" s="91">
        <f t="shared" si="160"/>
        <v>2024.25</v>
      </c>
      <c r="AG221" s="91">
        <f t="shared" si="161"/>
        <v>2016.6666666666667</v>
      </c>
      <c r="AH221" s="91">
        <f t="shared" si="162"/>
        <v>-8.3333333333333329E-2</v>
      </c>
    </row>
    <row r="222" spans="1:34" s="82" customFormat="1">
      <c r="A222" s="82">
        <v>179934</v>
      </c>
      <c r="C222" s="82">
        <v>100</v>
      </c>
      <c r="D222" s="83" t="s">
        <v>297</v>
      </c>
      <c r="E222" s="84">
        <v>2017</v>
      </c>
      <c r="F222" s="82">
        <v>4</v>
      </c>
      <c r="G222" s="85">
        <v>0</v>
      </c>
      <c r="H222" s="85"/>
      <c r="I222" s="84" t="s">
        <v>92</v>
      </c>
      <c r="J222" s="84">
        <v>7</v>
      </c>
      <c r="K222" s="86">
        <f t="shared" si="163"/>
        <v>2024</v>
      </c>
      <c r="L222" s="87"/>
      <c r="N222" s="88">
        <v>5748.27</v>
      </c>
      <c r="O222" s="89"/>
      <c r="P222" s="90">
        <f t="shared" si="164"/>
        <v>5748.27</v>
      </c>
      <c r="Q222" s="90">
        <f t="shared" si="165"/>
        <v>68.431785714285724</v>
      </c>
      <c r="R222" s="90">
        <f t="shared" ref="R222" si="182">IF(O222&gt;0,0,IF(OR(AD222&gt;AE222,AF222&lt;AG222),0,IF(AND(AF222&gt;=AG222,AF222&lt;=AE222),Q222*((AF222-AG222)*12),IF(AND(AG222&lt;=AD222,AE222&gt;=AD222),((AE222-AD222)*12)*Q222,IF(AF222&gt;AE222,12*Q222,0)))))</f>
        <v>342.15892857149083</v>
      </c>
      <c r="S222" s="90"/>
      <c r="T222" s="90">
        <f t="shared" ref="T222" si="183">IF(S222&gt;0,S222,R222)</f>
        <v>342.15892857149083</v>
      </c>
      <c r="U222" s="90">
        <v>1</v>
      </c>
      <c r="V222" s="90">
        <f t="shared" ref="V222" si="184">U222*SUM(R222:S222)</f>
        <v>342.15892857149083</v>
      </c>
      <c r="W222" s="90"/>
      <c r="X222" s="90">
        <f t="shared" ref="X222" si="185">IF(AD222&gt;AE222,0,IF(AF222&lt;AG222,P222,IF(AND(AF222&gt;=AG222,AF222&lt;=AE222),(P222-T222),IF(AND(AG222&lt;=AD222,AE222&gt;=AD222),0,IF(AF222&gt;AE222,((AG222-AD222)*12)*Q222,0)))))</f>
        <v>0</v>
      </c>
      <c r="Y222" s="90">
        <f t="shared" ref="Y222" si="186">X222*U222</f>
        <v>0</v>
      </c>
      <c r="Z222" s="90">
        <v>1</v>
      </c>
      <c r="AA222" s="90">
        <f t="shared" ref="AA222" si="187">Y222*Z222</f>
        <v>0</v>
      </c>
      <c r="AB222" s="90">
        <f t="shared" ref="AB222" si="188">IF(O222&gt;0,0,AA222+V222*Z222)*Z222</f>
        <v>342.15892857149083</v>
      </c>
      <c r="AC222" s="90">
        <f t="shared" ref="AC222" si="189">IF(O222&gt;0,(N222-AA222)/2,IF(AD222&gt;=AG222,(((N222*U222)*Z222)-AB222)/2,((((N222*U222)*Z222)-AA222)+(((N222*U222)*Z222)-AB222))/2))</f>
        <v>2703.0555357142548</v>
      </c>
      <c r="AD222" s="91">
        <f t="shared" si="158"/>
        <v>2017.25</v>
      </c>
      <c r="AE222" s="91">
        <f t="shared" si="159"/>
        <v>2017.6666666666667</v>
      </c>
      <c r="AF222" s="91">
        <f t="shared" si="160"/>
        <v>2024.25</v>
      </c>
      <c r="AG222" s="91">
        <f t="shared" si="161"/>
        <v>2016.6666666666667</v>
      </c>
      <c r="AH222" s="91">
        <f t="shared" si="162"/>
        <v>-8.3333333333333329E-2</v>
      </c>
    </row>
    <row r="223" spans="1:34">
      <c r="D223" s="27"/>
      <c r="E223" s="10"/>
      <c r="G223" s="28"/>
      <c r="H223" s="10"/>
      <c r="I223" s="10"/>
      <c r="J223" s="10"/>
      <c r="K223" s="14"/>
      <c r="N223" s="29"/>
      <c r="O223" s="29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6"/>
      <c r="AE223" s="6"/>
      <c r="AF223" s="6"/>
      <c r="AG223" s="6"/>
      <c r="AH223" s="6"/>
    </row>
    <row r="224" spans="1:34">
      <c r="D224" s="41" t="s">
        <v>217</v>
      </c>
      <c r="E224" s="42"/>
      <c r="F224" s="43"/>
      <c r="G224" s="44"/>
      <c r="H224" s="42"/>
      <c r="I224" s="42"/>
      <c r="J224" s="42"/>
      <c r="K224" s="45"/>
      <c r="L224" s="43"/>
      <c r="M224" s="43"/>
      <c r="N224" s="35">
        <f>SUM(N210:N223)</f>
        <v>179264.16</v>
      </c>
      <c r="O224" s="35"/>
      <c r="P224" s="35">
        <f>SUM(P210:P223)</f>
        <v>179264.16</v>
      </c>
      <c r="Q224" s="35">
        <f>SUM(Q210:Q223)</f>
        <v>1555.4098214285716</v>
      </c>
      <c r="R224" s="35">
        <f>SUM(R210:R223)</f>
        <v>9948.0263095239952</v>
      </c>
      <c r="S224" s="35"/>
      <c r="T224" s="35">
        <f>SUM(T210:T223)</f>
        <v>9948.0263095239952</v>
      </c>
      <c r="U224" s="35"/>
      <c r="V224" s="35">
        <f>SUM(V210:V223)</f>
        <v>9948.0263095239952</v>
      </c>
      <c r="W224" s="35"/>
      <c r="X224" s="35">
        <f t="shared" ref="X224:AC224" si="190">SUM(X210:X223)</f>
        <v>118866.02100000055</v>
      </c>
      <c r="Y224" s="35">
        <f t="shared" si="190"/>
        <v>118866.02100000055</v>
      </c>
      <c r="Z224" s="35">
        <f t="shared" si="190"/>
        <v>13</v>
      </c>
      <c r="AA224" s="35">
        <f t="shared" si="190"/>
        <v>118866.02100000055</v>
      </c>
      <c r="AB224" s="35">
        <f t="shared" si="190"/>
        <v>128814.04730952453</v>
      </c>
      <c r="AC224" s="35">
        <f t="shared" si="190"/>
        <v>46808.270845237465</v>
      </c>
      <c r="AD224" s="6"/>
      <c r="AE224" s="6"/>
      <c r="AF224" s="6"/>
      <c r="AG224" s="6"/>
      <c r="AH224" s="6"/>
    </row>
    <row r="225" spans="1:34"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</row>
    <row r="226" spans="1:34">
      <c r="B226" s="31"/>
      <c r="D226" s="15" t="s">
        <v>218</v>
      </c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</row>
    <row r="227" spans="1:34">
      <c r="C227" s="1">
        <v>350</v>
      </c>
      <c r="D227" s="27" t="s">
        <v>219</v>
      </c>
      <c r="E227" s="10">
        <v>2006</v>
      </c>
      <c r="F227" s="1">
        <v>2</v>
      </c>
      <c r="G227" s="50">
        <v>0</v>
      </c>
      <c r="H227" s="50"/>
      <c r="I227" s="10" t="s">
        <v>92</v>
      </c>
      <c r="J227" s="10">
        <v>10</v>
      </c>
      <c r="K227" s="4">
        <f t="shared" ref="K227:K233" si="191">E227+J227</f>
        <v>2016</v>
      </c>
      <c r="L227" s="51"/>
      <c r="N227" s="29">
        <v>17146.62</v>
      </c>
      <c r="O227" s="38"/>
      <c r="P227" s="30">
        <f t="shared" ref="P227:P233" si="192">N227-N227*G227</f>
        <v>17146.62</v>
      </c>
      <c r="Q227" s="30">
        <f t="shared" ref="Q227:Q233" si="193">P227/J227/12</f>
        <v>142.88849999999999</v>
      </c>
      <c r="R227" s="30">
        <f t="shared" ref="R227:R233" si="194">IF(O227&gt;0,0,IF(OR(AD227&gt;AE227,AF227&lt;AG227),0,IF(AND(AF227&gt;=AG227,AF227&lt;=AE227),Q227*((AF227-AG227)*12),IF(AND(AG227&lt;=AD227,AE227&gt;=AD227),((AE227-AD227)*12)*Q227,IF(AF227&gt;AE227,12*Q227,0)))))</f>
        <v>0</v>
      </c>
      <c r="S227" s="30"/>
      <c r="T227" s="30">
        <f t="shared" ref="T227:T233" si="195">IF(S227&gt;0,S227,R227)</f>
        <v>0</v>
      </c>
      <c r="U227" s="30">
        <v>1</v>
      </c>
      <c r="V227" s="30">
        <f t="shared" ref="V227:V233" si="196">U227*SUM(R227:S227)</f>
        <v>0</v>
      </c>
      <c r="W227" s="30"/>
      <c r="X227" s="30">
        <f t="shared" ref="X227:X233" si="197">IF(AD227&gt;AE227,0,IF(AF227&lt;AG227,P227,IF(AND(AF227&gt;=AG227,AF227&lt;=AE227),(P227-T227),IF(AND(AG227&lt;=AD227,AE227&gt;=AD227),0,IF(AF227&gt;AE227,((AG227-AD227)*12)*Q227,0)))))</f>
        <v>17146.62</v>
      </c>
      <c r="Y227" s="30">
        <f t="shared" ref="Y227:Y233" si="198">X227*U227</f>
        <v>17146.62</v>
      </c>
      <c r="Z227" s="30">
        <v>1</v>
      </c>
      <c r="AA227" s="30">
        <f t="shared" ref="AA227:AA233" si="199">Y227*Z227</f>
        <v>17146.62</v>
      </c>
      <c r="AB227" s="30">
        <f t="shared" ref="AB227:AB233" si="200">IF(O227&gt;0,0,AA227+V227*Z227)*Z227</f>
        <v>17146.62</v>
      </c>
      <c r="AC227" s="30">
        <f t="shared" ref="AC227:AC233" si="201">IF(O227&gt;0,(N227-AA227)/2,IF(AD227&gt;=AG227,(((N227*U227)*Z227)-AB227)/2,((((N227*U227)*Z227)-AA227)+(((N227*U227)*Z227)-AB227))/2))</f>
        <v>0</v>
      </c>
      <c r="AD227" s="6">
        <f t="shared" ref="AD227:AD234" si="202">$E227+(($F227-1)/12)</f>
        <v>2006.0833333333333</v>
      </c>
      <c r="AE227" s="6">
        <f t="shared" ref="AE227:AE234" si="203">($P$5+1)-($P$2/12)</f>
        <v>2017.6666666666667</v>
      </c>
      <c r="AF227" s="6">
        <f t="shared" ref="AF227:AF234" si="204">$K227+(($F227-1)/12)</f>
        <v>2016.0833333333333</v>
      </c>
      <c r="AG227" s="6">
        <f t="shared" ref="AG227:AG234" si="205">$P$4+($P$3/12)</f>
        <v>2016.6666666666667</v>
      </c>
      <c r="AH227" s="6">
        <f t="shared" ref="AH227:AH234" si="206">$L227+(($M227-1)/12)</f>
        <v>-8.3333333333333329E-2</v>
      </c>
    </row>
    <row r="228" spans="1:34">
      <c r="C228" s="1">
        <v>165</v>
      </c>
      <c r="D228" s="27" t="s">
        <v>219</v>
      </c>
      <c r="E228" s="10">
        <v>2007</v>
      </c>
      <c r="F228" s="1">
        <v>12</v>
      </c>
      <c r="G228" s="50">
        <v>0</v>
      </c>
      <c r="H228" s="50"/>
      <c r="I228" s="10" t="s">
        <v>92</v>
      </c>
      <c r="J228" s="10">
        <v>10</v>
      </c>
      <c r="K228" s="4">
        <f t="shared" si="191"/>
        <v>2017</v>
      </c>
      <c r="L228" s="51"/>
      <c r="N228" s="29">
        <v>8921.85</v>
      </c>
      <c r="O228" s="38"/>
      <c r="P228" s="30">
        <f t="shared" si="192"/>
        <v>8921.85</v>
      </c>
      <c r="Q228" s="30">
        <f t="shared" si="193"/>
        <v>74.34875000000001</v>
      </c>
      <c r="R228" s="30">
        <f t="shared" si="194"/>
        <v>892.18500000000017</v>
      </c>
      <c r="S228" s="30"/>
      <c r="T228" s="30">
        <f t="shared" si="195"/>
        <v>892.18500000000017</v>
      </c>
      <c r="U228" s="30">
        <v>1</v>
      </c>
      <c r="V228" s="30">
        <f t="shared" si="196"/>
        <v>892.18500000000017</v>
      </c>
      <c r="W228" s="30"/>
      <c r="X228" s="30">
        <f t="shared" si="197"/>
        <v>7806.6187500000015</v>
      </c>
      <c r="Y228" s="30">
        <f t="shared" si="198"/>
        <v>7806.6187500000015</v>
      </c>
      <c r="Z228" s="30">
        <v>1</v>
      </c>
      <c r="AA228" s="30">
        <f t="shared" si="199"/>
        <v>7806.6187500000015</v>
      </c>
      <c r="AB228" s="30">
        <f t="shared" si="200"/>
        <v>8698.8037500000009</v>
      </c>
      <c r="AC228" s="30">
        <f t="shared" si="201"/>
        <v>669.13874999999916</v>
      </c>
      <c r="AD228" s="6">
        <f t="shared" si="202"/>
        <v>2007.9166666666667</v>
      </c>
      <c r="AE228" s="6">
        <f t="shared" si="203"/>
        <v>2017.6666666666667</v>
      </c>
      <c r="AF228" s="6">
        <f t="shared" si="204"/>
        <v>2017.9166666666667</v>
      </c>
      <c r="AG228" s="6">
        <f t="shared" si="205"/>
        <v>2016.6666666666667</v>
      </c>
      <c r="AH228" s="6">
        <f t="shared" si="206"/>
        <v>-8.3333333333333329E-2</v>
      </c>
    </row>
    <row r="229" spans="1:34">
      <c r="C229" s="1">
        <v>165</v>
      </c>
      <c r="D229" s="27" t="s">
        <v>220</v>
      </c>
      <c r="E229" s="10">
        <v>2009</v>
      </c>
      <c r="F229" s="1">
        <v>6</v>
      </c>
      <c r="G229" s="50">
        <v>0</v>
      </c>
      <c r="H229" s="50"/>
      <c r="I229" s="10" t="s">
        <v>92</v>
      </c>
      <c r="J229" s="10">
        <v>10</v>
      </c>
      <c r="K229" s="4">
        <f t="shared" si="191"/>
        <v>2019</v>
      </c>
      <c r="L229" s="51"/>
      <c r="N229" s="29">
        <f>165*50.1-3</f>
        <v>8263.5</v>
      </c>
      <c r="O229" s="38"/>
      <c r="P229" s="30">
        <f t="shared" si="192"/>
        <v>8263.5</v>
      </c>
      <c r="Q229" s="30">
        <f t="shared" si="193"/>
        <v>68.862499999999997</v>
      </c>
      <c r="R229" s="30">
        <f t="shared" si="194"/>
        <v>826.34999999999991</v>
      </c>
      <c r="S229" s="30"/>
      <c r="T229" s="30">
        <f t="shared" si="195"/>
        <v>826.34999999999991</v>
      </c>
      <c r="U229" s="30">
        <v>1</v>
      </c>
      <c r="V229" s="30">
        <f t="shared" si="196"/>
        <v>826.34999999999991</v>
      </c>
      <c r="W229" s="30"/>
      <c r="X229" s="30">
        <f t="shared" si="197"/>
        <v>5991.0374999999995</v>
      </c>
      <c r="Y229" s="30">
        <f t="shared" si="198"/>
        <v>5991.0374999999995</v>
      </c>
      <c r="Z229" s="30">
        <v>1</v>
      </c>
      <c r="AA229" s="30">
        <f t="shared" si="199"/>
        <v>5991.0374999999995</v>
      </c>
      <c r="AB229" s="30">
        <f t="shared" si="200"/>
        <v>6817.3874999999989</v>
      </c>
      <c r="AC229" s="30">
        <f t="shared" si="201"/>
        <v>1859.2875000000008</v>
      </c>
      <c r="AD229" s="6">
        <f t="shared" si="202"/>
        <v>2009.4166666666667</v>
      </c>
      <c r="AE229" s="6">
        <f t="shared" si="203"/>
        <v>2017.6666666666667</v>
      </c>
      <c r="AF229" s="6">
        <f t="shared" si="204"/>
        <v>2019.4166666666667</v>
      </c>
      <c r="AG229" s="6">
        <f t="shared" si="205"/>
        <v>2016.6666666666667</v>
      </c>
      <c r="AH229" s="6">
        <f t="shared" si="206"/>
        <v>-8.3333333333333329E-2</v>
      </c>
    </row>
    <row r="230" spans="1:34">
      <c r="C230" s="1">
        <v>296</v>
      </c>
      <c r="D230" s="27" t="s">
        <v>219</v>
      </c>
      <c r="E230" s="10">
        <v>2011</v>
      </c>
      <c r="F230" s="1">
        <v>11</v>
      </c>
      <c r="G230" s="50">
        <v>0</v>
      </c>
      <c r="H230" s="50"/>
      <c r="I230" s="10" t="s">
        <v>92</v>
      </c>
      <c r="J230" s="10">
        <v>10</v>
      </c>
      <c r="K230" s="4">
        <f t="shared" si="191"/>
        <v>2021</v>
      </c>
      <c r="L230" s="51"/>
      <c r="N230" s="29">
        <f>13493.98+4.62*296-1</f>
        <v>14860.5</v>
      </c>
      <c r="O230" s="38"/>
      <c r="P230" s="30">
        <f t="shared" si="192"/>
        <v>14860.5</v>
      </c>
      <c r="Q230" s="30">
        <f t="shared" si="193"/>
        <v>123.83749999999999</v>
      </c>
      <c r="R230" s="30">
        <f t="shared" si="194"/>
        <v>1486.05</v>
      </c>
      <c r="S230" s="30"/>
      <c r="T230" s="30">
        <f t="shared" si="195"/>
        <v>1486.05</v>
      </c>
      <c r="U230" s="30">
        <v>1</v>
      </c>
      <c r="V230" s="30">
        <f t="shared" si="196"/>
        <v>1486.05</v>
      </c>
      <c r="W230" s="30"/>
      <c r="X230" s="30">
        <f t="shared" si="197"/>
        <v>7182.5750000002245</v>
      </c>
      <c r="Y230" s="30">
        <f t="shared" si="198"/>
        <v>7182.5750000002245</v>
      </c>
      <c r="Z230" s="30">
        <v>1</v>
      </c>
      <c r="AA230" s="30">
        <f t="shared" si="199"/>
        <v>7182.5750000002245</v>
      </c>
      <c r="AB230" s="30">
        <f t="shared" si="200"/>
        <v>8668.6250000002237</v>
      </c>
      <c r="AC230" s="30">
        <f t="shared" si="201"/>
        <v>6934.8999999997759</v>
      </c>
      <c r="AD230" s="6">
        <f t="shared" si="202"/>
        <v>2011.8333333333333</v>
      </c>
      <c r="AE230" s="6">
        <f t="shared" si="203"/>
        <v>2017.6666666666667</v>
      </c>
      <c r="AF230" s="6">
        <f t="shared" si="204"/>
        <v>2021.8333333333333</v>
      </c>
      <c r="AG230" s="6">
        <f t="shared" si="205"/>
        <v>2016.6666666666667</v>
      </c>
      <c r="AH230" s="6">
        <f t="shared" si="206"/>
        <v>-8.3333333333333329E-2</v>
      </c>
    </row>
    <row r="231" spans="1:34">
      <c r="A231" s="1">
        <v>105994</v>
      </c>
      <c r="C231" s="1">
        <v>90</v>
      </c>
      <c r="D231" s="27" t="s">
        <v>221</v>
      </c>
      <c r="E231" s="10">
        <v>2013</v>
      </c>
      <c r="F231" s="1">
        <v>7</v>
      </c>
      <c r="G231" s="50">
        <v>0</v>
      </c>
      <c r="H231" s="50"/>
      <c r="I231" s="10" t="s">
        <v>92</v>
      </c>
      <c r="J231" s="10">
        <v>10</v>
      </c>
      <c r="K231" s="4">
        <f t="shared" si="191"/>
        <v>2023</v>
      </c>
      <c r="L231" s="51"/>
      <c r="N231" s="29">
        <v>5310</v>
      </c>
      <c r="O231" s="38"/>
      <c r="P231" s="30">
        <f t="shared" si="192"/>
        <v>5310</v>
      </c>
      <c r="Q231" s="30">
        <f t="shared" si="193"/>
        <v>44.25</v>
      </c>
      <c r="R231" s="30">
        <f t="shared" si="194"/>
        <v>531</v>
      </c>
      <c r="S231" s="30"/>
      <c r="T231" s="30">
        <f t="shared" si="195"/>
        <v>531</v>
      </c>
      <c r="U231" s="30">
        <v>1</v>
      </c>
      <c r="V231" s="30">
        <f t="shared" si="196"/>
        <v>531</v>
      </c>
      <c r="W231" s="30"/>
      <c r="X231" s="30">
        <f t="shared" si="197"/>
        <v>1681.5000000000402</v>
      </c>
      <c r="Y231" s="30">
        <f t="shared" si="198"/>
        <v>1681.5000000000402</v>
      </c>
      <c r="Z231" s="30">
        <v>1</v>
      </c>
      <c r="AA231" s="30">
        <f t="shared" si="199"/>
        <v>1681.5000000000402</v>
      </c>
      <c r="AB231" s="30">
        <f t="shared" si="200"/>
        <v>2212.50000000004</v>
      </c>
      <c r="AC231" s="30">
        <f t="shared" si="201"/>
        <v>3362.99999999996</v>
      </c>
      <c r="AD231" s="6">
        <f t="shared" si="202"/>
        <v>2013.5</v>
      </c>
      <c r="AE231" s="6">
        <f t="shared" si="203"/>
        <v>2017.6666666666667</v>
      </c>
      <c r="AF231" s="6">
        <f t="shared" si="204"/>
        <v>2023.5</v>
      </c>
      <c r="AG231" s="6">
        <f t="shared" si="205"/>
        <v>2016.6666666666667</v>
      </c>
      <c r="AH231" s="6">
        <f t="shared" si="206"/>
        <v>-8.3333333333333329E-2</v>
      </c>
    </row>
    <row r="232" spans="1:34">
      <c r="A232" s="1">
        <v>115099</v>
      </c>
      <c r="C232" s="1">
        <v>180</v>
      </c>
      <c r="D232" s="27" t="s">
        <v>221</v>
      </c>
      <c r="E232" s="10">
        <v>2014</v>
      </c>
      <c r="F232" s="1">
        <v>7</v>
      </c>
      <c r="G232" s="50">
        <v>0</v>
      </c>
      <c r="H232" s="50"/>
      <c r="I232" s="10" t="s">
        <v>92</v>
      </c>
      <c r="J232" s="10">
        <v>10</v>
      </c>
      <c r="K232" s="4">
        <f t="shared" si="191"/>
        <v>2024</v>
      </c>
      <c r="L232" s="51"/>
      <c r="N232" s="29">
        <v>9383</v>
      </c>
      <c r="O232" s="38"/>
      <c r="P232" s="30">
        <f t="shared" si="192"/>
        <v>9383</v>
      </c>
      <c r="Q232" s="30">
        <f t="shared" si="193"/>
        <v>78.191666666666663</v>
      </c>
      <c r="R232" s="30">
        <f t="shared" si="194"/>
        <v>938.3</v>
      </c>
      <c r="S232" s="30"/>
      <c r="T232" s="30">
        <f t="shared" si="195"/>
        <v>938.3</v>
      </c>
      <c r="U232" s="30">
        <v>1</v>
      </c>
      <c r="V232" s="30">
        <f t="shared" si="196"/>
        <v>938.3</v>
      </c>
      <c r="W232" s="30"/>
      <c r="X232" s="30">
        <f t="shared" si="197"/>
        <v>2032.9833333334043</v>
      </c>
      <c r="Y232" s="30">
        <f t="shared" si="198"/>
        <v>2032.9833333334043</v>
      </c>
      <c r="Z232" s="30">
        <v>1</v>
      </c>
      <c r="AA232" s="30">
        <f t="shared" si="199"/>
        <v>2032.9833333334043</v>
      </c>
      <c r="AB232" s="30">
        <f t="shared" si="200"/>
        <v>2971.2833333334042</v>
      </c>
      <c r="AC232" s="30">
        <f t="shared" si="201"/>
        <v>6880.8666666665958</v>
      </c>
      <c r="AD232" s="6">
        <f t="shared" si="202"/>
        <v>2014.5</v>
      </c>
      <c r="AE232" s="6">
        <f t="shared" si="203"/>
        <v>2017.6666666666667</v>
      </c>
      <c r="AF232" s="6">
        <f t="shared" si="204"/>
        <v>2024.5</v>
      </c>
      <c r="AG232" s="6">
        <f t="shared" si="205"/>
        <v>2016.6666666666667</v>
      </c>
      <c r="AH232" s="6">
        <f t="shared" si="206"/>
        <v>-8.3333333333333329E-2</v>
      </c>
    </row>
    <row r="233" spans="1:34">
      <c r="A233" s="1">
        <v>126734</v>
      </c>
      <c r="C233" s="1">
        <v>100</v>
      </c>
      <c r="D233" s="27" t="s">
        <v>222</v>
      </c>
      <c r="E233" s="10">
        <v>2015</v>
      </c>
      <c r="F233" s="1">
        <v>11</v>
      </c>
      <c r="G233" s="50">
        <v>0</v>
      </c>
      <c r="H233" s="50"/>
      <c r="I233" s="10" t="s">
        <v>92</v>
      </c>
      <c r="J233" s="10">
        <v>10</v>
      </c>
      <c r="K233" s="4">
        <f t="shared" si="191"/>
        <v>2025</v>
      </c>
      <c r="L233" s="51"/>
      <c r="N233" s="29">
        <v>5371.53</v>
      </c>
      <c r="O233" s="38"/>
      <c r="P233" s="30">
        <f t="shared" si="192"/>
        <v>5371.53</v>
      </c>
      <c r="Q233" s="30">
        <f t="shared" si="193"/>
        <v>44.762750000000004</v>
      </c>
      <c r="R233" s="30">
        <f t="shared" si="194"/>
        <v>537.15300000000002</v>
      </c>
      <c r="S233" s="30"/>
      <c r="T233" s="30">
        <f t="shared" si="195"/>
        <v>537.15300000000002</v>
      </c>
      <c r="U233" s="30">
        <v>1</v>
      </c>
      <c r="V233" s="30">
        <f t="shared" si="196"/>
        <v>537.15300000000002</v>
      </c>
      <c r="W233" s="30"/>
      <c r="X233" s="30">
        <f t="shared" si="197"/>
        <v>447.62750000008145</v>
      </c>
      <c r="Y233" s="30">
        <f t="shared" si="198"/>
        <v>447.62750000008145</v>
      </c>
      <c r="Z233" s="30">
        <v>1</v>
      </c>
      <c r="AA233" s="30">
        <f t="shared" si="199"/>
        <v>447.62750000008145</v>
      </c>
      <c r="AB233" s="30">
        <f t="shared" si="200"/>
        <v>984.78050000008147</v>
      </c>
      <c r="AC233" s="30">
        <f t="shared" si="201"/>
        <v>4655.3259999999182</v>
      </c>
      <c r="AD233" s="6">
        <f t="shared" si="202"/>
        <v>2015.8333333333333</v>
      </c>
      <c r="AE233" s="6">
        <f t="shared" si="203"/>
        <v>2017.6666666666667</v>
      </c>
      <c r="AF233" s="6">
        <f t="shared" si="204"/>
        <v>2025.8333333333333</v>
      </c>
      <c r="AG233" s="6">
        <f t="shared" si="205"/>
        <v>2016.6666666666667</v>
      </c>
      <c r="AH233" s="6">
        <f t="shared" si="206"/>
        <v>-8.3333333333333329E-2</v>
      </c>
    </row>
    <row r="234" spans="1:34">
      <c r="A234" s="1">
        <v>168948</v>
      </c>
      <c r="C234" s="1">
        <v>100</v>
      </c>
      <c r="D234" s="27" t="s">
        <v>286</v>
      </c>
      <c r="E234" s="10">
        <v>2016</v>
      </c>
      <c r="F234" s="1">
        <v>10</v>
      </c>
      <c r="G234" s="50">
        <v>0</v>
      </c>
      <c r="H234" s="50"/>
      <c r="I234" s="10" t="s">
        <v>92</v>
      </c>
      <c r="J234" s="10">
        <v>7</v>
      </c>
      <c r="K234" s="4">
        <f t="shared" ref="K234" si="207">E234+J234</f>
        <v>2023</v>
      </c>
      <c r="L234" s="51"/>
      <c r="N234" s="29">
        <v>5818</v>
      </c>
      <c r="O234" s="38"/>
      <c r="P234" s="30">
        <f t="shared" ref="P234" si="208">N234-N234*G234</f>
        <v>5818</v>
      </c>
      <c r="Q234" s="30">
        <f t="shared" ref="Q234" si="209">P234/J234/12</f>
        <v>69.261904761904759</v>
      </c>
      <c r="R234" s="30">
        <f t="shared" ref="R234" si="210">IF(O234&gt;0,0,IF(OR(AD234&gt;AE234,AF234&lt;AG234),0,IF(AND(AF234&gt;=AG234,AF234&lt;=AE234),Q234*((AF234-AG234)*12),IF(AND(AG234&lt;=AD234,AE234&gt;=AD234),((AE234-AD234)*12)*Q234,IF(AF234&gt;AE234,12*Q234,0)))))</f>
        <v>761.88095238101539</v>
      </c>
      <c r="S234" s="30"/>
      <c r="T234" s="30">
        <f t="shared" ref="T234" si="211">IF(S234&gt;0,S234,R234)</f>
        <v>761.88095238101539</v>
      </c>
      <c r="U234" s="30">
        <v>1</v>
      </c>
      <c r="V234" s="30">
        <f t="shared" ref="V234" si="212">U234*SUM(R234:S234)</f>
        <v>761.88095238101539</v>
      </c>
      <c r="W234" s="30"/>
      <c r="X234" s="30">
        <f t="shared" ref="X234" si="213">IF(AD234&gt;AE234,0,IF(AF234&lt;AG234,P234,IF(AND(AF234&gt;=AG234,AF234&lt;=AE234),(P234-T234),IF(AND(AG234&lt;=AD234,AE234&gt;=AD234),0,IF(AF234&gt;AE234,((AG234-AD234)*12)*Q234,0)))))</f>
        <v>0</v>
      </c>
      <c r="Y234" s="30">
        <f t="shared" ref="Y234" si="214">X234*U234</f>
        <v>0</v>
      </c>
      <c r="Z234" s="30">
        <v>1</v>
      </c>
      <c r="AA234" s="30">
        <f t="shared" ref="AA234" si="215">Y234*Z234</f>
        <v>0</v>
      </c>
      <c r="AB234" s="30">
        <f t="shared" ref="AB234" si="216">IF(O234&gt;0,0,AA234+V234*Z234)*Z234</f>
        <v>761.88095238101539</v>
      </c>
      <c r="AC234" s="30">
        <f t="shared" ref="AC234" si="217">IF(O234&gt;0,(N234-AA234)/2,IF(AD234&gt;=AG234,(((N234*U234)*Z234)-AB234)/2,((((N234*U234)*Z234)-AA234)+(((N234*U234)*Z234)-AB234))/2))</f>
        <v>2528.0595238094925</v>
      </c>
      <c r="AD234" s="6">
        <f t="shared" si="202"/>
        <v>2016.75</v>
      </c>
      <c r="AE234" s="6">
        <f t="shared" si="203"/>
        <v>2017.6666666666667</v>
      </c>
      <c r="AF234" s="6">
        <f t="shared" si="204"/>
        <v>2023.75</v>
      </c>
      <c r="AG234" s="6">
        <f t="shared" si="205"/>
        <v>2016.6666666666667</v>
      </c>
      <c r="AH234" s="6">
        <f t="shared" si="206"/>
        <v>-8.3333333333333329E-2</v>
      </c>
    </row>
    <row r="235" spans="1:34">
      <c r="D235" s="27"/>
      <c r="E235" s="10"/>
      <c r="G235" s="28"/>
      <c r="H235" s="10"/>
      <c r="I235" s="10"/>
      <c r="J235" s="10"/>
      <c r="K235" s="14"/>
      <c r="N235" s="29"/>
      <c r="O235" s="29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6"/>
      <c r="AE235" s="6"/>
      <c r="AF235" s="6"/>
      <c r="AG235" s="6"/>
      <c r="AH235" s="6"/>
    </row>
    <row r="236" spans="1:34">
      <c r="D236" s="41" t="s">
        <v>223</v>
      </c>
      <c r="E236" s="42"/>
      <c r="F236" s="43"/>
      <c r="G236" s="44"/>
      <c r="H236" s="42"/>
      <c r="I236" s="42"/>
      <c r="J236" s="42"/>
      <c r="K236" s="45"/>
      <c r="L236" s="43"/>
      <c r="M236" s="43"/>
      <c r="N236" s="35">
        <f>SUM(N227:N235)</f>
        <v>75075</v>
      </c>
      <c r="O236" s="35"/>
      <c r="P236" s="35">
        <f>SUM(P227:P235)</f>
        <v>75075</v>
      </c>
      <c r="Q236" s="35">
        <f>SUM(Q227:Q235)</f>
        <v>646.40357142857147</v>
      </c>
      <c r="R236" s="35">
        <f>SUM(R227:R235)</f>
        <v>5972.9189523810155</v>
      </c>
      <c r="S236" s="35"/>
      <c r="T236" s="35">
        <f>SUM(T227:T235)</f>
        <v>5972.9189523810155</v>
      </c>
      <c r="U236" s="35"/>
      <c r="V236" s="35">
        <f>SUM(V227:V235)</f>
        <v>5972.9189523810155</v>
      </c>
      <c r="W236" s="35"/>
      <c r="X236" s="35">
        <f t="shared" ref="X236:AC236" si="218">SUM(X227:X235)</f>
        <v>42288.962083333754</v>
      </c>
      <c r="Y236" s="35">
        <f t="shared" si="218"/>
        <v>42288.962083333754</v>
      </c>
      <c r="Z236" s="35">
        <f t="shared" si="218"/>
        <v>8</v>
      </c>
      <c r="AA236" s="35">
        <f t="shared" si="218"/>
        <v>42288.962083333754</v>
      </c>
      <c r="AB236" s="35">
        <f t="shared" si="218"/>
        <v>48261.881035714759</v>
      </c>
      <c r="AC236" s="35">
        <f t="shared" si="218"/>
        <v>26890.578440475743</v>
      </c>
      <c r="AD236" s="6"/>
      <c r="AE236" s="6"/>
      <c r="AF236" s="6"/>
      <c r="AG236" s="6"/>
      <c r="AH236" s="6"/>
    </row>
    <row r="237" spans="1:34"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</row>
    <row r="238" spans="1:34">
      <c r="G238" s="1"/>
      <c r="I238" s="50"/>
      <c r="J238" s="10"/>
      <c r="K238" s="65"/>
      <c r="L238" s="66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</row>
    <row r="239" spans="1:34">
      <c r="D239" s="31" t="s">
        <v>118</v>
      </c>
      <c r="E239" s="10"/>
      <c r="G239" s="1"/>
      <c r="J239" s="10"/>
      <c r="L239" s="51"/>
      <c r="N239" s="29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</row>
    <row r="240" spans="1:34">
      <c r="C240" s="1">
        <v>1</v>
      </c>
      <c r="D240" s="27" t="s">
        <v>224</v>
      </c>
      <c r="E240" s="10">
        <v>1996</v>
      </c>
      <c r="F240" s="1">
        <v>7</v>
      </c>
      <c r="G240" s="50">
        <v>0</v>
      </c>
      <c r="H240" s="50"/>
      <c r="I240" s="10" t="s">
        <v>92</v>
      </c>
      <c r="J240" s="10">
        <v>10</v>
      </c>
      <c r="K240" s="4">
        <f t="shared" ref="K240:K253" si="219">E240+J240</f>
        <v>2006</v>
      </c>
      <c r="L240" s="66"/>
      <c r="N240" s="38">
        <v>6298</v>
      </c>
      <c r="O240" s="38"/>
      <c r="P240" s="30">
        <f t="shared" ref="P240:P253" si="220">N240-N240*G240</f>
        <v>6298</v>
      </c>
      <c r="Q240" s="30">
        <f t="shared" ref="Q240:Q253" si="221">P240/J240/12</f>
        <v>52.483333333333327</v>
      </c>
      <c r="R240" s="30">
        <f t="shared" ref="R240:R253" si="222">IF(O240&gt;0,0,IF(OR(AD240&gt;AE240,AF240&lt;AG240),0,IF(AND(AF240&gt;=AG240,AF240&lt;=AE240),Q240*((AF240-AG240)*12),IF(AND(AG240&lt;=AD240,AE240&gt;=AD240),((AE240-AD240)*12)*Q240,IF(AF240&gt;AE240,12*Q240,0)))))</f>
        <v>0</v>
      </c>
      <c r="S240" s="30"/>
      <c r="T240" s="30">
        <f t="shared" ref="T240:T253" si="223">IF(S240&gt;0,S240,R240)</f>
        <v>0</v>
      </c>
      <c r="U240" s="30">
        <v>1</v>
      </c>
      <c r="V240" s="30">
        <f t="shared" ref="V240:V253" si="224">U240*SUM(R240:S240)</f>
        <v>0</v>
      </c>
      <c r="W240" s="30"/>
      <c r="X240" s="30">
        <f t="shared" ref="X240:X253" si="225">IF(AD240&gt;AE240,0,IF(AF240&lt;AG240,P240,IF(AND(AF240&gt;=AG240,AF240&lt;=AE240),(P240-T240),IF(AND(AG240&lt;=AD240,AE240&gt;=AD240),0,IF(AF240&gt;AE240,((AG240-AD240)*12)*Q240,0)))))</f>
        <v>6298</v>
      </c>
      <c r="Y240" s="30">
        <f t="shared" ref="Y240:Y253" si="226">X240*U240</f>
        <v>6298</v>
      </c>
      <c r="Z240" s="30">
        <v>1</v>
      </c>
      <c r="AA240" s="30">
        <f t="shared" ref="AA240:AA253" si="227">Y240*Z240</f>
        <v>6298</v>
      </c>
      <c r="AB240" s="30">
        <f t="shared" ref="AB240:AB253" si="228">IF(O240&gt;0,0,AA240+V240*Z240)*Z240</f>
        <v>6298</v>
      </c>
      <c r="AC240" s="30">
        <f t="shared" ref="AC240:AC253" si="229">IF(O240&gt;0,(N240-AA240)/2,IF(AD240&gt;=AG240,(((N240*U240)*Z240)-AB240)/2,((((N240*U240)*Z240)-AA240)+(((N240*U240)*Z240)-AB240))/2))</f>
        <v>0</v>
      </c>
      <c r="AD240" s="6">
        <f t="shared" ref="AD240:AD256" si="230">$E240+(($F240-1)/12)</f>
        <v>1996.5</v>
      </c>
      <c r="AE240" s="6">
        <f t="shared" ref="AE240:AE256" si="231">($P$5+1)-($P$2/12)</f>
        <v>2017.6666666666667</v>
      </c>
      <c r="AF240" s="6">
        <f t="shared" ref="AF240:AF256" si="232">$K240+(($F240-1)/12)</f>
        <v>2006.5</v>
      </c>
      <c r="AG240" s="6">
        <f t="shared" ref="AG240:AG256" si="233">$P$4+($P$3/12)</f>
        <v>2016.6666666666667</v>
      </c>
      <c r="AH240" s="6">
        <f t="shared" ref="AH240:AH256" si="234">$L240+(($M240-1)/12)</f>
        <v>-8.3333333333333329E-2</v>
      </c>
    </row>
    <row r="241" spans="1:34">
      <c r="C241" s="1">
        <v>1</v>
      </c>
      <c r="D241" s="27" t="str">
        <f>+D240</f>
        <v>1-25 Yd Rolloff</v>
      </c>
      <c r="E241" s="10">
        <v>1999</v>
      </c>
      <c r="F241" s="1">
        <v>3</v>
      </c>
      <c r="G241" s="50">
        <v>0</v>
      </c>
      <c r="H241" s="50"/>
      <c r="I241" s="10" t="s">
        <v>92</v>
      </c>
      <c r="J241" s="10">
        <v>10</v>
      </c>
      <c r="K241" s="4">
        <f t="shared" si="219"/>
        <v>2009</v>
      </c>
      <c r="L241" s="66"/>
      <c r="N241" s="38">
        <v>5823.93</v>
      </c>
      <c r="O241" s="38"/>
      <c r="P241" s="30">
        <f t="shared" si="220"/>
        <v>5823.93</v>
      </c>
      <c r="Q241" s="30">
        <f t="shared" si="221"/>
        <v>48.53275</v>
      </c>
      <c r="R241" s="30">
        <f t="shared" si="222"/>
        <v>0</v>
      </c>
      <c r="S241" s="30"/>
      <c r="T241" s="30">
        <f t="shared" si="223"/>
        <v>0</v>
      </c>
      <c r="U241" s="30">
        <v>1</v>
      </c>
      <c r="V241" s="30">
        <f t="shared" si="224"/>
        <v>0</v>
      </c>
      <c r="W241" s="30"/>
      <c r="X241" s="30">
        <f t="shared" si="225"/>
        <v>5823.93</v>
      </c>
      <c r="Y241" s="30">
        <f t="shared" si="226"/>
        <v>5823.93</v>
      </c>
      <c r="Z241" s="30">
        <v>1</v>
      </c>
      <c r="AA241" s="30">
        <f t="shared" si="227"/>
        <v>5823.93</v>
      </c>
      <c r="AB241" s="30">
        <f t="shared" si="228"/>
        <v>5823.93</v>
      </c>
      <c r="AC241" s="30">
        <f t="shared" si="229"/>
        <v>0</v>
      </c>
      <c r="AD241" s="6">
        <f t="shared" si="230"/>
        <v>1999.1666666666667</v>
      </c>
      <c r="AE241" s="6">
        <f t="shared" si="231"/>
        <v>2017.6666666666667</v>
      </c>
      <c r="AF241" s="6">
        <f t="shared" si="232"/>
        <v>2009.1666666666667</v>
      </c>
      <c r="AG241" s="6">
        <f t="shared" si="233"/>
        <v>2016.6666666666667</v>
      </c>
      <c r="AH241" s="6">
        <f t="shared" si="234"/>
        <v>-8.3333333333333329E-2</v>
      </c>
    </row>
    <row r="242" spans="1:34">
      <c r="C242" s="1">
        <v>1</v>
      </c>
      <c r="D242" s="27" t="str">
        <f>+D241</f>
        <v>1-25 Yd Rolloff</v>
      </c>
      <c r="E242" s="10">
        <v>1999</v>
      </c>
      <c r="F242" s="1">
        <v>4</v>
      </c>
      <c r="G242" s="50">
        <v>0</v>
      </c>
      <c r="H242" s="50"/>
      <c r="I242" s="10" t="s">
        <v>92</v>
      </c>
      <c r="J242" s="10">
        <v>10</v>
      </c>
      <c r="K242" s="4">
        <f t="shared" si="219"/>
        <v>2009</v>
      </c>
      <c r="L242" s="66"/>
      <c r="N242" s="38">
        <v>5323.93</v>
      </c>
      <c r="O242" s="38"/>
      <c r="P242" s="30">
        <f t="shared" si="220"/>
        <v>5323.93</v>
      </c>
      <c r="Q242" s="30">
        <f t="shared" si="221"/>
        <v>44.366083333333336</v>
      </c>
      <c r="R242" s="30">
        <f t="shared" si="222"/>
        <v>0</v>
      </c>
      <c r="S242" s="30"/>
      <c r="T242" s="30">
        <f t="shared" si="223"/>
        <v>0</v>
      </c>
      <c r="U242" s="30">
        <v>1</v>
      </c>
      <c r="V242" s="30">
        <f t="shared" si="224"/>
        <v>0</v>
      </c>
      <c r="W242" s="30"/>
      <c r="X242" s="30">
        <f t="shared" si="225"/>
        <v>5323.93</v>
      </c>
      <c r="Y242" s="30">
        <f t="shared" si="226"/>
        <v>5323.93</v>
      </c>
      <c r="Z242" s="30">
        <v>1</v>
      </c>
      <c r="AA242" s="30">
        <f t="shared" si="227"/>
        <v>5323.93</v>
      </c>
      <c r="AB242" s="30">
        <f t="shared" si="228"/>
        <v>5323.93</v>
      </c>
      <c r="AC242" s="30">
        <f t="shared" si="229"/>
        <v>0</v>
      </c>
      <c r="AD242" s="6">
        <f t="shared" si="230"/>
        <v>1999.25</v>
      </c>
      <c r="AE242" s="6">
        <f t="shared" si="231"/>
        <v>2017.6666666666667</v>
      </c>
      <c r="AF242" s="6">
        <f t="shared" si="232"/>
        <v>2009.25</v>
      </c>
      <c r="AG242" s="6">
        <f t="shared" si="233"/>
        <v>2016.6666666666667</v>
      </c>
      <c r="AH242" s="6">
        <f t="shared" si="234"/>
        <v>-8.3333333333333329E-2</v>
      </c>
    </row>
    <row r="243" spans="1:34">
      <c r="C243" s="1">
        <v>1</v>
      </c>
      <c r="D243" s="27" t="s">
        <v>225</v>
      </c>
      <c r="E243" s="10">
        <v>1999</v>
      </c>
      <c r="F243" s="1">
        <v>11</v>
      </c>
      <c r="G243" s="50">
        <v>0</v>
      </c>
      <c r="H243" s="50"/>
      <c r="I243" s="10" t="s">
        <v>92</v>
      </c>
      <c r="J243" s="10">
        <v>10</v>
      </c>
      <c r="K243" s="4">
        <f t="shared" si="219"/>
        <v>2009</v>
      </c>
      <c r="L243" s="66"/>
      <c r="N243" s="38">
        <v>6957</v>
      </c>
      <c r="O243" s="38"/>
      <c r="P243" s="30">
        <f t="shared" si="220"/>
        <v>6957</v>
      </c>
      <c r="Q243" s="30">
        <f t="shared" si="221"/>
        <v>57.975000000000001</v>
      </c>
      <c r="R243" s="30">
        <f t="shared" si="222"/>
        <v>0</v>
      </c>
      <c r="S243" s="30"/>
      <c r="T243" s="30">
        <f t="shared" si="223"/>
        <v>0</v>
      </c>
      <c r="U243" s="30">
        <v>1</v>
      </c>
      <c r="V243" s="30">
        <f t="shared" si="224"/>
        <v>0</v>
      </c>
      <c r="W243" s="30"/>
      <c r="X243" s="30">
        <f t="shared" si="225"/>
        <v>6957</v>
      </c>
      <c r="Y243" s="30">
        <f t="shared" si="226"/>
        <v>6957</v>
      </c>
      <c r="Z243" s="30">
        <v>1</v>
      </c>
      <c r="AA243" s="30">
        <f t="shared" si="227"/>
        <v>6957</v>
      </c>
      <c r="AB243" s="30">
        <f t="shared" si="228"/>
        <v>6957</v>
      </c>
      <c r="AC243" s="30">
        <f t="shared" si="229"/>
        <v>0</v>
      </c>
      <c r="AD243" s="6">
        <f t="shared" si="230"/>
        <v>1999.8333333333333</v>
      </c>
      <c r="AE243" s="6">
        <f t="shared" si="231"/>
        <v>2017.6666666666667</v>
      </c>
      <c r="AF243" s="6">
        <f t="shared" si="232"/>
        <v>2009.8333333333333</v>
      </c>
      <c r="AG243" s="6">
        <f t="shared" si="233"/>
        <v>2016.6666666666667</v>
      </c>
      <c r="AH243" s="6">
        <f t="shared" si="234"/>
        <v>-8.3333333333333329E-2</v>
      </c>
    </row>
    <row r="244" spans="1:34">
      <c r="C244" s="1">
        <v>1</v>
      </c>
      <c r="D244" s="27" t="str">
        <f>+D241</f>
        <v>1-25 Yd Rolloff</v>
      </c>
      <c r="E244" s="10">
        <v>2000</v>
      </c>
      <c r="F244" s="1">
        <v>4</v>
      </c>
      <c r="G244" s="50">
        <v>0</v>
      </c>
      <c r="H244" s="50"/>
      <c r="I244" s="10" t="s">
        <v>92</v>
      </c>
      <c r="J244" s="10">
        <v>10</v>
      </c>
      <c r="K244" s="4">
        <f t="shared" si="219"/>
        <v>2010</v>
      </c>
      <c r="L244" s="66"/>
      <c r="N244" s="38">
        <v>5642.82</v>
      </c>
      <c r="O244" s="38"/>
      <c r="P244" s="30">
        <f t="shared" si="220"/>
        <v>5642.82</v>
      </c>
      <c r="Q244" s="30">
        <f t="shared" si="221"/>
        <v>47.023499999999991</v>
      </c>
      <c r="R244" s="30">
        <f t="shared" si="222"/>
        <v>0</v>
      </c>
      <c r="S244" s="30"/>
      <c r="T244" s="30">
        <f t="shared" si="223"/>
        <v>0</v>
      </c>
      <c r="U244" s="30">
        <v>1</v>
      </c>
      <c r="V244" s="30">
        <f t="shared" si="224"/>
        <v>0</v>
      </c>
      <c r="W244" s="30"/>
      <c r="X244" s="30">
        <f t="shared" si="225"/>
        <v>5642.82</v>
      </c>
      <c r="Y244" s="30">
        <f t="shared" si="226"/>
        <v>5642.82</v>
      </c>
      <c r="Z244" s="30">
        <v>1</v>
      </c>
      <c r="AA244" s="30">
        <f t="shared" si="227"/>
        <v>5642.82</v>
      </c>
      <c r="AB244" s="30">
        <f t="shared" si="228"/>
        <v>5642.82</v>
      </c>
      <c r="AC244" s="30">
        <f t="shared" si="229"/>
        <v>0</v>
      </c>
      <c r="AD244" s="6">
        <f t="shared" si="230"/>
        <v>2000.25</v>
      </c>
      <c r="AE244" s="6">
        <f t="shared" si="231"/>
        <v>2017.6666666666667</v>
      </c>
      <c r="AF244" s="6">
        <f t="shared" si="232"/>
        <v>2010.25</v>
      </c>
      <c r="AG244" s="6">
        <f t="shared" si="233"/>
        <v>2016.6666666666667</v>
      </c>
      <c r="AH244" s="6">
        <f t="shared" si="234"/>
        <v>-8.3333333333333329E-2</v>
      </c>
    </row>
    <row r="245" spans="1:34">
      <c r="C245" s="1">
        <v>1</v>
      </c>
      <c r="D245" s="27" t="s">
        <v>226</v>
      </c>
      <c r="E245" s="10">
        <v>2003</v>
      </c>
      <c r="F245" s="1">
        <v>1</v>
      </c>
      <c r="G245" s="50">
        <v>0</v>
      </c>
      <c r="H245" s="50"/>
      <c r="I245" s="10" t="s">
        <v>92</v>
      </c>
      <c r="J245" s="10">
        <v>10</v>
      </c>
      <c r="K245" s="4">
        <f t="shared" si="219"/>
        <v>2013</v>
      </c>
      <c r="L245" s="66"/>
      <c r="N245" s="38">
        <v>5200</v>
      </c>
      <c r="O245" s="38"/>
      <c r="P245" s="30">
        <f t="shared" si="220"/>
        <v>5200</v>
      </c>
      <c r="Q245" s="30">
        <f t="shared" si="221"/>
        <v>43.333333333333336</v>
      </c>
      <c r="R245" s="30">
        <f t="shared" si="222"/>
        <v>0</v>
      </c>
      <c r="S245" s="30"/>
      <c r="T245" s="30">
        <f t="shared" si="223"/>
        <v>0</v>
      </c>
      <c r="U245" s="30">
        <v>1</v>
      </c>
      <c r="V245" s="30">
        <f t="shared" si="224"/>
        <v>0</v>
      </c>
      <c r="W245" s="30"/>
      <c r="X245" s="30">
        <f t="shared" si="225"/>
        <v>5200</v>
      </c>
      <c r="Y245" s="30">
        <f t="shared" si="226"/>
        <v>5200</v>
      </c>
      <c r="Z245" s="30">
        <v>1</v>
      </c>
      <c r="AA245" s="30">
        <f t="shared" si="227"/>
        <v>5200</v>
      </c>
      <c r="AB245" s="30">
        <f t="shared" si="228"/>
        <v>5200</v>
      </c>
      <c r="AC245" s="30">
        <f t="shared" si="229"/>
        <v>0</v>
      </c>
      <c r="AD245" s="6">
        <f t="shared" si="230"/>
        <v>2003</v>
      </c>
      <c r="AE245" s="6">
        <f t="shared" si="231"/>
        <v>2017.6666666666667</v>
      </c>
      <c r="AF245" s="6">
        <f t="shared" si="232"/>
        <v>2013</v>
      </c>
      <c r="AG245" s="6">
        <f t="shared" si="233"/>
        <v>2016.6666666666667</v>
      </c>
      <c r="AH245" s="6">
        <f t="shared" si="234"/>
        <v>-8.3333333333333329E-2</v>
      </c>
    </row>
    <row r="246" spans="1:34">
      <c r="C246" s="1">
        <v>3</v>
      </c>
      <c r="D246" s="27" t="s">
        <v>227</v>
      </c>
      <c r="E246" s="10">
        <v>2003</v>
      </c>
      <c r="F246" s="1">
        <v>1</v>
      </c>
      <c r="G246" s="50">
        <v>0</v>
      </c>
      <c r="H246" s="50"/>
      <c r="I246" s="10" t="s">
        <v>92</v>
      </c>
      <c r="J246" s="10">
        <v>10</v>
      </c>
      <c r="K246" s="4">
        <f t="shared" si="219"/>
        <v>2013</v>
      </c>
      <c r="L246" s="66"/>
      <c r="N246" s="38">
        <f>5400+5400+5400</f>
        <v>16200</v>
      </c>
      <c r="O246" s="38"/>
      <c r="P246" s="30">
        <f t="shared" si="220"/>
        <v>16200</v>
      </c>
      <c r="Q246" s="30">
        <f t="shared" si="221"/>
        <v>135</v>
      </c>
      <c r="R246" s="30">
        <f t="shared" si="222"/>
        <v>0</v>
      </c>
      <c r="S246" s="30"/>
      <c r="T246" s="30">
        <f t="shared" si="223"/>
        <v>0</v>
      </c>
      <c r="U246" s="30">
        <v>1</v>
      </c>
      <c r="V246" s="30">
        <f t="shared" si="224"/>
        <v>0</v>
      </c>
      <c r="W246" s="30"/>
      <c r="X246" s="30">
        <f t="shared" si="225"/>
        <v>16200</v>
      </c>
      <c r="Y246" s="30">
        <f t="shared" si="226"/>
        <v>16200</v>
      </c>
      <c r="Z246" s="30">
        <v>1</v>
      </c>
      <c r="AA246" s="30">
        <f t="shared" si="227"/>
        <v>16200</v>
      </c>
      <c r="AB246" s="30">
        <f t="shared" si="228"/>
        <v>16200</v>
      </c>
      <c r="AC246" s="30">
        <f t="shared" si="229"/>
        <v>0</v>
      </c>
      <c r="AD246" s="6">
        <f t="shared" si="230"/>
        <v>2003</v>
      </c>
      <c r="AE246" s="6">
        <f t="shared" si="231"/>
        <v>2017.6666666666667</v>
      </c>
      <c r="AF246" s="6">
        <f t="shared" si="232"/>
        <v>2013</v>
      </c>
      <c r="AG246" s="6">
        <f t="shared" si="233"/>
        <v>2016.6666666666667</v>
      </c>
      <c r="AH246" s="6">
        <f t="shared" si="234"/>
        <v>-8.3333333333333329E-2</v>
      </c>
    </row>
    <row r="247" spans="1:34">
      <c r="C247" s="1">
        <v>1</v>
      </c>
      <c r="D247" s="27" t="s">
        <v>228</v>
      </c>
      <c r="E247" s="10">
        <v>2003</v>
      </c>
      <c r="F247" s="1">
        <v>7</v>
      </c>
      <c r="G247" s="50">
        <v>0</v>
      </c>
      <c r="H247" s="50"/>
      <c r="I247" s="10" t="s">
        <v>92</v>
      </c>
      <c r="J247" s="10">
        <v>10</v>
      </c>
      <c r="K247" s="4">
        <f t="shared" si="219"/>
        <v>2013</v>
      </c>
      <c r="L247" s="66"/>
      <c r="N247" s="38">
        <v>1096.42</v>
      </c>
      <c r="O247" s="38"/>
      <c r="P247" s="30">
        <f t="shared" si="220"/>
        <v>1096.42</v>
      </c>
      <c r="Q247" s="30">
        <f t="shared" si="221"/>
        <v>9.1368333333333336</v>
      </c>
      <c r="R247" s="30">
        <f t="shared" si="222"/>
        <v>0</v>
      </c>
      <c r="S247" s="30"/>
      <c r="T247" s="30">
        <f t="shared" si="223"/>
        <v>0</v>
      </c>
      <c r="U247" s="30">
        <v>1</v>
      </c>
      <c r="V247" s="30">
        <f t="shared" si="224"/>
        <v>0</v>
      </c>
      <c r="W247" s="30"/>
      <c r="X247" s="30">
        <f t="shared" si="225"/>
        <v>1096.42</v>
      </c>
      <c r="Y247" s="30">
        <f t="shared" si="226"/>
        <v>1096.42</v>
      </c>
      <c r="Z247" s="30">
        <v>1</v>
      </c>
      <c r="AA247" s="30">
        <f t="shared" si="227"/>
        <v>1096.42</v>
      </c>
      <c r="AB247" s="30">
        <f t="shared" si="228"/>
        <v>1096.42</v>
      </c>
      <c r="AC247" s="30">
        <f t="shared" si="229"/>
        <v>0</v>
      </c>
      <c r="AD247" s="6">
        <f t="shared" si="230"/>
        <v>2003.5</v>
      </c>
      <c r="AE247" s="6">
        <f t="shared" si="231"/>
        <v>2017.6666666666667</v>
      </c>
      <c r="AF247" s="6">
        <f t="shared" si="232"/>
        <v>2013.5</v>
      </c>
      <c r="AG247" s="6">
        <f t="shared" si="233"/>
        <v>2016.6666666666667</v>
      </c>
      <c r="AH247" s="6">
        <f t="shared" si="234"/>
        <v>-8.3333333333333329E-2</v>
      </c>
    </row>
    <row r="248" spans="1:34" ht="12" customHeight="1">
      <c r="C248" s="1">
        <v>1</v>
      </c>
      <c r="D248" s="27" t="s">
        <v>229</v>
      </c>
      <c r="E248" s="10">
        <v>2004</v>
      </c>
      <c r="F248" s="1">
        <v>7</v>
      </c>
      <c r="G248" s="50">
        <v>0</v>
      </c>
      <c r="H248" s="50"/>
      <c r="I248" s="10" t="s">
        <v>92</v>
      </c>
      <c r="J248" s="10">
        <v>10</v>
      </c>
      <c r="K248" s="4">
        <f t="shared" si="219"/>
        <v>2014</v>
      </c>
      <c r="L248" s="66"/>
      <c r="N248" s="38">
        <v>6750</v>
      </c>
      <c r="O248" s="38"/>
      <c r="P248" s="30">
        <f t="shared" si="220"/>
        <v>6750</v>
      </c>
      <c r="Q248" s="30">
        <f t="shared" si="221"/>
        <v>56.25</v>
      </c>
      <c r="R248" s="30">
        <f t="shared" si="222"/>
        <v>0</v>
      </c>
      <c r="S248" s="30"/>
      <c r="T248" s="30">
        <f t="shared" si="223"/>
        <v>0</v>
      </c>
      <c r="U248" s="30">
        <v>1</v>
      </c>
      <c r="V248" s="30">
        <f t="shared" si="224"/>
        <v>0</v>
      </c>
      <c r="W248" s="30"/>
      <c r="X248" s="30">
        <f t="shared" si="225"/>
        <v>6750</v>
      </c>
      <c r="Y248" s="30">
        <f t="shared" si="226"/>
        <v>6750</v>
      </c>
      <c r="Z248" s="30">
        <v>1</v>
      </c>
      <c r="AA248" s="30">
        <f t="shared" si="227"/>
        <v>6750</v>
      </c>
      <c r="AB248" s="30">
        <f t="shared" si="228"/>
        <v>6750</v>
      </c>
      <c r="AC248" s="30">
        <f t="shared" si="229"/>
        <v>0</v>
      </c>
      <c r="AD248" s="6">
        <f t="shared" si="230"/>
        <v>2004.5</v>
      </c>
      <c r="AE248" s="6">
        <f t="shared" si="231"/>
        <v>2017.6666666666667</v>
      </c>
      <c r="AF248" s="6">
        <f t="shared" si="232"/>
        <v>2014.5</v>
      </c>
      <c r="AG248" s="6">
        <f t="shared" si="233"/>
        <v>2016.6666666666667</v>
      </c>
      <c r="AH248" s="6">
        <f t="shared" si="234"/>
        <v>-8.3333333333333329E-2</v>
      </c>
    </row>
    <row r="249" spans="1:34">
      <c r="C249" s="1">
        <v>1</v>
      </c>
      <c r="D249" s="27" t="s">
        <v>230</v>
      </c>
      <c r="E249" s="10">
        <v>2004</v>
      </c>
      <c r="F249" s="1">
        <v>8</v>
      </c>
      <c r="G249" s="50">
        <v>0</v>
      </c>
      <c r="H249" s="50"/>
      <c r="I249" s="10" t="s">
        <v>92</v>
      </c>
      <c r="J249" s="10">
        <v>10</v>
      </c>
      <c r="K249" s="4">
        <f t="shared" si="219"/>
        <v>2014</v>
      </c>
      <c r="L249" s="66"/>
      <c r="N249" s="38">
        <v>5500</v>
      </c>
      <c r="O249" s="38"/>
      <c r="P249" s="30">
        <f t="shared" si="220"/>
        <v>5500</v>
      </c>
      <c r="Q249" s="30">
        <f t="shared" si="221"/>
        <v>45.833333333333336</v>
      </c>
      <c r="R249" s="30">
        <f t="shared" si="222"/>
        <v>0</v>
      </c>
      <c r="S249" s="30"/>
      <c r="T249" s="30">
        <f t="shared" si="223"/>
        <v>0</v>
      </c>
      <c r="U249" s="30">
        <v>1</v>
      </c>
      <c r="V249" s="30">
        <f t="shared" si="224"/>
        <v>0</v>
      </c>
      <c r="W249" s="30"/>
      <c r="X249" s="30">
        <f t="shared" si="225"/>
        <v>5500</v>
      </c>
      <c r="Y249" s="30">
        <f t="shared" si="226"/>
        <v>5500</v>
      </c>
      <c r="Z249" s="30">
        <v>1</v>
      </c>
      <c r="AA249" s="30">
        <f t="shared" si="227"/>
        <v>5500</v>
      </c>
      <c r="AB249" s="30">
        <f t="shared" si="228"/>
        <v>5500</v>
      </c>
      <c r="AC249" s="30">
        <f t="shared" si="229"/>
        <v>0</v>
      </c>
      <c r="AD249" s="6">
        <f t="shared" si="230"/>
        <v>2004.5833333333333</v>
      </c>
      <c r="AE249" s="6">
        <f t="shared" si="231"/>
        <v>2017.6666666666667</v>
      </c>
      <c r="AF249" s="6">
        <f t="shared" si="232"/>
        <v>2014.5833333333333</v>
      </c>
      <c r="AG249" s="6">
        <f t="shared" si="233"/>
        <v>2016.6666666666667</v>
      </c>
      <c r="AH249" s="6">
        <f t="shared" si="234"/>
        <v>-8.3333333333333329E-2</v>
      </c>
    </row>
    <row r="250" spans="1:34">
      <c r="C250" s="1">
        <v>1</v>
      </c>
      <c r="D250" s="27" t="s">
        <v>231</v>
      </c>
      <c r="E250" s="10">
        <v>2004</v>
      </c>
      <c r="F250" s="1">
        <v>8</v>
      </c>
      <c r="G250" s="50">
        <v>0</v>
      </c>
      <c r="H250" s="50"/>
      <c r="I250" s="10" t="s">
        <v>92</v>
      </c>
      <c r="J250" s="10">
        <v>10</v>
      </c>
      <c r="K250" s="4">
        <f t="shared" si="219"/>
        <v>2014</v>
      </c>
      <c r="L250" s="66"/>
      <c r="N250" s="38">
        <v>1055</v>
      </c>
      <c r="O250" s="38"/>
      <c r="P250" s="30">
        <f t="shared" si="220"/>
        <v>1055</v>
      </c>
      <c r="Q250" s="30">
        <f t="shared" si="221"/>
        <v>8.7916666666666661</v>
      </c>
      <c r="R250" s="30">
        <f t="shared" si="222"/>
        <v>0</v>
      </c>
      <c r="S250" s="30"/>
      <c r="T250" s="30">
        <f t="shared" si="223"/>
        <v>0</v>
      </c>
      <c r="U250" s="30">
        <v>1</v>
      </c>
      <c r="V250" s="30">
        <f t="shared" si="224"/>
        <v>0</v>
      </c>
      <c r="W250" s="30"/>
      <c r="X250" s="30">
        <f t="shared" si="225"/>
        <v>1055</v>
      </c>
      <c r="Y250" s="30">
        <f t="shared" si="226"/>
        <v>1055</v>
      </c>
      <c r="Z250" s="30">
        <v>1</v>
      </c>
      <c r="AA250" s="30">
        <f t="shared" si="227"/>
        <v>1055</v>
      </c>
      <c r="AB250" s="30">
        <f t="shared" si="228"/>
        <v>1055</v>
      </c>
      <c r="AC250" s="30">
        <f t="shared" si="229"/>
        <v>0</v>
      </c>
      <c r="AD250" s="6">
        <f t="shared" si="230"/>
        <v>2004.5833333333333</v>
      </c>
      <c r="AE250" s="6">
        <f t="shared" si="231"/>
        <v>2017.6666666666667</v>
      </c>
      <c r="AF250" s="6">
        <f t="shared" si="232"/>
        <v>2014.5833333333333</v>
      </c>
      <c r="AG250" s="6">
        <f t="shared" si="233"/>
        <v>2016.6666666666667</v>
      </c>
      <c r="AH250" s="6">
        <f t="shared" si="234"/>
        <v>-8.3333333333333329E-2</v>
      </c>
    </row>
    <row r="251" spans="1:34">
      <c r="C251" s="1">
        <v>2</v>
      </c>
      <c r="D251" s="27" t="s">
        <v>230</v>
      </c>
      <c r="E251" s="10">
        <v>2007</v>
      </c>
      <c r="F251" s="1">
        <v>6</v>
      </c>
      <c r="G251" s="50">
        <v>0</v>
      </c>
      <c r="H251" s="50"/>
      <c r="I251" s="10" t="s">
        <v>92</v>
      </c>
      <c r="J251" s="10">
        <v>10</v>
      </c>
      <c r="K251" s="4">
        <f t="shared" si="219"/>
        <v>2017</v>
      </c>
      <c r="L251" s="66"/>
      <c r="N251" s="38">
        <v>13490</v>
      </c>
      <c r="O251" s="38"/>
      <c r="P251" s="30">
        <f t="shared" si="220"/>
        <v>13490</v>
      </c>
      <c r="Q251" s="30">
        <f t="shared" si="221"/>
        <v>112.41666666666667</v>
      </c>
      <c r="R251" s="30">
        <f t="shared" si="222"/>
        <v>1011.75</v>
      </c>
      <c r="S251" s="30"/>
      <c r="T251" s="30">
        <f t="shared" si="223"/>
        <v>1011.75</v>
      </c>
      <c r="U251" s="30">
        <v>1</v>
      </c>
      <c r="V251" s="30">
        <f t="shared" si="224"/>
        <v>1011.75</v>
      </c>
      <c r="W251" s="30"/>
      <c r="X251" s="30">
        <f t="shared" si="225"/>
        <v>12478.25</v>
      </c>
      <c r="Y251" s="30">
        <f t="shared" si="226"/>
        <v>12478.25</v>
      </c>
      <c r="Z251" s="30">
        <v>1</v>
      </c>
      <c r="AA251" s="30">
        <f t="shared" si="227"/>
        <v>12478.25</v>
      </c>
      <c r="AB251" s="30">
        <f t="shared" si="228"/>
        <v>13490</v>
      </c>
      <c r="AC251" s="30">
        <f t="shared" si="229"/>
        <v>505.875</v>
      </c>
      <c r="AD251" s="6">
        <f t="shared" si="230"/>
        <v>2007.4166666666667</v>
      </c>
      <c r="AE251" s="6">
        <f t="shared" si="231"/>
        <v>2017.6666666666667</v>
      </c>
      <c r="AF251" s="6">
        <f t="shared" si="232"/>
        <v>2017.4166666666667</v>
      </c>
      <c r="AG251" s="6">
        <f t="shared" si="233"/>
        <v>2016.6666666666667</v>
      </c>
      <c r="AH251" s="6">
        <f t="shared" si="234"/>
        <v>-8.3333333333333329E-2</v>
      </c>
    </row>
    <row r="252" spans="1:34">
      <c r="C252" s="1">
        <v>1</v>
      </c>
      <c r="D252" s="27" t="s">
        <v>232</v>
      </c>
      <c r="E252" s="10">
        <v>2007</v>
      </c>
      <c r="F252" s="1">
        <v>6</v>
      </c>
      <c r="G252" s="50">
        <v>0</v>
      </c>
      <c r="H252" s="50"/>
      <c r="I252" s="10" t="s">
        <v>92</v>
      </c>
      <c r="J252" s="10">
        <v>10</v>
      </c>
      <c r="K252" s="4">
        <f t="shared" si="219"/>
        <v>2017</v>
      </c>
      <c r="L252" s="66"/>
      <c r="N252" s="38">
        <v>7750</v>
      </c>
      <c r="O252" s="38"/>
      <c r="P252" s="30">
        <f t="shared" si="220"/>
        <v>7750</v>
      </c>
      <c r="Q252" s="30">
        <f t="shared" si="221"/>
        <v>64.583333333333329</v>
      </c>
      <c r="R252" s="30">
        <f t="shared" si="222"/>
        <v>581.25</v>
      </c>
      <c r="S252" s="30"/>
      <c r="T252" s="30">
        <f t="shared" si="223"/>
        <v>581.25</v>
      </c>
      <c r="U252" s="30">
        <v>1</v>
      </c>
      <c r="V252" s="30">
        <f t="shared" si="224"/>
        <v>581.25</v>
      </c>
      <c r="W252" s="30"/>
      <c r="X252" s="30">
        <f t="shared" si="225"/>
        <v>7168.75</v>
      </c>
      <c r="Y252" s="30">
        <f t="shared" si="226"/>
        <v>7168.75</v>
      </c>
      <c r="Z252" s="30">
        <v>1</v>
      </c>
      <c r="AA252" s="30">
        <f t="shared" si="227"/>
        <v>7168.75</v>
      </c>
      <c r="AB252" s="30">
        <f t="shared" si="228"/>
        <v>7750</v>
      </c>
      <c r="AC252" s="30">
        <f t="shared" si="229"/>
        <v>290.625</v>
      </c>
      <c r="AD252" s="6">
        <f t="shared" si="230"/>
        <v>2007.4166666666667</v>
      </c>
      <c r="AE252" s="6">
        <f t="shared" si="231"/>
        <v>2017.6666666666667</v>
      </c>
      <c r="AF252" s="6">
        <f t="shared" si="232"/>
        <v>2017.4166666666667</v>
      </c>
      <c r="AG252" s="6">
        <f t="shared" si="233"/>
        <v>2016.6666666666667</v>
      </c>
      <c r="AH252" s="6">
        <f t="shared" si="234"/>
        <v>-8.3333333333333329E-2</v>
      </c>
    </row>
    <row r="253" spans="1:34">
      <c r="A253" s="1">
        <v>118265</v>
      </c>
      <c r="C253" s="1">
        <v>2</v>
      </c>
      <c r="D253" s="27" t="s">
        <v>233</v>
      </c>
      <c r="E253" s="10">
        <v>2014</v>
      </c>
      <c r="F253" s="1">
        <v>12</v>
      </c>
      <c r="G253" s="50">
        <v>0</v>
      </c>
      <c r="H253" s="50"/>
      <c r="I253" s="10" t="s">
        <v>92</v>
      </c>
      <c r="J253" s="10">
        <v>10</v>
      </c>
      <c r="K253" s="4">
        <f t="shared" si="219"/>
        <v>2024</v>
      </c>
      <c r="L253" s="66"/>
      <c r="N253" s="38">
        <v>16536.52</v>
      </c>
      <c r="O253" s="38"/>
      <c r="P253" s="30">
        <f t="shared" si="220"/>
        <v>16536.52</v>
      </c>
      <c r="Q253" s="30">
        <f t="shared" si="221"/>
        <v>137.80433333333335</v>
      </c>
      <c r="R253" s="30">
        <f t="shared" si="222"/>
        <v>1653.652</v>
      </c>
      <c r="S253" s="30"/>
      <c r="T253" s="30">
        <f t="shared" si="223"/>
        <v>1653.652</v>
      </c>
      <c r="U253" s="30">
        <v>1</v>
      </c>
      <c r="V253" s="30">
        <f t="shared" si="224"/>
        <v>1653.652</v>
      </c>
      <c r="W253" s="30"/>
      <c r="X253" s="30">
        <f t="shared" si="225"/>
        <v>2893.8910000000001</v>
      </c>
      <c r="Y253" s="30">
        <f t="shared" si="226"/>
        <v>2893.8910000000001</v>
      </c>
      <c r="Z253" s="30">
        <v>1</v>
      </c>
      <c r="AA253" s="30">
        <f t="shared" si="227"/>
        <v>2893.8910000000001</v>
      </c>
      <c r="AB253" s="30">
        <f t="shared" si="228"/>
        <v>4547.5429999999997</v>
      </c>
      <c r="AC253" s="30">
        <f t="shared" si="229"/>
        <v>12815.803</v>
      </c>
      <c r="AD253" s="6">
        <f t="shared" si="230"/>
        <v>2014.9166666666667</v>
      </c>
      <c r="AE253" s="6">
        <f t="shared" si="231"/>
        <v>2017.6666666666667</v>
      </c>
      <c r="AF253" s="6">
        <f t="shared" si="232"/>
        <v>2024.9166666666667</v>
      </c>
      <c r="AG253" s="6">
        <f t="shared" si="233"/>
        <v>2016.6666666666667</v>
      </c>
      <c r="AH253" s="6">
        <f t="shared" si="234"/>
        <v>-8.3333333333333329E-2</v>
      </c>
    </row>
    <row r="254" spans="1:34">
      <c r="A254" s="1">
        <v>167243</v>
      </c>
      <c r="C254" s="1">
        <v>2</v>
      </c>
      <c r="D254" s="27" t="s">
        <v>282</v>
      </c>
      <c r="E254" s="10">
        <v>2016</v>
      </c>
      <c r="F254" s="1">
        <v>8</v>
      </c>
      <c r="G254" s="50">
        <v>0</v>
      </c>
      <c r="H254" s="50"/>
      <c r="I254" s="10" t="s">
        <v>92</v>
      </c>
      <c r="J254" s="10">
        <v>12</v>
      </c>
      <c r="K254" s="4">
        <f t="shared" ref="K254" si="235">E254+J254</f>
        <v>2028</v>
      </c>
      <c r="L254" s="66"/>
      <c r="N254" s="38">
        <v>16326.32</v>
      </c>
      <c r="O254" s="38"/>
      <c r="P254" s="30">
        <f t="shared" ref="P254" si="236">N254-N254*G254</f>
        <v>16326.32</v>
      </c>
      <c r="Q254" s="30">
        <f t="shared" ref="Q254" si="237">P254/J254/12</f>
        <v>113.37722222222222</v>
      </c>
      <c r="R254" s="30">
        <f t="shared" ref="R254" si="238">IF(O254&gt;0,0,IF(OR(AD254&gt;AE254,AF254&lt;AG254),0,IF(AND(AF254&gt;=AG254,AF254&lt;=AE254),Q254*((AF254-AG254)*12),IF(AND(AG254&lt;=AD254,AE254&gt;=AD254),((AE254-AD254)*12)*Q254,IF(AF254&gt;AE254,12*Q254,0)))))</f>
        <v>1360.5266666666666</v>
      </c>
      <c r="S254" s="30"/>
      <c r="T254" s="30">
        <f t="shared" ref="T254" si="239">IF(S254&gt;0,S254,R254)</f>
        <v>1360.5266666666666</v>
      </c>
      <c r="U254" s="30">
        <v>1</v>
      </c>
      <c r="V254" s="30">
        <f t="shared" ref="V254" si="240">U254*SUM(R254:S254)</f>
        <v>1360.5266666666666</v>
      </c>
      <c r="W254" s="30"/>
      <c r="X254" s="30">
        <f t="shared" ref="X254" si="241">IF(AD254&gt;AE254,0,IF(AF254&lt;AG254,P254,IF(AND(AF254&gt;=AG254,AF254&lt;=AE254),(P254-T254),IF(AND(AG254&lt;=AD254,AE254&gt;=AD254),0,IF(AF254&gt;AE254,((AG254-AD254)*12)*Q254,0)))))</f>
        <v>113.37722222242844</v>
      </c>
      <c r="Y254" s="30">
        <f t="shared" ref="Y254" si="242">X254*U254</f>
        <v>113.37722222242844</v>
      </c>
      <c r="Z254" s="30">
        <v>1</v>
      </c>
      <c r="AA254" s="30">
        <f t="shared" ref="AA254" si="243">Y254*Z254</f>
        <v>113.37722222242844</v>
      </c>
      <c r="AB254" s="30">
        <f t="shared" ref="AB254" si="244">IF(O254&gt;0,0,AA254+V254*Z254)*Z254</f>
        <v>1473.903888889095</v>
      </c>
      <c r="AC254" s="30">
        <f t="shared" ref="AC254" si="245">IF(O254&gt;0,(N254-AA254)/2,IF(AD254&gt;=AG254,(((N254*U254)*Z254)-AB254)/2,((((N254*U254)*Z254)-AA254)+(((N254*U254)*Z254)-AB254))/2))</f>
        <v>15532.679444444238</v>
      </c>
      <c r="AD254" s="6">
        <f t="shared" si="230"/>
        <v>2016.5833333333333</v>
      </c>
      <c r="AE254" s="6">
        <f t="shared" si="231"/>
        <v>2017.6666666666667</v>
      </c>
      <c r="AF254" s="6">
        <f t="shared" si="232"/>
        <v>2028.5833333333333</v>
      </c>
      <c r="AG254" s="6">
        <f t="shared" si="233"/>
        <v>2016.6666666666667</v>
      </c>
      <c r="AH254" s="6">
        <f t="shared" si="234"/>
        <v>-8.3333333333333329E-2</v>
      </c>
    </row>
    <row r="255" spans="1:34">
      <c r="A255" s="1">
        <v>167672</v>
      </c>
      <c r="C255" s="1">
        <v>2</v>
      </c>
      <c r="D255" s="27" t="s">
        <v>283</v>
      </c>
      <c r="E255" s="10">
        <v>2016</v>
      </c>
      <c r="F255" s="1">
        <v>9</v>
      </c>
      <c r="G255" s="50">
        <v>0</v>
      </c>
      <c r="H255" s="50"/>
      <c r="I255" s="10" t="s">
        <v>92</v>
      </c>
      <c r="J255" s="10">
        <v>12</v>
      </c>
      <c r="K255" s="4">
        <f t="shared" ref="K255:K256" si="246">E255+J255</f>
        <v>2028</v>
      </c>
      <c r="L255" s="66"/>
      <c r="N255" s="38">
        <v>17274.96</v>
      </c>
      <c r="O255" s="38"/>
      <c r="P255" s="30">
        <f t="shared" ref="P255:P256" si="247">N255-N255*G255</f>
        <v>17274.96</v>
      </c>
      <c r="Q255" s="30">
        <f t="shared" ref="Q255:Q256" si="248">P255/J255/12</f>
        <v>119.96499999999999</v>
      </c>
      <c r="R255" s="30">
        <f t="shared" ref="R255" si="249">IF(O255&gt;0,0,IF(OR(AD255&gt;AE255,AF255&lt;AG255),0,IF(AND(AF255&gt;=AG255,AF255&lt;=AE255),Q255*((AF255-AG255)*12),IF(AND(AG255&lt;=AD255,AE255&gt;=AD255),((AE255-AD255)*12)*Q255,IF(AF255&gt;AE255,12*Q255,0)))))</f>
        <v>1439.58</v>
      </c>
      <c r="S255" s="30"/>
      <c r="T255" s="30">
        <f t="shared" ref="T255" si="250">IF(S255&gt;0,S255,R255)</f>
        <v>1439.58</v>
      </c>
      <c r="U255" s="30">
        <v>1</v>
      </c>
      <c r="V255" s="30">
        <f t="shared" ref="V255" si="251">U255*SUM(R255:S255)</f>
        <v>1439.58</v>
      </c>
      <c r="W255" s="30"/>
      <c r="X255" s="30">
        <f t="shared" ref="X255" si="252">IF(AD255&gt;AE255,0,IF(AF255&lt;AG255,P255,IF(AND(AF255&gt;=AG255,AF255&lt;=AE255),(P255-T255),IF(AND(AG255&lt;=AD255,AE255&gt;=AD255),0,IF(AF255&gt;AE255,((AG255-AD255)*12)*Q255,0)))))</f>
        <v>0</v>
      </c>
      <c r="Y255" s="30">
        <f t="shared" ref="Y255" si="253">X255*U255</f>
        <v>0</v>
      </c>
      <c r="Z255" s="30">
        <v>1</v>
      </c>
      <c r="AA255" s="30">
        <f t="shared" ref="AA255" si="254">Y255*Z255</f>
        <v>0</v>
      </c>
      <c r="AB255" s="30">
        <f t="shared" ref="AB255" si="255">IF(O255&gt;0,0,AA255+V255*Z255)*Z255</f>
        <v>1439.58</v>
      </c>
      <c r="AC255" s="30">
        <f t="shared" ref="AC255" si="256">IF(O255&gt;0,(N255-AA255)/2,IF(AD255&gt;=AG255,(((N255*U255)*Z255)-AB255)/2,((((N255*U255)*Z255)-AA255)+(((N255*U255)*Z255)-AB255))/2))</f>
        <v>7917.69</v>
      </c>
      <c r="AD255" s="6">
        <f t="shared" si="230"/>
        <v>2016.6666666666667</v>
      </c>
      <c r="AE255" s="6">
        <f t="shared" si="231"/>
        <v>2017.6666666666667</v>
      </c>
      <c r="AF255" s="6">
        <f t="shared" si="232"/>
        <v>2028.6666666666667</v>
      </c>
      <c r="AG255" s="6">
        <f t="shared" si="233"/>
        <v>2016.6666666666667</v>
      </c>
      <c r="AH255" s="6">
        <f t="shared" si="234"/>
        <v>-8.3333333333333329E-2</v>
      </c>
    </row>
    <row r="256" spans="1:34" s="82" customFormat="1">
      <c r="A256" s="82">
        <v>184173</v>
      </c>
      <c r="C256" s="82">
        <v>2</v>
      </c>
      <c r="D256" s="83" t="s">
        <v>295</v>
      </c>
      <c r="E256" s="84">
        <v>2017</v>
      </c>
      <c r="F256" s="82">
        <v>7</v>
      </c>
      <c r="G256" s="85">
        <v>0</v>
      </c>
      <c r="H256" s="85"/>
      <c r="I256" s="84" t="s">
        <v>92</v>
      </c>
      <c r="J256" s="84">
        <v>12</v>
      </c>
      <c r="K256" s="86">
        <f t="shared" si="246"/>
        <v>2029</v>
      </c>
      <c r="L256" s="92"/>
      <c r="N256" s="89">
        <v>23286</v>
      </c>
      <c r="O256" s="89"/>
      <c r="P256" s="90">
        <f t="shared" si="247"/>
        <v>23286</v>
      </c>
      <c r="Q256" s="90">
        <f t="shared" si="248"/>
        <v>161.70833333333334</v>
      </c>
      <c r="R256" s="90">
        <f t="shared" ref="R256" si="257">IF(O256&gt;0,0,IF(OR(AD256&gt;AE256,AF256&lt;AG256),0,IF(AND(AF256&gt;=AG256,AF256&lt;=AE256),Q256*((AF256-AG256)*12),IF(AND(AG256&lt;=AD256,AE256&gt;=AD256),((AE256-AD256)*12)*Q256,IF(AF256&gt;AE256,12*Q256,0)))))</f>
        <v>323.41666666681374</v>
      </c>
      <c r="S256" s="90"/>
      <c r="T256" s="90">
        <f t="shared" ref="T256" si="258">IF(S256&gt;0,S256,R256)</f>
        <v>323.41666666681374</v>
      </c>
      <c r="U256" s="90">
        <v>1</v>
      </c>
      <c r="V256" s="90">
        <f t="shared" ref="V256" si="259">U256*SUM(R256:S256)</f>
        <v>323.41666666681374</v>
      </c>
      <c r="W256" s="90"/>
      <c r="X256" s="90">
        <f t="shared" ref="X256" si="260">IF(AD256&gt;AE256,0,IF(AF256&lt;AG256,P256,IF(AND(AF256&gt;=AG256,AF256&lt;=AE256),(P256-T256),IF(AND(AG256&lt;=AD256,AE256&gt;=AD256),0,IF(AF256&gt;AE256,((AG256-AD256)*12)*Q256,0)))))</f>
        <v>0</v>
      </c>
      <c r="Y256" s="90">
        <f t="shared" ref="Y256" si="261">X256*U256</f>
        <v>0</v>
      </c>
      <c r="Z256" s="90">
        <v>1</v>
      </c>
      <c r="AA256" s="90">
        <f t="shared" ref="AA256" si="262">Y256*Z256</f>
        <v>0</v>
      </c>
      <c r="AB256" s="90">
        <f t="shared" ref="AB256" si="263">IF(O256&gt;0,0,AA256+V256*Z256)*Z256</f>
        <v>323.41666666681374</v>
      </c>
      <c r="AC256" s="90">
        <f t="shared" ref="AC256" si="264">IF(O256&gt;0,(N256-AA256)/2,IF(AD256&gt;=AG256,(((N256*U256)*Z256)-AB256)/2,((((N256*U256)*Z256)-AA256)+(((N256*U256)*Z256)-AB256))/2))</f>
        <v>11481.291666666593</v>
      </c>
      <c r="AD256" s="91">
        <f t="shared" si="230"/>
        <v>2017.5</v>
      </c>
      <c r="AE256" s="91">
        <f t="shared" si="231"/>
        <v>2017.6666666666667</v>
      </c>
      <c r="AF256" s="91">
        <f t="shared" si="232"/>
        <v>2029.5</v>
      </c>
      <c r="AG256" s="91">
        <f t="shared" si="233"/>
        <v>2016.6666666666667</v>
      </c>
      <c r="AH256" s="91">
        <f t="shared" si="234"/>
        <v>-8.3333333333333329E-2</v>
      </c>
    </row>
    <row r="257" spans="3:34">
      <c r="D257" s="27"/>
      <c r="E257" s="10"/>
      <c r="G257" s="50"/>
      <c r="H257" s="50"/>
      <c r="I257" s="10"/>
      <c r="J257" s="10"/>
      <c r="L257" s="66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</row>
    <row r="258" spans="3:34">
      <c r="C258" s="31">
        <f>SUM(C240:C252)</f>
        <v>16</v>
      </c>
      <c r="D258" s="41" t="s">
        <v>234</v>
      </c>
      <c r="E258" s="42"/>
      <c r="F258" s="43"/>
      <c r="G258" s="43"/>
      <c r="H258" s="43"/>
      <c r="I258" s="43"/>
      <c r="J258" s="42"/>
      <c r="K258" s="58"/>
      <c r="L258" s="59"/>
      <c r="M258" s="43"/>
      <c r="N258" s="60">
        <f>SUM(N239:N257)</f>
        <v>160510.9</v>
      </c>
      <c r="O258" s="61"/>
      <c r="P258" s="60">
        <f>SUM(P239:P257)</f>
        <v>160510.9</v>
      </c>
      <c r="Q258" s="60">
        <f>SUM(Q239:Q257)</f>
        <v>1258.5807222222222</v>
      </c>
      <c r="R258" s="60">
        <f>SUM(R239:R257)</f>
        <v>6370.17533333348</v>
      </c>
      <c r="S258" s="60"/>
      <c r="T258" s="60">
        <f>SUM(T239:T257)</f>
        <v>6370.17533333348</v>
      </c>
      <c r="U258" s="60"/>
      <c r="V258" s="60">
        <f>SUM(V239:V257)</f>
        <v>6370.17533333348</v>
      </c>
      <c r="W258" s="61"/>
      <c r="X258" s="61"/>
      <c r="Y258" s="61"/>
      <c r="Z258" s="61"/>
      <c r="AA258" s="60">
        <f>SUM(AA239:AA257)</f>
        <v>88501.368222222431</v>
      </c>
      <c r="AB258" s="60">
        <f>SUM(AB239:AB257)</f>
        <v>94871.543555555923</v>
      </c>
      <c r="AC258" s="60">
        <f>SUM(AC239:AC257)</f>
        <v>48543.964111110829</v>
      </c>
    </row>
    <row r="259" spans="3:34">
      <c r="C259" s="67"/>
      <c r="D259" s="53"/>
      <c r="E259" s="10"/>
      <c r="G259" s="1"/>
      <c r="J259" s="10"/>
      <c r="L259" s="63"/>
      <c r="N259" s="64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</row>
    <row r="260" spans="3:34">
      <c r="D260" s="15"/>
      <c r="E260" s="10"/>
      <c r="G260" s="1"/>
      <c r="J260" s="10"/>
      <c r="L260" s="63"/>
      <c r="N260" s="64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</row>
    <row r="261" spans="3:34">
      <c r="D261" s="15" t="s">
        <v>235</v>
      </c>
      <c r="E261" s="10"/>
      <c r="G261" s="1"/>
      <c r="J261" s="10"/>
      <c r="L261" s="63"/>
      <c r="N261" s="64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</row>
    <row r="262" spans="3:34">
      <c r="D262" s="27" t="s">
        <v>236</v>
      </c>
      <c r="E262" s="10">
        <v>2004</v>
      </c>
      <c r="F262" s="1">
        <v>8</v>
      </c>
      <c r="G262" s="50">
        <v>0.2</v>
      </c>
      <c r="H262" s="50"/>
      <c r="I262" s="10" t="s">
        <v>92</v>
      </c>
      <c r="J262" s="10">
        <v>7</v>
      </c>
      <c r="K262" s="4">
        <f>E262+J262</f>
        <v>2011</v>
      </c>
      <c r="L262" s="51"/>
      <c r="N262" s="29">
        <f>15000+18940</f>
        <v>33940</v>
      </c>
      <c r="O262" s="38"/>
      <c r="P262" s="30">
        <f>N262-N262*G262</f>
        <v>27152</v>
      </c>
      <c r="Q262" s="30">
        <f>P262/J262/12</f>
        <v>323.23809523809524</v>
      </c>
      <c r="R262" s="30">
        <f>IF(O262&gt;0,0,IF(OR(AD262&gt;AE262,AF262&lt;AG262),0,IF(AND(AF262&gt;=AG262,AF262&lt;=AE262),Q262*((AF262-AG262)*12),IF(AND(AG262&lt;=AD262,AE262&gt;=AD262),((AE262-AD262)*12)*Q262,IF(AF262&gt;AE262,12*Q262,0)))))</f>
        <v>0</v>
      </c>
      <c r="S262" s="30"/>
      <c r="T262" s="30">
        <f>IF(S262&gt;0,S262,R262)</f>
        <v>0</v>
      </c>
      <c r="U262" s="30">
        <v>1</v>
      </c>
      <c r="V262" s="30">
        <f>U262*SUM(R262:S262)</f>
        <v>0</v>
      </c>
      <c r="W262" s="30"/>
      <c r="X262" s="30">
        <f>IF(AD262&gt;AE262,0,IF(AF262&lt;AG262,P262,IF(AND(AF262&gt;=AG262,AF262&lt;=AE262),(P262-T262),IF(AND(AG262&lt;=AD262,AE262&gt;=AD262),0,IF(AF262&gt;AE262,((AG262-AD262)*12)*Q262,0)))))</f>
        <v>27152</v>
      </c>
      <c r="Y262" s="30">
        <f>X262*U262</f>
        <v>27152</v>
      </c>
      <c r="Z262" s="30">
        <v>1</v>
      </c>
      <c r="AA262" s="30">
        <f>Y262*Z262</f>
        <v>27152</v>
      </c>
      <c r="AB262" s="30">
        <f>IF(O262&gt;0,0,AA262+V262*Z262)*Z262</f>
        <v>27152</v>
      </c>
      <c r="AC262" s="30">
        <f>IF(O262&gt;0,(N262-AA262)/2,IF(AD262&gt;=AG262,(((N262*U262)*Z262)-AB262)/2,((((N262*U262)*Z262)-AA262)+(((N262*U262)*Z262)-AB262))/2))</f>
        <v>6788</v>
      </c>
      <c r="AD262" s="6">
        <f>$E262+(($F262-1)/12)</f>
        <v>2004.5833333333333</v>
      </c>
      <c r="AE262" s="6">
        <f>($P$5+1)-($P$2/12)</f>
        <v>2017.6666666666667</v>
      </c>
      <c r="AF262" s="6">
        <f>$K262+(($F262-1)/12)</f>
        <v>2011.5833333333333</v>
      </c>
      <c r="AG262" s="6">
        <f>$P$4+($P$3/12)</f>
        <v>2016.6666666666667</v>
      </c>
      <c r="AH262" s="6">
        <f>$L262+(($M262-1)/12)</f>
        <v>-8.3333333333333329E-2</v>
      </c>
    </row>
    <row r="263" spans="3:34">
      <c r="D263" s="27"/>
      <c r="E263" s="10"/>
      <c r="G263" s="50"/>
      <c r="H263" s="50"/>
      <c r="I263" s="10"/>
      <c r="J263" s="10"/>
      <c r="L263" s="51"/>
      <c r="N263" s="29"/>
      <c r="O263" s="38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6"/>
      <c r="AE263" s="6"/>
      <c r="AF263" s="6"/>
      <c r="AG263" s="6"/>
      <c r="AH263" s="6"/>
    </row>
    <row r="264" spans="3:34">
      <c r="D264" s="41" t="s">
        <v>32</v>
      </c>
      <c r="E264" s="42"/>
      <c r="F264" s="43"/>
      <c r="G264" s="68"/>
      <c r="H264" s="68"/>
      <c r="I264" s="42"/>
      <c r="J264" s="42"/>
      <c r="K264" s="58"/>
      <c r="L264" s="69"/>
      <c r="M264" s="43"/>
      <c r="N264" s="60">
        <f>SUM(N262:N263)</f>
        <v>33940</v>
      </c>
      <c r="O264" s="61"/>
      <c r="P264" s="60">
        <f>SUM(P262:P263)</f>
        <v>27152</v>
      </c>
      <c r="Q264" s="60">
        <f>SUM(Q262:Q263)</f>
        <v>323.23809523809524</v>
      </c>
      <c r="R264" s="60">
        <f>SUM(R262:R263)</f>
        <v>0</v>
      </c>
      <c r="S264" s="70"/>
      <c r="T264" s="70"/>
      <c r="U264" s="70"/>
      <c r="V264" s="70"/>
      <c r="W264" s="70"/>
      <c r="X264" s="70"/>
      <c r="Y264" s="70"/>
      <c r="Z264" s="70"/>
      <c r="AA264" s="60">
        <f>SUM(AA262:AA263)</f>
        <v>27152</v>
      </c>
      <c r="AB264" s="60">
        <f>SUM(AB262:AB263)</f>
        <v>27152</v>
      </c>
      <c r="AC264" s="60">
        <f>SUM(AC262:AC263)</f>
        <v>6788</v>
      </c>
      <c r="AD264" s="6"/>
      <c r="AE264" s="6"/>
      <c r="AF264" s="6"/>
      <c r="AG264" s="6"/>
      <c r="AH264" s="6"/>
    </row>
    <row r="265" spans="3:34">
      <c r="D265" s="15"/>
      <c r="E265" s="10"/>
      <c r="G265" s="1"/>
      <c r="J265" s="10"/>
      <c r="L265" s="63"/>
      <c r="N265" s="64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</row>
    <row r="266" spans="3:34">
      <c r="E266" s="10"/>
      <c r="G266" s="1"/>
      <c r="J266" s="10"/>
      <c r="L266" s="71"/>
      <c r="N266" s="72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</row>
    <row r="267" spans="3:34">
      <c r="D267" s="15" t="s">
        <v>237</v>
      </c>
      <c r="E267" s="10"/>
      <c r="G267" s="1"/>
      <c r="J267" s="10"/>
      <c r="L267" s="71"/>
      <c r="N267" s="72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</row>
    <row r="268" spans="3:34">
      <c r="D268" s="27" t="s">
        <v>238</v>
      </c>
      <c r="E268" s="10">
        <v>1992</v>
      </c>
      <c r="F268" s="1">
        <v>7</v>
      </c>
      <c r="G268" s="50">
        <v>0.2</v>
      </c>
      <c r="H268" s="50"/>
      <c r="I268" s="10" t="s">
        <v>92</v>
      </c>
      <c r="J268" s="10">
        <v>7</v>
      </c>
      <c r="K268" s="4">
        <f t="shared" ref="K268:K279" si="265">E268+J268</f>
        <v>1999</v>
      </c>
      <c r="L268" s="51"/>
      <c r="N268" s="29">
        <v>20010</v>
      </c>
      <c r="O268" s="38"/>
      <c r="P268" s="30">
        <f t="shared" ref="P268:P279" si="266">N268-N268*G268</f>
        <v>16008</v>
      </c>
      <c r="Q268" s="30">
        <f t="shared" ref="Q268:Q279" si="267">P268/J268/12</f>
        <v>190.57142857142856</v>
      </c>
      <c r="R268" s="30">
        <f t="shared" ref="R268:R279" si="268">IF(O268&gt;0,0,IF(OR(AD268&gt;AE268,AF268&lt;AG268),0,IF(AND(AF268&gt;=AG268,AF268&lt;=AE268),Q268*((AF268-AG268)*12),IF(AND(AG268&lt;=AD268,AE268&gt;=AD268),((AE268-AD268)*12)*Q268,IF(AF268&gt;AE268,12*Q268,0)))))</f>
        <v>0</v>
      </c>
      <c r="S268" s="30"/>
      <c r="T268" s="30">
        <f t="shared" ref="T268:T279" si="269">IF(S268&gt;0,S268,R268)</f>
        <v>0</v>
      </c>
      <c r="U268" s="30">
        <v>1</v>
      </c>
      <c r="V268" s="30">
        <f t="shared" ref="V268:V279" si="270">U268*SUM(R268:S268)</f>
        <v>0</v>
      </c>
      <c r="W268" s="30"/>
      <c r="X268" s="30">
        <f t="shared" ref="X268:X279" si="271">IF(AD268&gt;AE268,0,IF(AF268&lt;AG268,P268,IF(AND(AF268&gt;=AG268,AF268&lt;=AE268),(P268-T268),IF(AND(AG268&lt;=AD268,AE268&gt;=AD268),0,IF(AF268&gt;AE268,((AG268-AD268)*12)*Q268,0)))))</f>
        <v>16008</v>
      </c>
      <c r="Y268" s="30">
        <f t="shared" ref="Y268:Y279" si="272">X268*U268</f>
        <v>16008</v>
      </c>
      <c r="Z268" s="30">
        <v>1</v>
      </c>
      <c r="AA268" s="30">
        <f t="shared" ref="AA268:AA279" si="273">Y268*Z268</f>
        <v>16008</v>
      </c>
      <c r="AB268" s="30">
        <f t="shared" ref="AB268:AB279" si="274">IF(O268&gt;0,0,AA268+V268*Z268)*Z268</f>
        <v>16008</v>
      </c>
      <c r="AC268" s="30">
        <f t="shared" ref="AC268:AC279" si="275">IF(O268&gt;0,(N268-AA268)/2,IF(AD268&gt;=AG268,(((N268*U268)*Z268)-AB268)/2,((((N268*U268)*Z268)-AA268)+(((N268*U268)*Z268)-AB268))/2))</f>
        <v>4002</v>
      </c>
      <c r="AD268" s="6">
        <f t="shared" ref="AD268:AD286" si="276">$E268+(($F268-1)/12)</f>
        <v>1992.5</v>
      </c>
      <c r="AE268" s="6">
        <f t="shared" ref="AE268:AE286" si="277">($P$5+1)-($P$2/12)</f>
        <v>2017.6666666666667</v>
      </c>
      <c r="AF268" s="6">
        <f t="shared" ref="AF268:AF286" si="278">$K268+(($F268-1)/12)</f>
        <v>1999.5</v>
      </c>
      <c r="AG268" s="6">
        <f t="shared" ref="AG268:AG286" si="279">$P$4+($P$3/12)</f>
        <v>2016.6666666666667</v>
      </c>
      <c r="AH268" s="6">
        <f t="shared" ref="AH268:AH286" si="280">$L268+(($M268-1)/12)</f>
        <v>-8.3333333333333329E-2</v>
      </c>
    </row>
    <row r="269" spans="3:34">
      <c r="D269" s="27" t="s">
        <v>239</v>
      </c>
      <c r="E269" s="10">
        <v>1992</v>
      </c>
      <c r="F269" s="1">
        <v>5</v>
      </c>
      <c r="G269" s="50">
        <v>0.2</v>
      </c>
      <c r="H269" s="50"/>
      <c r="I269" s="10" t="s">
        <v>92</v>
      </c>
      <c r="J269" s="10">
        <v>7</v>
      </c>
      <c r="K269" s="4">
        <f t="shared" si="265"/>
        <v>1999</v>
      </c>
      <c r="L269" s="51"/>
      <c r="N269" s="29">
        <v>44068</v>
      </c>
      <c r="O269" s="38"/>
      <c r="P269" s="30">
        <f t="shared" si="266"/>
        <v>35254.400000000001</v>
      </c>
      <c r="Q269" s="30">
        <f t="shared" si="267"/>
        <v>419.69523809523815</v>
      </c>
      <c r="R269" s="30">
        <f t="shared" si="268"/>
        <v>0</v>
      </c>
      <c r="S269" s="30"/>
      <c r="T269" s="30">
        <f t="shared" si="269"/>
        <v>0</v>
      </c>
      <c r="U269" s="30">
        <v>1</v>
      </c>
      <c r="V269" s="30">
        <f t="shared" si="270"/>
        <v>0</v>
      </c>
      <c r="W269" s="30"/>
      <c r="X269" s="30">
        <f t="shared" si="271"/>
        <v>35254.400000000001</v>
      </c>
      <c r="Y269" s="30">
        <f t="shared" si="272"/>
        <v>35254.400000000001</v>
      </c>
      <c r="Z269" s="30">
        <v>1</v>
      </c>
      <c r="AA269" s="30">
        <f t="shared" si="273"/>
        <v>35254.400000000001</v>
      </c>
      <c r="AB269" s="30">
        <f t="shared" si="274"/>
        <v>35254.400000000001</v>
      </c>
      <c r="AC269" s="30">
        <f t="shared" si="275"/>
        <v>8813.5999999999985</v>
      </c>
      <c r="AD269" s="6">
        <f t="shared" si="276"/>
        <v>1992.3333333333333</v>
      </c>
      <c r="AE269" s="6">
        <f t="shared" si="277"/>
        <v>2017.6666666666667</v>
      </c>
      <c r="AF269" s="6">
        <f t="shared" si="278"/>
        <v>1999.3333333333333</v>
      </c>
      <c r="AG269" s="6">
        <f t="shared" si="279"/>
        <v>2016.6666666666667</v>
      </c>
      <c r="AH269" s="6">
        <f t="shared" si="280"/>
        <v>-8.3333333333333329E-2</v>
      </c>
    </row>
    <row r="270" spans="3:34">
      <c r="D270" s="27" t="s">
        <v>240</v>
      </c>
      <c r="E270" s="10">
        <v>1996</v>
      </c>
      <c r="F270" s="1">
        <v>12</v>
      </c>
      <c r="G270" s="50">
        <v>0.3</v>
      </c>
      <c r="H270" s="50"/>
      <c r="I270" s="10" t="s">
        <v>92</v>
      </c>
      <c r="J270" s="10">
        <v>7</v>
      </c>
      <c r="K270" s="4">
        <f t="shared" si="265"/>
        <v>2003</v>
      </c>
      <c r="L270" s="51"/>
      <c r="N270" s="29">
        <v>800</v>
      </c>
      <c r="O270" s="38"/>
      <c r="P270" s="30">
        <f t="shared" si="266"/>
        <v>560</v>
      </c>
      <c r="Q270" s="30">
        <f t="shared" si="267"/>
        <v>6.666666666666667</v>
      </c>
      <c r="R270" s="30">
        <f t="shared" si="268"/>
        <v>0</v>
      </c>
      <c r="S270" s="30"/>
      <c r="T270" s="30">
        <f t="shared" si="269"/>
        <v>0</v>
      </c>
      <c r="U270" s="30">
        <v>1</v>
      </c>
      <c r="V270" s="30">
        <f t="shared" si="270"/>
        <v>0</v>
      </c>
      <c r="W270" s="30"/>
      <c r="X270" s="30">
        <f t="shared" si="271"/>
        <v>560</v>
      </c>
      <c r="Y270" s="30">
        <f t="shared" si="272"/>
        <v>560</v>
      </c>
      <c r="Z270" s="30">
        <v>1</v>
      </c>
      <c r="AA270" s="30">
        <f t="shared" si="273"/>
        <v>560</v>
      </c>
      <c r="AB270" s="30">
        <f t="shared" si="274"/>
        <v>560</v>
      </c>
      <c r="AC270" s="30">
        <f t="shared" si="275"/>
        <v>240</v>
      </c>
      <c r="AD270" s="6">
        <f t="shared" si="276"/>
        <v>1996.9166666666667</v>
      </c>
      <c r="AE270" s="6">
        <f t="shared" si="277"/>
        <v>2017.6666666666667</v>
      </c>
      <c r="AF270" s="6">
        <f t="shared" si="278"/>
        <v>2003.9166666666667</v>
      </c>
      <c r="AG270" s="6">
        <f t="shared" si="279"/>
        <v>2016.6666666666667</v>
      </c>
      <c r="AH270" s="6">
        <f t="shared" si="280"/>
        <v>-8.3333333333333329E-2</v>
      </c>
    </row>
    <row r="271" spans="3:34">
      <c r="D271" s="27" t="s">
        <v>241</v>
      </c>
      <c r="E271" s="10">
        <v>2001</v>
      </c>
      <c r="F271" s="1">
        <v>2</v>
      </c>
      <c r="G271" s="50">
        <v>0</v>
      </c>
      <c r="H271" s="50"/>
      <c r="I271" s="10" t="s">
        <v>92</v>
      </c>
      <c r="J271" s="10">
        <v>7</v>
      </c>
      <c r="K271" s="4">
        <f t="shared" si="265"/>
        <v>2008</v>
      </c>
      <c r="L271" s="51"/>
      <c r="N271" s="29">
        <v>4462.29</v>
      </c>
      <c r="O271" s="38"/>
      <c r="P271" s="30">
        <f t="shared" si="266"/>
        <v>4462.29</v>
      </c>
      <c r="Q271" s="30">
        <f t="shared" si="267"/>
        <v>53.122500000000002</v>
      </c>
      <c r="R271" s="30">
        <f t="shared" si="268"/>
        <v>0</v>
      </c>
      <c r="S271" s="30"/>
      <c r="T271" s="30">
        <f t="shared" si="269"/>
        <v>0</v>
      </c>
      <c r="U271" s="30">
        <v>1</v>
      </c>
      <c r="V271" s="30">
        <f t="shared" si="270"/>
        <v>0</v>
      </c>
      <c r="W271" s="30"/>
      <c r="X271" s="30">
        <f t="shared" si="271"/>
        <v>4462.29</v>
      </c>
      <c r="Y271" s="30">
        <f t="shared" si="272"/>
        <v>4462.29</v>
      </c>
      <c r="Z271" s="30">
        <v>1</v>
      </c>
      <c r="AA271" s="30">
        <f t="shared" si="273"/>
        <v>4462.29</v>
      </c>
      <c r="AB271" s="30">
        <f t="shared" si="274"/>
        <v>4462.29</v>
      </c>
      <c r="AC271" s="30">
        <f t="shared" si="275"/>
        <v>0</v>
      </c>
      <c r="AD271" s="6">
        <f t="shared" si="276"/>
        <v>2001.0833333333333</v>
      </c>
      <c r="AE271" s="6">
        <f t="shared" si="277"/>
        <v>2017.6666666666667</v>
      </c>
      <c r="AF271" s="6">
        <f t="shared" si="278"/>
        <v>2008.0833333333333</v>
      </c>
      <c r="AG271" s="6">
        <f t="shared" si="279"/>
        <v>2016.6666666666667</v>
      </c>
      <c r="AH271" s="6">
        <f t="shared" si="280"/>
        <v>-8.3333333333333329E-2</v>
      </c>
    </row>
    <row r="272" spans="3:34">
      <c r="D272" s="1" t="s">
        <v>242</v>
      </c>
      <c r="E272" s="10">
        <v>2002</v>
      </c>
      <c r="F272" s="1">
        <v>1</v>
      </c>
      <c r="G272" s="50">
        <v>0</v>
      </c>
      <c r="H272" s="50"/>
      <c r="I272" s="10" t="s">
        <v>92</v>
      </c>
      <c r="J272" s="10">
        <v>7</v>
      </c>
      <c r="K272" s="4">
        <f t="shared" si="265"/>
        <v>2009</v>
      </c>
      <c r="L272" s="66"/>
      <c r="N272" s="38">
        <v>5000</v>
      </c>
      <c r="O272" s="38"/>
      <c r="P272" s="30">
        <f t="shared" si="266"/>
        <v>5000</v>
      </c>
      <c r="Q272" s="30">
        <f t="shared" si="267"/>
        <v>59.523809523809526</v>
      </c>
      <c r="R272" s="30">
        <f t="shared" si="268"/>
        <v>0</v>
      </c>
      <c r="S272" s="30"/>
      <c r="T272" s="30">
        <f t="shared" si="269"/>
        <v>0</v>
      </c>
      <c r="U272" s="30">
        <v>1</v>
      </c>
      <c r="V272" s="30">
        <f t="shared" si="270"/>
        <v>0</v>
      </c>
      <c r="W272" s="30"/>
      <c r="X272" s="30">
        <f t="shared" si="271"/>
        <v>5000</v>
      </c>
      <c r="Y272" s="30">
        <f t="shared" si="272"/>
        <v>5000</v>
      </c>
      <c r="Z272" s="30">
        <v>1</v>
      </c>
      <c r="AA272" s="30">
        <f t="shared" si="273"/>
        <v>5000</v>
      </c>
      <c r="AB272" s="30">
        <f t="shared" si="274"/>
        <v>5000</v>
      </c>
      <c r="AC272" s="30">
        <f t="shared" si="275"/>
        <v>0</v>
      </c>
      <c r="AD272" s="6">
        <f t="shared" si="276"/>
        <v>2002</v>
      </c>
      <c r="AE272" s="6">
        <f t="shared" si="277"/>
        <v>2017.6666666666667</v>
      </c>
      <c r="AF272" s="6">
        <f t="shared" si="278"/>
        <v>2009</v>
      </c>
      <c r="AG272" s="6">
        <f t="shared" si="279"/>
        <v>2016.6666666666667</v>
      </c>
      <c r="AH272" s="6">
        <f t="shared" si="280"/>
        <v>-8.3333333333333329E-2</v>
      </c>
    </row>
    <row r="273" spans="1:34">
      <c r="D273" s="1" t="s">
        <v>243</v>
      </c>
      <c r="E273" s="10">
        <v>2004</v>
      </c>
      <c r="F273" s="1">
        <v>7</v>
      </c>
      <c r="G273" s="50">
        <v>0</v>
      </c>
      <c r="H273" s="50"/>
      <c r="I273" s="10" t="s">
        <v>92</v>
      </c>
      <c r="J273" s="10">
        <v>7</v>
      </c>
      <c r="K273" s="4">
        <f t="shared" si="265"/>
        <v>2011</v>
      </c>
      <c r="L273" s="66"/>
      <c r="N273" s="38">
        <v>318</v>
      </c>
      <c r="O273" s="38"/>
      <c r="P273" s="30">
        <f t="shared" si="266"/>
        <v>318</v>
      </c>
      <c r="Q273" s="30">
        <f t="shared" si="267"/>
        <v>3.785714285714286</v>
      </c>
      <c r="R273" s="30">
        <f t="shared" si="268"/>
        <v>0</v>
      </c>
      <c r="S273" s="30"/>
      <c r="T273" s="30">
        <f t="shared" si="269"/>
        <v>0</v>
      </c>
      <c r="U273" s="30">
        <v>1</v>
      </c>
      <c r="V273" s="30">
        <f t="shared" si="270"/>
        <v>0</v>
      </c>
      <c r="W273" s="30"/>
      <c r="X273" s="30">
        <f t="shared" si="271"/>
        <v>318</v>
      </c>
      <c r="Y273" s="30">
        <f t="shared" si="272"/>
        <v>318</v>
      </c>
      <c r="Z273" s="30">
        <v>1</v>
      </c>
      <c r="AA273" s="30">
        <f t="shared" si="273"/>
        <v>318</v>
      </c>
      <c r="AB273" s="30">
        <f t="shared" si="274"/>
        <v>318</v>
      </c>
      <c r="AC273" s="30">
        <f t="shared" si="275"/>
        <v>0</v>
      </c>
      <c r="AD273" s="6">
        <f t="shared" si="276"/>
        <v>2004.5</v>
      </c>
      <c r="AE273" s="6">
        <f t="shared" si="277"/>
        <v>2017.6666666666667</v>
      </c>
      <c r="AF273" s="6">
        <f t="shared" si="278"/>
        <v>2011.5</v>
      </c>
      <c r="AG273" s="6">
        <f t="shared" si="279"/>
        <v>2016.6666666666667</v>
      </c>
      <c r="AH273" s="6">
        <f t="shared" si="280"/>
        <v>-8.3333333333333329E-2</v>
      </c>
    </row>
    <row r="274" spans="1:34">
      <c r="D274" s="1" t="s">
        <v>244</v>
      </c>
      <c r="E274" s="10">
        <v>2004</v>
      </c>
      <c r="F274" s="1">
        <v>7</v>
      </c>
      <c r="G274" s="50">
        <v>0</v>
      </c>
      <c r="H274" s="50"/>
      <c r="I274" s="10" t="s">
        <v>92</v>
      </c>
      <c r="J274" s="10">
        <v>7</v>
      </c>
      <c r="K274" s="4">
        <f t="shared" si="265"/>
        <v>2011</v>
      </c>
      <c r="L274" s="66"/>
      <c r="N274" s="38">
        <v>229</v>
      </c>
      <c r="O274" s="38"/>
      <c r="P274" s="30">
        <f t="shared" si="266"/>
        <v>229</v>
      </c>
      <c r="Q274" s="30">
        <f t="shared" si="267"/>
        <v>2.7261904761904763</v>
      </c>
      <c r="R274" s="30">
        <f t="shared" si="268"/>
        <v>0</v>
      </c>
      <c r="S274" s="30"/>
      <c r="T274" s="30">
        <f t="shared" si="269"/>
        <v>0</v>
      </c>
      <c r="U274" s="30">
        <v>1</v>
      </c>
      <c r="V274" s="30">
        <f t="shared" si="270"/>
        <v>0</v>
      </c>
      <c r="W274" s="30"/>
      <c r="X274" s="30">
        <f t="shared" si="271"/>
        <v>229</v>
      </c>
      <c r="Y274" s="30">
        <f t="shared" si="272"/>
        <v>229</v>
      </c>
      <c r="Z274" s="30">
        <v>1</v>
      </c>
      <c r="AA274" s="30">
        <f t="shared" si="273"/>
        <v>229</v>
      </c>
      <c r="AB274" s="30">
        <f t="shared" si="274"/>
        <v>229</v>
      </c>
      <c r="AC274" s="30">
        <f t="shared" si="275"/>
        <v>0</v>
      </c>
      <c r="AD274" s="6">
        <f t="shared" si="276"/>
        <v>2004.5</v>
      </c>
      <c r="AE274" s="6">
        <f t="shared" si="277"/>
        <v>2017.6666666666667</v>
      </c>
      <c r="AF274" s="6">
        <f t="shared" si="278"/>
        <v>2011.5</v>
      </c>
      <c r="AG274" s="6">
        <f t="shared" si="279"/>
        <v>2016.6666666666667</v>
      </c>
      <c r="AH274" s="6">
        <f t="shared" si="280"/>
        <v>-8.3333333333333329E-2</v>
      </c>
    </row>
    <row r="275" spans="1:34">
      <c r="D275" s="1" t="s">
        <v>245</v>
      </c>
      <c r="E275" s="10">
        <v>2004</v>
      </c>
      <c r="F275" s="1">
        <v>7</v>
      </c>
      <c r="G275" s="50">
        <v>0</v>
      </c>
      <c r="H275" s="50"/>
      <c r="I275" s="10" t="s">
        <v>92</v>
      </c>
      <c r="J275" s="10">
        <v>7</v>
      </c>
      <c r="K275" s="4">
        <f t="shared" si="265"/>
        <v>2011</v>
      </c>
      <c r="L275" s="66"/>
      <c r="N275" s="38">
        <v>572</v>
      </c>
      <c r="O275" s="38"/>
      <c r="P275" s="30">
        <f t="shared" si="266"/>
        <v>572</v>
      </c>
      <c r="Q275" s="30">
        <f t="shared" si="267"/>
        <v>6.8095238095238093</v>
      </c>
      <c r="R275" s="30">
        <f t="shared" si="268"/>
        <v>0</v>
      </c>
      <c r="S275" s="30"/>
      <c r="T275" s="30">
        <f t="shared" si="269"/>
        <v>0</v>
      </c>
      <c r="U275" s="30">
        <v>1</v>
      </c>
      <c r="V275" s="30">
        <f t="shared" si="270"/>
        <v>0</v>
      </c>
      <c r="W275" s="30"/>
      <c r="X275" s="30">
        <f t="shared" si="271"/>
        <v>572</v>
      </c>
      <c r="Y275" s="30">
        <f t="shared" si="272"/>
        <v>572</v>
      </c>
      <c r="Z275" s="30">
        <v>1</v>
      </c>
      <c r="AA275" s="30">
        <f t="shared" si="273"/>
        <v>572</v>
      </c>
      <c r="AB275" s="30">
        <f t="shared" si="274"/>
        <v>572</v>
      </c>
      <c r="AC275" s="30">
        <f t="shared" si="275"/>
        <v>0</v>
      </c>
      <c r="AD275" s="6">
        <f t="shared" si="276"/>
        <v>2004.5</v>
      </c>
      <c r="AE275" s="6">
        <f t="shared" si="277"/>
        <v>2017.6666666666667</v>
      </c>
      <c r="AF275" s="6">
        <f t="shared" si="278"/>
        <v>2011.5</v>
      </c>
      <c r="AG275" s="6">
        <f t="shared" si="279"/>
        <v>2016.6666666666667</v>
      </c>
      <c r="AH275" s="6">
        <f t="shared" si="280"/>
        <v>-8.3333333333333329E-2</v>
      </c>
    </row>
    <row r="276" spans="1:34">
      <c r="D276" s="1" t="s">
        <v>246</v>
      </c>
      <c r="E276" s="10">
        <v>2004</v>
      </c>
      <c r="F276" s="1">
        <v>7</v>
      </c>
      <c r="G276" s="50">
        <v>0</v>
      </c>
      <c r="H276" s="50"/>
      <c r="I276" s="10" t="s">
        <v>92</v>
      </c>
      <c r="J276" s="10">
        <v>7</v>
      </c>
      <c r="K276" s="4">
        <f t="shared" si="265"/>
        <v>2011</v>
      </c>
      <c r="L276" s="66"/>
      <c r="N276" s="38">
        <v>55</v>
      </c>
      <c r="O276" s="38"/>
      <c r="P276" s="30">
        <f t="shared" si="266"/>
        <v>55</v>
      </c>
      <c r="Q276" s="30">
        <f t="shared" si="267"/>
        <v>0.65476190476190477</v>
      </c>
      <c r="R276" s="30">
        <f t="shared" si="268"/>
        <v>0</v>
      </c>
      <c r="S276" s="30"/>
      <c r="T276" s="30">
        <f t="shared" si="269"/>
        <v>0</v>
      </c>
      <c r="U276" s="30">
        <v>1</v>
      </c>
      <c r="V276" s="30">
        <f t="shared" si="270"/>
        <v>0</v>
      </c>
      <c r="W276" s="30"/>
      <c r="X276" s="30">
        <f t="shared" si="271"/>
        <v>55</v>
      </c>
      <c r="Y276" s="30">
        <f t="shared" si="272"/>
        <v>55</v>
      </c>
      <c r="Z276" s="30">
        <v>1</v>
      </c>
      <c r="AA276" s="30">
        <f t="shared" si="273"/>
        <v>55</v>
      </c>
      <c r="AB276" s="30">
        <f t="shared" si="274"/>
        <v>55</v>
      </c>
      <c r="AC276" s="30">
        <f t="shared" si="275"/>
        <v>0</v>
      </c>
      <c r="AD276" s="6">
        <f t="shared" si="276"/>
        <v>2004.5</v>
      </c>
      <c r="AE276" s="6">
        <f t="shared" si="277"/>
        <v>2017.6666666666667</v>
      </c>
      <c r="AF276" s="6">
        <f t="shared" si="278"/>
        <v>2011.5</v>
      </c>
      <c r="AG276" s="6">
        <f t="shared" si="279"/>
        <v>2016.6666666666667</v>
      </c>
      <c r="AH276" s="6">
        <f t="shared" si="280"/>
        <v>-8.3333333333333329E-2</v>
      </c>
    </row>
    <row r="277" spans="1:34">
      <c r="D277" s="1" t="s">
        <v>247</v>
      </c>
      <c r="E277" s="10">
        <v>2005</v>
      </c>
      <c r="F277" s="1">
        <v>12</v>
      </c>
      <c r="G277" s="50">
        <v>0</v>
      </c>
      <c r="H277" s="50"/>
      <c r="I277" s="10"/>
      <c r="J277" s="10">
        <v>7</v>
      </c>
      <c r="K277" s="4">
        <f t="shared" si="265"/>
        <v>2012</v>
      </c>
      <c r="L277" s="66"/>
      <c r="N277" s="38">
        <v>1969</v>
      </c>
      <c r="O277" s="38"/>
      <c r="P277" s="30">
        <f t="shared" si="266"/>
        <v>1969</v>
      </c>
      <c r="Q277" s="30">
        <f t="shared" si="267"/>
        <v>23.44047619047619</v>
      </c>
      <c r="R277" s="30">
        <f t="shared" si="268"/>
        <v>0</v>
      </c>
      <c r="S277" s="30"/>
      <c r="T277" s="30">
        <f t="shared" si="269"/>
        <v>0</v>
      </c>
      <c r="U277" s="30">
        <v>1</v>
      </c>
      <c r="V277" s="30">
        <f t="shared" si="270"/>
        <v>0</v>
      </c>
      <c r="W277" s="30"/>
      <c r="X277" s="30">
        <f t="shared" si="271"/>
        <v>1969</v>
      </c>
      <c r="Y277" s="30">
        <f t="shared" si="272"/>
        <v>1969</v>
      </c>
      <c r="Z277" s="30">
        <v>1</v>
      </c>
      <c r="AA277" s="30">
        <f t="shared" si="273"/>
        <v>1969</v>
      </c>
      <c r="AB277" s="30">
        <f t="shared" si="274"/>
        <v>1969</v>
      </c>
      <c r="AC277" s="30">
        <f t="shared" si="275"/>
        <v>0</v>
      </c>
      <c r="AD277" s="6">
        <f t="shared" si="276"/>
        <v>2005.9166666666667</v>
      </c>
      <c r="AE277" s="6">
        <f t="shared" si="277"/>
        <v>2017.6666666666667</v>
      </c>
      <c r="AF277" s="6">
        <f t="shared" si="278"/>
        <v>2012.9166666666667</v>
      </c>
      <c r="AG277" s="6">
        <f t="shared" si="279"/>
        <v>2016.6666666666667</v>
      </c>
      <c r="AH277" s="6">
        <f t="shared" si="280"/>
        <v>-8.3333333333333329E-2</v>
      </c>
    </row>
    <row r="278" spans="1:34">
      <c r="A278" s="1">
        <v>168614</v>
      </c>
      <c r="C278" s="1">
        <v>409</v>
      </c>
      <c r="D278" s="1" t="s">
        <v>289</v>
      </c>
      <c r="E278" s="10">
        <v>2008</v>
      </c>
      <c r="F278" s="1">
        <v>10</v>
      </c>
      <c r="G278" s="50">
        <v>0</v>
      </c>
      <c r="H278" s="50"/>
      <c r="I278" s="10" t="s">
        <v>92</v>
      </c>
      <c r="J278" s="10">
        <v>3</v>
      </c>
      <c r="K278" s="4">
        <f t="shared" ref="K278" si="281">E278+J278</f>
        <v>2011</v>
      </c>
      <c r="L278" s="66"/>
      <c r="N278" s="38">
        <v>2500</v>
      </c>
      <c r="O278" s="38"/>
      <c r="P278" s="30">
        <f t="shared" ref="P278" si="282">N278-N278*G278</f>
        <v>2500</v>
      </c>
      <c r="Q278" s="30">
        <f t="shared" ref="Q278" si="283">P278/J278/12</f>
        <v>69.444444444444443</v>
      </c>
      <c r="R278" s="30">
        <f t="shared" ref="R278" si="284">IF(O278&gt;0,0,IF(OR(AD278&gt;AE278,AF278&lt;AG278),0,IF(AND(AF278&gt;=AG278,AF278&lt;=AE278),Q278*((AF278-AG278)*12),IF(AND(AG278&lt;=AD278,AE278&gt;=AD278),((AE278-AD278)*12)*Q278,IF(AF278&gt;AE278,12*Q278,0)))))</f>
        <v>0</v>
      </c>
      <c r="S278" s="30"/>
      <c r="T278" s="30">
        <f t="shared" ref="T278" si="285">IF(S278&gt;0,S278,R278)</f>
        <v>0</v>
      </c>
      <c r="U278" s="30">
        <v>1</v>
      </c>
      <c r="V278" s="30">
        <f t="shared" ref="V278" si="286">U278*SUM(R278:S278)</f>
        <v>0</v>
      </c>
      <c r="W278" s="30"/>
      <c r="X278" s="30">
        <f t="shared" ref="X278" si="287">IF(AD278&gt;AE278,0,IF(AF278&lt;AG278,P278,IF(AND(AF278&gt;=AG278,AF278&lt;=AE278),(P278-T278),IF(AND(AG278&lt;=AD278,AE278&gt;=AD278),0,IF(AF278&gt;AE278,((AG278-AD278)*12)*Q278,0)))))</f>
        <v>2500</v>
      </c>
      <c r="Y278" s="30">
        <f t="shared" ref="Y278" si="288">X278*U278</f>
        <v>2500</v>
      </c>
      <c r="Z278" s="30">
        <v>1</v>
      </c>
      <c r="AA278" s="30">
        <f t="shared" ref="AA278" si="289">Y278*Z278</f>
        <v>2500</v>
      </c>
      <c r="AB278" s="30">
        <f t="shared" ref="AB278" si="290">IF(O278&gt;0,0,AA278+V278*Z278)*Z278</f>
        <v>2500</v>
      </c>
      <c r="AC278" s="30">
        <f t="shared" ref="AC278" si="291">IF(O278&gt;0,(N278-AA278)/2,IF(AD278&gt;=AG278,(((N278*U278)*Z278)-AB278)/2,((((N278*U278)*Z278)-AA278)+(((N278*U278)*Z278)-AB278))/2))</f>
        <v>0</v>
      </c>
      <c r="AD278" s="6">
        <f t="shared" si="276"/>
        <v>2008.75</v>
      </c>
      <c r="AE278" s="6">
        <f t="shared" si="277"/>
        <v>2017.6666666666667</v>
      </c>
      <c r="AF278" s="6">
        <f t="shared" si="278"/>
        <v>2011.75</v>
      </c>
      <c r="AG278" s="6">
        <f t="shared" si="279"/>
        <v>2016.6666666666667</v>
      </c>
      <c r="AH278" s="6">
        <f t="shared" si="280"/>
        <v>-8.3333333333333329E-2</v>
      </c>
    </row>
    <row r="279" spans="1:34">
      <c r="D279" s="27" t="s">
        <v>248</v>
      </c>
      <c r="E279" s="10">
        <v>2010</v>
      </c>
      <c r="F279" s="1">
        <v>1</v>
      </c>
      <c r="G279" s="50">
        <v>0</v>
      </c>
      <c r="H279" s="50"/>
      <c r="I279" s="10" t="s">
        <v>92</v>
      </c>
      <c r="J279" s="10">
        <v>10</v>
      </c>
      <c r="K279" s="4">
        <f t="shared" si="265"/>
        <v>2020</v>
      </c>
      <c r="L279" s="51"/>
      <c r="N279" s="29">
        <v>2200</v>
      </c>
      <c r="O279" s="38"/>
      <c r="P279" s="30">
        <f t="shared" si="266"/>
        <v>2200</v>
      </c>
      <c r="Q279" s="30">
        <f t="shared" si="267"/>
        <v>18.333333333333332</v>
      </c>
      <c r="R279" s="30">
        <f t="shared" si="268"/>
        <v>220</v>
      </c>
      <c r="S279" s="30"/>
      <c r="T279" s="30">
        <f t="shared" si="269"/>
        <v>220</v>
      </c>
      <c r="U279" s="30">
        <v>1</v>
      </c>
      <c r="V279" s="30">
        <f t="shared" si="270"/>
        <v>220</v>
      </c>
      <c r="W279" s="30"/>
      <c r="X279" s="30">
        <f t="shared" si="271"/>
        <v>1466.6666666666833</v>
      </c>
      <c r="Y279" s="30">
        <f t="shared" si="272"/>
        <v>1466.6666666666833</v>
      </c>
      <c r="Z279" s="30">
        <v>1</v>
      </c>
      <c r="AA279" s="30">
        <f t="shared" si="273"/>
        <v>1466.6666666666833</v>
      </c>
      <c r="AB279" s="30">
        <f t="shared" si="274"/>
        <v>1686.6666666666833</v>
      </c>
      <c r="AC279" s="30">
        <f t="shared" si="275"/>
        <v>623.33333333331666</v>
      </c>
      <c r="AD279" s="6">
        <f t="shared" si="276"/>
        <v>2010</v>
      </c>
      <c r="AE279" s="6">
        <f t="shared" si="277"/>
        <v>2017.6666666666667</v>
      </c>
      <c r="AF279" s="6">
        <f t="shared" si="278"/>
        <v>2020</v>
      </c>
      <c r="AG279" s="6">
        <f t="shared" si="279"/>
        <v>2016.6666666666667</v>
      </c>
      <c r="AH279" s="6">
        <f t="shared" si="280"/>
        <v>-8.3333333333333329E-2</v>
      </c>
    </row>
    <row r="280" spans="1:34">
      <c r="D280" s="27" t="s">
        <v>249</v>
      </c>
      <c r="E280" s="10">
        <v>2011</v>
      </c>
      <c r="F280" s="1">
        <v>7</v>
      </c>
      <c r="G280" s="50">
        <v>0.33</v>
      </c>
      <c r="H280" s="50"/>
      <c r="I280" s="10" t="s">
        <v>92</v>
      </c>
      <c r="J280" s="10">
        <v>5</v>
      </c>
      <c r="K280" s="4">
        <f t="shared" ref="K280:K286" si="292">E280+J280</f>
        <v>2016</v>
      </c>
      <c r="L280" s="51"/>
      <c r="N280" s="29">
        <v>29999.71</v>
      </c>
      <c r="O280" s="38"/>
      <c r="P280" s="30">
        <f t="shared" ref="P280:P286" si="293">N280-N280*G280</f>
        <v>20099.805699999997</v>
      </c>
      <c r="Q280" s="30">
        <f t="shared" ref="Q280:Q286" si="294">P280/J280/12</f>
        <v>334.9967616666666</v>
      </c>
      <c r="R280" s="30">
        <f t="shared" ref="R280:R286" si="295">IF(O280&gt;0,0,IF(OR(AD280&gt;AE280,AF280&lt;AG280),0,IF(AND(AF280&gt;=AG280,AF280&lt;=AE280),Q280*((AF280-AG280)*12),IF(AND(AG280&lt;=AD280,AE280&gt;=AD280),((AE280-AD280)*12)*Q280,IF(AF280&gt;AE280,12*Q280,0)))))</f>
        <v>0</v>
      </c>
      <c r="S280" s="30"/>
      <c r="T280" s="30">
        <f t="shared" ref="T280:T286" si="296">IF(S280&gt;0,S280,R280)</f>
        <v>0</v>
      </c>
      <c r="U280" s="30">
        <v>1</v>
      </c>
      <c r="V280" s="30">
        <f t="shared" ref="V280:V286" si="297">U280*SUM(R280:S280)</f>
        <v>0</v>
      </c>
      <c r="W280" s="30"/>
      <c r="X280" s="30">
        <f t="shared" ref="X280:X286" si="298">IF(AD280&gt;AE280,0,IF(AF280&lt;AG280,P280,IF(AND(AF280&gt;=AG280,AF280&lt;=AE280),(P280-T280),IF(AND(AG280&lt;=AD280,AE280&gt;=AD280),0,IF(AF280&gt;AE280,((AG280-AD280)*12)*Q280,0)))))</f>
        <v>20099.805699999997</v>
      </c>
      <c r="Y280" s="30">
        <f t="shared" ref="Y280:Y286" si="299">X280*U280</f>
        <v>20099.805699999997</v>
      </c>
      <c r="Z280" s="30">
        <v>1</v>
      </c>
      <c r="AA280" s="30">
        <f t="shared" ref="AA280:AA286" si="300">Y280*Z280</f>
        <v>20099.805699999997</v>
      </c>
      <c r="AB280" s="30">
        <f t="shared" ref="AB280:AB286" si="301">IF(O280&gt;0,0,AA280+V280*Z280)*Z280</f>
        <v>20099.805699999997</v>
      </c>
      <c r="AC280" s="30">
        <f t="shared" ref="AC280:AC286" si="302">IF(O280&gt;0,(N280-AA280)/2,IF(AD280&gt;=AG280,(((N280*U280)*Z280)-AB280)/2,((((N280*U280)*Z280)-AA280)+(((N280*U280)*Z280)-AB280))/2))</f>
        <v>9899.904300000002</v>
      </c>
      <c r="AD280" s="6">
        <f>$E280+(($F280-1)/12)</f>
        <v>2011.5</v>
      </c>
      <c r="AE280" s="6">
        <f>($P$5+1)-($P$2/12)</f>
        <v>2017.6666666666667</v>
      </c>
      <c r="AF280" s="6">
        <f>$K280+(($F280-1)/12)</f>
        <v>2016.5</v>
      </c>
      <c r="AG280" s="6">
        <f>$P$4+($P$3/12)</f>
        <v>2016.6666666666667</v>
      </c>
      <c r="AH280" s="6">
        <f>$L280+(($M280-1)/12)</f>
        <v>-8.3333333333333329E-2</v>
      </c>
    </row>
    <row r="281" spans="1:34">
      <c r="D281" s="27" t="s">
        <v>250</v>
      </c>
      <c r="E281" s="10">
        <v>2011</v>
      </c>
      <c r="F281" s="1">
        <v>12</v>
      </c>
      <c r="G281" s="50">
        <v>0</v>
      </c>
      <c r="H281" s="50"/>
      <c r="I281" s="10" t="s">
        <v>92</v>
      </c>
      <c r="J281" s="10">
        <v>10</v>
      </c>
      <c r="K281" s="4">
        <f t="shared" si="292"/>
        <v>2021</v>
      </c>
      <c r="L281" s="51"/>
      <c r="N281" s="29">
        <v>6996.91</v>
      </c>
      <c r="O281" s="38"/>
      <c r="P281" s="30">
        <f t="shared" si="293"/>
        <v>6996.91</v>
      </c>
      <c r="Q281" s="30">
        <f t="shared" si="294"/>
        <v>58.307583333333334</v>
      </c>
      <c r="R281" s="30">
        <f t="shared" si="295"/>
        <v>699.69100000000003</v>
      </c>
      <c r="S281" s="30"/>
      <c r="T281" s="30">
        <f t="shared" si="296"/>
        <v>699.69100000000003</v>
      </c>
      <c r="U281" s="30">
        <v>1</v>
      </c>
      <c r="V281" s="30">
        <f t="shared" si="297"/>
        <v>699.69100000000003</v>
      </c>
      <c r="W281" s="30"/>
      <c r="X281" s="30">
        <f t="shared" si="298"/>
        <v>3323.5322500000002</v>
      </c>
      <c r="Y281" s="30">
        <f t="shared" si="299"/>
        <v>3323.5322500000002</v>
      </c>
      <c r="Z281" s="30">
        <v>1</v>
      </c>
      <c r="AA281" s="30">
        <f t="shared" si="300"/>
        <v>3323.5322500000002</v>
      </c>
      <c r="AB281" s="30">
        <f t="shared" si="301"/>
        <v>4023.22325</v>
      </c>
      <c r="AC281" s="30">
        <f t="shared" si="302"/>
        <v>3323.5322499999997</v>
      </c>
      <c r="AD281" s="6">
        <f t="shared" si="276"/>
        <v>2011.9166666666667</v>
      </c>
      <c r="AE281" s="6">
        <f t="shared" si="277"/>
        <v>2017.6666666666667</v>
      </c>
      <c r="AF281" s="6">
        <f t="shared" si="278"/>
        <v>2021.9166666666667</v>
      </c>
      <c r="AG281" s="6">
        <f t="shared" si="279"/>
        <v>2016.6666666666667</v>
      </c>
      <c r="AH281" s="6">
        <f t="shared" si="280"/>
        <v>-8.3333333333333329E-2</v>
      </c>
    </row>
    <row r="282" spans="1:34">
      <c r="D282" s="27" t="s">
        <v>251</v>
      </c>
      <c r="E282" s="10">
        <v>2012</v>
      </c>
      <c r="F282" s="1">
        <v>4</v>
      </c>
      <c r="G282" s="50">
        <v>0</v>
      </c>
      <c r="H282" s="50"/>
      <c r="I282" s="10" t="s">
        <v>92</v>
      </c>
      <c r="J282" s="10">
        <v>5</v>
      </c>
      <c r="K282" s="4">
        <f t="shared" si="292"/>
        <v>2017</v>
      </c>
      <c r="L282" s="51"/>
      <c r="N282" s="29">
        <v>466</v>
      </c>
      <c r="O282" s="38"/>
      <c r="P282" s="30">
        <f t="shared" si="293"/>
        <v>466</v>
      </c>
      <c r="Q282" s="30">
        <f t="shared" si="294"/>
        <v>7.7666666666666666</v>
      </c>
      <c r="R282" s="30">
        <f t="shared" si="295"/>
        <v>54.366666666659604</v>
      </c>
      <c r="S282" s="30"/>
      <c r="T282" s="30">
        <f t="shared" si="296"/>
        <v>54.366666666659604</v>
      </c>
      <c r="U282" s="30">
        <v>1</v>
      </c>
      <c r="V282" s="30">
        <f t="shared" si="297"/>
        <v>54.366666666659604</v>
      </c>
      <c r="W282" s="30"/>
      <c r="X282" s="30">
        <f t="shared" si="298"/>
        <v>411.63333333334037</v>
      </c>
      <c r="Y282" s="30">
        <f t="shared" si="299"/>
        <v>411.63333333334037</v>
      </c>
      <c r="Z282" s="30">
        <v>1</v>
      </c>
      <c r="AA282" s="30">
        <f t="shared" si="300"/>
        <v>411.63333333334037</v>
      </c>
      <c r="AB282" s="30">
        <f t="shared" si="301"/>
        <v>466</v>
      </c>
      <c r="AC282" s="30">
        <f t="shared" si="302"/>
        <v>27.183333333329813</v>
      </c>
      <c r="AD282" s="6">
        <f t="shared" si="276"/>
        <v>2012.25</v>
      </c>
      <c r="AE282" s="6">
        <f t="shared" si="277"/>
        <v>2017.6666666666667</v>
      </c>
      <c r="AF282" s="6">
        <f t="shared" si="278"/>
        <v>2017.25</v>
      </c>
      <c r="AG282" s="6">
        <f t="shared" si="279"/>
        <v>2016.6666666666667</v>
      </c>
      <c r="AH282" s="6">
        <f t="shared" si="280"/>
        <v>-8.3333333333333329E-2</v>
      </c>
    </row>
    <row r="283" spans="1:34">
      <c r="D283" s="27" t="s">
        <v>252</v>
      </c>
      <c r="E283" s="10">
        <v>2012</v>
      </c>
      <c r="F283" s="1">
        <v>10</v>
      </c>
      <c r="G283" s="50">
        <v>0</v>
      </c>
      <c r="H283" s="50"/>
      <c r="I283" s="10" t="s">
        <v>92</v>
      </c>
      <c r="J283" s="10">
        <v>5</v>
      </c>
      <c r="K283" s="4">
        <f t="shared" si="292"/>
        <v>2017</v>
      </c>
      <c r="L283" s="51"/>
      <c r="N283" s="29">
        <v>6022</v>
      </c>
      <c r="O283" s="38"/>
      <c r="P283" s="30">
        <f t="shared" si="293"/>
        <v>6022</v>
      </c>
      <c r="Q283" s="30">
        <f t="shared" si="294"/>
        <v>100.36666666666667</v>
      </c>
      <c r="R283" s="30">
        <f t="shared" si="295"/>
        <v>1204.4000000000001</v>
      </c>
      <c r="S283" s="30"/>
      <c r="T283" s="30">
        <f t="shared" si="296"/>
        <v>1204.4000000000001</v>
      </c>
      <c r="U283" s="30">
        <v>1</v>
      </c>
      <c r="V283" s="30">
        <f t="shared" si="297"/>
        <v>1204.4000000000001</v>
      </c>
      <c r="W283" s="30"/>
      <c r="X283" s="30">
        <f t="shared" si="298"/>
        <v>4717.2333333334245</v>
      </c>
      <c r="Y283" s="30">
        <f t="shared" si="299"/>
        <v>4717.2333333334245</v>
      </c>
      <c r="Z283" s="30">
        <v>1</v>
      </c>
      <c r="AA283" s="30">
        <f t="shared" si="300"/>
        <v>4717.2333333334245</v>
      </c>
      <c r="AB283" s="30">
        <f t="shared" si="301"/>
        <v>5921.6333333334242</v>
      </c>
      <c r="AC283" s="30">
        <f t="shared" si="302"/>
        <v>702.56666666657566</v>
      </c>
      <c r="AD283" s="6">
        <f t="shared" si="276"/>
        <v>2012.75</v>
      </c>
      <c r="AE283" s="6">
        <f t="shared" si="277"/>
        <v>2017.6666666666667</v>
      </c>
      <c r="AF283" s="6">
        <f t="shared" si="278"/>
        <v>2017.75</v>
      </c>
      <c r="AG283" s="6">
        <f t="shared" si="279"/>
        <v>2016.6666666666667</v>
      </c>
      <c r="AH283" s="6">
        <f t="shared" si="280"/>
        <v>-8.3333333333333329E-2</v>
      </c>
    </row>
    <row r="284" spans="1:34">
      <c r="A284" s="1" t="s">
        <v>253</v>
      </c>
      <c r="D284" s="27" t="s">
        <v>254</v>
      </c>
      <c r="E284" s="10">
        <v>2012</v>
      </c>
      <c r="F284" s="1">
        <v>12</v>
      </c>
      <c r="G284" s="50">
        <v>0</v>
      </c>
      <c r="H284" s="50"/>
      <c r="I284" s="10" t="s">
        <v>92</v>
      </c>
      <c r="J284" s="10">
        <v>5</v>
      </c>
      <c r="K284" s="4">
        <f t="shared" si="292"/>
        <v>2017</v>
      </c>
      <c r="L284" s="51"/>
      <c r="N284" s="29">
        <f>1245+815</f>
        <v>2060</v>
      </c>
      <c r="O284" s="38"/>
      <c r="P284" s="30">
        <f t="shared" si="293"/>
        <v>2060</v>
      </c>
      <c r="Q284" s="30">
        <f t="shared" si="294"/>
        <v>34.333333333333336</v>
      </c>
      <c r="R284" s="30">
        <f t="shared" si="295"/>
        <v>412</v>
      </c>
      <c r="S284" s="30"/>
      <c r="T284" s="30">
        <f t="shared" si="296"/>
        <v>412</v>
      </c>
      <c r="U284" s="30">
        <v>1</v>
      </c>
      <c r="V284" s="30">
        <f t="shared" si="297"/>
        <v>412</v>
      </c>
      <c r="W284" s="30"/>
      <c r="X284" s="30">
        <f t="shared" si="298"/>
        <v>1545</v>
      </c>
      <c r="Y284" s="30">
        <f t="shared" si="299"/>
        <v>1545</v>
      </c>
      <c r="Z284" s="30">
        <v>1</v>
      </c>
      <c r="AA284" s="30">
        <f t="shared" si="300"/>
        <v>1545</v>
      </c>
      <c r="AB284" s="30">
        <f t="shared" si="301"/>
        <v>1957</v>
      </c>
      <c r="AC284" s="30">
        <f t="shared" si="302"/>
        <v>309</v>
      </c>
      <c r="AD284" s="6">
        <f t="shared" si="276"/>
        <v>2012.9166666666667</v>
      </c>
      <c r="AE284" s="6">
        <f t="shared" si="277"/>
        <v>2017.6666666666667</v>
      </c>
      <c r="AF284" s="6">
        <f t="shared" si="278"/>
        <v>2017.9166666666667</v>
      </c>
      <c r="AG284" s="6">
        <f t="shared" si="279"/>
        <v>2016.6666666666667</v>
      </c>
      <c r="AH284" s="6">
        <f t="shared" si="280"/>
        <v>-8.3333333333333329E-2</v>
      </c>
    </row>
    <row r="285" spans="1:34">
      <c r="A285" s="1">
        <v>167961</v>
      </c>
      <c r="D285" s="27" t="s">
        <v>287</v>
      </c>
      <c r="E285" s="10">
        <v>2016</v>
      </c>
      <c r="F285" s="1">
        <v>9</v>
      </c>
      <c r="G285" s="50">
        <v>0</v>
      </c>
      <c r="H285" s="50"/>
      <c r="I285" s="10" t="s">
        <v>92</v>
      </c>
      <c r="J285" s="10">
        <v>5</v>
      </c>
      <c r="K285" s="4">
        <f t="shared" si="292"/>
        <v>2021</v>
      </c>
      <c r="L285" s="51"/>
      <c r="N285" s="29">
        <v>5329</v>
      </c>
      <c r="O285" s="38"/>
      <c r="P285" s="30">
        <f t="shared" si="293"/>
        <v>5329</v>
      </c>
      <c r="Q285" s="30">
        <f t="shared" si="294"/>
        <v>88.816666666666663</v>
      </c>
      <c r="R285" s="30">
        <f t="shared" si="295"/>
        <v>1065.8</v>
      </c>
      <c r="S285" s="30"/>
      <c r="T285" s="30">
        <f t="shared" si="296"/>
        <v>1065.8</v>
      </c>
      <c r="U285" s="30">
        <v>1</v>
      </c>
      <c r="V285" s="30">
        <f t="shared" si="297"/>
        <v>1065.8</v>
      </c>
      <c r="W285" s="30"/>
      <c r="X285" s="30">
        <f t="shared" si="298"/>
        <v>0</v>
      </c>
      <c r="Y285" s="30">
        <f t="shared" si="299"/>
        <v>0</v>
      </c>
      <c r="Z285" s="30">
        <v>1</v>
      </c>
      <c r="AA285" s="30">
        <f t="shared" si="300"/>
        <v>0</v>
      </c>
      <c r="AB285" s="30">
        <f t="shared" si="301"/>
        <v>1065.8</v>
      </c>
      <c r="AC285" s="30">
        <f t="shared" si="302"/>
        <v>2131.6</v>
      </c>
      <c r="AD285" s="6">
        <f t="shared" si="276"/>
        <v>2016.6666666666667</v>
      </c>
      <c r="AE285" s="6">
        <f t="shared" si="277"/>
        <v>2017.6666666666667</v>
      </c>
      <c r="AF285" s="6">
        <f t="shared" si="278"/>
        <v>2021.6666666666667</v>
      </c>
      <c r="AG285" s="6">
        <f t="shared" si="279"/>
        <v>2016.6666666666667</v>
      </c>
      <c r="AH285" s="6">
        <f t="shared" si="280"/>
        <v>-8.3333333333333329E-2</v>
      </c>
    </row>
    <row r="286" spans="1:34">
      <c r="A286" s="1">
        <v>169271</v>
      </c>
      <c r="D286" s="27" t="s">
        <v>288</v>
      </c>
      <c r="E286" s="10">
        <v>2016</v>
      </c>
      <c r="F286" s="1">
        <v>10</v>
      </c>
      <c r="G286" s="50">
        <v>0</v>
      </c>
      <c r="H286" s="50"/>
      <c r="I286" s="10" t="s">
        <v>92</v>
      </c>
      <c r="J286" s="10">
        <v>5</v>
      </c>
      <c r="K286" s="4">
        <f t="shared" si="292"/>
        <v>2021</v>
      </c>
      <c r="L286" s="51"/>
      <c r="N286" s="29">
        <v>2587.1999999999998</v>
      </c>
      <c r="O286" s="38"/>
      <c r="P286" s="30">
        <f t="shared" si="293"/>
        <v>2587.1999999999998</v>
      </c>
      <c r="Q286" s="30">
        <f t="shared" si="294"/>
        <v>43.12</v>
      </c>
      <c r="R286" s="30">
        <f t="shared" si="295"/>
        <v>474.32000000003922</v>
      </c>
      <c r="S286" s="30"/>
      <c r="T286" s="30">
        <f t="shared" si="296"/>
        <v>474.32000000003922</v>
      </c>
      <c r="U286" s="30">
        <v>1</v>
      </c>
      <c r="V286" s="30">
        <f t="shared" si="297"/>
        <v>474.32000000003922</v>
      </c>
      <c r="W286" s="30"/>
      <c r="X286" s="30">
        <f t="shared" si="298"/>
        <v>0</v>
      </c>
      <c r="Y286" s="30">
        <f t="shared" si="299"/>
        <v>0</v>
      </c>
      <c r="Z286" s="30">
        <v>1</v>
      </c>
      <c r="AA286" s="30">
        <f t="shared" si="300"/>
        <v>0</v>
      </c>
      <c r="AB286" s="30">
        <f t="shared" si="301"/>
        <v>474.32000000003922</v>
      </c>
      <c r="AC286" s="30">
        <f t="shared" si="302"/>
        <v>1056.4399999999803</v>
      </c>
      <c r="AD286" s="6">
        <f t="shared" si="276"/>
        <v>2016.75</v>
      </c>
      <c r="AE286" s="6">
        <f t="shared" si="277"/>
        <v>2017.6666666666667</v>
      </c>
      <c r="AF286" s="6">
        <f t="shared" si="278"/>
        <v>2021.75</v>
      </c>
      <c r="AG286" s="6">
        <f t="shared" si="279"/>
        <v>2016.6666666666667</v>
      </c>
      <c r="AH286" s="6">
        <f t="shared" si="280"/>
        <v>-8.3333333333333329E-2</v>
      </c>
    </row>
    <row r="287" spans="1:34">
      <c r="D287" s="27"/>
      <c r="E287" s="10"/>
      <c r="G287" s="50"/>
      <c r="H287" s="50"/>
      <c r="I287" s="10"/>
      <c r="J287" s="10"/>
      <c r="L287" s="51"/>
      <c r="N287" s="29"/>
      <c r="O287" s="38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6"/>
      <c r="AE287" s="6"/>
      <c r="AF287" s="6"/>
      <c r="AG287" s="6"/>
      <c r="AH287" s="6"/>
    </row>
    <row r="288" spans="1:34">
      <c r="E288" s="10"/>
      <c r="G288" s="50"/>
      <c r="H288" s="50"/>
      <c r="I288" s="10"/>
      <c r="J288" s="10"/>
      <c r="L288" s="66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</row>
    <row r="289" spans="1:34">
      <c r="D289" s="32" t="s">
        <v>255</v>
      </c>
      <c r="E289" s="42"/>
      <c r="F289" s="43"/>
      <c r="G289" s="68"/>
      <c r="H289" s="68"/>
      <c r="I289" s="42"/>
      <c r="J289" s="42"/>
      <c r="K289" s="58"/>
      <c r="L289" s="74"/>
      <c r="M289" s="43"/>
      <c r="N289" s="35">
        <f>SUM(N268:N288)</f>
        <v>135644.11000000002</v>
      </c>
      <c r="O289" s="61"/>
      <c r="P289" s="35">
        <f t="shared" ref="P289:AB289" si="303">SUM(P268:P288)</f>
        <v>112688.6057</v>
      </c>
      <c r="Q289" s="35">
        <f t="shared" si="303"/>
        <v>1522.4817656349203</v>
      </c>
      <c r="R289" s="35">
        <f t="shared" si="303"/>
        <v>4130.5776666666989</v>
      </c>
      <c r="S289" s="35"/>
      <c r="T289" s="35">
        <f t="shared" si="303"/>
        <v>4130.5776666666989</v>
      </c>
      <c r="U289" s="35"/>
      <c r="V289" s="35">
        <f t="shared" si="303"/>
        <v>4130.5776666666989</v>
      </c>
      <c r="W289" s="35"/>
      <c r="X289" s="35">
        <f t="shared" si="303"/>
        <v>98491.56128333346</v>
      </c>
      <c r="Y289" s="35">
        <f t="shared" si="303"/>
        <v>98491.56128333346</v>
      </c>
      <c r="Z289" s="35"/>
      <c r="AA289" s="35">
        <f t="shared" si="303"/>
        <v>98491.56128333346</v>
      </c>
      <c r="AB289" s="35">
        <f t="shared" si="303"/>
        <v>102622.13895000014</v>
      </c>
      <c r="AC289" s="35">
        <f>SUM(AC268:AC288)</f>
        <v>31129.159883333203</v>
      </c>
    </row>
    <row r="290" spans="1:34">
      <c r="D290" s="31"/>
      <c r="E290" s="10"/>
      <c r="G290" s="50"/>
      <c r="H290" s="50"/>
      <c r="I290" s="10"/>
      <c r="J290" s="10"/>
      <c r="L290" s="75"/>
      <c r="N290" s="37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</row>
    <row r="291" spans="1:34">
      <c r="D291" s="15" t="s">
        <v>256</v>
      </c>
      <c r="E291" s="10"/>
      <c r="G291" s="1"/>
      <c r="J291" s="10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</row>
    <row r="292" spans="1:34">
      <c r="D292" s="27" t="s">
        <v>257</v>
      </c>
      <c r="E292" s="10">
        <v>2009</v>
      </c>
      <c r="F292" s="1">
        <v>2</v>
      </c>
      <c r="G292" s="50">
        <v>0</v>
      </c>
      <c r="H292" s="50"/>
      <c r="I292" s="10" t="s">
        <v>92</v>
      </c>
      <c r="J292" s="10">
        <v>3</v>
      </c>
      <c r="K292" s="4">
        <f t="shared" ref="K292:K302" si="304">E292+J292</f>
        <v>2012</v>
      </c>
      <c r="L292" s="51"/>
      <c r="M292" s="51"/>
      <c r="N292" s="29">
        <v>6775</v>
      </c>
      <c r="O292" s="38"/>
      <c r="P292" s="30">
        <f t="shared" ref="P292:P301" si="305">N292-N292*G292</f>
        <v>6775</v>
      </c>
      <c r="Q292" s="30">
        <f t="shared" ref="Q292:Q301" si="306">P292/J292/12</f>
        <v>188.19444444444446</v>
      </c>
      <c r="R292" s="30">
        <f t="shared" ref="R292:R301" si="307">IF(O292&gt;0,0,IF(OR(AD292&gt;AE292,AF292&lt;AG292),0,IF(AND(AF292&gt;=AG292,AF292&lt;=AE292),Q292*((AF292-AG292)*12),IF(AND(AG292&lt;=AD292,AE292&gt;=AD292),((AE292-AD292)*12)*Q292,IF(AF292&gt;AE292,12*Q292,0)))))</f>
        <v>0</v>
      </c>
      <c r="S292" s="30"/>
      <c r="T292" s="30">
        <f t="shared" ref="T292:T301" si="308">IF(S292&gt;0,S292,R292)</f>
        <v>0</v>
      </c>
      <c r="U292" s="30">
        <v>1</v>
      </c>
      <c r="V292" s="30">
        <f t="shared" ref="V292:V301" si="309">U292*SUM(R292:S292)</f>
        <v>0</v>
      </c>
      <c r="W292" s="30"/>
      <c r="X292" s="30">
        <f t="shared" ref="X292:X301" si="310">IF(AD292&gt;AE292,0,IF(AF292&lt;AG292,P292,IF(AND(AF292&gt;=AG292,AF292&lt;=AE292),(P292-T292),IF(AND(AG292&lt;=AD292,AE292&gt;=AD292),0,IF(AF292&gt;AE292,((AG292-AD292)*12)*Q292,0)))))</f>
        <v>6775</v>
      </c>
      <c r="Y292" s="30">
        <f t="shared" ref="Y292:Y301" si="311">X292*U292</f>
        <v>6775</v>
      </c>
      <c r="Z292" s="30">
        <v>1</v>
      </c>
      <c r="AA292" s="30">
        <f t="shared" ref="AA292:AA301" si="312">Y292*Z292</f>
        <v>6775</v>
      </c>
      <c r="AB292" s="30">
        <f t="shared" ref="AB292:AB301" si="313">IF(O292&gt;0,0,AA292+V292*Z292)*Z292</f>
        <v>6775</v>
      </c>
      <c r="AC292" s="30">
        <f t="shared" ref="AC292:AC301" si="314">IF(O292&gt;0,(N292-AA292)/2,IF(AD292&gt;=AG292,(((N292*U292)*Z292)-AB292)/2,((((N292*U292)*Z292)-AA292)+(((N292*U292)*Z292)-AB292))/2))</f>
        <v>0</v>
      </c>
      <c r="AD292" s="6">
        <f t="shared" ref="AD292:AD302" si="315">$E292+(($F292-1)/12)</f>
        <v>2009.0833333333333</v>
      </c>
      <c r="AE292" s="6">
        <f t="shared" ref="AE292:AE302" si="316">($P$5+1)-($P$2/12)</f>
        <v>2017.6666666666667</v>
      </c>
      <c r="AF292" s="6">
        <f t="shared" ref="AF292:AF302" si="317">$K292+(($F292-1)/12)</f>
        <v>2012.0833333333333</v>
      </c>
      <c r="AG292" s="6">
        <f t="shared" ref="AG292:AG302" si="318">$P$4+($P$3/12)</f>
        <v>2016.6666666666667</v>
      </c>
      <c r="AH292" s="6">
        <f t="shared" ref="AH292:AH302" si="319">$L292+(($M292-1)/12)</f>
        <v>-8.3333333333333329E-2</v>
      </c>
    </row>
    <row r="293" spans="1:34">
      <c r="D293" s="27" t="s">
        <v>258</v>
      </c>
      <c r="E293" s="10">
        <v>2010</v>
      </c>
      <c r="F293" s="1">
        <v>6</v>
      </c>
      <c r="G293" s="50">
        <v>0</v>
      </c>
      <c r="H293" s="50"/>
      <c r="I293" s="10" t="s">
        <v>92</v>
      </c>
      <c r="J293" s="10">
        <v>5</v>
      </c>
      <c r="K293" s="4">
        <f t="shared" si="304"/>
        <v>2015</v>
      </c>
      <c r="L293" s="51"/>
      <c r="M293" s="51"/>
      <c r="N293" s="29">
        <v>1043.42</v>
      </c>
      <c r="O293" s="38"/>
      <c r="P293" s="30">
        <f t="shared" si="305"/>
        <v>1043.42</v>
      </c>
      <c r="Q293" s="30">
        <f t="shared" si="306"/>
        <v>17.390333333333334</v>
      </c>
      <c r="R293" s="30">
        <f t="shared" si="307"/>
        <v>0</v>
      </c>
      <c r="S293" s="30"/>
      <c r="T293" s="30">
        <f t="shared" si="308"/>
        <v>0</v>
      </c>
      <c r="U293" s="30">
        <v>1</v>
      </c>
      <c r="V293" s="30">
        <f t="shared" si="309"/>
        <v>0</v>
      </c>
      <c r="W293" s="30"/>
      <c r="X293" s="30">
        <f t="shared" si="310"/>
        <v>1043.42</v>
      </c>
      <c r="Y293" s="30">
        <f t="shared" si="311"/>
        <v>1043.42</v>
      </c>
      <c r="Z293" s="30">
        <v>1</v>
      </c>
      <c r="AA293" s="30">
        <f t="shared" si="312"/>
        <v>1043.42</v>
      </c>
      <c r="AB293" s="30">
        <f t="shared" si="313"/>
        <v>1043.42</v>
      </c>
      <c r="AC293" s="30">
        <f t="shared" si="314"/>
        <v>0</v>
      </c>
      <c r="AD293" s="6">
        <f t="shared" si="315"/>
        <v>2010.4166666666667</v>
      </c>
      <c r="AE293" s="6">
        <f t="shared" si="316"/>
        <v>2017.6666666666667</v>
      </c>
      <c r="AF293" s="6">
        <f t="shared" si="317"/>
        <v>2015.4166666666667</v>
      </c>
      <c r="AG293" s="6">
        <f t="shared" si="318"/>
        <v>2016.6666666666667</v>
      </c>
      <c r="AH293" s="6">
        <f t="shared" si="319"/>
        <v>-8.3333333333333329E-2</v>
      </c>
    </row>
    <row r="294" spans="1:34">
      <c r="D294" s="27" t="s">
        <v>259</v>
      </c>
      <c r="E294" s="10">
        <v>2010</v>
      </c>
      <c r="F294" s="1">
        <v>12</v>
      </c>
      <c r="G294" s="50">
        <v>0</v>
      </c>
      <c r="H294" s="50"/>
      <c r="I294" s="10" t="s">
        <v>92</v>
      </c>
      <c r="J294" s="10">
        <v>5</v>
      </c>
      <c r="K294" s="4">
        <f t="shared" si="304"/>
        <v>2015</v>
      </c>
      <c r="L294" s="51"/>
      <c r="M294" s="51"/>
      <c r="N294" s="29">
        <f>4249.48</f>
        <v>4249.4799999999996</v>
      </c>
      <c r="O294" s="38"/>
      <c r="P294" s="30">
        <f t="shared" si="305"/>
        <v>4249.4799999999996</v>
      </c>
      <c r="Q294" s="30">
        <f t="shared" si="306"/>
        <v>70.824666666666658</v>
      </c>
      <c r="R294" s="30">
        <f t="shared" si="307"/>
        <v>0</v>
      </c>
      <c r="S294" s="30"/>
      <c r="T294" s="30">
        <f t="shared" si="308"/>
        <v>0</v>
      </c>
      <c r="U294" s="30">
        <v>1</v>
      </c>
      <c r="V294" s="30">
        <f t="shared" si="309"/>
        <v>0</v>
      </c>
      <c r="W294" s="30"/>
      <c r="X294" s="30">
        <f t="shared" si="310"/>
        <v>4249.4799999999996</v>
      </c>
      <c r="Y294" s="30">
        <f t="shared" si="311"/>
        <v>4249.4799999999996</v>
      </c>
      <c r="Z294" s="30">
        <v>1</v>
      </c>
      <c r="AA294" s="30">
        <f t="shared" si="312"/>
        <v>4249.4799999999996</v>
      </c>
      <c r="AB294" s="30">
        <f t="shared" si="313"/>
        <v>4249.4799999999996</v>
      </c>
      <c r="AC294" s="30">
        <f t="shared" si="314"/>
        <v>0</v>
      </c>
      <c r="AD294" s="6">
        <f t="shared" si="315"/>
        <v>2010.9166666666667</v>
      </c>
      <c r="AE294" s="6">
        <f t="shared" si="316"/>
        <v>2017.6666666666667</v>
      </c>
      <c r="AF294" s="6">
        <f t="shared" si="317"/>
        <v>2015.9166666666667</v>
      </c>
      <c r="AG294" s="6">
        <f t="shared" si="318"/>
        <v>2016.6666666666667</v>
      </c>
      <c r="AH294" s="6">
        <f t="shared" si="319"/>
        <v>-8.3333333333333329E-2</v>
      </c>
    </row>
    <row r="295" spans="1:34">
      <c r="D295" s="27" t="s">
        <v>260</v>
      </c>
      <c r="E295" s="10">
        <v>2011</v>
      </c>
      <c r="F295" s="1">
        <v>3</v>
      </c>
      <c r="G295" s="50">
        <v>0</v>
      </c>
      <c r="H295" s="50"/>
      <c r="I295" s="10" t="s">
        <v>92</v>
      </c>
      <c r="J295" s="10">
        <v>5</v>
      </c>
      <c r="K295" s="4">
        <f t="shared" si="304"/>
        <v>2016</v>
      </c>
      <c r="L295" s="51"/>
      <c r="M295" s="51"/>
      <c r="N295" s="29">
        <v>1120.45</v>
      </c>
      <c r="O295" s="38"/>
      <c r="P295" s="30">
        <f t="shared" si="305"/>
        <v>1120.45</v>
      </c>
      <c r="Q295" s="30">
        <f t="shared" si="306"/>
        <v>18.674166666666668</v>
      </c>
      <c r="R295" s="30">
        <f t="shared" si="307"/>
        <v>0</v>
      </c>
      <c r="S295" s="30"/>
      <c r="T295" s="30">
        <f t="shared" si="308"/>
        <v>0</v>
      </c>
      <c r="U295" s="30">
        <v>1</v>
      </c>
      <c r="V295" s="30">
        <f t="shared" si="309"/>
        <v>0</v>
      </c>
      <c r="W295" s="30"/>
      <c r="X295" s="30">
        <f t="shared" si="310"/>
        <v>1120.45</v>
      </c>
      <c r="Y295" s="30">
        <f t="shared" si="311"/>
        <v>1120.45</v>
      </c>
      <c r="Z295" s="30">
        <v>1</v>
      </c>
      <c r="AA295" s="30">
        <f t="shared" si="312"/>
        <v>1120.45</v>
      </c>
      <c r="AB295" s="30">
        <f t="shared" si="313"/>
        <v>1120.45</v>
      </c>
      <c r="AC295" s="30">
        <f t="shared" si="314"/>
        <v>0</v>
      </c>
      <c r="AD295" s="6">
        <f t="shared" si="315"/>
        <v>2011.1666666666667</v>
      </c>
      <c r="AE295" s="6">
        <f t="shared" si="316"/>
        <v>2017.6666666666667</v>
      </c>
      <c r="AF295" s="6">
        <f t="shared" si="317"/>
        <v>2016.1666666666667</v>
      </c>
      <c r="AG295" s="6">
        <f t="shared" si="318"/>
        <v>2016.6666666666667</v>
      </c>
      <c r="AH295" s="6">
        <f t="shared" si="319"/>
        <v>-8.3333333333333329E-2</v>
      </c>
    </row>
    <row r="296" spans="1:34">
      <c r="D296" s="27" t="s">
        <v>261</v>
      </c>
      <c r="E296" s="10">
        <v>2011</v>
      </c>
      <c r="F296" s="1">
        <v>12</v>
      </c>
      <c r="G296" s="50">
        <v>0</v>
      </c>
      <c r="H296" s="50"/>
      <c r="I296" s="10" t="s">
        <v>92</v>
      </c>
      <c r="J296" s="10">
        <v>5</v>
      </c>
      <c r="K296" s="4">
        <f t="shared" si="304"/>
        <v>2016</v>
      </c>
      <c r="L296" s="51"/>
      <c r="M296" s="51"/>
      <c r="N296" s="29">
        <v>846.18</v>
      </c>
      <c r="O296" s="38"/>
      <c r="P296" s="30">
        <f t="shared" si="305"/>
        <v>846.18</v>
      </c>
      <c r="Q296" s="30">
        <f t="shared" si="306"/>
        <v>14.103</v>
      </c>
      <c r="R296" s="30">
        <f t="shared" si="307"/>
        <v>42.308999999999997</v>
      </c>
      <c r="S296" s="30"/>
      <c r="T296" s="30">
        <f t="shared" si="308"/>
        <v>42.308999999999997</v>
      </c>
      <c r="U296" s="30">
        <v>1</v>
      </c>
      <c r="V296" s="30">
        <f t="shared" si="309"/>
        <v>42.308999999999997</v>
      </c>
      <c r="W296" s="30"/>
      <c r="X296" s="30">
        <f t="shared" si="310"/>
        <v>803.87099999999998</v>
      </c>
      <c r="Y296" s="30">
        <f t="shared" si="311"/>
        <v>803.87099999999998</v>
      </c>
      <c r="Z296" s="30">
        <v>1</v>
      </c>
      <c r="AA296" s="30">
        <f t="shared" si="312"/>
        <v>803.87099999999998</v>
      </c>
      <c r="AB296" s="30">
        <f t="shared" si="313"/>
        <v>846.18</v>
      </c>
      <c r="AC296" s="30">
        <f t="shared" si="314"/>
        <v>21.154499999999985</v>
      </c>
      <c r="AD296" s="6">
        <f t="shared" si="315"/>
        <v>2011.9166666666667</v>
      </c>
      <c r="AE296" s="6">
        <f t="shared" si="316"/>
        <v>2017.6666666666667</v>
      </c>
      <c r="AF296" s="6">
        <f t="shared" si="317"/>
        <v>2016.9166666666667</v>
      </c>
      <c r="AG296" s="6">
        <f t="shared" si="318"/>
        <v>2016.6666666666667</v>
      </c>
      <c r="AH296" s="6">
        <f t="shared" si="319"/>
        <v>-8.3333333333333329E-2</v>
      </c>
    </row>
    <row r="297" spans="1:34">
      <c r="D297" s="27" t="s">
        <v>262</v>
      </c>
      <c r="E297" s="10">
        <v>2013</v>
      </c>
      <c r="F297" s="1">
        <v>9</v>
      </c>
      <c r="G297" s="50">
        <v>0</v>
      </c>
      <c r="H297" s="50"/>
      <c r="I297" s="10" t="s">
        <v>92</v>
      </c>
      <c r="J297" s="10">
        <v>5</v>
      </c>
      <c r="K297" s="4">
        <f t="shared" si="304"/>
        <v>2018</v>
      </c>
      <c r="L297" s="51"/>
      <c r="M297" s="51"/>
      <c r="N297" s="29">
        <v>1010.1</v>
      </c>
      <c r="O297" s="38"/>
      <c r="P297" s="30">
        <f t="shared" si="305"/>
        <v>1010.1</v>
      </c>
      <c r="Q297" s="30">
        <f t="shared" si="306"/>
        <v>16.835000000000001</v>
      </c>
      <c r="R297" s="30">
        <f t="shared" si="307"/>
        <v>202.02</v>
      </c>
      <c r="S297" s="30"/>
      <c r="T297" s="30">
        <f t="shared" si="308"/>
        <v>202.02</v>
      </c>
      <c r="U297" s="30">
        <v>1</v>
      </c>
      <c r="V297" s="30">
        <f t="shared" si="309"/>
        <v>202.02</v>
      </c>
      <c r="W297" s="30"/>
      <c r="X297" s="30">
        <f t="shared" si="310"/>
        <v>606.06000000000006</v>
      </c>
      <c r="Y297" s="30">
        <f t="shared" si="311"/>
        <v>606.06000000000006</v>
      </c>
      <c r="Z297" s="30">
        <v>1</v>
      </c>
      <c r="AA297" s="30">
        <f t="shared" si="312"/>
        <v>606.06000000000006</v>
      </c>
      <c r="AB297" s="30">
        <f t="shared" si="313"/>
        <v>808.08</v>
      </c>
      <c r="AC297" s="30">
        <f t="shared" si="314"/>
        <v>303.02999999999997</v>
      </c>
      <c r="AD297" s="6">
        <f t="shared" si="315"/>
        <v>2013.6666666666667</v>
      </c>
      <c r="AE297" s="6">
        <f t="shared" si="316"/>
        <v>2017.6666666666667</v>
      </c>
      <c r="AF297" s="6">
        <f t="shared" si="317"/>
        <v>2018.6666666666667</v>
      </c>
      <c r="AG297" s="6">
        <f t="shared" si="318"/>
        <v>2016.6666666666667</v>
      </c>
      <c r="AH297" s="6">
        <f t="shared" si="319"/>
        <v>-8.3333333333333329E-2</v>
      </c>
    </row>
    <row r="298" spans="1:34">
      <c r="A298" s="1">
        <v>113894</v>
      </c>
      <c r="C298" s="1">
        <v>1</v>
      </c>
      <c r="D298" s="27" t="s">
        <v>263</v>
      </c>
      <c r="E298" s="10">
        <v>2014</v>
      </c>
      <c r="F298" s="1">
        <v>6</v>
      </c>
      <c r="G298" s="50">
        <v>0</v>
      </c>
      <c r="H298" s="50"/>
      <c r="I298" s="10" t="s">
        <v>92</v>
      </c>
      <c r="J298" s="10">
        <v>5</v>
      </c>
      <c r="K298" s="4">
        <f t="shared" si="304"/>
        <v>2019</v>
      </c>
      <c r="L298" s="51"/>
      <c r="M298" s="51"/>
      <c r="N298" s="29">
        <v>824.08</v>
      </c>
      <c r="O298" s="38"/>
      <c r="P298" s="30">
        <f t="shared" si="305"/>
        <v>824.08</v>
      </c>
      <c r="Q298" s="30">
        <f t="shared" si="306"/>
        <v>13.734666666666667</v>
      </c>
      <c r="R298" s="30">
        <f t="shared" si="307"/>
        <v>164.816</v>
      </c>
      <c r="S298" s="30"/>
      <c r="T298" s="30">
        <f t="shared" si="308"/>
        <v>164.816</v>
      </c>
      <c r="U298" s="30">
        <v>1</v>
      </c>
      <c r="V298" s="30">
        <f t="shared" si="309"/>
        <v>164.816</v>
      </c>
      <c r="W298" s="30"/>
      <c r="X298" s="30">
        <f t="shared" si="310"/>
        <v>370.83600000000001</v>
      </c>
      <c r="Y298" s="30">
        <f t="shared" si="311"/>
        <v>370.83600000000001</v>
      </c>
      <c r="Z298" s="30">
        <v>1</v>
      </c>
      <c r="AA298" s="30">
        <f t="shared" si="312"/>
        <v>370.83600000000001</v>
      </c>
      <c r="AB298" s="30">
        <f t="shared" si="313"/>
        <v>535.65200000000004</v>
      </c>
      <c r="AC298" s="30">
        <f t="shared" si="314"/>
        <v>370.83600000000001</v>
      </c>
      <c r="AD298" s="6">
        <f t="shared" si="315"/>
        <v>2014.4166666666667</v>
      </c>
      <c r="AE298" s="6">
        <f t="shared" si="316"/>
        <v>2017.6666666666667</v>
      </c>
      <c r="AF298" s="6">
        <f t="shared" si="317"/>
        <v>2019.4166666666667</v>
      </c>
      <c r="AG298" s="6">
        <f t="shared" si="318"/>
        <v>2016.6666666666667</v>
      </c>
      <c r="AH298" s="6">
        <f t="shared" si="319"/>
        <v>-8.3333333333333329E-2</v>
      </c>
    </row>
    <row r="299" spans="1:34">
      <c r="A299" s="1">
        <v>117628</v>
      </c>
      <c r="C299" s="1">
        <v>1</v>
      </c>
      <c r="D299" s="27" t="s">
        <v>264</v>
      </c>
      <c r="E299" s="10">
        <v>2014</v>
      </c>
      <c r="F299" s="1">
        <v>11</v>
      </c>
      <c r="G299" s="50">
        <v>0</v>
      </c>
      <c r="H299" s="50"/>
      <c r="I299" s="10" t="s">
        <v>92</v>
      </c>
      <c r="J299" s="10">
        <v>5</v>
      </c>
      <c r="K299" s="4">
        <f t="shared" si="304"/>
        <v>2019</v>
      </c>
      <c r="L299" s="51"/>
      <c r="M299" s="51"/>
      <c r="N299" s="29">
        <v>1076.26</v>
      </c>
      <c r="O299" s="38"/>
      <c r="P299" s="30">
        <f t="shared" si="305"/>
        <v>1076.26</v>
      </c>
      <c r="Q299" s="30">
        <f t="shared" si="306"/>
        <v>17.937666666666669</v>
      </c>
      <c r="R299" s="30">
        <f t="shared" si="307"/>
        <v>215.25200000000001</v>
      </c>
      <c r="S299" s="30"/>
      <c r="T299" s="30">
        <f t="shared" si="308"/>
        <v>215.25200000000001</v>
      </c>
      <c r="U299" s="30">
        <v>1</v>
      </c>
      <c r="V299" s="30">
        <f t="shared" si="309"/>
        <v>215.25200000000001</v>
      </c>
      <c r="W299" s="30"/>
      <c r="X299" s="30">
        <f t="shared" si="310"/>
        <v>394.62866666669936</v>
      </c>
      <c r="Y299" s="30">
        <f t="shared" si="311"/>
        <v>394.62866666669936</v>
      </c>
      <c r="Z299" s="30">
        <v>1</v>
      </c>
      <c r="AA299" s="30">
        <f t="shared" si="312"/>
        <v>394.62866666669936</v>
      </c>
      <c r="AB299" s="30">
        <f t="shared" si="313"/>
        <v>609.88066666669943</v>
      </c>
      <c r="AC299" s="30">
        <f t="shared" si="314"/>
        <v>574.00533333330054</v>
      </c>
      <c r="AD299" s="6">
        <f t="shared" si="315"/>
        <v>2014.8333333333333</v>
      </c>
      <c r="AE299" s="6">
        <f t="shared" si="316"/>
        <v>2017.6666666666667</v>
      </c>
      <c r="AF299" s="6">
        <f t="shared" si="317"/>
        <v>2019.8333333333333</v>
      </c>
      <c r="AG299" s="6">
        <f t="shared" si="318"/>
        <v>2016.6666666666667</v>
      </c>
      <c r="AH299" s="6">
        <f t="shared" si="319"/>
        <v>-8.3333333333333329E-2</v>
      </c>
    </row>
    <row r="300" spans="1:34">
      <c r="A300" s="1">
        <v>120298</v>
      </c>
      <c r="D300" s="27" t="s">
        <v>265</v>
      </c>
      <c r="E300" s="10">
        <v>2015</v>
      </c>
      <c r="F300" s="1">
        <v>2</v>
      </c>
      <c r="G300" s="50">
        <v>0</v>
      </c>
      <c r="H300" s="50"/>
      <c r="I300" s="10" t="s">
        <v>92</v>
      </c>
      <c r="J300" s="10">
        <v>3</v>
      </c>
      <c r="K300" s="4">
        <f t="shared" si="304"/>
        <v>2018</v>
      </c>
      <c r="L300" s="51"/>
      <c r="M300" s="51"/>
      <c r="N300" s="29">
        <v>1655.52</v>
      </c>
      <c r="O300" s="38"/>
      <c r="P300" s="30">
        <f t="shared" si="305"/>
        <v>1655.52</v>
      </c>
      <c r="Q300" s="30">
        <f t="shared" si="306"/>
        <v>45.986666666666672</v>
      </c>
      <c r="R300" s="30">
        <f t="shared" si="307"/>
        <v>551.84</v>
      </c>
      <c r="S300" s="30"/>
      <c r="T300" s="30">
        <f t="shared" si="308"/>
        <v>551.84</v>
      </c>
      <c r="U300" s="30">
        <v>1</v>
      </c>
      <c r="V300" s="30">
        <f t="shared" si="309"/>
        <v>551.84</v>
      </c>
      <c r="W300" s="30"/>
      <c r="X300" s="30">
        <f t="shared" si="310"/>
        <v>873.74666666675046</v>
      </c>
      <c r="Y300" s="30">
        <f t="shared" si="311"/>
        <v>873.74666666675046</v>
      </c>
      <c r="Z300" s="30">
        <v>1</v>
      </c>
      <c r="AA300" s="30">
        <f t="shared" si="312"/>
        <v>873.74666666675046</v>
      </c>
      <c r="AB300" s="30">
        <f t="shared" si="313"/>
        <v>1425.5866666667505</v>
      </c>
      <c r="AC300" s="30">
        <f t="shared" si="314"/>
        <v>505.85333333324951</v>
      </c>
      <c r="AD300" s="6">
        <f t="shared" si="315"/>
        <v>2015.0833333333333</v>
      </c>
      <c r="AE300" s="6">
        <f t="shared" si="316"/>
        <v>2017.6666666666667</v>
      </c>
      <c r="AF300" s="6">
        <f t="shared" si="317"/>
        <v>2018.0833333333333</v>
      </c>
      <c r="AG300" s="6">
        <f t="shared" si="318"/>
        <v>2016.6666666666667</v>
      </c>
      <c r="AH300" s="6">
        <f t="shared" si="319"/>
        <v>-8.3333333333333329E-2</v>
      </c>
    </row>
    <row r="301" spans="1:34">
      <c r="A301" s="1">
        <v>133345</v>
      </c>
      <c r="D301" s="27" t="s">
        <v>266</v>
      </c>
      <c r="E301" s="10">
        <v>2016</v>
      </c>
      <c r="F301" s="1">
        <v>3</v>
      </c>
      <c r="G301" s="50">
        <v>0</v>
      </c>
      <c r="H301" s="50"/>
      <c r="I301" s="10" t="s">
        <v>92</v>
      </c>
      <c r="J301" s="10">
        <v>5</v>
      </c>
      <c r="K301" s="4">
        <f t="shared" si="304"/>
        <v>2021</v>
      </c>
      <c r="L301" s="51"/>
      <c r="M301" s="51"/>
      <c r="N301" s="29">
        <f>2075.02+583.35</f>
        <v>2658.37</v>
      </c>
      <c r="O301" s="38"/>
      <c r="P301" s="30">
        <f t="shared" si="305"/>
        <v>2658.37</v>
      </c>
      <c r="Q301" s="30">
        <f t="shared" si="306"/>
        <v>44.306166666666662</v>
      </c>
      <c r="R301" s="30">
        <f t="shared" si="307"/>
        <v>531.67399999999998</v>
      </c>
      <c r="S301" s="30"/>
      <c r="T301" s="30">
        <f t="shared" si="308"/>
        <v>531.67399999999998</v>
      </c>
      <c r="U301" s="30">
        <v>1</v>
      </c>
      <c r="V301" s="30">
        <f t="shared" si="309"/>
        <v>531.67399999999998</v>
      </c>
      <c r="W301" s="30"/>
      <c r="X301" s="30">
        <f t="shared" si="310"/>
        <v>265.83699999999999</v>
      </c>
      <c r="Y301" s="30">
        <f t="shared" si="311"/>
        <v>265.83699999999999</v>
      </c>
      <c r="Z301" s="30">
        <v>1</v>
      </c>
      <c r="AA301" s="30">
        <f t="shared" si="312"/>
        <v>265.83699999999999</v>
      </c>
      <c r="AB301" s="30">
        <f t="shared" si="313"/>
        <v>797.51099999999997</v>
      </c>
      <c r="AC301" s="30">
        <f t="shared" si="314"/>
        <v>2126.6959999999999</v>
      </c>
      <c r="AD301" s="6">
        <f t="shared" si="315"/>
        <v>2016.1666666666667</v>
      </c>
      <c r="AE301" s="6">
        <f t="shared" si="316"/>
        <v>2017.6666666666667</v>
      </c>
      <c r="AF301" s="6">
        <f t="shared" si="317"/>
        <v>2021.1666666666667</v>
      </c>
      <c r="AG301" s="6">
        <f t="shared" si="318"/>
        <v>2016.6666666666667</v>
      </c>
      <c r="AH301" s="6">
        <f t="shared" si="319"/>
        <v>-8.3333333333333329E-2</v>
      </c>
    </row>
    <row r="302" spans="1:34" s="82" customFormat="1">
      <c r="A302" s="82">
        <v>176458</v>
      </c>
      <c r="D302" s="83" t="s">
        <v>300</v>
      </c>
      <c r="E302" s="84">
        <v>2017</v>
      </c>
      <c r="F302" s="82">
        <v>2</v>
      </c>
      <c r="G302" s="85">
        <v>0</v>
      </c>
      <c r="H302" s="85"/>
      <c r="I302" s="84" t="s">
        <v>92</v>
      </c>
      <c r="J302" s="84">
        <v>5</v>
      </c>
      <c r="K302" s="86">
        <f t="shared" si="304"/>
        <v>2022</v>
      </c>
      <c r="L302" s="87"/>
      <c r="M302" s="87"/>
      <c r="N302" s="88">
        <v>937.45</v>
      </c>
      <c r="O302" s="89"/>
      <c r="P302" s="90">
        <f t="shared" ref="P302" si="320">N302-N302*G302</f>
        <v>937.45</v>
      </c>
      <c r="Q302" s="90">
        <f t="shared" ref="Q302" si="321">P302/J302/12</f>
        <v>15.624166666666667</v>
      </c>
      <c r="R302" s="90">
        <f t="shared" ref="R302" si="322">IF(O302&gt;0,0,IF(OR(AD302&gt;AE302,AF302&lt;AG302),0,IF(AND(AF302&gt;=AG302,AF302&lt;=AE302),Q302*((AF302-AG302)*12),IF(AND(AG302&lt;=AD302,AE302&gt;=AD302),((AE302-AD302)*12)*Q302,IF(AF302&gt;AE302,12*Q302,0)))))</f>
        <v>109.36916666669509</v>
      </c>
      <c r="S302" s="90"/>
      <c r="T302" s="90">
        <f t="shared" ref="T302" si="323">IF(S302&gt;0,S302,R302)</f>
        <v>109.36916666669509</v>
      </c>
      <c r="U302" s="90">
        <v>1</v>
      </c>
      <c r="V302" s="90">
        <f t="shared" ref="V302" si="324">U302*SUM(R302:S302)</f>
        <v>109.36916666669509</v>
      </c>
      <c r="W302" s="90"/>
      <c r="X302" s="90">
        <f t="shared" ref="X302" si="325">IF(AD302&gt;AE302,0,IF(AF302&lt;AG302,P302,IF(AND(AF302&gt;=AG302,AF302&lt;=AE302),(P302-T302),IF(AND(AG302&lt;=AD302,AE302&gt;=AD302),0,IF(AF302&gt;AE302,((AG302-AD302)*12)*Q302,0)))))</f>
        <v>0</v>
      </c>
      <c r="Y302" s="90">
        <f t="shared" ref="Y302" si="326">X302*U302</f>
        <v>0</v>
      </c>
      <c r="Z302" s="90">
        <v>1</v>
      </c>
      <c r="AA302" s="90">
        <f t="shared" ref="AA302" si="327">Y302*Z302</f>
        <v>0</v>
      </c>
      <c r="AB302" s="90">
        <f t="shared" ref="AB302" si="328">IF(O302&gt;0,0,AA302+V302*Z302)*Z302</f>
        <v>109.36916666669509</v>
      </c>
      <c r="AC302" s="90">
        <f t="shared" ref="AC302" si="329">IF(O302&gt;0,(N302-AA302)/2,IF(AD302&gt;=AG302,(((N302*U302)*Z302)-AB302)/2,((((N302*U302)*Z302)-AA302)+(((N302*U302)*Z302)-AB302))/2))</f>
        <v>414.0404166666525</v>
      </c>
      <c r="AD302" s="91">
        <f t="shared" si="315"/>
        <v>2017.0833333333333</v>
      </c>
      <c r="AE302" s="91">
        <f t="shared" si="316"/>
        <v>2017.6666666666667</v>
      </c>
      <c r="AF302" s="91">
        <f t="shared" si="317"/>
        <v>2022.0833333333333</v>
      </c>
      <c r="AG302" s="91">
        <f t="shared" si="318"/>
        <v>2016.6666666666667</v>
      </c>
      <c r="AH302" s="91">
        <f t="shared" si="319"/>
        <v>-8.3333333333333329E-2</v>
      </c>
    </row>
    <row r="303" spans="1:34">
      <c r="E303" s="10"/>
      <c r="G303" s="1"/>
      <c r="J303" s="10"/>
      <c r="L303" s="71"/>
      <c r="N303" s="72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</row>
    <row r="304" spans="1:34">
      <c r="D304" s="41" t="s">
        <v>267</v>
      </c>
      <c r="E304" s="42"/>
      <c r="F304" s="43"/>
      <c r="G304" s="43"/>
      <c r="H304" s="43"/>
      <c r="I304" s="43"/>
      <c r="J304" s="42"/>
      <c r="K304" s="58"/>
      <c r="L304" s="59">
        <f>SUM(L291:L303)</f>
        <v>0</v>
      </c>
      <c r="M304" s="32"/>
      <c r="N304" s="60">
        <f>SUM(N291:N303)</f>
        <v>22196.31</v>
      </c>
      <c r="O304" s="61"/>
      <c r="P304" s="60">
        <f>SUM(P291:P303)</f>
        <v>22196.31</v>
      </c>
      <c r="Q304" s="60">
        <f>SUM(Q291:Q303)</f>
        <v>463.61094444444444</v>
      </c>
      <c r="R304" s="60">
        <f>SUM(R291:R303)</f>
        <v>1817.2801666666951</v>
      </c>
      <c r="S304" s="60"/>
      <c r="T304" s="60">
        <f>SUM(T291:T303)</f>
        <v>1817.2801666666951</v>
      </c>
      <c r="U304" s="60"/>
      <c r="V304" s="60">
        <f>SUM(V291:V303)</f>
        <v>1817.2801666666951</v>
      </c>
      <c r="W304" s="60"/>
      <c r="X304" s="60">
        <f>SUM(X291:X303)</f>
        <v>16503.329333333448</v>
      </c>
      <c r="Y304" s="60">
        <f>SUM(Y291:Y303)</f>
        <v>16503.329333333448</v>
      </c>
      <c r="Z304" s="60"/>
      <c r="AA304" s="60">
        <f>SUM(AA291:AA303)</f>
        <v>16503.329333333448</v>
      </c>
      <c r="AB304" s="60">
        <f>SUM(AB291:AB303)</f>
        <v>18320.609500000144</v>
      </c>
      <c r="AC304" s="60">
        <f>SUM(AC291:AC303)</f>
        <v>4315.6155833332023</v>
      </c>
    </row>
    <row r="305" spans="1:34">
      <c r="D305" s="15"/>
      <c r="E305" s="10"/>
      <c r="G305" s="1"/>
      <c r="J305" s="10"/>
      <c r="L305" s="63"/>
      <c r="M305" s="31"/>
      <c r="N305" s="64"/>
      <c r="O305" s="38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</row>
    <row r="306" spans="1:34">
      <c r="D306" s="31" t="s">
        <v>268</v>
      </c>
      <c r="E306" s="10"/>
      <c r="G306" s="1"/>
      <c r="J306" s="10"/>
      <c r="L306" s="51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</row>
    <row r="307" spans="1:34">
      <c r="D307" s="1" t="s">
        <v>269</v>
      </c>
      <c r="E307" s="10">
        <v>2004</v>
      </c>
      <c r="F307" s="1">
        <v>1</v>
      </c>
      <c r="G307" s="50">
        <v>0</v>
      </c>
      <c r="H307" s="50"/>
      <c r="I307" s="10" t="s">
        <v>92</v>
      </c>
      <c r="J307" s="10">
        <v>15</v>
      </c>
      <c r="K307" s="4">
        <f t="shared" ref="K307:K312" si="330">E307+J307</f>
        <v>2019</v>
      </c>
      <c r="L307" s="51"/>
      <c r="M307" s="51"/>
      <c r="N307" s="29">
        <v>107246</v>
      </c>
      <c r="O307" s="38"/>
      <c r="P307" s="30">
        <f t="shared" ref="P307:P312" si="331">N307-N307*G307</f>
        <v>107246</v>
      </c>
      <c r="Q307" s="30">
        <f t="shared" ref="Q307:Q312" si="332">P307/J307/12</f>
        <v>595.81111111111113</v>
      </c>
      <c r="R307" s="30">
        <f t="shared" ref="R307:R312" si="333">IF(O307&gt;0,0,IF(OR(AD307&gt;AE307,AF307&lt;AG307),0,IF(AND(AF307&gt;=AG307,AF307&lt;=AE307),Q307*((AF307-AG307)*12),IF(AND(AG307&lt;=AD307,AE307&gt;=AD307),((AE307-AD307)*12)*Q307,IF(AF307&gt;AE307,12*Q307,0)))))</f>
        <v>7149.7333333333336</v>
      </c>
      <c r="S307" s="30"/>
      <c r="T307" s="30">
        <f t="shared" ref="T307:T312" si="334">IF(S307&gt;0,S307,R307)</f>
        <v>7149.7333333333336</v>
      </c>
      <c r="U307" s="30">
        <v>1</v>
      </c>
      <c r="V307" s="30">
        <f t="shared" ref="V307:V312" si="335">U307*SUM(R307:S307)</f>
        <v>7149.7333333333336</v>
      </c>
      <c r="W307" s="30"/>
      <c r="X307" s="30">
        <f t="shared" ref="X307:X312" si="336">IF(AD307&gt;AE307,0,IF(AF307&lt;AG307,P307,IF(AND(AF307&gt;=AG307,AF307&lt;=AE307),(P307-T307),IF(AND(AG307&lt;=AD307,AE307&gt;=AD307),0,IF(AF307&gt;AE307,((AG307-AD307)*12)*Q307,0)))))</f>
        <v>90563.288888889438</v>
      </c>
      <c r="Y307" s="30">
        <f t="shared" ref="Y307:Y312" si="337">X307*U307</f>
        <v>90563.288888889438</v>
      </c>
      <c r="Z307" s="30">
        <v>1</v>
      </c>
      <c r="AA307" s="30">
        <f t="shared" ref="AA307:AA312" si="338">Y307*Z307</f>
        <v>90563.288888889438</v>
      </c>
      <c r="AB307" s="30">
        <f t="shared" ref="AB307:AB312" si="339">IF(O307&gt;0,0,AA307+V307*Z307)*Z307</f>
        <v>97713.022222222775</v>
      </c>
      <c r="AC307" s="30">
        <f t="shared" ref="AC307:AC312" si="340">IF(O307&gt;0,(N307-AA307)/2,IF(AD307&gt;=AG307,(((N307*U307)*Z307)-AB307)/2,((((N307*U307)*Z307)-AA307)+(((N307*U307)*Z307)-AB307))/2))</f>
        <v>13107.844444443894</v>
      </c>
      <c r="AD307" s="6">
        <f t="shared" ref="AD307:AD318" si="341">$E307+(($F307-1)/12)</f>
        <v>2004</v>
      </c>
      <c r="AE307" s="6">
        <f t="shared" ref="AE307:AE318" si="342">($P$5+1)-($P$2/12)</f>
        <v>2017.6666666666667</v>
      </c>
      <c r="AF307" s="6">
        <f t="shared" ref="AF307:AF318" si="343">$K307+(($F307-1)/12)</f>
        <v>2019</v>
      </c>
      <c r="AG307" s="6">
        <f t="shared" ref="AG307:AG318" si="344">$P$4+($P$3/12)</f>
        <v>2016.6666666666667</v>
      </c>
      <c r="AH307" s="6">
        <f t="shared" ref="AH307:AH318" si="345">$L307+(($M307-1)/12)</f>
        <v>-8.3333333333333329E-2</v>
      </c>
    </row>
    <row r="308" spans="1:34">
      <c r="D308" s="27" t="s">
        <v>270</v>
      </c>
      <c r="E308" s="10">
        <v>2007</v>
      </c>
      <c r="F308" s="1">
        <v>4</v>
      </c>
      <c r="G308" s="50">
        <v>0</v>
      </c>
      <c r="H308" s="50"/>
      <c r="I308" s="10" t="s">
        <v>92</v>
      </c>
      <c r="J308" s="10">
        <v>3</v>
      </c>
      <c r="K308" s="4">
        <f t="shared" si="330"/>
        <v>2010</v>
      </c>
      <c r="L308" s="51"/>
      <c r="M308" s="51"/>
      <c r="N308" s="29">
        <v>5766</v>
      </c>
      <c r="O308" s="38"/>
      <c r="P308" s="30">
        <f t="shared" si="331"/>
        <v>5766</v>
      </c>
      <c r="Q308" s="30">
        <f t="shared" si="332"/>
        <v>160.16666666666666</v>
      </c>
      <c r="R308" s="30">
        <f t="shared" si="333"/>
        <v>0</v>
      </c>
      <c r="S308" s="30"/>
      <c r="T308" s="30">
        <f t="shared" si="334"/>
        <v>0</v>
      </c>
      <c r="U308" s="30">
        <v>1</v>
      </c>
      <c r="V308" s="30">
        <f t="shared" si="335"/>
        <v>0</v>
      </c>
      <c r="W308" s="30"/>
      <c r="X308" s="30">
        <f t="shared" si="336"/>
        <v>5766</v>
      </c>
      <c r="Y308" s="30">
        <f t="shared" si="337"/>
        <v>5766</v>
      </c>
      <c r="Z308" s="30">
        <v>1</v>
      </c>
      <c r="AA308" s="30">
        <f t="shared" si="338"/>
        <v>5766</v>
      </c>
      <c r="AB308" s="30">
        <f t="shared" si="339"/>
        <v>5766</v>
      </c>
      <c r="AC308" s="30">
        <f t="shared" si="340"/>
        <v>0</v>
      </c>
      <c r="AD308" s="6">
        <f t="shared" si="341"/>
        <v>2007.25</v>
      </c>
      <c r="AE308" s="6">
        <f t="shared" si="342"/>
        <v>2017.6666666666667</v>
      </c>
      <c r="AF308" s="6">
        <f t="shared" si="343"/>
        <v>2010.25</v>
      </c>
      <c r="AG308" s="6">
        <f t="shared" si="344"/>
        <v>2016.6666666666667</v>
      </c>
      <c r="AH308" s="6">
        <f t="shared" si="345"/>
        <v>-8.3333333333333329E-2</v>
      </c>
    </row>
    <row r="309" spans="1:34">
      <c r="D309" s="27" t="s">
        <v>271</v>
      </c>
      <c r="E309" s="10">
        <v>2010</v>
      </c>
      <c r="F309" s="1">
        <v>4</v>
      </c>
      <c r="G309" s="50">
        <v>0</v>
      </c>
      <c r="H309" s="50"/>
      <c r="I309" s="10" t="s">
        <v>92</v>
      </c>
      <c r="J309" s="73">
        <v>20</v>
      </c>
      <c r="K309" s="4">
        <f t="shared" si="330"/>
        <v>2030</v>
      </c>
      <c r="L309" s="51"/>
      <c r="M309" s="51"/>
      <c r="N309" s="29">
        <v>7530</v>
      </c>
      <c r="O309" s="38"/>
      <c r="P309" s="30">
        <f t="shared" si="331"/>
        <v>7530</v>
      </c>
      <c r="Q309" s="30">
        <f t="shared" si="332"/>
        <v>31.375</v>
      </c>
      <c r="R309" s="30">
        <f t="shared" si="333"/>
        <v>376.5</v>
      </c>
      <c r="S309" s="30"/>
      <c r="T309" s="30">
        <f t="shared" si="334"/>
        <v>376.5</v>
      </c>
      <c r="U309" s="30">
        <v>1</v>
      </c>
      <c r="V309" s="30">
        <f t="shared" si="335"/>
        <v>376.5</v>
      </c>
      <c r="W309" s="30"/>
      <c r="X309" s="30">
        <f t="shared" si="336"/>
        <v>2415.8750000000286</v>
      </c>
      <c r="Y309" s="30">
        <f t="shared" si="337"/>
        <v>2415.8750000000286</v>
      </c>
      <c r="Z309" s="30">
        <v>1</v>
      </c>
      <c r="AA309" s="30">
        <f t="shared" si="338"/>
        <v>2415.8750000000286</v>
      </c>
      <c r="AB309" s="30">
        <f t="shared" si="339"/>
        <v>2792.3750000000286</v>
      </c>
      <c r="AC309" s="30">
        <f t="shared" si="340"/>
        <v>4925.8749999999709</v>
      </c>
      <c r="AD309" s="6">
        <f t="shared" si="341"/>
        <v>2010.25</v>
      </c>
      <c r="AE309" s="6">
        <f t="shared" si="342"/>
        <v>2017.6666666666667</v>
      </c>
      <c r="AF309" s="6">
        <f t="shared" si="343"/>
        <v>2030.25</v>
      </c>
      <c r="AG309" s="6">
        <f t="shared" si="344"/>
        <v>2016.6666666666667</v>
      </c>
      <c r="AH309" s="6">
        <f t="shared" si="345"/>
        <v>-8.3333333333333329E-2</v>
      </c>
    </row>
    <row r="310" spans="1:34">
      <c r="D310" s="27" t="s">
        <v>272</v>
      </c>
      <c r="E310" s="10">
        <v>2010</v>
      </c>
      <c r="F310" s="1">
        <v>7</v>
      </c>
      <c r="G310" s="50">
        <v>0</v>
      </c>
      <c r="H310" s="50"/>
      <c r="I310" s="10" t="s">
        <v>92</v>
      </c>
      <c r="J310" s="73">
        <v>20</v>
      </c>
      <c r="K310" s="4">
        <f t="shared" si="330"/>
        <v>2030</v>
      </c>
      <c r="L310" s="51"/>
      <c r="M310" s="51"/>
      <c r="N310" s="29">
        <f>33338.77-4363.77</f>
        <v>28974.999999999996</v>
      </c>
      <c r="O310" s="38"/>
      <c r="P310" s="30">
        <f t="shared" si="331"/>
        <v>28974.999999999996</v>
      </c>
      <c r="Q310" s="30">
        <f t="shared" si="332"/>
        <v>120.72916666666664</v>
      </c>
      <c r="R310" s="30">
        <f t="shared" si="333"/>
        <v>1448.7499999999998</v>
      </c>
      <c r="S310" s="30"/>
      <c r="T310" s="30">
        <f t="shared" si="334"/>
        <v>1448.7499999999998</v>
      </c>
      <c r="U310" s="30">
        <v>1</v>
      </c>
      <c r="V310" s="30">
        <f t="shared" si="335"/>
        <v>1448.7499999999998</v>
      </c>
      <c r="W310" s="30"/>
      <c r="X310" s="30">
        <f t="shared" si="336"/>
        <v>8933.9583333334413</v>
      </c>
      <c r="Y310" s="30">
        <f t="shared" si="337"/>
        <v>8933.9583333334413</v>
      </c>
      <c r="Z310" s="30">
        <v>1</v>
      </c>
      <c r="AA310" s="30">
        <f t="shared" si="338"/>
        <v>8933.9583333334413</v>
      </c>
      <c r="AB310" s="30">
        <f t="shared" si="339"/>
        <v>10382.708333333441</v>
      </c>
      <c r="AC310" s="30">
        <f t="shared" si="340"/>
        <v>19316.666666666555</v>
      </c>
      <c r="AD310" s="6">
        <f t="shared" si="341"/>
        <v>2010.5</v>
      </c>
      <c r="AE310" s="6">
        <f t="shared" si="342"/>
        <v>2017.6666666666667</v>
      </c>
      <c r="AF310" s="6">
        <f t="shared" si="343"/>
        <v>2030.5</v>
      </c>
      <c r="AG310" s="6">
        <f t="shared" si="344"/>
        <v>2016.6666666666667</v>
      </c>
      <c r="AH310" s="6">
        <f t="shared" si="345"/>
        <v>-8.3333333333333329E-2</v>
      </c>
    </row>
    <row r="311" spans="1:34">
      <c r="D311" s="27" t="s">
        <v>273</v>
      </c>
      <c r="E311" s="10">
        <v>2011</v>
      </c>
      <c r="F311" s="1">
        <v>8</v>
      </c>
      <c r="G311" s="50">
        <v>0</v>
      </c>
      <c r="H311" s="50"/>
      <c r="I311" s="10" t="s">
        <v>92</v>
      </c>
      <c r="J311" s="73">
        <v>25</v>
      </c>
      <c r="K311" s="4">
        <f t="shared" si="330"/>
        <v>2036</v>
      </c>
      <c r="L311" s="51"/>
      <c r="M311" s="51"/>
      <c r="N311" s="29">
        <f>1599.75+620.92</f>
        <v>2220.67</v>
      </c>
      <c r="O311" s="38"/>
      <c r="P311" s="30">
        <f t="shared" si="331"/>
        <v>2220.67</v>
      </c>
      <c r="Q311" s="30">
        <f t="shared" si="332"/>
        <v>7.4022333333333341</v>
      </c>
      <c r="R311" s="30">
        <f t="shared" si="333"/>
        <v>88.826800000000006</v>
      </c>
      <c r="S311" s="30"/>
      <c r="T311" s="30">
        <f t="shared" si="334"/>
        <v>88.826800000000006</v>
      </c>
      <c r="U311" s="30">
        <v>1</v>
      </c>
      <c r="V311" s="30">
        <f t="shared" si="335"/>
        <v>88.826800000000006</v>
      </c>
      <c r="W311" s="30"/>
      <c r="X311" s="30">
        <f t="shared" si="336"/>
        <v>451.53623333334684</v>
      </c>
      <c r="Y311" s="30">
        <f t="shared" si="337"/>
        <v>451.53623333334684</v>
      </c>
      <c r="Z311" s="30">
        <v>1</v>
      </c>
      <c r="AA311" s="30">
        <f t="shared" si="338"/>
        <v>451.53623333334684</v>
      </c>
      <c r="AB311" s="30">
        <f t="shared" si="339"/>
        <v>540.36303333334683</v>
      </c>
      <c r="AC311" s="30">
        <f t="shared" si="340"/>
        <v>1724.7203666666533</v>
      </c>
      <c r="AD311" s="6">
        <f t="shared" si="341"/>
        <v>2011.5833333333333</v>
      </c>
      <c r="AE311" s="6">
        <f t="shared" si="342"/>
        <v>2017.6666666666667</v>
      </c>
      <c r="AF311" s="6">
        <f t="shared" si="343"/>
        <v>2036.5833333333333</v>
      </c>
      <c r="AG311" s="6">
        <f t="shared" si="344"/>
        <v>2016.6666666666667</v>
      </c>
      <c r="AH311" s="6">
        <f t="shared" si="345"/>
        <v>-8.3333333333333329E-2</v>
      </c>
    </row>
    <row r="312" spans="1:34">
      <c r="D312" s="27" t="s">
        <v>274</v>
      </c>
      <c r="E312" s="10">
        <v>2011</v>
      </c>
      <c r="F312" s="1">
        <v>12</v>
      </c>
      <c r="G312" s="50">
        <v>0</v>
      </c>
      <c r="H312" s="50"/>
      <c r="I312" s="10" t="s">
        <v>92</v>
      </c>
      <c r="J312" s="73">
        <v>12</v>
      </c>
      <c r="K312" s="4">
        <f t="shared" si="330"/>
        <v>2023</v>
      </c>
      <c r="L312" s="51"/>
      <c r="M312" s="51"/>
      <c r="N312" s="29">
        <v>11393</v>
      </c>
      <c r="O312" s="38"/>
      <c r="P312" s="30">
        <f t="shared" si="331"/>
        <v>11393</v>
      </c>
      <c r="Q312" s="30">
        <f t="shared" si="332"/>
        <v>79.118055555555557</v>
      </c>
      <c r="R312" s="30">
        <f t="shared" si="333"/>
        <v>949.41666666666674</v>
      </c>
      <c r="S312" s="30"/>
      <c r="T312" s="30">
        <f t="shared" si="334"/>
        <v>949.41666666666674</v>
      </c>
      <c r="U312" s="30">
        <v>1</v>
      </c>
      <c r="V312" s="30">
        <f t="shared" si="335"/>
        <v>949.41666666666674</v>
      </c>
      <c r="W312" s="30"/>
      <c r="X312" s="30">
        <f t="shared" si="336"/>
        <v>4509.729166666667</v>
      </c>
      <c r="Y312" s="30">
        <f t="shared" si="337"/>
        <v>4509.729166666667</v>
      </c>
      <c r="Z312" s="30">
        <v>1</v>
      </c>
      <c r="AA312" s="30">
        <f t="shared" si="338"/>
        <v>4509.729166666667</v>
      </c>
      <c r="AB312" s="30">
        <f t="shared" si="339"/>
        <v>5459.1458333333339</v>
      </c>
      <c r="AC312" s="30">
        <f t="shared" si="340"/>
        <v>6408.5625</v>
      </c>
      <c r="AD312" s="6">
        <f t="shared" si="341"/>
        <v>2011.9166666666667</v>
      </c>
      <c r="AE312" s="6">
        <f t="shared" si="342"/>
        <v>2017.6666666666667</v>
      </c>
      <c r="AF312" s="6">
        <f t="shared" si="343"/>
        <v>2023.9166666666667</v>
      </c>
      <c r="AG312" s="6">
        <f t="shared" si="344"/>
        <v>2016.6666666666667</v>
      </c>
      <c r="AH312" s="6">
        <f t="shared" si="345"/>
        <v>-8.3333333333333329E-2</v>
      </c>
    </row>
    <row r="313" spans="1:34">
      <c r="D313" s="27" t="s">
        <v>275</v>
      </c>
      <c r="E313" s="10">
        <v>2012</v>
      </c>
      <c r="F313" s="1">
        <v>8</v>
      </c>
      <c r="G313" s="50">
        <v>0</v>
      </c>
      <c r="H313" s="50"/>
      <c r="I313" s="10" t="s">
        <v>92</v>
      </c>
      <c r="J313" s="10">
        <v>25</v>
      </c>
      <c r="K313" s="4">
        <f t="shared" ref="K313:K318" si="346">E313+J313</f>
        <v>2037</v>
      </c>
      <c r="L313" s="51"/>
      <c r="M313" s="51"/>
      <c r="N313" s="29">
        <v>31560</v>
      </c>
      <c r="O313" s="38"/>
      <c r="P313" s="30">
        <f t="shared" ref="P313:P318" si="347">N313-N313*G313</f>
        <v>31560</v>
      </c>
      <c r="Q313" s="30">
        <f t="shared" ref="Q313:Q318" si="348">P313/J313/12</f>
        <v>105.2</v>
      </c>
      <c r="R313" s="30">
        <f t="shared" ref="R313:R318" si="349">IF(O313&gt;0,0,IF(OR(AD313&gt;AE313,AF313&lt;AG313),0,IF(AND(AF313&gt;=AG313,AF313&lt;=AE313),Q313*((AF313-AG313)*12),IF(AND(AG313&lt;=AD313,AE313&gt;=AD313),((AE313-AD313)*12)*Q313,IF(AF313&gt;AE313,12*Q313,0)))))</f>
        <v>1262.4000000000001</v>
      </c>
      <c r="S313" s="30"/>
      <c r="T313" s="30">
        <f t="shared" ref="T313:T318" si="350">IF(S313&gt;0,S313,R313)</f>
        <v>1262.4000000000001</v>
      </c>
      <c r="U313" s="30">
        <v>1</v>
      </c>
      <c r="V313" s="30">
        <f t="shared" ref="V313:V318" si="351">U313*SUM(R313:S313)</f>
        <v>1262.4000000000001</v>
      </c>
      <c r="W313" s="30"/>
      <c r="X313" s="30">
        <f t="shared" ref="X313:X318" si="352">IF(AD313&gt;AE313,0,IF(AF313&lt;AG313,P313,IF(AND(AF313&gt;=AG313,AF313&lt;=AE313),(P313-T313),IF(AND(AG313&lt;=AD313,AE313&gt;=AD313),0,IF(AF313&gt;AE313,((AG313-AD313)*12)*Q313,0)))))</f>
        <v>5154.8000000001912</v>
      </c>
      <c r="Y313" s="30">
        <f t="shared" ref="Y313:Y318" si="353">X313*U313</f>
        <v>5154.8000000001912</v>
      </c>
      <c r="Z313" s="30">
        <v>1</v>
      </c>
      <c r="AA313" s="30">
        <f t="shared" ref="AA313:AA318" si="354">Y313*Z313</f>
        <v>5154.8000000001912</v>
      </c>
      <c r="AB313" s="30">
        <f t="shared" ref="AB313:AB318" si="355">IF(O313&gt;0,0,AA313+V313*Z313)*Z313</f>
        <v>6417.2000000001917</v>
      </c>
      <c r="AC313" s="30">
        <f t="shared" ref="AC313:AC318" si="356">IF(O313&gt;0,(N313-AA313)/2,IF(AD313&gt;=AG313,(((N313*U313)*Z313)-AB313)/2,((((N313*U313)*Z313)-AA313)+(((N313*U313)*Z313)-AB313))/2))</f>
        <v>25773.999999999807</v>
      </c>
      <c r="AD313" s="6">
        <f t="shared" si="341"/>
        <v>2012.5833333333333</v>
      </c>
      <c r="AE313" s="6">
        <f t="shared" si="342"/>
        <v>2017.6666666666667</v>
      </c>
      <c r="AF313" s="6">
        <f t="shared" si="343"/>
        <v>2037.5833333333333</v>
      </c>
      <c r="AG313" s="6">
        <f t="shared" si="344"/>
        <v>2016.6666666666667</v>
      </c>
      <c r="AH313" s="6">
        <f t="shared" si="345"/>
        <v>-8.3333333333333329E-2</v>
      </c>
    </row>
    <row r="314" spans="1:34">
      <c r="B314" s="1">
        <v>107484</v>
      </c>
      <c r="D314" s="27" t="s">
        <v>276</v>
      </c>
      <c r="E314" s="10">
        <v>2013</v>
      </c>
      <c r="F314" s="1">
        <v>8</v>
      </c>
      <c r="G314" s="50">
        <v>0</v>
      </c>
      <c r="H314" s="50"/>
      <c r="I314" s="10" t="s">
        <v>92</v>
      </c>
      <c r="J314" s="10">
        <v>10</v>
      </c>
      <c r="K314" s="4">
        <f t="shared" si="346"/>
        <v>2023</v>
      </c>
      <c r="L314" s="51"/>
      <c r="M314" s="51"/>
      <c r="N314" s="29">
        <v>11556.16</v>
      </c>
      <c r="O314" s="38"/>
      <c r="P314" s="30">
        <f t="shared" si="347"/>
        <v>11556.16</v>
      </c>
      <c r="Q314" s="30">
        <f t="shared" si="348"/>
        <v>96.301333333333332</v>
      </c>
      <c r="R314" s="30">
        <f t="shared" si="349"/>
        <v>1155.616</v>
      </c>
      <c r="S314" s="30"/>
      <c r="T314" s="30">
        <f t="shared" si="350"/>
        <v>1155.616</v>
      </c>
      <c r="U314" s="30">
        <v>1</v>
      </c>
      <c r="V314" s="30">
        <f t="shared" si="351"/>
        <v>1155.616</v>
      </c>
      <c r="W314" s="30"/>
      <c r="X314" s="30">
        <f t="shared" si="352"/>
        <v>3563.1493333335084</v>
      </c>
      <c r="Y314" s="30">
        <f t="shared" si="353"/>
        <v>3563.1493333335084</v>
      </c>
      <c r="Z314" s="30">
        <v>1</v>
      </c>
      <c r="AA314" s="30">
        <f t="shared" si="354"/>
        <v>3563.1493333335084</v>
      </c>
      <c r="AB314" s="30">
        <f t="shared" si="355"/>
        <v>4718.7653333335084</v>
      </c>
      <c r="AC314" s="30">
        <f t="shared" si="356"/>
        <v>7415.2026666664915</v>
      </c>
      <c r="AD314" s="6">
        <f t="shared" si="341"/>
        <v>2013.5833333333333</v>
      </c>
      <c r="AE314" s="6">
        <f t="shared" si="342"/>
        <v>2017.6666666666667</v>
      </c>
      <c r="AF314" s="6">
        <f t="shared" si="343"/>
        <v>2023.5833333333333</v>
      </c>
      <c r="AG314" s="6">
        <f t="shared" si="344"/>
        <v>2016.6666666666667</v>
      </c>
      <c r="AH314" s="6">
        <f t="shared" si="345"/>
        <v>-8.3333333333333329E-2</v>
      </c>
    </row>
    <row r="315" spans="1:34">
      <c r="B315" s="1">
        <v>107856</v>
      </c>
      <c r="D315" s="27" t="s">
        <v>277</v>
      </c>
      <c r="E315" s="10">
        <v>2013</v>
      </c>
      <c r="F315" s="1">
        <v>8</v>
      </c>
      <c r="G315" s="50">
        <v>0</v>
      </c>
      <c r="H315" s="50"/>
      <c r="I315" s="10" t="s">
        <v>92</v>
      </c>
      <c r="J315" s="10">
        <v>10</v>
      </c>
      <c r="K315" s="4">
        <f t="shared" si="346"/>
        <v>2023</v>
      </c>
      <c r="L315" s="51"/>
      <c r="M315" s="51"/>
      <c r="N315" s="29">
        <v>32340</v>
      </c>
      <c r="O315" s="38"/>
      <c r="P315" s="30">
        <f t="shared" si="347"/>
        <v>32340</v>
      </c>
      <c r="Q315" s="30">
        <f t="shared" si="348"/>
        <v>269.5</v>
      </c>
      <c r="R315" s="30">
        <f t="shared" si="349"/>
        <v>3234</v>
      </c>
      <c r="S315" s="30"/>
      <c r="T315" s="30">
        <f t="shared" si="350"/>
        <v>3234</v>
      </c>
      <c r="U315" s="30">
        <v>1</v>
      </c>
      <c r="V315" s="30">
        <f t="shared" si="351"/>
        <v>3234</v>
      </c>
      <c r="W315" s="30"/>
      <c r="X315" s="30">
        <f t="shared" si="352"/>
        <v>9971.5000000004911</v>
      </c>
      <c r="Y315" s="30">
        <f t="shared" si="353"/>
        <v>9971.5000000004911</v>
      </c>
      <c r="Z315" s="30">
        <v>1</v>
      </c>
      <c r="AA315" s="30">
        <f t="shared" si="354"/>
        <v>9971.5000000004911</v>
      </c>
      <c r="AB315" s="30">
        <f t="shared" si="355"/>
        <v>13205.500000000491</v>
      </c>
      <c r="AC315" s="30">
        <f t="shared" si="356"/>
        <v>20751.499999999509</v>
      </c>
      <c r="AD315" s="6">
        <f t="shared" si="341"/>
        <v>2013.5833333333333</v>
      </c>
      <c r="AE315" s="6">
        <f t="shared" si="342"/>
        <v>2017.6666666666667</v>
      </c>
      <c r="AF315" s="6">
        <f t="shared" si="343"/>
        <v>2023.5833333333333</v>
      </c>
      <c r="AG315" s="6">
        <f t="shared" si="344"/>
        <v>2016.6666666666667</v>
      </c>
      <c r="AH315" s="6">
        <f t="shared" si="345"/>
        <v>-8.3333333333333329E-2</v>
      </c>
    </row>
    <row r="316" spans="1:34">
      <c r="A316" s="1">
        <v>124346</v>
      </c>
      <c r="D316" s="27" t="s">
        <v>278</v>
      </c>
      <c r="E316" s="10">
        <v>2015</v>
      </c>
      <c r="F316" s="1">
        <v>7</v>
      </c>
      <c r="G316" s="50">
        <v>0</v>
      </c>
      <c r="H316" s="50"/>
      <c r="I316" s="10" t="s">
        <v>92</v>
      </c>
      <c r="J316" s="10">
        <v>10</v>
      </c>
      <c r="K316" s="4">
        <f t="shared" si="346"/>
        <v>2025</v>
      </c>
      <c r="L316" s="51"/>
      <c r="M316" s="51"/>
      <c r="N316" s="29">
        <v>26050.41</v>
      </c>
      <c r="O316" s="38"/>
      <c r="P316" s="30">
        <f t="shared" si="347"/>
        <v>26050.41</v>
      </c>
      <c r="Q316" s="30">
        <f t="shared" si="348"/>
        <v>217.08675000000002</v>
      </c>
      <c r="R316" s="30">
        <f t="shared" si="349"/>
        <v>2605.0410000000002</v>
      </c>
      <c r="S316" s="30"/>
      <c r="T316" s="30">
        <f t="shared" si="350"/>
        <v>2605.0410000000002</v>
      </c>
      <c r="U316" s="30">
        <v>1</v>
      </c>
      <c r="V316" s="30">
        <f t="shared" si="351"/>
        <v>2605.0410000000002</v>
      </c>
      <c r="W316" s="30"/>
      <c r="X316" s="30">
        <f t="shared" si="352"/>
        <v>3039.2145000001979</v>
      </c>
      <c r="Y316" s="30">
        <f t="shared" si="353"/>
        <v>3039.2145000001979</v>
      </c>
      <c r="Z316" s="30">
        <v>1</v>
      </c>
      <c r="AA316" s="30">
        <f t="shared" si="354"/>
        <v>3039.2145000001979</v>
      </c>
      <c r="AB316" s="30">
        <f t="shared" si="355"/>
        <v>5644.2555000001976</v>
      </c>
      <c r="AC316" s="30">
        <f t="shared" si="356"/>
        <v>21708.674999999799</v>
      </c>
      <c r="AD316" s="6">
        <f t="shared" si="341"/>
        <v>2015.5</v>
      </c>
      <c r="AE316" s="6">
        <f t="shared" si="342"/>
        <v>2017.6666666666667</v>
      </c>
      <c r="AF316" s="6">
        <f t="shared" si="343"/>
        <v>2025.5</v>
      </c>
      <c r="AG316" s="6">
        <f t="shared" si="344"/>
        <v>2016.6666666666667</v>
      </c>
      <c r="AH316" s="6">
        <f t="shared" si="345"/>
        <v>-8.3333333333333329E-2</v>
      </c>
    </row>
    <row r="317" spans="1:34" s="82" customFormat="1">
      <c r="A317" s="82" t="s">
        <v>292</v>
      </c>
      <c r="D317" s="83" t="s">
        <v>293</v>
      </c>
      <c r="E317" s="84">
        <v>2017</v>
      </c>
      <c r="F317" s="82">
        <v>7</v>
      </c>
      <c r="G317" s="85">
        <v>0</v>
      </c>
      <c r="H317" s="85"/>
      <c r="I317" s="84" t="s">
        <v>92</v>
      </c>
      <c r="J317" s="84">
        <v>3</v>
      </c>
      <c r="K317" s="86">
        <f t="shared" si="346"/>
        <v>2020</v>
      </c>
      <c r="L317" s="87"/>
      <c r="M317" s="87"/>
      <c r="N317" s="88">
        <v>344.96</v>
      </c>
      <c r="O317" s="89"/>
      <c r="P317" s="90">
        <f t="shared" si="347"/>
        <v>344.96</v>
      </c>
      <c r="Q317" s="90">
        <f t="shared" si="348"/>
        <v>9.5822222222222226</v>
      </c>
      <c r="R317" s="90">
        <f t="shared" si="349"/>
        <v>19.16444444445316</v>
      </c>
      <c r="S317" s="90"/>
      <c r="T317" s="90">
        <f t="shared" si="350"/>
        <v>19.16444444445316</v>
      </c>
      <c r="U317" s="90">
        <v>1</v>
      </c>
      <c r="V317" s="90">
        <f t="shared" si="351"/>
        <v>19.16444444445316</v>
      </c>
      <c r="W317" s="90"/>
      <c r="X317" s="90">
        <f t="shared" si="352"/>
        <v>0</v>
      </c>
      <c r="Y317" s="90">
        <f t="shared" si="353"/>
        <v>0</v>
      </c>
      <c r="Z317" s="90">
        <v>1</v>
      </c>
      <c r="AA317" s="90">
        <f t="shared" si="354"/>
        <v>0</v>
      </c>
      <c r="AB317" s="90">
        <f t="shared" si="355"/>
        <v>19.16444444445316</v>
      </c>
      <c r="AC317" s="90">
        <f t="shared" si="356"/>
        <v>162.8977777777734</v>
      </c>
      <c r="AD317" s="91">
        <f t="shared" si="341"/>
        <v>2017.5</v>
      </c>
      <c r="AE317" s="91">
        <f t="shared" si="342"/>
        <v>2017.6666666666667</v>
      </c>
      <c r="AF317" s="91">
        <f t="shared" si="343"/>
        <v>2020.5</v>
      </c>
      <c r="AG317" s="91">
        <f t="shared" si="344"/>
        <v>2016.6666666666667</v>
      </c>
      <c r="AH317" s="91">
        <f t="shared" si="345"/>
        <v>-8.3333333333333329E-2</v>
      </c>
    </row>
    <row r="318" spans="1:34" s="82" customFormat="1">
      <c r="A318" s="82">
        <v>184583</v>
      </c>
      <c r="D318" s="83" t="s">
        <v>294</v>
      </c>
      <c r="E318" s="84">
        <v>2017</v>
      </c>
      <c r="F318" s="82">
        <v>7</v>
      </c>
      <c r="G318" s="85">
        <v>0</v>
      </c>
      <c r="H318" s="85"/>
      <c r="I318" s="84" t="s">
        <v>92</v>
      </c>
      <c r="J318" s="84">
        <v>3</v>
      </c>
      <c r="K318" s="86">
        <f t="shared" si="346"/>
        <v>2020</v>
      </c>
      <c r="L318" s="87"/>
      <c r="M318" s="87"/>
      <c r="N318" s="88">
        <v>1046.58</v>
      </c>
      <c r="O318" s="89"/>
      <c r="P318" s="90">
        <f t="shared" si="347"/>
        <v>1046.58</v>
      </c>
      <c r="Q318" s="90">
        <f t="shared" si="348"/>
        <v>29.071666666666662</v>
      </c>
      <c r="R318" s="90">
        <f t="shared" si="349"/>
        <v>58.143333333359763</v>
      </c>
      <c r="S318" s="90"/>
      <c r="T318" s="90">
        <f t="shared" si="350"/>
        <v>58.143333333359763</v>
      </c>
      <c r="U318" s="90">
        <v>1</v>
      </c>
      <c r="V318" s="90">
        <f t="shared" si="351"/>
        <v>58.143333333359763</v>
      </c>
      <c r="W318" s="90"/>
      <c r="X318" s="90">
        <f t="shared" si="352"/>
        <v>0</v>
      </c>
      <c r="Y318" s="90">
        <f t="shared" si="353"/>
        <v>0</v>
      </c>
      <c r="Z318" s="90">
        <v>1</v>
      </c>
      <c r="AA318" s="90">
        <f t="shared" si="354"/>
        <v>0</v>
      </c>
      <c r="AB318" s="90">
        <f t="shared" si="355"/>
        <v>58.143333333359763</v>
      </c>
      <c r="AC318" s="90">
        <f t="shared" si="356"/>
        <v>494.21833333332006</v>
      </c>
      <c r="AD318" s="91">
        <f t="shared" si="341"/>
        <v>2017.5</v>
      </c>
      <c r="AE318" s="91">
        <f t="shared" si="342"/>
        <v>2017.6666666666667</v>
      </c>
      <c r="AF318" s="91">
        <f t="shared" si="343"/>
        <v>2020.5</v>
      </c>
      <c r="AG318" s="91">
        <f t="shared" si="344"/>
        <v>2016.6666666666667</v>
      </c>
      <c r="AH318" s="91">
        <f t="shared" si="345"/>
        <v>-8.3333333333333329E-2</v>
      </c>
    </row>
    <row r="319" spans="1:34">
      <c r="E319" s="10"/>
      <c r="G319" s="1"/>
      <c r="J319" s="10"/>
      <c r="L319" s="51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</row>
    <row r="320" spans="1:34" s="31" customFormat="1">
      <c r="D320" s="41" t="s">
        <v>279</v>
      </c>
      <c r="E320" s="33"/>
      <c r="F320" s="32"/>
      <c r="G320" s="32"/>
      <c r="H320" s="32"/>
      <c r="I320" s="32"/>
      <c r="J320" s="33"/>
      <c r="K320" s="34"/>
      <c r="L320" s="59"/>
      <c r="M320" s="32"/>
      <c r="N320" s="35">
        <f>SUM(N307:N319)</f>
        <v>266028.78000000003</v>
      </c>
      <c r="O320" s="35"/>
      <c r="P320" s="35">
        <f>SUM(P307:P319)</f>
        <v>266028.78000000003</v>
      </c>
      <c r="Q320" s="35">
        <f>SUM(Q307:Q319)</f>
        <v>1721.3442055555556</v>
      </c>
      <c r="R320" s="35">
        <f>SUM(R307:R319)</f>
        <v>18347.591577777814</v>
      </c>
      <c r="S320" s="35"/>
      <c r="T320" s="35">
        <f>SUM(T307:T319)</f>
        <v>18347.591577777814</v>
      </c>
      <c r="U320" s="35"/>
      <c r="V320" s="35">
        <f>SUM(V307:V319)</f>
        <v>18347.591577777814</v>
      </c>
      <c r="W320" s="35"/>
      <c r="X320" s="35">
        <f>SUM(X307:X319)</f>
        <v>134369.05145555732</v>
      </c>
      <c r="Y320" s="35">
        <f>SUM(Y307:Y319)</f>
        <v>134369.05145555732</v>
      </c>
      <c r="Z320" s="35"/>
      <c r="AA320" s="35">
        <f>SUM(AA307:AA319)</f>
        <v>134369.05145555732</v>
      </c>
      <c r="AB320" s="35">
        <f>SUM(AB307:AB319)</f>
        <v>152716.64303333513</v>
      </c>
      <c r="AC320" s="35">
        <f>SUM(AC307:AC319)</f>
        <v>121790.16275555377</v>
      </c>
    </row>
    <row r="321" spans="4:34">
      <c r="E321" s="10"/>
      <c r="G321" s="1"/>
      <c r="J321" s="10"/>
      <c r="L321" s="51"/>
      <c r="N321" s="51"/>
    </row>
    <row r="322" spans="4:34">
      <c r="E322" s="10"/>
      <c r="G322" s="1"/>
      <c r="J322" s="10"/>
      <c r="L322" s="51"/>
      <c r="N322" s="51"/>
    </row>
    <row r="323" spans="4:34" ht="12" thickBot="1">
      <c r="D323" s="76" t="s">
        <v>280</v>
      </c>
      <c r="E323" s="77"/>
      <c r="F323" s="78"/>
      <c r="G323" s="78"/>
      <c r="H323" s="78"/>
      <c r="I323" s="78"/>
      <c r="J323" s="77"/>
      <c r="K323" s="79"/>
      <c r="L323" s="80"/>
      <c r="M323" s="78"/>
      <c r="N323" s="81">
        <f>N320+N304+N289+N264+N258+N224+N206+N62+N236</f>
        <v>3375612.7050000001</v>
      </c>
      <c r="O323" s="78"/>
      <c r="P323" s="81">
        <f>P320+P304+P289+P264+P258+P224+P206+P62+P236</f>
        <v>2909036.3947000001</v>
      </c>
      <c r="Q323" s="81">
        <f>Q320+Q304+Q289+Q264+Q258+Q224+Q206+Q62+Q236</f>
        <v>33042.477998968257</v>
      </c>
      <c r="R323" s="81">
        <f>R320+R304+R289+R264+R258+R224+R206+R62+R236</f>
        <v>195749.52890515781</v>
      </c>
      <c r="S323" s="78"/>
      <c r="T323" s="81">
        <f>T320+T304+T289+T264+T258+T224+T206+T62+T236</f>
        <v>195749.52890515781</v>
      </c>
      <c r="U323" s="78"/>
      <c r="V323" s="81">
        <f>V320+V304+V289+V264+V258+V224+V206+V62+V236</f>
        <v>195749.52890515781</v>
      </c>
      <c r="W323" s="78"/>
      <c r="X323" s="81">
        <f>X320+X304+X289+X264+X258+X224+X206+X62+X236</f>
        <v>1808566.6852825489</v>
      </c>
      <c r="Y323" s="81">
        <f>Y320+Y304+Y289+Y264+Y258+Y224+Y206+Y62+Y236</f>
        <v>1808566.6852825489</v>
      </c>
      <c r="Z323" s="78"/>
      <c r="AA323" s="81">
        <f>AA320+AA304+AA289+AA264+AA258+AA224+AA206+AA62+AA236</f>
        <v>1924220.0535047711</v>
      </c>
      <c r="AB323" s="81">
        <f>AB320+AB304+AB289+AB264+AB258+AB224+AB206+AB62+AB236</f>
        <v>2119969.582409929</v>
      </c>
      <c r="AC323" s="81">
        <f>AC320+AC304+AC289+AC264+AC258+AC224+AC206+AC62+AC236</f>
        <v>1294129.48204265</v>
      </c>
    </row>
    <row r="324" spans="4:34" ht="12" thickTop="1">
      <c r="E324" s="10"/>
      <c r="G324" s="1"/>
      <c r="J324" s="10"/>
      <c r="L324" s="51"/>
      <c r="N324" s="51"/>
    </row>
    <row r="325" spans="4:34">
      <c r="E325" s="10"/>
      <c r="G325" s="1"/>
      <c r="J325" s="10"/>
      <c r="L325" s="51"/>
      <c r="N325" s="51"/>
    </row>
    <row r="326" spans="4:34">
      <c r="E326" s="10"/>
      <c r="G326" s="1"/>
      <c r="J326" s="10"/>
      <c r="L326" s="51"/>
      <c r="N326" s="51"/>
    </row>
    <row r="329" spans="4:34">
      <c r="AA329" s="31"/>
    </row>
    <row r="330" spans="4:34">
      <c r="D330" s="31"/>
      <c r="G330" s="1"/>
      <c r="H330" s="31"/>
      <c r="K330" s="36"/>
      <c r="N330" s="1"/>
      <c r="AA330" s="31"/>
    </row>
    <row r="331" spans="4:34">
      <c r="E331" s="66"/>
      <c r="F331" s="66"/>
      <c r="G331" s="66"/>
      <c r="I331" s="66"/>
      <c r="J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AB331" s="66"/>
      <c r="AC331" s="66"/>
      <c r="AD331" s="66"/>
      <c r="AE331" s="66"/>
      <c r="AF331" s="66"/>
      <c r="AG331" s="66"/>
      <c r="AH331" s="66"/>
    </row>
    <row r="332" spans="4:34">
      <c r="E332" s="66"/>
      <c r="F332" s="66"/>
      <c r="G332" s="66"/>
      <c r="I332" s="66"/>
      <c r="J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AB332" s="66"/>
      <c r="AC332" s="66"/>
      <c r="AD332" s="66"/>
      <c r="AE332" s="66"/>
      <c r="AF332" s="66"/>
      <c r="AG332" s="66"/>
      <c r="AH332" s="66"/>
    </row>
    <row r="333" spans="4:34">
      <c r="E333" s="66"/>
      <c r="F333" s="66"/>
      <c r="G333" s="66"/>
      <c r="I333" s="66"/>
      <c r="J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AB333" s="66"/>
      <c r="AC333" s="66"/>
      <c r="AD333" s="66"/>
      <c r="AE333" s="66"/>
      <c r="AF333" s="66"/>
      <c r="AG333" s="66"/>
      <c r="AH333" s="66"/>
    </row>
    <row r="334" spans="4:34">
      <c r="E334" s="66"/>
      <c r="F334" s="66"/>
      <c r="G334" s="66"/>
      <c r="I334" s="66"/>
      <c r="J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AB334" s="66"/>
      <c r="AC334" s="66"/>
      <c r="AD334" s="66"/>
      <c r="AE334" s="66"/>
      <c r="AF334" s="66"/>
      <c r="AG334" s="66"/>
      <c r="AH334" s="66"/>
    </row>
    <row r="335" spans="4:34">
      <c r="E335" s="66"/>
      <c r="F335" s="66"/>
      <c r="G335" s="66"/>
      <c r="I335" s="66"/>
      <c r="J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AB335" s="66"/>
      <c r="AC335" s="66"/>
      <c r="AD335" s="66"/>
      <c r="AE335" s="66"/>
      <c r="AF335" s="66"/>
      <c r="AG335" s="66"/>
      <c r="AH335" s="66"/>
    </row>
    <row r="336" spans="4:34">
      <c r="E336" s="66"/>
      <c r="F336" s="66"/>
      <c r="G336" s="66"/>
      <c r="I336" s="66"/>
      <c r="J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AB336" s="66"/>
      <c r="AC336" s="66"/>
      <c r="AD336" s="66"/>
      <c r="AE336" s="66"/>
      <c r="AF336" s="66"/>
      <c r="AG336" s="66"/>
      <c r="AH336" s="66"/>
    </row>
    <row r="337" spans="4:34">
      <c r="E337" s="66"/>
      <c r="F337" s="66"/>
      <c r="G337" s="66"/>
      <c r="I337" s="66"/>
      <c r="J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AA337" s="31"/>
      <c r="AB337" s="75"/>
      <c r="AC337" s="75"/>
      <c r="AD337" s="75"/>
      <c r="AE337" s="75"/>
      <c r="AF337" s="75"/>
      <c r="AG337" s="75"/>
      <c r="AH337" s="75"/>
    </row>
    <row r="338" spans="4:34">
      <c r="D338" s="31"/>
      <c r="E338" s="75"/>
      <c r="F338" s="75"/>
      <c r="G338" s="75"/>
      <c r="H338" s="31"/>
      <c r="I338" s="75"/>
      <c r="J338" s="75"/>
      <c r="K338" s="36"/>
      <c r="L338" s="75"/>
      <c r="M338" s="75"/>
      <c r="N338" s="75"/>
      <c r="O338" s="75"/>
      <c r="P338" s="75"/>
      <c r="Q338" s="75"/>
      <c r="R338" s="75"/>
      <c r="S338" s="75"/>
      <c r="T338" s="75"/>
      <c r="U338" s="75"/>
    </row>
    <row r="339" spans="4:34">
      <c r="K339" s="36"/>
      <c r="L339" s="75"/>
      <c r="M339" s="75"/>
      <c r="N339" s="75"/>
      <c r="O339" s="75"/>
      <c r="P339" s="75"/>
      <c r="Q339" s="75"/>
      <c r="R339" s="75"/>
      <c r="AB339" s="66"/>
      <c r="AD339" s="66"/>
      <c r="AE339" s="66"/>
      <c r="AF339" s="66"/>
      <c r="AG339" s="66"/>
      <c r="AH339" s="66"/>
    </row>
    <row r="340" spans="4:34">
      <c r="AB340" s="66"/>
      <c r="AD340" s="66"/>
      <c r="AE340" s="66"/>
      <c r="AF340" s="66"/>
      <c r="AG340" s="66"/>
      <c r="AH340" s="66"/>
    </row>
    <row r="341" spans="4:34">
      <c r="AB341" s="66"/>
      <c r="AD341" s="66"/>
      <c r="AE341" s="66"/>
      <c r="AF341" s="66"/>
      <c r="AG341" s="66"/>
      <c r="AH341" s="66"/>
    </row>
    <row r="342" spans="4:34">
      <c r="AD342" s="66"/>
      <c r="AE342" s="66"/>
      <c r="AF342" s="66"/>
      <c r="AG342" s="66"/>
      <c r="AH342" s="66"/>
    </row>
    <row r="343" spans="4:34">
      <c r="AB343" s="66"/>
      <c r="AD343" s="66"/>
      <c r="AE343" s="66"/>
      <c r="AF343" s="66"/>
      <c r="AG343" s="66"/>
      <c r="AH343" s="66"/>
    </row>
  </sheetData>
  <mergeCells count="3">
    <mergeCell ref="F1:G1"/>
    <mergeCell ref="F2:G2"/>
    <mergeCell ref="B3:C3"/>
  </mergeCells>
  <pageMargins left="0.25" right="0.25" top="0.75" bottom="0.75" header="0.3" footer="0.3"/>
  <pageSetup scale="69" fitToHeight="11" pageOrder="overThenDown" orientation="landscape" r:id="rId1"/>
  <headerFooter alignWithMargins="0"/>
  <rowBreaks count="3" manualBreakCount="3">
    <brk id="63" min="1" max="33" man="1"/>
    <brk id="209" min="1" max="33" man="1"/>
    <brk id="258" min="1" max="3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7BE4-B551-43C5-BE31-A5E8103A5EAF}">
  <sheetPr>
    <pageSetUpPr fitToPage="1"/>
  </sheetPr>
  <dimension ref="A1:BF68"/>
  <sheetViews>
    <sheetView showGridLines="0" view="pageBreakPreview" topLeftCell="D22" zoomScale="60" zoomScaleNormal="80" workbookViewId="0">
      <pane xSplit="5" ySplit="7" topLeftCell="I29" activePane="bottomRight" state="frozen"/>
      <selection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RowHeight="15" outlineLevelCol="1"/>
  <cols>
    <col min="3" max="3" width="12.140625" customWidth="1"/>
    <col min="4" max="4" width="1.42578125" customWidth="1"/>
    <col min="5" max="5" width="10.42578125" customWidth="1"/>
    <col min="6" max="6" width="6" customWidth="1"/>
    <col min="7" max="7" width="5.42578125" customWidth="1"/>
    <col min="8" max="8" width="27.7109375" customWidth="1"/>
    <col min="9" max="9" width="49.5703125" hidden="1" customWidth="1" outlineLevel="1"/>
    <col min="10" max="10" width="45.140625" hidden="1" customWidth="1" outlineLevel="1"/>
    <col min="11" max="11" width="2.85546875" customWidth="1" collapsed="1"/>
    <col min="12" max="12" width="35.28515625" bestFit="1" customWidth="1"/>
    <col min="13" max="13" width="28.85546875" bestFit="1" customWidth="1"/>
    <col min="14" max="14" width="5.7109375" customWidth="1"/>
    <col min="15" max="15" width="5.5703125" customWidth="1"/>
    <col min="16" max="16" width="5.140625" customWidth="1"/>
    <col min="18" max="18" width="9.140625" hidden="1" customWidth="1" outlineLevel="1"/>
    <col min="19" max="19" width="10.7109375" hidden="1" customWidth="1" outlineLevel="1"/>
    <col min="20" max="20" width="10" hidden="1" customWidth="1" outlineLevel="1"/>
    <col min="21" max="21" width="10.7109375" hidden="1" customWidth="1" outlineLevel="1"/>
    <col min="22" max="24" width="10" hidden="1" customWidth="1" outlineLevel="1"/>
    <col min="25" max="25" width="10.7109375" hidden="1" customWidth="1" outlineLevel="1"/>
    <col min="26" max="29" width="10" hidden="1" customWidth="1" outlineLevel="1"/>
    <col min="30" max="30" width="0.7109375" hidden="1" customWidth="1" outlineLevel="1"/>
    <col min="31" max="31" width="13.28515625" customWidth="1" collapsed="1"/>
    <col min="32" max="32" width="0.85546875" customWidth="1"/>
    <col min="33" max="33" width="9.140625" hidden="1" customWidth="1" outlineLevel="1"/>
    <col min="34" max="34" width="42.140625" hidden="1" customWidth="1" outlineLevel="1"/>
    <col min="35" max="35" width="46.42578125" hidden="1" customWidth="1" outlineLevel="1"/>
    <col min="36" max="37" width="9.140625" hidden="1" customWidth="1" outlineLevel="1"/>
    <col min="38" max="38" width="2.7109375" customWidth="1" collapsed="1"/>
    <col min="39" max="39" width="26.7109375" customWidth="1"/>
    <col min="40" max="40" width="1.42578125" customWidth="1"/>
    <col min="41" max="41" width="58" customWidth="1"/>
    <col min="44" max="44" width="49.28515625" customWidth="1"/>
    <col min="45" max="45" width="6.85546875" customWidth="1"/>
    <col min="46" max="46" width="1.42578125" customWidth="1"/>
    <col min="47" max="47" width="13" bestFit="1" customWidth="1"/>
    <col min="48" max="48" width="7.7109375" customWidth="1"/>
    <col min="49" max="49" width="1.28515625" customWidth="1"/>
    <col min="50" max="50" width="20.5703125" customWidth="1"/>
    <col min="51" max="51" width="19.42578125" bestFit="1" customWidth="1"/>
    <col min="52" max="52" width="6.85546875" customWidth="1"/>
    <col min="53" max="53" width="1.42578125" customWidth="1"/>
    <col min="54" max="56" width="15.42578125" customWidth="1"/>
    <col min="57" max="57" width="10.5703125" customWidth="1"/>
  </cols>
  <sheetData>
    <row r="1" spans="1:58" s="345" customFormat="1">
      <c r="D1" s="345" t="s">
        <v>1332</v>
      </c>
      <c r="AT1"/>
      <c r="AW1"/>
      <c r="BA1"/>
    </row>
    <row r="2" spans="1:58">
      <c r="C2" s="346"/>
      <c r="D2" s="348"/>
      <c r="E2" s="346"/>
      <c r="F2" s="346"/>
      <c r="G2" s="346"/>
      <c r="H2" s="358"/>
      <c r="I2" s="358"/>
      <c r="J2" s="358"/>
      <c r="L2" s="346"/>
      <c r="M2" s="346"/>
      <c r="N2" s="346"/>
      <c r="O2" s="346"/>
      <c r="P2" s="346"/>
      <c r="Q2" s="346" t="s">
        <v>1331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G2" s="346"/>
      <c r="AH2" s="346"/>
      <c r="AI2" s="346"/>
      <c r="AJ2" s="346"/>
      <c r="AK2" s="346"/>
      <c r="AM2" s="346"/>
      <c r="AO2" s="346"/>
    </row>
    <row r="3" spans="1:58">
      <c r="A3" t="s">
        <v>1330</v>
      </c>
      <c r="B3" t="s">
        <v>1302</v>
      </c>
      <c r="C3" s="346" t="s">
        <v>1329</v>
      </c>
      <c r="D3" s="348"/>
      <c r="E3" s="346" t="s">
        <v>1328</v>
      </c>
      <c r="F3" s="346" t="s">
        <v>1327</v>
      </c>
      <c r="G3" s="346" t="s">
        <v>1301</v>
      </c>
      <c r="H3" s="358" t="s">
        <v>1326</v>
      </c>
      <c r="I3" s="358" t="s">
        <v>1325</v>
      </c>
      <c r="J3" s="358" t="s">
        <v>1324</v>
      </c>
      <c r="L3" s="346" t="s">
        <v>1323</v>
      </c>
      <c r="M3" s="346" t="s">
        <v>1322</v>
      </c>
      <c r="N3" s="346" t="s">
        <v>1257</v>
      </c>
      <c r="O3" s="346" t="s">
        <v>1321</v>
      </c>
      <c r="P3" s="346" t="s">
        <v>1320</v>
      </c>
      <c r="Q3" s="346" t="s">
        <v>1319</v>
      </c>
      <c r="R3" s="346" t="s">
        <v>1318</v>
      </c>
      <c r="S3" s="346" t="s">
        <v>1317</v>
      </c>
      <c r="T3" s="346" t="s">
        <v>1316</v>
      </c>
      <c r="U3" s="346" t="s">
        <v>1315</v>
      </c>
      <c r="V3" s="346" t="s">
        <v>1314</v>
      </c>
      <c r="W3" s="346" t="s">
        <v>1313</v>
      </c>
      <c r="X3" s="346" t="s">
        <v>1312</v>
      </c>
      <c r="Y3" s="346" t="s">
        <v>1311</v>
      </c>
      <c r="Z3" s="346" t="s">
        <v>1310</v>
      </c>
      <c r="AA3" s="346" t="s">
        <v>1309</v>
      </c>
      <c r="AB3" s="346" t="s">
        <v>1308</v>
      </c>
      <c r="AC3" s="346" t="s">
        <v>1307</v>
      </c>
      <c r="AG3" s="346" t="s">
        <v>1292</v>
      </c>
      <c r="AH3" s="346"/>
      <c r="AI3" s="346" t="s">
        <v>1306</v>
      </c>
      <c r="AJ3" s="346" t="s">
        <v>1305</v>
      </c>
      <c r="AK3" s="346" t="s">
        <v>1304</v>
      </c>
      <c r="AM3" s="346" t="s">
        <v>1303</v>
      </c>
      <c r="AO3" s="346"/>
    </row>
    <row r="4" spans="1:58">
      <c r="C4" t="s">
        <v>1302</v>
      </c>
      <c r="D4" s="348"/>
      <c r="E4" s="346"/>
      <c r="F4" s="346"/>
      <c r="G4" s="346" t="s">
        <v>1301</v>
      </c>
      <c r="H4" s="358"/>
      <c r="I4" s="358"/>
      <c r="J4" s="358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G4" s="346"/>
      <c r="AH4" s="346"/>
      <c r="AI4" s="346"/>
      <c r="AJ4" s="346"/>
      <c r="AK4" s="346"/>
      <c r="AM4" s="346"/>
      <c r="AO4" s="346" t="s">
        <v>1300</v>
      </c>
    </row>
    <row r="5" spans="1:58" s="345" customFormat="1">
      <c r="D5" s="345" t="s">
        <v>1299</v>
      </c>
      <c r="AT5"/>
      <c r="AW5"/>
      <c r="BA5"/>
    </row>
    <row r="6" spans="1:58">
      <c r="A6" t="b">
        <f>IF(AND(C6&lt;&gt;"", B6&lt;&gt;C6),TRUE, FALSE)</f>
        <v>0</v>
      </c>
      <c r="B6" t="str">
        <f>IF(RIGHT("0000"&amp;F6,4)&amp;"-"&amp;G6 &lt;&gt; "0000-", RIGHT("0000"&amp;F6,4)&amp;"-"&amp;G6, "")</f>
        <v/>
      </c>
      <c r="C6" s="304"/>
      <c r="D6" s="303">
        <v>1</v>
      </c>
      <c r="E6" s="302"/>
      <c r="F6" s="301"/>
      <c r="G6" s="288"/>
      <c r="H6" s="300"/>
      <c r="I6" s="300"/>
      <c r="J6" s="300"/>
      <c r="K6" s="299"/>
      <c r="L6" s="298"/>
      <c r="M6" s="298"/>
      <c r="N6" s="289"/>
      <c r="O6" s="297"/>
      <c r="P6" s="297"/>
      <c r="Q6" s="296"/>
      <c r="R6" s="295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3"/>
      <c r="AD6" s="266"/>
      <c r="AE6" s="292">
        <f>SUM(R6:AC6)</f>
        <v>0</v>
      </c>
      <c r="AG6" s="289"/>
      <c r="AH6" s="291"/>
      <c r="AI6" s="290"/>
      <c r="AJ6" s="289"/>
      <c r="AK6" s="288"/>
      <c r="AL6" s="284"/>
      <c r="AM6" s="287"/>
      <c r="AN6" s="286" t="s">
        <v>17</v>
      </c>
      <c r="AO6" s="285"/>
      <c r="AP6" s="284"/>
      <c r="AQ6" s="283" t="str">
        <f>IF(Q6="", "", Q6)</f>
        <v/>
      </c>
      <c r="AR6" s="283" t="str">
        <f>IFERROR(VLOOKUP($AQ6,[49]TruckCenterReference!$C$23:$I24,3,FALSE), "")</f>
        <v/>
      </c>
      <c r="AS6" s="278" t="str">
        <f>IF(Q6&lt;&gt;"",IF(AR6&lt;&gt;H6,"Review","ok"), "")</f>
        <v/>
      </c>
      <c r="AT6" s="281"/>
      <c r="AU6" s="280" t="str">
        <f>IFERROR(VLOOKUP($AQ6,[49]TruckCenterReference!$C$23:$I24,4,FALSE), "")</f>
        <v/>
      </c>
      <c r="AV6" s="278" t="str">
        <f>IF(Q6="","", IF($AU6&lt;&gt;$P6, "Fix!", "ok"))</f>
        <v/>
      </c>
      <c r="AX6" s="283" t="str">
        <f>IFERROR(VLOOKUP(M6,SubtypeToTruckType,2,FALSE),"")</f>
        <v/>
      </c>
      <c r="AY6" s="282" t="str">
        <f>IFERROR(VLOOKUP($AQ6,[49]TruckCenterReference!$C$23:$I24,6,FALSE), "")</f>
        <v/>
      </c>
      <c r="AZ6" s="278" t="str">
        <f>IF(Q6&lt;&gt;"",IF(AX6&lt;&gt;AY6,"Fix!","ok"), "")</f>
        <v/>
      </c>
      <c r="BA6" s="281"/>
      <c r="BB6" s="280">
        <f>IFERROR(VLOOKUP($AQ6,[49]TruckCenterReference!$C$23:$I24,7,FALSE), 0)</f>
        <v>0</v>
      </c>
      <c r="BC6" s="280">
        <f>IFERROR(VLOOKUP($AQ6,[49]TruckCenterReference!$C$23:$K24,9,FALSE), 0)</f>
        <v>0</v>
      </c>
      <c r="BD6" s="280">
        <f>IFERROR(VLOOKUP($AQ6,[49]TruckCenterReference!$C$23:$K24,8,FALSE), 0)</f>
        <v>0</v>
      </c>
      <c r="BE6" s="279" t="str">
        <f>IF(BB6&lt;&gt;0,BB6-AE6-BD6,"")</f>
        <v/>
      </c>
      <c r="BF6" s="278" t="str">
        <f>IF(Q6="","",IF(ABS(BE6)&gt;100,IF(RIGHT(M6,4)="Body","Review","Fix!"),"ok"))</f>
        <v/>
      </c>
    </row>
    <row r="7" spans="1:58" s="345" customFormat="1">
      <c r="D7" s="345" t="s">
        <v>1298</v>
      </c>
      <c r="AT7"/>
      <c r="AW7"/>
      <c r="BA7"/>
    </row>
    <row r="8" spans="1:58" s="346" customFormat="1">
      <c r="C8" s="351"/>
      <c r="D8" s="351"/>
      <c r="E8" s="351"/>
      <c r="F8" s="355" t="s">
        <v>1297</v>
      </c>
      <c r="G8" s="351"/>
      <c r="H8" s="351"/>
      <c r="I8" s="351"/>
      <c r="J8" s="351"/>
      <c r="K8" s="351"/>
      <c r="L8" s="351" t="str">
        <f ca="1">_xll.jFreezePanes(I29,D22)</f>
        <v xml:space="preserve">&gt; jFreezePanes is ready. </v>
      </c>
      <c r="M8" s="351"/>
      <c r="N8" s="351"/>
      <c r="AT8"/>
      <c r="AW8"/>
      <c r="BA8"/>
    </row>
    <row r="9" spans="1:58" s="346" customFormat="1">
      <c r="C9" s="351"/>
      <c r="D9" s="351"/>
      <c r="E9" s="350" t="s">
        <v>1296</v>
      </c>
      <c r="F9" s="351" t="str">
        <f ca="1">_xll.ReportDefaults("Pull","Clear",_xll.PairGroup(_xll.Pair("",H18)))</f>
        <v>OK!: ReportDefaults Formula OK [jAction{}]</v>
      </c>
      <c r="G9" s="351"/>
      <c r="H9" s="351"/>
      <c r="I9" s="351"/>
      <c r="J9" s="351"/>
      <c r="K9" s="350" t="s">
        <v>1295</v>
      </c>
      <c r="L9" s="351" t="str">
        <f ca="1">_xll.ReportDrill(,"CCQueryDrill",_xll.PairGroup(_xll.Pair(K18,"SummaryLevel"),_xll.Pair(H24,"BudYear"),_xll.Pair(H23,"DistrictCell"),_xll.Pair(C30:C78,"PONumber"),_xll.Pair(F20:AO20)),"Drill to CC Query for Change History")</f>
        <v>OK!: ReportDrill 'Drill to CC Query for Change History' Formula OK [jAction{}]</v>
      </c>
      <c r="M9" s="351"/>
      <c r="N9" s="351"/>
      <c r="AT9"/>
      <c r="AW9"/>
      <c r="BA9"/>
    </row>
    <row r="10" spans="1:58" s="346" customFormat="1">
      <c r="C10" s="351"/>
      <c r="D10" s="351"/>
      <c r="E10" s="347" t="s">
        <v>1294</v>
      </c>
      <c r="F10" s="346" t="str">
        <f>_xll.ReportRun([49]AssetTypeList!C7,FALSE,"Pull")</f>
        <v>OK!: ReportRun Formula OK [jAction{}]</v>
      </c>
      <c r="H10" s="351"/>
      <c r="I10" s="351"/>
      <c r="J10" s="351"/>
      <c r="K10" s="350"/>
      <c r="L10" s="351"/>
      <c r="M10" s="351"/>
      <c r="N10" s="351"/>
      <c r="AT10"/>
      <c r="AW10"/>
      <c r="BA10"/>
    </row>
    <row r="11" spans="1:58" s="346" customFormat="1">
      <c r="C11" s="351"/>
      <c r="D11" s="351"/>
      <c r="E11" s="350" t="s">
        <v>1293</v>
      </c>
      <c r="F11" s="351" t="str">
        <f ca="1">_xll.ReportRange("BudgetCapitalDetailPull",30:52,C3:BE3,C6:BE6,_xll.Param(H23,H24,H18,N18,K19))</f>
        <v>OK!: ReportRange Formula OK [jAction{}]</v>
      </c>
      <c r="G11" s="351"/>
      <c r="H11" s="351"/>
      <c r="I11" s="351"/>
      <c r="M11" s="351"/>
      <c r="N11" s="351"/>
      <c r="AG11" s="346" t="s">
        <v>1292</v>
      </c>
      <c r="AH11" s="346" t="s">
        <v>1291</v>
      </c>
      <c r="AT11"/>
      <c r="AW11"/>
      <c r="BA11"/>
    </row>
    <row r="12" spans="1:58" s="346" customFormat="1">
      <c r="C12" s="351"/>
      <c r="D12" s="351"/>
      <c r="E12" s="350" t="s">
        <v>1290</v>
      </c>
      <c r="F12" s="357" t="str">
        <f ca="1">_xll.ReportFixed("BudCap1",AG30:AG52,AG11:AH11,_xll.Param(DetailBudYear, DetailDistrict))</f>
        <v>OK!: ReportFixed Formula OK [jAction{}]</v>
      </c>
      <c r="G12" s="351"/>
      <c r="H12" s="351"/>
      <c r="I12" s="357"/>
      <c r="M12" s="351"/>
      <c r="N12" s="351"/>
      <c r="AT12"/>
      <c r="AW12"/>
      <c r="BA12"/>
    </row>
    <row r="13" spans="1:58" s="346" customFormat="1">
      <c r="C13" s="351"/>
      <c r="D13" s="351"/>
      <c r="E13" s="350"/>
      <c r="F13" s="357" t="str">
        <f>_xll.ReportRun([49]TruckCenterReference!F16,,"Pull")</f>
        <v>OK!: ReportRun Formula OK [jAction{}]</v>
      </c>
      <c r="G13" s="351"/>
      <c r="H13" s="351"/>
      <c r="I13" s="357"/>
      <c r="M13" s="351"/>
      <c r="N13" s="351"/>
      <c r="AT13"/>
      <c r="AW13"/>
      <c r="BA13"/>
    </row>
    <row r="14" spans="1:58" s="346" customFormat="1">
      <c r="C14" s="351"/>
      <c r="D14" s="351"/>
      <c r="E14" s="356"/>
      <c r="F14" s="355" t="s">
        <v>1289</v>
      </c>
      <c r="G14" s="351"/>
      <c r="H14" s="351"/>
      <c r="I14" s="351"/>
      <c r="J14" s="351"/>
      <c r="K14" s="350"/>
      <c r="L14" s="351"/>
      <c r="M14" s="351"/>
      <c r="N14" s="351"/>
      <c r="AT14"/>
      <c r="AW14"/>
      <c r="BA14"/>
    </row>
    <row r="15" spans="1:58" s="346" customFormat="1">
      <c r="C15" s="351"/>
      <c r="D15" s="351"/>
      <c r="E15" s="350" t="s">
        <v>1288</v>
      </c>
      <c r="F15" s="351" t="str">
        <f ca="1">_xll.ReportSave("BudgetCapitalDetailSave",B30:B52,A3:AM3,C4:AO4,_xll.Param(H23,H24,H18,N18))</f>
        <v>OK!: ReportSave Formula OK [jAction{}]</v>
      </c>
      <c r="G15" s="351"/>
      <c r="H15" s="351"/>
      <c r="I15" s="351"/>
      <c r="J15" s="351"/>
      <c r="K15" s="351"/>
      <c r="L15" s="351"/>
      <c r="M15" s="351"/>
      <c r="N15" s="351"/>
      <c r="AT15"/>
      <c r="AW15"/>
      <c r="BA15"/>
    </row>
    <row r="16" spans="1:58" s="346" customFormat="1">
      <c r="AT16"/>
      <c r="AW16"/>
      <c r="BA16"/>
    </row>
    <row r="17" spans="1:58" s="345" customFormat="1">
      <c r="D17" s="345" t="s">
        <v>1287</v>
      </c>
      <c r="M17" s="354"/>
      <c r="AT17"/>
      <c r="AW17"/>
      <c r="BA17"/>
    </row>
    <row r="18" spans="1:58" s="348" customFormat="1">
      <c r="A18" s="353" t="s">
        <v>1286</v>
      </c>
      <c r="B18" s="352" t="b">
        <f>IFERROR(OR(A30:A52),FALSE)</f>
        <v>0</v>
      </c>
      <c r="G18" s="347" t="s">
        <v>1285</v>
      </c>
      <c r="H18" s="349" t="s">
        <v>1284</v>
      </c>
      <c r="J18" s="347" t="s">
        <v>1283</v>
      </c>
      <c r="K18" s="349" t="s">
        <v>1282</v>
      </c>
      <c r="L18" s="349"/>
      <c r="M18" s="347" t="s">
        <v>1281</v>
      </c>
      <c r="N18" s="349">
        <v>2</v>
      </c>
      <c r="AT18"/>
      <c r="AW18"/>
      <c r="BA18"/>
    </row>
    <row r="19" spans="1:58" s="348" customFormat="1">
      <c r="A19" s="353"/>
      <c r="B19" s="352" t="str">
        <f>IF(B18=TRUE,"Save","SkipRePull")</f>
        <v>SkipRePull</v>
      </c>
      <c r="I19" s="351"/>
      <c r="J19" s="350" t="s">
        <v>1280</v>
      </c>
      <c r="K19" s="349" t="s">
        <v>1279</v>
      </c>
      <c r="L19" s="349"/>
      <c r="M19" s="347"/>
      <c r="N19" s="347"/>
      <c r="AT19"/>
      <c r="AW19"/>
      <c r="BA19"/>
    </row>
    <row r="20" spans="1:58" s="346" customFormat="1">
      <c r="F20" s="346" t="s">
        <v>1278</v>
      </c>
      <c r="G20" s="346" t="s">
        <v>1278</v>
      </c>
      <c r="H20" s="346" t="s">
        <v>1278</v>
      </c>
      <c r="I20" s="346" t="s">
        <v>1278</v>
      </c>
      <c r="J20" s="346" t="s">
        <v>1278</v>
      </c>
      <c r="K20" s="347"/>
      <c r="L20" s="346" t="s">
        <v>1278</v>
      </c>
      <c r="M20" s="346" t="s">
        <v>1278</v>
      </c>
      <c r="N20" s="346" t="s">
        <v>1278</v>
      </c>
      <c r="O20" s="346" t="s">
        <v>1278</v>
      </c>
      <c r="P20" s="346" t="s">
        <v>1278</v>
      </c>
      <c r="Q20" s="346" t="s">
        <v>1278</v>
      </c>
      <c r="R20" s="346" t="s">
        <v>1278</v>
      </c>
      <c r="S20" s="346" t="s">
        <v>1278</v>
      </c>
      <c r="T20" s="346" t="s">
        <v>1278</v>
      </c>
      <c r="U20" s="346" t="s">
        <v>1278</v>
      </c>
      <c r="V20" s="346" t="s">
        <v>1278</v>
      </c>
      <c r="W20" s="346" t="s">
        <v>1278</v>
      </c>
      <c r="X20" s="346" t="s">
        <v>1278</v>
      </c>
      <c r="Y20" s="346" t="s">
        <v>1278</v>
      </c>
      <c r="Z20" s="346" t="s">
        <v>1278</v>
      </c>
      <c r="AA20" s="346" t="s">
        <v>1278</v>
      </c>
      <c r="AB20" s="346" t="s">
        <v>1278</v>
      </c>
      <c r="AC20" s="346" t="s">
        <v>1278</v>
      </c>
      <c r="AE20" s="346" t="s">
        <v>1278</v>
      </c>
      <c r="AG20" s="346" t="s">
        <v>1278</v>
      </c>
      <c r="AJ20" s="346" t="s">
        <v>1278</v>
      </c>
      <c r="AK20" s="346" t="s">
        <v>1278</v>
      </c>
      <c r="AM20" s="346" t="s">
        <v>1278</v>
      </c>
      <c r="AO20" s="346" t="s">
        <v>1278</v>
      </c>
      <c r="AT20"/>
      <c r="AW20"/>
      <c r="BA20"/>
    </row>
    <row r="21" spans="1:58" s="345" customFormat="1">
      <c r="D21" s="345" t="s">
        <v>1277</v>
      </c>
      <c r="AT21"/>
      <c r="AW21"/>
      <c r="BA21"/>
    </row>
    <row r="22" spans="1:58">
      <c r="E22" s="269"/>
      <c r="F22" s="269"/>
      <c r="G22" s="269"/>
      <c r="H22" s="269"/>
      <c r="I22" s="269"/>
      <c r="J22" s="269"/>
      <c r="K22" s="269"/>
      <c r="L22" s="269"/>
      <c r="M22" s="269"/>
      <c r="N22" s="266"/>
      <c r="O22" s="266"/>
      <c r="P22" s="266"/>
      <c r="Q22" s="266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G22" s="266"/>
      <c r="AH22" s="266"/>
      <c r="AI22" s="266"/>
      <c r="AJ22" s="266"/>
      <c r="AK22" s="266"/>
      <c r="AM22" s="266"/>
    </row>
    <row r="23" spans="1:58" ht="15.75">
      <c r="E23" s="344"/>
      <c r="F23" s="343"/>
      <c r="G23" s="342" t="s">
        <v>1276</v>
      </c>
      <c r="H23" s="341" t="s">
        <v>1085</v>
      </c>
      <c r="I23" s="340" t="s">
        <v>1275</v>
      </c>
      <c r="K23" s="333"/>
      <c r="M23" s="332"/>
      <c r="N23" s="266"/>
      <c r="O23" s="266"/>
      <c r="P23" s="266"/>
      <c r="Q23" s="266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339"/>
      <c r="AG23" s="266"/>
      <c r="AH23" s="266"/>
      <c r="AI23" s="266"/>
      <c r="AJ23" s="266"/>
      <c r="AK23" s="266"/>
      <c r="AM23" s="266"/>
    </row>
    <row r="24" spans="1:58" ht="15.75">
      <c r="E24" s="338"/>
      <c r="F24" s="337"/>
      <c r="G24" s="336" t="s">
        <v>1274</v>
      </c>
      <c r="H24" s="335">
        <v>2023</v>
      </c>
      <c r="I24" s="334"/>
      <c r="J24" s="334"/>
      <c r="K24" s="333"/>
      <c r="L24" s="330"/>
      <c r="M24" s="332"/>
      <c r="N24" s="266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G24" s="266"/>
      <c r="AH24" s="266"/>
      <c r="AI24" s="266"/>
      <c r="AJ24" s="266"/>
      <c r="AK24" s="266"/>
      <c r="AM24" s="266"/>
    </row>
    <row r="25" spans="1:58">
      <c r="E25" s="331"/>
      <c r="F25" s="331"/>
      <c r="G25" s="331"/>
      <c r="H25" s="269"/>
      <c r="I25" s="269"/>
      <c r="J25" s="269"/>
      <c r="K25" s="269"/>
      <c r="L25" s="330" t="s">
        <v>1273</v>
      </c>
      <c r="M25" s="269"/>
      <c r="N25" s="266"/>
      <c r="O25" s="266"/>
      <c r="P25" s="266"/>
      <c r="Q25" s="266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G25" s="266"/>
      <c r="AH25" s="266"/>
      <c r="AI25" s="266"/>
      <c r="AJ25" s="266"/>
      <c r="AK25" s="266"/>
      <c r="AM25" s="266"/>
      <c r="AQ25" s="329" t="s">
        <v>1272</v>
      </c>
      <c r="AR25" s="329"/>
      <c r="AX25" s="329"/>
    </row>
    <row r="26" spans="1:58" ht="15.75">
      <c r="E26" s="328" t="s">
        <v>1271</v>
      </c>
      <c r="F26" s="327"/>
      <c r="G26" s="327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5"/>
      <c r="AQ26" s="324"/>
      <c r="AR26" s="324"/>
      <c r="AS26" s="324"/>
      <c r="AU26" s="324"/>
      <c r="AV26" s="324"/>
      <c r="AX26" s="324"/>
      <c r="AY26" s="324"/>
      <c r="AZ26" s="324"/>
      <c r="BB26" s="324"/>
      <c r="BC26" s="324"/>
      <c r="BD26" s="324"/>
      <c r="BE26" s="324"/>
      <c r="BF26" s="324"/>
    </row>
    <row r="27" spans="1:58">
      <c r="E27" s="323"/>
      <c r="F27" s="323"/>
      <c r="G27" s="323"/>
      <c r="H27" s="323"/>
      <c r="I27" s="323"/>
      <c r="J27" s="323"/>
      <c r="K27" s="323"/>
      <c r="L27" s="323"/>
      <c r="M27" s="323"/>
      <c r="N27" s="312"/>
      <c r="O27" s="312"/>
      <c r="P27" s="312"/>
      <c r="Q27" s="312"/>
      <c r="R27" s="322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266"/>
      <c r="AF27" s="321" t="s">
        <v>1270</v>
      </c>
      <c r="AG27" s="320"/>
      <c r="AH27" s="320"/>
      <c r="AI27" s="320"/>
      <c r="AJ27" s="320"/>
      <c r="AK27" s="320"/>
      <c r="AQ27" s="319"/>
      <c r="AR27" s="308" t="s">
        <v>1269</v>
      </c>
      <c r="AS27" s="318"/>
      <c r="AU27" s="318" t="s">
        <v>1268</v>
      </c>
      <c r="AV27" s="318"/>
      <c r="AX27" s="318" t="s">
        <v>1267</v>
      </c>
      <c r="AY27" s="318" t="s">
        <v>1267</v>
      </c>
      <c r="AZ27" s="318"/>
      <c r="BB27" s="318" t="s">
        <v>1266</v>
      </c>
      <c r="BC27" s="318"/>
      <c r="BD27" s="318"/>
      <c r="BE27" s="319"/>
      <c r="BF27" s="318"/>
    </row>
    <row r="28" spans="1:58" ht="27" thickBot="1">
      <c r="E28" s="317" t="s">
        <v>1265</v>
      </c>
      <c r="F28" s="310" t="s">
        <v>1264</v>
      </c>
      <c r="G28" s="310" t="s">
        <v>1263</v>
      </c>
      <c r="H28" s="316" t="s">
        <v>1262</v>
      </c>
      <c r="I28" s="316" t="s">
        <v>1261</v>
      </c>
      <c r="J28" s="316" t="s">
        <v>1260</v>
      </c>
      <c r="K28" s="310"/>
      <c r="L28" s="310" t="s">
        <v>1259</v>
      </c>
      <c r="M28" s="310" t="s">
        <v>1258</v>
      </c>
      <c r="N28" s="310" t="s">
        <v>1257</v>
      </c>
      <c r="O28" s="310" t="s">
        <v>1256</v>
      </c>
      <c r="P28" s="310" t="s">
        <v>1255</v>
      </c>
      <c r="Q28" s="310" t="s">
        <v>1254</v>
      </c>
      <c r="R28" s="315">
        <v>40209</v>
      </c>
      <c r="S28" s="314">
        <v>40237</v>
      </c>
      <c r="T28" s="313">
        <v>40268</v>
      </c>
      <c r="U28" s="315">
        <v>40298</v>
      </c>
      <c r="V28" s="314">
        <v>40329</v>
      </c>
      <c r="W28" s="313">
        <v>40359</v>
      </c>
      <c r="X28" s="315">
        <v>40390</v>
      </c>
      <c r="Y28" s="314">
        <v>40421</v>
      </c>
      <c r="Z28" s="313">
        <v>40451</v>
      </c>
      <c r="AA28" s="315">
        <v>40482</v>
      </c>
      <c r="AB28" s="314">
        <v>40512</v>
      </c>
      <c r="AC28" s="313">
        <v>40543</v>
      </c>
      <c r="AD28" s="312"/>
      <c r="AE28" s="311" t="s">
        <v>32</v>
      </c>
      <c r="AF28" s="273"/>
      <c r="AG28" s="310" t="s">
        <v>1253</v>
      </c>
      <c r="AH28" s="310" t="s">
        <v>1252</v>
      </c>
      <c r="AI28" s="310" t="s">
        <v>1251</v>
      </c>
      <c r="AJ28" s="310" t="s">
        <v>1250</v>
      </c>
      <c r="AK28" s="310" t="s">
        <v>1066</v>
      </c>
      <c r="AL28" s="309"/>
      <c r="AM28" s="310" t="s">
        <v>1249</v>
      </c>
      <c r="AN28" s="309"/>
      <c r="AO28" s="310" t="s">
        <v>1248</v>
      </c>
      <c r="AP28" s="309"/>
      <c r="AQ28" s="308" t="s">
        <v>1133</v>
      </c>
      <c r="AR28" s="308" t="s">
        <v>1247</v>
      </c>
      <c r="AS28" s="308" t="s">
        <v>1245</v>
      </c>
      <c r="AU28" s="308" t="s">
        <v>1244</v>
      </c>
      <c r="AV28" s="308" t="s">
        <v>1240</v>
      </c>
      <c r="AX28" s="308" t="s">
        <v>1246</v>
      </c>
      <c r="AY28" s="308" t="s">
        <v>1244</v>
      </c>
      <c r="AZ28" s="308" t="s">
        <v>1245</v>
      </c>
      <c r="BB28" s="308" t="s">
        <v>1244</v>
      </c>
      <c r="BC28" s="308" t="s">
        <v>1243</v>
      </c>
      <c r="BD28" s="308" t="s">
        <v>1242</v>
      </c>
      <c r="BE28" s="308" t="s">
        <v>1241</v>
      </c>
      <c r="BF28" s="308" t="s">
        <v>1240</v>
      </c>
    </row>
    <row r="29" spans="1:58">
      <c r="E29" s="269"/>
      <c r="F29" s="269"/>
      <c r="G29" s="269"/>
      <c r="H29" s="269"/>
      <c r="I29" s="269"/>
      <c r="J29" s="269"/>
      <c r="K29" s="269"/>
      <c r="L29" s="269"/>
      <c r="M29" s="269"/>
      <c r="N29" s="266"/>
      <c r="O29" s="266"/>
      <c r="P29" s="266"/>
      <c r="Q29" s="266"/>
      <c r="R29" s="307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71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306"/>
      <c r="AX29" s="306"/>
      <c r="BC29" s="305"/>
      <c r="BD29" s="305"/>
    </row>
    <row r="30" spans="1:58" ht="51">
      <c r="A30" t="b">
        <f t="shared" ref="A30:A51" si="0">IF(AND(C30&lt;&gt;"", B30&lt;&gt;C30),TRUE, FALSE)</f>
        <v>0</v>
      </c>
      <c r="B30" t="str">
        <f t="shared" ref="B30:B51" si="1">IF(RIGHT("0000"&amp;F30,4)&amp;"-"&amp;G30 &lt;&gt; "0000-", RIGHT("0000"&amp;F30,4)&amp;"-"&amp;G30, "")</f>
        <v>0001-1</v>
      </c>
      <c r="C30" s="304" t="s">
        <v>1239</v>
      </c>
      <c r="D30" s="303">
        <v>1</v>
      </c>
      <c r="E30" s="302"/>
      <c r="F30" s="359">
        <v>1</v>
      </c>
      <c r="G30" s="360">
        <v>1</v>
      </c>
      <c r="H30" s="361" t="s">
        <v>1238</v>
      </c>
      <c r="I30" s="361" t="s">
        <v>1238</v>
      </c>
      <c r="J30" s="361" t="s">
        <v>1237</v>
      </c>
      <c r="K30" s="362"/>
      <c r="L30" s="363" t="s">
        <v>169</v>
      </c>
      <c r="M30" s="363" t="s">
        <v>1236</v>
      </c>
      <c r="N30" s="362">
        <v>7</v>
      </c>
      <c r="O30" s="364" t="s">
        <v>1229</v>
      </c>
      <c r="P30" s="364" t="s">
        <v>1228</v>
      </c>
      <c r="Q30" s="360"/>
      <c r="R30" s="365">
        <v>0</v>
      </c>
      <c r="S30" s="366">
        <v>0</v>
      </c>
      <c r="T30" s="366">
        <v>0</v>
      </c>
      <c r="U30" s="366">
        <v>0</v>
      </c>
      <c r="V30" s="366">
        <v>48000</v>
      </c>
      <c r="W30" s="366">
        <v>0</v>
      </c>
      <c r="X30" s="366">
        <v>0</v>
      </c>
      <c r="Y30" s="366">
        <v>45000</v>
      </c>
      <c r="Z30" s="366">
        <v>0</v>
      </c>
      <c r="AA30" s="366">
        <v>25000</v>
      </c>
      <c r="AB30" s="366">
        <v>0</v>
      </c>
      <c r="AC30" s="367">
        <v>0</v>
      </c>
      <c r="AD30" s="368"/>
      <c r="AE30" s="369">
        <f t="shared" ref="AE30:AE51" si="2">SUM(R30:AC30)</f>
        <v>118000</v>
      </c>
      <c r="AF30" s="370"/>
      <c r="AG30" s="362"/>
      <c r="AH30" s="371"/>
      <c r="AI30" s="372" t="s">
        <v>1235</v>
      </c>
      <c r="AJ30" s="362"/>
      <c r="AK30" s="360"/>
      <c r="AL30" s="373"/>
      <c r="AM30" s="374" t="s">
        <v>1333</v>
      </c>
      <c r="AN30" s="375" t="s">
        <v>17</v>
      </c>
      <c r="AO30" s="373"/>
      <c r="AP30" s="284"/>
      <c r="AQ30" s="283" t="str">
        <f t="shared" ref="AQ30:AQ51" si="3">IF(Q30="", "", Q30)</f>
        <v/>
      </c>
      <c r="AR30" s="283" t="str">
        <f>IFERROR(VLOOKUP($AQ30,[49]TruckCenterReference!$C$23:$I48,3,FALSE), "")</f>
        <v/>
      </c>
      <c r="AS30" s="278" t="str">
        <f t="shared" ref="AS30:AS51" si="4">IF(Q30&lt;&gt;"",IF(AR30&lt;&gt;H30,"Review","ok"), "")</f>
        <v/>
      </c>
      <c r="AT30" s="281"/>
      <c r="AU30" s="280" t="str">
        <f>IFERROR(VLOOKUP($AQ30,[49]TruckCenterReference!$C$23:$I48,4,FALSE), "")</f>
        <v/>
      </c>
      <c r="AV30" s="278" t="str">
        <f t="shared" ref="AV30:AV51" si="5">IF(Q30="","", IF($AU30&lt;&gt;$P30, "Fix!", "ok"))</f>
        <v/>
      </c>
      <c r="AX30" s="283" t="str">
        <f t="shared" ref="AX30:AX51" si="6">IFERROR(VLOOKUP(M30,SubtypeToTruckType,2,FALSE),"")</f>
        <v/>
      </c>
      <c r="AY30" s="282" t="str">
        <f>IFERROR(VLOOKUP($AQ30,[49]TruckCenterReference!$C$23:$I48,6,FALSE), "")</f>
        <v/>
      </c>
      <c r="AZ30" s="278" t="str">
        <f t="shared" ref="AZ30:AZ51" si="7">IF(Q30&lt;&gt;"",IF(AX30&lt;&gt;AY30,"Fix!","ok"), "")</f>
        <v/>
      </c>
      <c r="BA30" s="281"/>
      <c r="BB30" s="280">
        <f>IFERROR(VLOOKUP($AQ30,[49]TruckCenterReference!$C$23:$I48,7,FALSE), 0)</f>
        <v>0</v>
      </c>
      <c r="BC30" s="280">
        <f>IFERROR(VLOOKUP($AQ30,[49]TruckCenterReference!$C$23:$K48,9,FALSE), 0)</f>
        <v>0</v>
      </c>
      <c r="BD30" s="280">
        <f>IFERROR(VLOOKUP($AQ30,[49]TruckCenterReference!$C$23:$K48,8,FALSE), 0)</f>
        <v>0</v>
      </c>
      <c r="BE30" s="279" t="str">
        <f t="shared" ref="BE30:BE51" si="8">IF(BB30&lt;&gt;0,BB30-AE30-BD30,"")</f>
        <v/>
      </c>
      <c r="BF30" s="278" t="str">
        <f t="shared" ref="BF30:BF51" si="9">IF(Q30="","",IF(ABS(BE30)&gt;100,IF(RIGHT(M30,4)="Body","Review","Fix!"),"ok"))</f>
        <v/>
      </c>
    </row>
    <row r="31" spans="1:58" ht="63.75">
      <c r="A31" t="b">
        <f t="shared" si="0"/>
        <v>0</v>
      </c>
      <c r="B31" t="str">
        <f t="shared" si="1"/>
        <v>0002-1</v>
      </c>
      <c r="C31" s="304" t="s">
        <v>1234</v>
      </c>
      <c r="D31" s="303">
        <v>1</v>
      </c>
      <c r="E31" s="302"/>
      <c r="F31" s="301">
        <v>2</v>
      </c>
      <c r="G31" s="288">
        <v>1</v>
      </c>
      <c r="H31" s="300" t="s">
        <v>1233</v>
      </c>
      <c r="I31" s="300" t="s">
        <v>1233</v>
      </c>
      <c r="J31" s="300" t="s">
        <v>1232</v>
      </c>
      <c r="K31" s="299"/>
      <c r="L31" s="298" t="s">
        <v>1231</v>
      </c>
      <c r="M31" s="298" t="s">
        <v>1230</v>
      </c>
      <c r="N31" s="289">
        <v>10</v>
      </c>
      <c r="O31" s="297" t="s">
        <v>1229</v>
      </c>
      <c r="P31" s="297" t="s">
        <v>1228</v>
      </c>
      <c r="Q31" s="296">
        <v>12046</v>
      </c>
      <c r="R31" s="295">
        <v>0</v>
      </c>
      <c r="S31" s="294">
        <v>0</v>
      </c>
      <c r="T31" s="294">
        <v>0</v>
      </c>
      <c r="U31" s="294">
        <v>147349</v>
      </c>
      <c r="V31" s="294">
        <v>0</v>
      </c>
      <c r="W31" s="294">
        <v>0</v>
      </c>
      <c r="X31" s="294">
        <v>0</v>
      </c>
      <c r="Y31" s="294">
        <v>0</v>
      </c>
      <c r="Z31" s="294">
        <v>0</v>
      </c>
      <c r="AA31" s="294">
        <v>0</v>
      </c>
      <c r="AB31" s="294">
        <v>0</v>
      </c>
      <c r="AC31" s="293">
        <v>0</v>
      </c>
      <c r="AD31" s="266"/>
      <c r="AE31" s="292">
        <f t="shared" si="2"/>
        <v>147349</v>
      </c>
      <c r="AG31" s="289">
        <v>71167</v>
      </c>
      <c r="AH31" s="291" t="s">
        <v>864</v>
      </c>
      <c r="AI31" s="290" t="s">
        <v>1227</v>
      </c>
      <c r="AJ31" s="289">
        <v>10</v>
      </c>
      <c r="AK31" s="288">
        <v>2010</v>
      </c>
      <c r="AL31" s="284"/>
      <c r="AM31" s="376" t="s">
        <v>1334</v>
      </c>
      <c r="AN31" s="286" t="s">
        <v>17</v>
      </c>
      <c r="AO31" s="285"/>
      <c r="AP31" s="284"/>
      <c r="AQ31" s="283">
        <f t="shared" si="3"/>
        <v>12046</v>
      </c>
      <c r="AR31" s="283" t="str">
        <f>IFERROR(VLOOKUP($AQ31,[49]TruckCenterReference!$C$23:$I49,3,FALSE), "")</f>
        <v/>
      </c>
      <c r="AS31" s="278" t="str">
        <f t="shared" si="4"/>
        <v>Review</v>
      </c>
      <c r="AT31" s="281"/>
      <c r="AU31" s="280" t="str">
        <f>IFERROR(VLOOKUP($AQ31,[49]TruckCenterReference!$C$23:$I49,4,FALSE), "")</f>
        <v/>
      </c>
      <c r="AV31" s="278" t="str">
        <f t="shared" si="5"/>
        <v>Fix!</v>
      </c>
      <c r="AX31" s="283" t="str">
        <f t="shared" si="6"/>
        <v>Rear Loader</v>
      </c>
      <c r="AY31" s="282" t="str">
        <f>IFERROR(VLOOKUP($AQ31,[49]TruckCenterReference!$C$23:$I49,6,FALSE), "")</f>
        <v/>
      </c>
      <c r="AZ31" s="278" t="str">
        <f t="shared" si="7"/>
        <v>Fix!</v>
      </c>
      <c r="BA31" s="281"/>
      <c r="BB31" s="280">
        <f>IFERROR(VLOOKUP($AQ31,[49]TruckCenterReference!$C$23:$I49,7,FALSE), 0)</f>
        <v>0</v>
      </c>
      <c r="BC31" s="280">
        <f>IFERROR(VLOOKUP($AQ31,[49]TruckCenterReference!$C$23:$K49,9,FALSE), 0)</f>
        <v>0</v>
      </c>
      <c r="BD31" s="280">
        <f>IFERROR(VLOOKUP($AQ31,[49]TruckCenterReference!$C$23:$K49,8,FALSE), 0)</f>
        <v>0</v>
      </c>
      <c r="BE31" s="279" t="str">
        <f t="shared" si="8"/>
        <v/>
      </c>
      <c r="BF31" s="278" t="e">
        <f t="shared" si="9"/>
        <v>#VALUE!</v>
      </c>
    </row>
    <row r="32" spans="1:58">
      <c r="A32" t="b">
        <f t="shared" si="0"/>
        <v>0</v>
      </c>
      <c r="B32" t="str">
        <f t="shared" si="1"/>
        <v/>
      </c>
      <c r="C32" s="304" t="s">
        <v>1226</v>
      </c>
      <c r="D32" s="303">
        <v>1</v>
      </c>
      <c r="E32" s="302"/>
      <c r="F32" s="301"/>
      <c r="G32" s="288"/>
      <c r="H32" s="300" t="s">
        <v>1226</v>
      </c>
      <c r="I32" s="300" t="s">
        <v>1226</v>
      </c>
      <c r="J32" s="300" t="s">
        <v>1226</v>
      </c>
      <c r="K32" s="299"/>
      <c r="L32" s="298" t="s">
        <v>1226</v>
      </c>
      <c r="M32" s="298" t="s">
        <v>1226</v>
      </c>
      <c r="N32" s="289"/>
      <c r="O32" s="297" t="s">
        <v>1226</v>
      </c>
      <c r="P32" s="297" t="s">
        <v>1226</v>
      </c>
      <c r="Q32" s="296"/>
      <c r="R32" s="295">
        <v>0</v>
      </c>
      <c r="S32" s="294">
        <v>0</v>
      </c>
      <c r="T32" s="294">
        <v>0</v>
      </c>
      <c r="U32" s="294">
        <v>0</v>
      </c>
      <c r="V32" s="294">
        <v>0</v>
      </c>
      <c r="W32" s="294">
        <v>0</v>
      </c>
      <c r="X32" s="294">
        <v>0</v>
      </c>
      <c r="Y32" s="294">
        <v>0</v>
      </c>
      <c r="Z32" s="294">
        <v>0</v>
      </c>
      <c r="AA32" s="294">
        <v>0</v>
      </c>
      <c r="AB32" s="294">
        <v>0</v>
      </c>
      <c r="AC32" s="293">
        <v>0</v>
      </c>
      <c r="AD32" s="266"/>
      <c r="AE32" s="292">
        <f t="shared" si="2"/>
        <v>0</v>
      </c>
      <c r="AG32" s="289"/>
      <c r="AH32" s="291"/>
      <c r="AI32" s="290" t="s">
        <v>1226</v>
      </c>
      <c r="AJ32" s="289"/>
      <c r="AK32" s="288"/>
      <c r="AL32" s="284"/>
      <c r="AM32" s="287"/>
      <c r="AN32" s="286" t="s">
        <v>17</v>
      </c>
      <c r="AO32" s="285"/>
      <c r="AP32" s="284"/>
      <c r="AQ32" s="283" t="str">
        <f t="shared" si="3"/>
        <v/>
      </c>
      <c r="AR32" s="283" t="str">
        <f>IFERROR(VLOOKUP($AQ32,[49]TruckCenterReference!$C$23:$I50,3,FALSE), "")</f>
        <v/>
      </c>
      <c r="AS32" s="278" t="str">
        <f t="shared" si="4"/>
        <v/>
      </c>
      <c r="AT32" s="281"/>
      <c r="AU32" s="280" t="str">
        <f>IFERROR(VLOOKUP($AQ32,[49]TruckCenterReference!$C$23:$I50,4,FALSE), "")</f>
        <v/>
      </c>
      <c r="AV32" s="278" t="str">
        <f t="shared" si="5"/>
        <v/>
      </c>
      <c r="AX32" s="283" t="str">
        <f t="shared" si="6"/>
        <v/>
      </c>
      <c r="AY32" s="282" t="str">
        <f>IFERROR(VLOOKUP($AQ32,[49]TruckCenterReference!$C$23:$I50,6,FALSE), "")</f>
        <v/>
      </c>
      <c r="AZ32" s="278" t="str">
        <f t="shared" si="7"/>
        <v/>
      </c>
      <c r="BA32" s="281"/>
      <c r="BB32" s="280">
        <f>IFERROR(VLOOKUP($AQ32,[49]TruckCenterReference!$C$23:$I50,7,FALSE), 0)</f>
        <v>0</v>
      </c>
      <c r="BC32" s="280">
        <f>IFERROR(VLOOKUP($AQ32,[49]TruckCenterReference!$C$23:$K50,9,FALSE), 0)</f>
        <v>0</v>
      </c>
      <c r="BD32" s="280">
        <f>IFERROR(VLOOKUP($AQ32,[49]TruckCenterReference!$C$23:$K50,8,FALSE), 0)</f>
        <v>0</v>
      </c>
      <c r="BE32" s="279" t="str">
        <f t="shared" si="8"/>
        <v/>
      </c>
      <c r="BF32" s="278" t="str">
        <f t="shared" si="9"/>
        <v/>
      </c>
    </row>
    <row r="33" spans="1:58">
      <c r="A33" t="b">
        <f t="shared" si="0"/>
        <v>0</v>
      </c>
      <c r="B33" t="str">
        <f t="shared" si="1"/>
        <v/>
      </c>
      <c r="C33" s="304" t="s">
        <v>1226</v>
      </c>
      <c r="D33" s="303">
        <v>1</v>
      </c>
      <c r="E33" s="302"/>
      <c r="F33" s="301"/>
      <c r="G33" s="288"/>
      <c r="H33" s="300" t="s">
        <v>1226</v>
      </c>
      <c r="I33" s="300" t="s">
        <v>1226</v>
      </c>
      <c r="J33" s="300" t="s">
        <v>1226</v>
      </c>
      <c r="K33" s="299"/>
      <c r="L33" s="298" t="s">
        <v>1226</v>
      </c>
      <c r="M33" s="298" t="s">
        <v>1226</v>
      </c>
      <c r="N33" s="289"/>
      <c r="O33" s="297" t="s">
        <v>1226</v>
      </c>
      <c r="P33" s="297" t="s">
        <v>1226</v>
      </c>
      <c r="Q33" s="296"/>
      <c r="R33" s="295">
        <v>0</v>
      </c>
      <c r="S33" s="294">
        <v>0</v>
      </c>
      <c r="T33" s="294">
        <v>0</v>
      </c>
      <c r="U33" s="294">
        <v>0</v>
      </c>
      <c r="V33" s="294">
        <v>0</v>
      </c>
      <c r="W33" s="294">
        <v>0</v>
      </c>
      <c r="X33" s="294">
        <v>0</v>
      </c>
      <c r="Y33" s="294">
        <v>0</v>
      </c>
      <c r="Z33" s="294">
        <v>0</v>
      </c>
      <c r="AA33" s="294">
        <v>0</v>
      </c>
      <c r="AB33" s="294">
        <v>0</v>
      </c>
      <c r="AC33" s="293">
        <v>0</v>
      </c>
      <c r="AD33" s="266"/>
      <c r="AE33" s="292">
        <f t="shared" si="2"/>
        <v>0</v>
      </c>
      <c r="AG33" s="289"/>
      <c r="AH33" s="291"/>
      <c r="AI33" s="290" t="s">
        <v>1226</v>
      </c>
      <c r="AJ33" s="289"/>
      <c r="AK33" s="288"/>
      <c r="AL33" s="284"/>
      <c r="AM33" s="287"/>
      <c r="AN33" s="286" t="s">
        <v>17</v>
      </c>
      <c r="AO33" s="285"/>
      <c r="AP33" s="284"/>
      <c r="AQ33" s="283" t="str">
        <f t="shared" si="3"/>
        <v/>
      </c>
      <c r="AR33" s="283" t="str">
        <f>IFERROR(VLOOKUP($AQ33,[49]TruckCenterReference!$C$23:$I51,3,FALSE), "")</f>
        <v/>
      </c>
      <c r="AS33" s="278" t="str">
        <f t="shared" si="4"/>
        <v/>
      </c>
      <c r="AT33" s="281"/>
      <c r="AU33" s="280" t="str">
        <f>IFERROR(VLOOKUP($AQ33,[49]TruckCenterReference!$C$23:$I51,4,FALSE), "")</f>
        <v/>
      </c>
      <c r="AV33" s="278" t="str">
        <f t="shared" si="5"/>
        <v/>
      </c>
      <c r="AX33" s="283" t="str">
        <f t="shared" si="6"/>
        <v/>
      </c>
      <c r="AY33" s="282" t="str">
        <f>IFERROR(VLOOKUP($AQ33,[49]TruckCenterReference!$C$23:$I51,6,FALSE), "")</f>
        <v/>
      </c>
      <c r="AZ33" s="278" t="str">
        <f t="shared" si="7"/>
        <v/>
      </c>
      <c r="BA33" s="281"/>
      <c r="BB33" s="280">
        <f>IFERROR(VLOOKUP($AQ33,[49]TruckCenterReference!$C$23:$I51,7,FALSE), 0)</f>
        <v>0</v>
      </c>
      <c r="BC33" s="280">
        <f>IFERROR(VLOOKUP($AQ33,[49]TruckCenterReference!$C$23:$K51,9,FALSE), 0)</f>
        <v>0</v>
      </c>
      <c r="BD33" s="280">
        <f>IFERROR(VLOOKUP($AQ33,[49]TruckCenterReference!$C$23:$K51,8,FALSE), 0)</f>
        <v>0</v>
      </c>
      <c r="BE33" s="279" t="str">
        <f t="shared" si="8"/>
        <v/>
      </c>
      <c r="BF33" s="278" t="str">
        <f t="shared" si="9"/>
        <v/>
      </c>
    </row>
    <row r="34" spans="1:58">
      <c r="A34" t="b">
        <f t="shared" si="0"/>
        <v>0</v>
      </c>
      <c r="B34" t="str">
        <f t="shared" si="1"/>
        <v/>
      </c>
      <c r="C34" s="304" t="s">
        <v>1226</v>
      </c>
      <c r="D34" s="303">
        <v>1</v>
      </c>
      <c r="E34" s="302"/>
      <c r="F34" s="301"/>
      <c r="G34" s="288"/>
      <c r="H34" s="300" t="s">
        <v>1226</v>
      </c>
      <c r="I34" s="300" t="s">
        <v>1226</v>
      </c>
      <c r="J34" s="300" t="s">
        <v>1226</v>
      </c>
      <c r="K34" s="299"/>
      <c r="L34" s="298" t="s">
        <v>1226</v>
      </c>
      <c r="M34" s="298" t="s">
        <v>1226</v>
      </c>
      <c r="N34" s="289"/>
      <c r="O34" s="297" t="s">
        <v>1226</v>
      </c>
      <c r="P34" s="297" t="s">
        <v>1226</v>
      </c>
      <c r="Q34" s="296"/>
      <c r="R34" s="295">
        <v>0</v>
      </c>
      <c r="S34" s="294">
        <v>0</v>
      </c>
      <c r="T34" s="294">
        <v>0</v>
      </c>
      <c r="U34" s="294">
        <v>0</v>
      </c>
      <c r="V34" s="294">
        <v>0</v>
      </c>
      <c r="W34" s="294">
        <v>0</v>
      </c>
      <c r="X34" s="294">
        <v>0</v>
      </c>
      <c r="Y34" s="294">
        <v>0</v>
      </c>
      <c r="Z34" s="294">
        <v>0</v>
      </c>
      <c r="AA34" s="294">
        <v>0</v>
      </c>
      <c r="AB34" s="294">
        <v>0</v>
      </c>
      <c r="AC34" s="293">
        <v>0</v>
      </c>
      <c r="AD34" s="266"/>
      <c r="AE34" s="292">
        <f t="shared" si="2"/>
        <v>0</v>
      </c>
      <c r="AG34" s="289"/>
      <c r="AH34" s="291"/>
      <c r="AI34" s="290" t="s">
        <v>1226</v>
      </c>
      <c r="AJ34" s="289"/>
      <c r="AK34" s="288"/>
      <c r="AL34" s="284"/>
      <c r="AM34" s="287"/>
      <c r="AN34" s="286" t="s">
        <v>17</v>
      </c>
      <c r="AO34" s="285"/>
      <c r="AP34" s="284"/>
      <c r="AQ34" s="283" t="str">
        <f t="shared" si="3"/>
        <v/>
      </c>
      <c r="AR34" s="283" t="str">
        <f>IFERROR(VLOOKUP($AQ34,[49]TruckCenterReference!$C$23:$I52,3,FALSE), "")</f>
        <v/>
      </c>
      <c r="AS34" s="278" t="str">
        <f t="shared" si="4"/>
        <v/>
      </c>
      <c r="AT34" s="281"/>
      <c r="AU34" s="280" t="str">
        <f>IFERROR(VLOOKUP($AQ34,[49]TruckCenterReference!$C$23:$I52,4,FALSE), "")</f>
        <v/>
      </c>
      <c r="AV34" s="278" t="str">
        <f t="shared" si="5"/>
        <v/>
      </c>
      <c r="AX34" s="283" t="str">
        <f t="shared" si="6"/>
        <v/>
      </c>
      <c r="AY34" s="282" t="str">
        <f>IFERROR(VLOOKUP($AQ34,[49]TruckCenterReference!$C$23:$I52,6,FALSE), "")</f>
        <v/>
      </c>
      <c r="AZ34" s="278" t="str">
        <f t="shared" si="7"/>
        <v/>
      </c>
      <c r="BA34" s="281"/>
      <c r="BB34" s="280">
        <f>IFERROR(VLOOKUP($AQ34,[49]TruckCenterReference!$C$23:$I52,7,FALSE), 0)</f>
        <v>0</v>
      </c>
      <c r="BC34" s="280">
        <f>IFERROR(VLOOKUP($AQ34,[49]TruckCenterReference!$C$23:$K52,9,FALSE), 0)</f>
        <v>0</v>
      </c>
      <c r="BD34" s="280">
        <f>IFERROR(VLOOKUP($AQ34,[49]TruckCenterReference!$C$23:$K52,8,FALSE), 0)</f>
        <v>0</v>
      </c>
      <c r="BE34" s="279" t="str">
        <f t="shared" si="8"/>
        <v/>
      </c>
      <c r="BF34" s="278" t="str">
        <f t="shared" si="9"/>
        <v/>
      </c>
    </row>
    <row r="35" spans="1:58">
      <c r="A35" t="b">
        <f t="shared" si="0"/>
        <v>0</v>
      </c>
      <c r="B35" t="str">
        <f t="shared" si="1"/>
        <v/>
      </c>
      <c r="C35" s="304" t="s">
        <v>1226</v>
      </c>
      <c r="D35" s="303">
        <v>1</v>
      </c>
      <c r="E35" s="302"/>
      <c r="F35" s="301"/>
      <c r="G35" s="288"/>
      <c r="H35" s="300" t="s">
        <v>1226</v>
      </c>
      <c r="I35" s="300" t="s">
        <v>1226</v>
      </c>
      <c r="J35" s="300" t="s">
        <v>1226</v>
      </c>
      <c r="K35" s="299"/>
      <c r="L35" s="298" t="s">
        <v>1226</v>
      </c>
      <c r="M35" s="298" t="s">
        <v>1226</v>
      </c>
      <c r="N35" s="289"/>
      <c r="O35" s="297" t="s">
        <v>1226</v>
      </c>
      <c r="P35" s="297" t="s">
        <v>1226</v>
      </c>
      <c r="Q35" s="296"/>
      <c r="R35" s="295">
        <v>0</v>
      </c>
      <c r="S35" s="294">
        <v>0</v>
      </c>
      <c r="T35" s="294">
        <v>0</v>
      </c>
      <c r="U35" s="294">
        <v>0</v>
      </c>
      <c r="V35" s="294">
        <v>0</v>
      </c>
      <c r="W35" s="294">
        <v>0</v>
      </c>
      <c r="X35" s="294">
        <v>0</v>
      </c>
      <c r="Y35" s="294">
        <v>0</v>
      </c>
      <c r="Z35" s="294">
        <v>0</v>
      </c>
      <c r="AA35" s="294">
        <v>0</v>
      </c>
      <c r="AB35" s="294">
        <v>0</v>
      </c>
      <c r="AC35" s="293">
        <v>0</v>
      </c>
      <c r="AD35" s="266"/>
      <c r="AE35" s="292">
        <f t="shared" si="2"/>
        <v>0</v>
      </c>
      <c r="AG35" s="289"/>
      <c r="AH35" s="291"/>
      <c r="AI35" s="290" t="s">
        <v>1226</v>
      </c>
      <c r="AJ35" s="289"/>
      <c r="AK35" s="288"/>
      <c r="AL35" s="284"/>
      <c r="AM35" s="287"/>
      <c r="AN35" s="286" t="s">
        <v>17</v>
      </c>
      <c r="AO35" s="285"/>
      <c r="AP35" s="284"/>
      <c r="AQ35" s="283" t="str">
        <f t="shared" si="3"/>
        <v/>
      </c>
      <c r="AR35" s="283" t="str">
        <f>IFERROR(VLOOKUP($AQ35,[49]TruckCenterReference!$C$23:$I53,3,FALSE), "")</f>
        <v/>
      </c>
      <c r="AS35" s="278" t="str">
        <f t="shared" si="4"/>
        <v/>
      </c>
      <c r="AT35" s="281"/>
      <c r="AU35" s="280" t="str">
        <f>IFERROR(VLOOKUP($AQ35,[49]TruckCenterReference!$C$23:$I53,4,FALSE), "")</f>
        <v/>
      </c>
      <c r="AV35" s="278" t="str">
        <f t="shared" si="5"/>
        <v/>
      </c>
      <c r="AX35" s="283" t="str">
        <f t="shared" si="6"/>
        <v/>
      </c>
      <c r="AY35" s="282" t="str">
        <f>IFERROR(VLOOKUP($AQ35,[49]TruckCenterReference!$C$23:$I53,6,FALSE), "")</f>
        <v/>
      </c>
      <c r="AZ35" s="278" t="str">
        <f t="shared" si="7"/>
        <v/>
      </c>
      <c r="BA35" s="281"/>
      <c r="BB35" s="280">
        <f>IFERROR(VLOOKUP($AQ35,[49]TruckCenterReference!$C$23:$I53,7,FALSE), 0)</f>
        <v>0</v>
      </c>
      <c r="BC35" s="280">
        <f>IFERROR(VLOOKUP($AQ35,[49]TruckCenterReference!$C$23:$K53,9,FALSE), 0)</f>
        <v>0</v>
      </c>
      <c r="BD35" s="280">
        <f>IFERROR(VLOOKUP($AQ35,[49]TruckCenterReference!$C$23:$K53,8,FALSE), 0)</f>
        <v>0</v>
      </c>
      <c r="BE35" s="279" t="str">
        <f t="shared" si="8"/>
        <v/>
      </c>
      <c r="BF35" s="278" t="str">
        <f t="shared" si="9"/>
        <v/>
      </c>
    </row>
    <row r="36" spans="1:58">
      <c r="A36" t="b">
        <f t="shared" si="0"/>
        <v>0</v>
      </c>
      <c r="B36" t="str">
        <f t="shared" si="1"/>
        <v/>
      </c>
      <c r="C36" s="304" t="s">
        <v>1226</v>
      </c>
      <c r="D36" s="303">
        <v>1</v>
      </c>
      <c r="E36" s="302"/>
      <c r="F36" s="301"/>
      <c r="G36" s="288"/>
      <c r="H36" s="300" t="s">
        <v>1226</v>
      </c>
      <c r="I36" s="300" t="s">
        <v>1226</v>
      </c>
      <c r="J36" s="300" t="s">
        <v>1226</v>
      </c>
      <c r="K36" s="299"/>
      <c r="L36" s="298" t="s">
        <v>1226</v>
      </c>
      <c r="M36" s="298" t="s">
        <v>1226</v>
      </c>
      <c r="N36" s="289"/>
      <c r="O36" s="297" t="s">
        <v>1226</v>
      </c>
      <c r="P36" s="297" t="s">
        <v>1226</v>
      </c>
      <c r="Q36" s="296"/>
      <c r="R36" s="295">
        <v>0</v>
      </c>
      <c r="S36" s="294">
        <v>0</v>
      </c>
      <c r="T36" s="294">
        <v>0</v>
      </c>
      <c r="U36" s="294">
        <v>0</v>
      </c>
      <c r="V36" s="294">
        <v>0</v>
      </c>
      <c r="W36" s="294">
        <v>0</v>
      </c>
      <c r="X36" s="294">
        <v>0</v>
      </c>
      <c r="Y36" s="294">
        <v>0</v>
      </c>
      <c r="Z36" s="294">
        <v>0</v>
      </c>
      <c r="AA36" s="294">
        <v>0</v>
      </c>
      <c r="AB36" s="294">
        <v>0</v>
      </c>
      <c r="AC36" s="293">
        <v>0</v>
      </c>
      <c r="AD36" s="266"/>
      <c r="AE36" s="292">
        <f t="shared" si="2"/>
        <v>0</v>
      </c>
      <c r="AG36" s="289"/>
      <c r="AH36" s="291"/>
      <c r="AI36" s="290" t="s">
        <v>1226</v>
      </c>
      <c r="AJ36" s="289"/>
      <c r="AK36" s="288"/>
      <c r="AL36" s="284"/>
      <c r="AM36" s="287"/>
      <c r="AN36" s="286" t="s">
        <v>17</v>
      </c>
      <c r="AO36" s="285"/>
      <c r="AP36" s="284"/>
      <c r="AQ36" s="283" t="str">
        <f t="shared" si="3"/>
        <v/>
      </c>
      <c r="AR36" s="283" t="str">
        <f>IFERROR(VLOOKUP($AQ36,[49]TruckCenterReference!$C$23:$I54,3,FALSE), "")</f>
        <v/>
      </c>
      <c r="AS36" s="278" t="str">
        <f t="shared" si="4"/>
        <v/>
      </c>
      <c r="AT36" s="281"/>
      <c r="AU36" s="280" t="str">
        <f>IFERROR(VLOOKUP($AQ36,[49]TruckCenterReference!$C$23:$I54,4,FALSE), "")</f>
        <v/>
      </c>
      <c r="AV36" s="278" t="str">
        <f t="shared" si="5"/>
        <v/>
      </c>
      <c r="AX36" s="283" t="str">
        <f t="shared" si="6"/>
        <v/>
      </c>
      <c r="AY36" s="282" t="str">
        <f>IFERROR(VLOOKUP($AQ36,[49]TruckCenterReference!$C$23:$I54,6,FALSE), "")</f>
        <v/>
      </c>
      <c r="AZ36" s="278" t="str">
        <f t="shared" si="7"/>
        <v/>
      </c>
      <c r="BA36" s="281"/>
      <c r="BB36" s="280">
        <f>IFERROR(VLOOKUP($AQ36,[49]TruckCenterReference!$C$23:$I54,7,FALSE), 0)</f>
        <v>0</v>
      </c>
      <c r="BC36" s="280">
        <f>IFERROR(VLOOKUP($AQ36,[49]TruckCenterReference!$C$23:$K54,9,FALSE), 0)</f>
        <v>0</v>
      </c>
      <c r="BD36" s="280">
        <f>IFERROR(VLOOKUP($AQ36,[49]TruckCenterReference!$C$23:$K54,8,FALSE), 0)</f>
        <v>0</v>
      </c>
      <c r="BE36" s="279" t="str">
        <f t="shared" si="8"/>
        <v/>
      </c>
      <c r="BF36" s="278" t="str">
        <f t="shared" si="9"/>
        <v/>
      </c>
    </row>
    <row r="37" spans="1:58">
      <c r="A37" t="b">
        <f t="shared" si="0"/>
        <v>0</v>
      </c>
      <c r="B37" t="str">
        <f t="shared" si="1"/>
        <v/>
      </c>
      <c r="C37" s="304" t="s">
        <v>1226</v>
      </c>
      <c r="D37" s="303">
        <v>1</v>
      </c>
      <c r="E37" s="302"/>
      <c r="F37" s="301"/>
      <c r="G37" s="288"/>
      <c r="H37" s="300" t="s">
        <v>1226</v>
      </c>
      <c r="I37" s="300" t="s">
        <v>1226</v>
      </c>
      <c r="J37" s="300" t="s">
        <v>1226</v>
      </c>
      <c r="K37" s="299"/>
      <c r="L37" s="298" t="s">
        <v>1226</v>
      </c>
      <c r="M37" s="298" t="s">
        <v>1226</v>
      </c>
      <c r="N37" s="289"/>
      <c r="O37" s="297" t="s">
        <v>1226</v>
      </c>
      <c r="P37" s="297" t="s">
        <v>1226</v>
      </c>
      <c r="Q37" s="296"/>
      <c r="R37" s="295">
        <v>0</v>
      </c>
      <c r="S37" s="294">
        <v>0</v>
      </c>
      <c r="T37" s="294">
        <v>0</v>
      </c>
      <c r="U37" s="294">
        <v>0</v>
      </c>
      <c r="V37" s="294">
        <v>0</v>
      </c>
      <c r="W37" s="294">
        <v>0</v>
      </c>
      <c r="X37" s="294">
        <v>0</v>
      </c>
      <c r="Y37" s="294">
        <v>0</v>
      </c>
      <c r="Z37" s="294">
        <v>0</v>
      </c>
      <c r="AA37" s="294">
        <v>0</v>
      </c>
      <c r="AB37" s="294">
        <v>0</v>
      </c>
      <c r="AC37" s="293">
        <v>0</v>
      </c>
      <c r="AD37" s="266"/>
      <c r="AE37" s="292">
        <f t="shared" si="2"/>
        <v>0</v>
      </c>
      <c r="AG37" s="289"/>
      <c r="AH37" s="291"/>
      <c r="AI37" s="290" t="s">
        <v>1226</v>
      </c>
      <c r="AJ37" s="289"/>
      <c r="AK37" s="288"/>
      <c r="AL37" s="284"/>
      <c r="AM37" s="287"/>
      <c r="AN37" s="286" t="s">
        <v>17</v>
      </c>
      <c r="AO37" s="285"/>
      <c r="AP37" s="284"/>
      <c r="AQ37" s="283" t="str">
        <f t="shared" si="3"/>
        <v/>
      </c>
      <c r="AR37" s="283" t="str">
        <f>IFERROR(VLOOKUP($AQ37,[49]TruckCenterReference!$C$23:$I55,3,FALSE), "")</f>
        <v/>
      </c>
      <c r="AS37" s="278" t="str">
        <f t="shared" si="4"/>
        <v/>
      </c>
      <c r="AT37" s="281"/>
      <c r="AU37" s="280" t="str">
        <f>IFERROR(VLOOKUP($AQ37,[49]TruckCenterReference!$C$23:$I55,4,FALSE), "")</f>
        <v/>
      </c>
      <c r="AV37" s="278" t="str">
        <f t="shared" si="5"/>
        <v/>
      </c>
      <c r="AX37" s="283" t="str">
        <f t="shared" si="6"/>
        <v/>
      </c>
      <c r="AY37" s="282" t="str">
        <f>IFERROR(VLOOKUP($AQ37,[49]TruckCenterReference!$C$23:$I55,6,FALSE), "")</f>
        <v/>
      </c>
      <c r="AZ37" s="278" t="str">
        <f t="shared" si="7"/>
        <v/>
      </c>
      <c r="BA37" s="281"/>
      <c r="BB37" s="280">
        <f>IFERROR(VLOOKUP($AQ37,[49]TruckCenterReference!$C$23:$I55,7,FALSE), 0)</f>
        <v>0</v>
      </c>
      <c r="BC37" s="280">
        <f>IFERROR(VLOOKUP($AQ37,[49]TruckCenterReference!$C$23:$K55,9,FALSE), 0)</f>
        <v>0</v>
      </c>
      <c r="BD37" s="280">
        <f>IFERROR(VLOOKUP($AQ37,[49]TruckCenterReference!$C$23:$K55,8,FALSE), 0)</f>
        <v>0</v>
      </c>
      <c r="BE37" s="279" t="str">
        <f t="shared" si="8"/>
        <v/>
      </c>
      <c r="BF37" s="278" t="str">
        <f t="shared" si="9"/>
        <v/>
      </c>
    </row>
    <row r="38" spans="1:58">
      <c r="A38" t="b">
        <f t="shared" si="0"/>
        <v>0</v>
      </c>
      <c r="B38" t="str">
        <f t="shared" si="1"/>
        <v/>
      </c>
      <c r="C38" s="304" t="s">
        <v>1226</v>
      </c>
      <c r="D38" s="303">
        <v>1</v>
      </c>
      <c r="E38" s="302"/>
      <c r="F38" s="301"/>
      <c r="G38" s="288"/>
      <c r="H38" s="300" t="s">
        <v>1226</v>
      </c>
      <c r="I38" s="300" t="s">
        <v>1226</v>
      </c>
      <c r="J38" s="300" t="s">
        <v>1226</v>
      </c>
      <c r="K38" s="299"/>
      <c r="L38" s="298" t="s">
        <v>1226</v>
      </c>
      <c r="M38" s="298" t="s">
        <v>1226</v>
      </c>
      <c r="N38" s="289"/>
      <c r="O38" s="297" t="s">
        <v>1226</v>
      </c>
      <c r="P38" s="297" t="s">
        <v>1226</v>
      </c>
      <c r="Q38" s="296"/>
      <c r="R38" s="295">
        <v>0</v>
      </c>
      <c r="S38" s="294">
        <v>0</v>
      </c>
      <c r="T38" s="294">
        <v>0</v>
      </c>
      <c r="U38" s="294">
        <v>0</v>
      </c>
      <c r="V38" s="294">
        <v>0</v>
      </c>
      <c r="W38" s="294">
        <v>0</v>
      </c>
      <c r="X38" s="294">
        <v>0</v>
      </c>
      <c r="Y38" s="294">
        <v>0</v>
      </c>
      <c r="Z38" s="294">
        <v>0</v>
      </c>
      <c r="AA38" s="294">
        <v>0</v>
      </c>
      <c r="AB38" s="294">
        <v>0</v>
      </c>
      <c r="AC38" s="293">
        <v>0</v>
      </c>
      <c r="AD38" s="266"/>
      <c r="AE38" s="292">
        <f t="shared" si="2"/>
        <v>0</v>
      </c>
      <c r="AG38" s="289"/>
      <c r="AH38" s="291"/>
      <c r="AI38" s="290" t="s">
        <v>1226</v>
      </c>
      <c r="AJ38" s="289"/>
      <c r="AK38" s="288"/>
      <c r="AL38" s="284"/>
      <c r="AM38" s="287"/>
      <c r="AN38" s="286" t="s">
        <v>17</v>
      </c>
      <c r="AO38" s="285"/>
      <c r="AP38" s="284"/>
      <c r="AQ38" s="283" t="str">
        <f t="shared" si="3"/>
        <v/>
      </c>
      <c r="AR38" s="283" t="str">
        <f>IFERROR(VLOOKUP($AQ38,[49]TruckCenterReference!$C$23:$I56,3,FALSE), "")</f>
        <v/>
      </c>
      <c r="AS38" s="278" t="str">
        <f t="shared" si="4"/>
        <v/>
      </c>
      <c r="AT38" s="281"/>
      <c r="AU38" s="280" t="str">
        <f>IFERROR(VLOOKUP($AQ38,[49]TruckCenterReference!$C$23:$I56,4,FALSE), "")</f>
        <v/>
      </c>
      <c r="AV38" s="278" t="str">
        <f t="shared" si="5"/>
        <v/>
      </c>
      <c r="AX38" s="283" t="str">
        <f t="shared" si="6"/>
        <v/>
      </c>
      <c r="AY38" s="282" t="str">
        <f>IFERROR(VLOOKUP($AQ38,[49]TruckCenterReference!$C$23:$I56,6,FALSE), "")</f>
        <v/>
      </c>
      <c r="AZ38" s="278" t="str">
        <f t="shared" si="7"/>
        <v/>
      </c>
      <c r="BA38" s="281"/>
      <c r="BB38" s="280">
        <f>IFERROR(VLOOKUP($AQ38,[49]TruckCenterReference!$C$23:$I56,7,FALSE), 0)</f>
        <v>0</v>
      </c>
      <c r="BC38" s="280">
        <f>IFERROR(VLOOKUP($AQ38,[49]TruckCenterReference!$C$23:$K56,9,FALSE), 0)</f>
        <v>0</v>
      </c>
      <c r="BD38" s="280">
        <f>IFERROR(VLOOKUP($AQ38,[49]TruckCenterReference!$C$23:$K56,8,FALSE), 0)</f>
        <v>0</v>
      </c>
      <c r="BE38" s="279" t="str">
        <f t="shared" si="8"/>
        <v/>
      </c>
      <c r="BF38" s="278" t="str">
        <f t="shared" si="9"/>
        <v/>
      </c>
    </row>
    <row r="39" spans="1:58">
      <c r="A39" t="b">
        <f t="shared" si="0"/>
        <v>0</v>
      </c>
      <c r="B39" t="str">
        <f t="shared" si="1"/>
        <v/>
      </c>
      <c r="C39" s="304" t="s">
        <v>1226</v>
      </c>
      <c r="D39" s="303">
        <v>1</v>
      </c>
      <c r="E39" s="302"/>
      <c r="F39" s="301"/>
      <c r="G39" s="288"/>
      <c r="H39" s="300" t="s">
        <v>1226</v>
      </c>
      <c r="I39" s="300" t="s">
        <v>1226</v>
      </c>
      <c r="J39" s="300" t="s">
        <v>1226</v>
      </c>
      <c r="K39" s="299"/>
      <c r="L39" s="298" t="s">
        <v>1226</v>
      </c>
      <c r="M39" s="298" t="s">
        <v>1226</v>
      </c>
      <c r="N39" s="289"/>
      <c r="O39" s="297" t="s">
        <v>1226</v>
      </c>
      <c r="P39" s="297" t="s">
        <v>1226</v>
      </c>
      <c r="Q39" s="296"/>
      <c r="R39" s="295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0</v>
      </c>
      <c r="Y39" s="294">
        <v>0</v>
      </c>
      <c r="Z39" s="294">
        <v>0</v>
      </c>
      <c r="AA39" s="294">
        <v>0</v>
      </c>
      <c r="AB39" s="294">
        <v>0</v>
      </c>
      <c r="AC39" s="293">
        <v>0</v>
      </c>
      <c r="AD39" s="266"/>
      <c r="AE39" s="292">
        <f t="shared" si="2"/>
        <v>0</v>
      </c>
      <c r="AG39" s="289"/>
      <c r="AH39" s="291"/>
      <c r="AI39" s="290" t="s">
        <v>1226</v>
      </c>
      <c r="AJ39" s="289"/>
      <c r="AK39" s="288"/>
      <c r="AL39" s="284"/>
      <c r="AM39" s="287"/>
      <c r="AN39" s="286" t="s">
        <v>17</v>
      </c>
      <c r="AO39" s="285"/>
      <c r="AP39" s="284"/>
      <c r="AQ39" s="283" t="str">
        <f t="shared" si="3"/>
        <v/>
      </c>
      <c r="AR39" s="283" t="str">
        <f>IFERROR(VLOOKUP($AQ39,[49]TruckCenterReference!$C$23:$I57,3,FALSE), "")</f>
        <v/>
      </c>
      <c r="AS39" s="278" t="str">
        <f t="shared" si="4"/>
        <v/>
      </c>
      <c r="AT39" s="281"/>
      <c r="AU39" s="280" t="str">
        <f>IFERROR(VLOOKUP($AQ39,[49]TruckCenterReference!$C$23:$I57,4,FALSE), "")</f>
        <v/>
      </c>
      <c r="AV39" s="278" t="str">
        <f t="shared" si="5"/>
        <v/>
      </c>
      <c r="AX39" s="283" t="str">
        <f t="shared" si="6"/>
        <v/>
      </c>
      <c r="AY39" s="282" t="str">
        <f>IFERROR(VLOOKUP($AQ39,[49]TruckCenterReference!$C$23:$I57,6,FALSE), "")</f>
        <v/>
      </c>
      <c r="AZ39" s="278" t="str">
        <f t="shared" si="7"/>
        <v/>
      </c>
      <c r="BA39" s="281"/>
      <c r="BB39" s="280">
        <f>IFERROR(VLOOKUP($AQ39,[49]TruckCenterReference!$C$23:$I57,7,FALSE), 0)</f>
        <v>0</v>
      </c>
      <c r="BC39" s="280">
        <f>IFERROR(VLOOKUP($AQ39,[49]TruckCenterReference!$C$23:$K57,9,FALSE), 0)</f>
        <v>0</v>
      </c>
      <c r="BD39" s="280">
        <f>IFERROR(VLOOKUP($AQ39,[49]TruckCenterReference!$C$23:$K57,8,FALSE), 0)</f>
        <v>0</v>
      </c>
      <c r="BE39" s="279" t="str">
        <f t="shared" si="8"/>
        <v/>
      </c>
      <c r="BF39" s="278" t="str">
        <f t="shared" si="9"/>
        <v/>
      </c>
    </row>
    <row r="40" spans="1:58">
      <c r="A40" t="b">
        <f t="shared" si="0"/>
        <v>0</v>
      </c>
      <c r="B40" t="str">
        <f t="shared" si="1"/>
        <v/>
      </c>
      <c r="C40" s="304" t="s">
        <v>1226</v>
      </c>
      <c r="D40" s="303">
        <v>1</v>
      </c>
      <c r="E40" s="302"/>
      <c r="F40" s="301"/>
      <c r="G40" s="288"/>
      <c r="H40" s="300" t="s">
        <v>1226</v>
      </c>
      <c r="I40" s="300" t="s">
        <v>1226</v>
      </c>
      <c r="J40" s="300" t="s">
        <v>1226</v>
      </c>
      <c r="K40" s="299"/>
      <c r="L40" s="298" t="s">
        <v>1226</v>
      </c>
      <c r="M40" s="298" t="s">
        <v>1226</v>
      </c>
      <c r="N40" s="289"/>
      <c r="O40" s="297" t="s">
        <v>1226</v>
      </c>
      <c r="P40" s="297" t="s">
        <v>1226</v>
      </c>
      <c r="Q40" s="296"/>
      <c r="R40" s="295">
        <v>0</v>
      </c>
      <c r="S40" s="294">
        <v>0</v>
      </c>
      <c r="T40" s="294">
        <v>0</v>
      </c>
      <c r="U40" s="294">
        <v>0</v>
      </c>
      <c r="V40" s="294">
        <v>0</v>
      </c>
      <c r="W40" s="294">
        <v>0</v>
      </c>
      <c r="X40" s="294">
        <v>0</v>
      </c>
      <c r="Y40" s="294">
        <v>0</v>
      </c>
      <c r="Z40" s="294">
        <v>0</v>
      </c>
      <c r="AA40" s="294">
        <v>0</v>
      </c>
      <c r="AB40" s="294">
        <v>0</v>
      </c>
      <c r="AC40" s="293">
        <v>0</v>
      </c>
      <c r="AD40" s="266"/>
      <c r="AE40" s="292">
        <f t="shared" si="2"/>
        <v>0</v>
      </c>
      <c r="AG40" s="289"/>
      <c r="AH40" s="291"/>
      <c r="AI40" s="290" t="s">
        <v>1226</v>
      </c>
      <c r="AJ40" s="289"/>
      <c r="AK40" s="288"/>
      <c r="AL40" s="284"/>
      <c r="AM40" s="287"/>
      <c r="AN40" s="286" t="s">
        <v>17</v>
      </c>
      <c r="AO40" s="285"/>
      <c r="AP40" s="284"/>
      <c r="AQ40" s="283" t="str">
        <f t="shared" si="3"/>
        <v/>
      </c>
      <c r="AR40" s="283" t="str">
        <f>IFERROR(VLOOKUP($AQ40,[49]TruckCenterReference!$C$23:$I58,3,FALSE), "")</f>
        <v/>
      </c>
      <c r="AS40" s="278" t="str">
        <f t="shared" si="4"/>
        <v/>
      </c>
      <c r="AT40" s="281"/>
      <c r="AU40" s="280" t="str">
        <f>IFERROR(VLOOKUP($AQ40,[49]TruckCenterReference!$C$23:$I58,4,FALSE), "")</f>
        <v/>
      </c>
      <c r="AV40" s="278" t="str">
        <f t="shared" si="5"/>
        <v/>
      </c>
      <c r="AX40" s="283" t="str">
        <f t="shared" si="6"/>
        <v/>
      </c>
      <c r="AY40" s="282" t="str">
        <f>IFERROR(VLOOKUP($AQ40,[49]TruckCenterReference!$C$23:$I58,6,FALSE), "")</f>
        <v/>
      </c>
      <c r="AZ40" s="278" t="str">
        <f t="shared" si="7"/>
        <v/>
      </c>
      <c r="BA40" s="281"/>
      <c r="BB40" s="280">
        <f>IFERROR(VLOOKUP($AQ40,[49]TruckCenterReference!$C$23:$I58,7,FALSE), 0)</f>
        <v>0</v>
      </c>
      <c r="BC40" s="280">
        <f>IFERROR(VLOOKUP($AQ40,[49]TruckCenterReference!$C$23:$K58,9,FALSE), 0)</f>
        <v>0</v>
      </c>
      <c r="BD40" s="280">
        <f>IFERROR(VLOOKUP($AQ40,[49]TruckCenterReference!$C$23:$K58,8,FALSE), 0)</f>
        <v>0</v>
      </c>
      <c r="BE40" s="279" t="str">
        <f t="shared" si="8"/>
        <v/>
      </c>
      <c r="BF40" s="278" t="str">
        <f t="shared" si="9"/>
        <v/>
      </c>
    </row>
    <row r="41" spans="1:58">
      <c r="A41" t="b">
        <f t="shared" si="0"/>
        <v>0</v>
      </c>
      <c r="B41" t="str">
        <f t="shared" si="1"/>
        <v/>
      </c>
      <c r="C41" s="304" t="s">
        <v>1226</v>
      </c>
      <c r="D41" s="303">
        <v>1</v>
      </c>
      <c r="E41" s="302"/>
      <c r="F41" s="301"/>
      <c r="G41" s="288"/>
      <c r="H41" s="300" t="s">
        <v>1226</v>
      </c>
      <c r="I41" s="300" t="s">
        <v>1226</v>
      </c>
      <c r="J41" s="300" t="s">
        <v>1226</v>
      </c>
      <c r="K41" s="299"/>
      <c r="L41" s="298" t="s">
        <v>1226</v>
      </c>
      <c r="M41" s="298" t="s">
        <v>1226</v>
      </c>
      <c r="N41" s="289"/>
      <c r="O41" s="297" t="s">
        <v>1226</v>
      </c>
      <c r="P41" s="297" t="s">
        <v>1226</v>
      </c>
      <c r="Q41" s="296"/>
      <c r="R41" s="295">
        <v>0</v>
      </c>
      <c r="S41" s="294">
        <v>0</v>
      </c>
      <c r="T41" s="294">
        <v>0</v>
      </c>
      <c r="U41" s="294">
        <v>0</v>
      </c>
      <c r="V41" s="294">
        <v>0</v>
      </c>
      <c r="W41" s="294">
        <v>0</v>
      </c>
      <c r="X41" s="294">
        <v>0</v>
      </c>
      <c r="Y41" s="294">
        <v>0</v>
      </c>
      <c r="Z41" s="294">
        <v>0</v>
      </c>
      <c r="AA41" s="294">
        <v>0</v>
      </c>
      <c r="AB41" s="294">
        <v>0</v>
      </c>
      <c r="AC41" s="293">
        <v>0</v>
      </c>
      <c r="AD41" s="266"/>
      <c r="AE41" s="292">
        <f t="shared" si="2"/>
        <v>0</v>
      </c>
      <c r="AG41" s="289"/>
      <c r="AH41" s="291"/>
      <c r="AI41" s="290" t="s">
        <v>1226</v>
      </c>
      <c r="AJ41" s="289"/>
      <c r="AK41" s="288"/>
      <c r="AL41" s="284"/>
      <c r="AM41" s="287"/>
      <c r="AN41" s="286" t="s">
        <v>17</v>
      </c>
      <c r="AO41" s="285"/>
      <c r="AP41" s="284"/>
      <c r="AQ41" s="283" t="str">
        <f t="shared" si="3"/>
        <v/>
      </c>
      <c r="AR41" s="283" t="str">
        <f>IFERROR(VLOOKUP($AQ41,[49]TruckCenterReference!$C$23:$I59,3,FALSE), "")</f>
        <v/>
      </c>
      <c r="AS41" s="278" t="str">
        <f t="shared" si="4"/>
        <v/>
      </c>
      <c r="AT41" s="281"/>
      <c r="AU41" s="280" t="str">
        <f>IFERROR(VLOOKUP($AQ41,[49]TruckCenterReference!$C$23:$I59,4,FALSE), "")</f>
        <v/>
      </c>
      <c r="AV41" s="278" t="str">
        <f t="shared" si="5"/>
        <v/>
      </c>
      <c r="AX41" s="283" t="str">
        <f t="shared" si="6"/>
        <v/>
      </c>
      <c r="AY41" s="282" t="str">
        <f>IFERROR(VLOOKUP($AQ41,[49]TruckCenterReference!$C$23:$I59,6,FALSE), "")</f>
        <v/>
      </c>
      <c r="AZ41" s="278" t="str">
        <f t="shared" si="7"/>
        <v/>
      </c>
      <c r="BA41" s="281"/>
      <c r="BB41" s="280">
        <f>IFERROR(VLOOKUP($AQ41,[49]TruckCenterReference!$C$23:$I59,7,FALSE), 0)</f>
        <v>0</v>
      </c>
      <c r="BC41" s="280">
        <f>IFERROR(VLOOKUP($AQ41,[49]TruckCenterReference!$C$23:$K59,9,FALSE), 0)</f>
        <v>0</v>
      </c>
      <c r="BD41" s="280">
        <f>IFERROR(VLOOKUP($AQ41,[49]TruckCenterReference!$C$23:$K59,8,FALSE), 0)</f>
        <v>0</v>
      </c>
      <c r="BE41" s="279" t="str">
        <f t="shared" si="8"/>
        <v/>
      </c>
      <c r="BF41" s="278" t="str">
        <f t="shared" si="9"/>
        <v/>
      </c>
    </row>
    <row r="42" spans="1:58">
      <c r="A42" t="b">
        <f t="shared" si="0"/>
        <v>0</v>
      </c>
      <c r="B42" t="str">
        <f t="shared" si="1"/>
        <v/>
      </c>
      <c r="C42" s="304" t="s">
        <v>1226</v>
      </c>
      <c r="D42" s="303">
        <v>1</v>
      </c>
      <c r="E42" s="302"/>
      <c r="F42" s="301"/>
      <c r="G42" s="288"/>
      <c r="H42" s="300" t="s">
        <v>1226</v>
      </c>
      <c r="I42" s="300" t="s">
        <v>1226</v>
      </c>
      <c r="J42" s="300" t="s">
        <v>1226</v>
      </c>
      <c r="K42" s="299"/>
      <c r="L42" s="298" t="s">
        <v>1226</v>
      </c>
      <c r="M42" s="298" t="s">
        <v>1226</v>
      </c>
      <c r="N42" s="289"/>
      <c r="O42" s="297" t="s">
        <v>1226</v>
      </c>
      <c r="P42" s="297" t="s">
        <v>1226</v>
      </c>
      <c r="Q42" s="296"/>
      <c r="R42" s="295">
        <v>0</v>
      </c>
      <c r="S42" s="294">
        <v>0</v>
      </c>
      <c r="T42" s="294">
        <v>0</v>
      </c>
      <c r="U42" s="294">
        <v>0</v>
      </c>
      <c r="V42" s="294">
        <v>0</v>
      </c>
      <c r="W42" s="294">
        <v>0</v>
      </c>
      <c r="X42" s="294">
        <v>0</v>
      </c>
      <c r="Y42" s="294">
        <v>0</v>
      </c>
      <c r="Z42" s="294">
        <v>0</v>
      </c>
      <c r="AA42" s="294">
        <v>0</v>
      </c>
      <c r="AB42" s="294">
        <v>0</v>
      </c>
      <c r="AC42" s="293">
        <v>0</v>
      </c>
      <c r="AD42" s="266"/>
      <c r="AE42" s="292">
        <f t="shared" si="2"/>
        <v>0</v>
      </c>
      <c r="AG42" s="289"/>
      <c r="AH42" s="291"/>
      <c r="AI42" s="290" t="s">
        <v>1226</v>
      </c>
      <c r="AJ42" s="289"/>
      <c r="AK42" s="288"/>
      <c r="AL42" s="284"/>
      <c r="AM42" s="287"/>
      <c r="AN42" s="286" t="s">
        <v>17</v>
      </c>
      <c r="AO42" s="285"/>
      <c r="AP42" s="284"/>
      <c r="AQ42" s="283" t="str">
        <f t="shared" si="3"/>
        <v/>
      </c>
      <c r="AR42" s="283" t="str">
        <f>IFERROR(VLOOKUP($AQ42,[49]TruckCenterReference!$C$23:$I60,3,FALSE), "")</f>
        <v/>
      </c>
      <c r="AS42" s="278" t="str">
        <f t="shared" si="4"/>
        <v/>
      </c>
      <c r="AT42" s="281"/>
      <c r="AU42" s="280" t="str">
        <f>IFERROR(VLOOKUP($AQ42,[49]TruckCenterReference!$C$23:$I60,4,FALSE), "")</f>
        <v/>
      </c>
      <c r="AV42" s="278" t="str">
        <f t="shared" si="5"/>
        <v/>
      </c>
      <c r="AX42" s="283" t="str">
        <f t="shared" si="6"/>
        <v/>
      </c>
      <c r="AY42" s="282" t="str">
        <f>IFERROR(VLOOKUP($AQ42,[49]TruckCenterReference!$C$23:$I60,6,FALSE), "")</f>
        <v/>
      </c>
      <c r="AZ42" s="278" t="str">
        <f t="shared" si="7"/>
        <v/>
      </c>
      <c r="BA42" s="281"/>
      <c r="BB42" s="280">
        <f>IFERROR(VLOOKUP($AQ42,[49]TruckCenterReference!$C$23:$I60,7,FALSE), 0)</f>
        <v>0</v>
      </c>
      <c r="BC42" s="280">
        <f>IFERROR(VLOOKUP($AQ42,[49]TruckCenterReference!$C$23:$K60,9,FALSE), 0)</f>
        <v>0</v>
      </c>
      <c r="BD42" s="280">
        <f>IFERROR(VLOOKUP($AQ42,[49]TruckCenterReference!$C$23:$K60,8,FALSE), 0)</f>
        <v>0</v>
      </c>
      <c r="BE42" s="279" t="str">
        <f t="shared" si="8"/>
        <v/>
      </c>
      <c r="BF42" s="278" t="str">
        <f t="shared" si="9"/>
        <v/>
      </c>
    </row>
    <row r="43" spans="1:58">
      <c r="A43" t="b">
        <f t="shared" si="0"/>
        <v>0</v>
      </c>
      <c r="B43" t="str">
        <f t="shared" si="1"/>
        <v/>
      </c>
      <c r="C43" s="304" t="s">
        <v>1226</v>
      </c>
      <c r="D43" s="303">
        <v>1</v>
      </c>
      <c r="E43" s="302"/>
      <c r="F43" s="301"/>
      <c r="G43" s="288"/>
      <c r="H43" s="300" t="s">
        <v>1226</v>
      </c>
      <c r="I43" s="300" t="s">
        <v>1226</v>
      </c>
      <c r="J43" s="300" t="s">
        <v>1226</v>
      </c>
      <c r="K43" s="299"/>
      <c r="L43" s="298" t="s">
        <v>1226</v>
      </c>
      <c r="M43" s="298" t="s">
        <v>1226</v>
      </c>
      <c r="N43" s="289"/>
      <c r="O43" s="297" t="s">
        <v>1226</v>
      </c>
      <c r="P43" s="297" t="s">
        <v>1226</v>
      </c>
      <c r="Q43" s="296"/>
      <c r="R43" s="295">
        <v>0</v>
      </c>
      <c r="S43" s="294">
        <v>0</v>
      </c>
      <c r="T43" s="294">
        <v>0</v>
      </c>
      <c r="U43" s="294">
        <v>0</v>
      </c>
      <c r="V43" s="294">
        <v>0</v>
      </c>
      <c r="W43" s="294">
        <v>0</v>
      </c>
      <c r="X43" s="294">
        <v>0</v>
      </c>
      <c r="Y43" s="294">
        <v>0</v>
      </c>
      <c r="Z43" s="294">
        <v>0</v>
      </c>
      <c r="AA43" s="294">
        <v>0</v>
      </c>
      <c r="AB43" s="294">
        <v>0</v>
      </c>
      <c r="AC43" s="293">
        <v>0</v>
      </c>
      <c r="AD43" s="266"/>
      <c r="AE43" s="292">
        <f t="shared" si="2"/>
        <v>0</v>
      </c>
      <c r="AG43" s="289"/>
      <c r="AH43" s="291"/>
      <c r="AI43" s="290" t="s">
        <v>1226</v>
      </c>
      <c r="AJ43" s="289"/>
      <c r="AK43" s="288"/>
      <c r="AL43" s="284"/>
      <c r="AM43" s="287"/>
      <c r="AN43" s="286" t="s">
        <v>17</v>
      </c>
      <c r="AO43" s="285"/>
      <c r="AP43" s="284"/>
      <c r="AQ43" s="283" t="str">
        <f t="shared" si="3"/>
        <v/>
      </c>
      <c r="AR43" s="283" t="str">
        <f>IFERROR(VLOOKUP($AQ43,[49]TruckCenterReference!$C$23:$I61,3,FALSE), "")</f>
        <v/>
      </c>
      <c r="AS43" s="278" t="str">
        <f t="shared" si="4"/>
        <v/>
      </c>
      <c r="AT43" s="281"/>
      <c r="AU43" s="280" t="str">
        <f>IFERROR(VLOOKUP($AQ43,[49]TruckCenterReference!$C$23:$I61,4,FALSE), "")</f>
        <v/>
      </c>
      <c r="AV43" s="278" t="str">
        <f t="shared" si="5"/>
        <v/>
      </c>
      <c r="AX43" s="283" t="str">
        <f t="shared" si="6"/>
        <v/>
      </c>
      <c r="AY43" s="282" t="str">
        <f>IFERROR(VLOOKUP($AQ43,[49]TruckCenterReference!$C$23:$I61,6,FALSE), "")</f>
        <v/>
      </c>
      <c r="AZ43" s="278" t="str">
        <f t="shared" si="7"/>
        <v/>
      </c>
      <c r="BA43" s="281"/>
      <c r="BB43" s="280">
        <f>IFERROR(VLOOKUP($AQ43,[49]TruckCenterReference!$C$23:$I61,7,FALSE), 0)</f>
        <v>0</v>
      </c>
      <c r="BC43" s="280">
        <f>IFERROR(VLOOKUP($AQ43,[49]TruckCenterReference!$C$23:$K61,9,FALSE), 0)</f>
        <v>0</v>
      </c>
      <c r="BD43" s="280">
        <f>IFERROR(VLOOKUP($AQ43,[49]TruckCenterReference!$C$23:$K61,8,FALSE), 0)</f>
        <v>0</v>
      </c>
      <c r="BE43" s="279" t="str">
        <f t="shared" si="8"/>
        <v/>
      </c>
      <c r="BF43" s="278" t="str">
        <f t="shared" si="9"/>
        <v/>
      </c>
    </row>
    <row r="44" spans="1:58">
      <c r="A44" t="b">
        <f t="shared" si="0"/>
        <v>0</v>
      </c>
      <c r="B44" t="str">
        <f t="shared" si="1"/>
        <v/>
      </c>
      <c r="C44" s="304" t="s">
        <v>1226</v>
      </c>
      <c r="D44" s="303">
        <v>1</v>
      </c>
      <c r="E44" s="302"/>
      <c r="F44" s="301"/>
      <c r="G44" s="288"/>
      <c r="H44" s="300" t="s">
        <v>1226</v>
      </c>
      <c r="I44" s="300" t="s">
        <v>1226</v>
      </c>
      <c r="J44" s="300" t="s">
        <v>1226</v>
      </c>
      <c r="K44" s="299"/>
      <c r="L44" s="298" t="s">
        <v>1226</v>
      </c>
      <c r="M44" s="298" t="s">
        <v>1226</v>
      </c>
      <c r="N44" s="289"/>
      <c r="O44" s="297" t="s">
        <v>1226</v>
      </c>
      <c r="P44" s="297" t="s">
        <v>1226</v>
      </c>
      <c r="Q44" s="296"/>
      <c r="R44" s="295">
        <v>0</v>
      </c>
      <c r="S44" s="294">
        <v>0</v>
      </c>
      <c r="T44" s="294">
        <v>0</v>
      </c>
      <c r="U44" s="294">
        <v>0</v>
      </c>
      <c r="V44" s="294">
        <v>0</v>
      </c>
      <c r="W44" s="294">
        <v>0</v>
      </c>
      <c r="X44" s="294">
        <v>0</v>
      </c>
      <c r="Y44" s="294">
        <v>0</v>
      </c>
      <c r="Z44" s="294">
        <v>0</v>
      </c>
      <c r="AA44" s="294">
        <v>0</v>
      </c>
      <c r="AB44" s="294">
        <v>0</v>
      </c>
      <c r="AC44" s="293">
        <v>0</v>
      </c>
      <c r="AD44" s="266"/>
      <c r="AE44" s="292">
        <f t="shared" si="2"/>
        <v>0</v>
      </c>
      <c r="AG44" s="289"/>
      <c r="AH44" s="291"/>
      <c r="AI44" s="290" t="s">
        <v>1226</v>
      </c>
      <c r="AJ44" s="289"/>
      <c r="AK44" s="288"/>
      <c r="AL44" s="284"/>
      <c r="AM44" s="287"/>
      <c r="AN44" s="286" t="s">
        <v>17</v>
      </c>
      <c r="AO44" s="285"/>
      <c r="AP44" s="284"/>
      <c r="AQ44" s="283" t="str">
        <f t="shared" si="3"/>
        <v/>
      </c>
      <c r="AR44" s="283" t="str">
        <f>IFERROR(VLOOKUP($AQ44,[49]TruckCenterReference!$C$23:$I62,3,FALSE), "")</f>
        <v/>
      </c>
      <c r="AS44" s="278" t="str">
        <f t="shared" si="4"/>
        <v/>
      </c>
      <c r="AT44" s="281"/>
      <c r="AU44" s="280" t="str">
        <f>IFERROR(VLOOKUP($AQ44,[49]TruckCenterReference!$C$23:$I62,4,FALSE), "")</f>
        <v/>
      </c>
      <c r="AV44" s="278" t="str">
        <f t="shared" si="5"/>
        <v/>
      </c>
      <c r="AX44" s="283" t="str">
        <f t="shared" si="6"/>
        <v/>
      </c>
      <c r="AY44" s="282" t="str">
        <f>IFERROR(VLOOKUP($AQ44,[49]TruckCenterReference!$C$23:$I62,6,FALSE), "")</f>
        <v/>
      </c>
      <c r="AZ44" s="278" t="str">
        <f t="shared" si="7"/>
        <v/>
      </c>
      <c r="BA44" s="281"/>
      <c r="BB44" s="280">
        <f>IFERROR(VLOOKUP($AQ44,[49]TruckCenterReference!$C$23:$I62,7,FALSE), 0)</f>
        <v>0</v>
      </c>
      <c r="BC44" s="280">
        <f>IFERROR(VLOOKUP($AQ44,[49]TruckCenterReference!$C$23:$K62,9,FALSE), 0)</f>
        <v>0</v>
      </c>
      <c r="BD44" s="280">
        <f>IFERROR(VLOOKUP($AQ44,[49]TruckCenterReference!$C$23:$K62,8,FALSE), 0)</f>
        <v>0</v>
      </c>
      <c r="BE44" s="279" t="str">
        <f t="shared" si="8"/>
        <v/>
      </c>
      <c r="BF44" s="278" t="str">
        <f t="shared" si="9"/>
        <v/>
      </c>
    </row>
    <row r="45" spans="1:58">
      <c r="A45" t="b">
        <f t="shared" si="0"/>
        <v>0</v>
      </c>
      <c r="B45" t="str">
        <f t="shared" si="1"/>
        <v/>
      </c>
      <c r="C45" s="304" t="s">
        <v>1226</v>
      </c>
      <c r="D45" s="303">
        <v>1</v>
      </c>
      <c r="E45" s="302"/>
      <c r="F45" s="301"/>
      <c r="G45" s="288"/>
      <c r="H45" s="300" t="s">
        <v>1226</v>
      </c>
      <c r="I45" s="300" t="s">
        <v>1226</v>
      </c>
      <c r="J45" s="300" t="s">
        <v>1226</v>
      </c>
      <c r="K45" s="299"/>
      <c r="L45" s="298" t="s">
        <v>1226</v>
      </c>
      <c r="M45" s="298" t="s">
        <v>1226</v>
      </c>
      <c r="N45" s="289"/>
      <c r="O45" s="297" t="s">
        <v>1226</v>
      </c>
      <c r="P45" s="297" t="s">
        <v>1226</v>
      </c>
      <c r="Q45" s="296"/>
      <c r="R45" s="295">
        <v>0</v>
      </c>
      <c r="S45" s="294">
        <v>0</v>
      </c>
      <c r="T45" s="294">
        <v>0</v>
      </c>
      <c r="U45" s="294">
        <v>0</v>
      </c>
      <c r="V45" s="294">
        <v>0</v>
      </c>
      <c r="W45" s="294">
        <v>0</v>
      </c>
      <c r="X45" s="294">
        <v>0</v>
      </c>
      <c r="Y45" s="294">
        <v>0</v>
      </c>
      <c r="Z45" s="294">
        <v>0</v>
      </c>
      <c r="AA45" s="294">
        <v>0</v>
      </c>
      <c r="AB45" s="294">
        <v>0</v>
      </c>
      <c r="AC45" s="293">
        <v>0</v>
      </c>
      <c r="AD45" s="266"/>
      <c r="AE45" s="292">
        <f t="shared" si="2"/>
        <v>0</v>
      </c>
      <c r="AG45" s="289"/>
      <c r="AH45" s="291"/>
      <c r="AI45" s="290" t="s">
        <v>1226</v>
      </c>
      <c r="AJ45" s="289"/>
      <c r="AK45" s="288"/>
      <c r="AL45" s="284"/>
      <c r="AM45" s="287"/>
      <c r="AN45" s="286" t="s">
        <v>17</v>
      </c>
      <c r="AO45" s="285"/>
      <c r="AP45" s="284"/>
      <c r="AQ45" s="283" t="str">
        <f t="shared" si="3"/>
        <v/>
      </c>
      <c r="AR45" s="283" t="str">
        <f>IFERROR(VLOOKUP($AQ45,[49]TruckCenterReference!$C$23:$I63,3,FALSE), "")</f>
        <v/>
      </c>
      <c r="AS45" s="278" t="str">
        <f t="shared" si="4"/>
        <v/>
      </c>
      <c r="AT45" s="281"/>
      <c r="AU45" s="280" t="str">
        <f>IFERROR(VLOOKUP($AQ45,[49]TruckCenterReference!$C$23:$I63,4,FALSE), "")</f>
        <v/>
      </c>
      <c r="AV45" s="278" t="str">
        <f t="shared" si="5"/>
        <v/>
      </c>
      <c r="AX45" s="283" t="str">
        <f t="shared" si="6"/>
        <v/>
      </c>
      <c r="AY45" s="282" t="str">
        <f>IFERROR(VLOOKUP($AQ45,[49]TruckCenterReference!$C$23:$I63,6,FALSE), "")</f>
        <v/>
      </c>
      <c r="AZ45" s="278" t="str">
        <f t="shared" si="7"/>
        <v/>
      </c>
      <c r="BA45" s="281"/>
      <c r="BB45" s="280">
        <f>IFERROR(VLOOKUP($AQ45,[49]TruckCenterReference!$C$23:$I63,7,FALSE), 0)</f>
        <v>0</v>
      </c>
      <c r="BC45" s="280">
        <f>IFERROR(VLOOKUP($AQ45,[49]TruckCenterReference!$C$23:$K63,9,FALSE), 0)</f>
        <v>0</v>
      </c>
      <c r="BD45" s="280">
        <f>IFERROR(VLOOKUP($AQ45,[49]TruckCenterReference!$C$23:$K63,8,FALSE), 0)</f>
        <v>0</v>
      </c>
      <c r="BE45" s="279" t="str">
        <f t="shared" si="8"/>
        <v/>
      </c>
      <c r="BF45" s="278" t="str">
        <f t="shared" si="9"/>
        <v/>
      </c>
    </row>
    <row r="46" spans="1:58">
      <c r="A46" t="b">
        <f t="shared" si="0"/>
        <v>0</v>
      </c>
      <c r="B46" t="str">
        <f t="shared" si="1"/>
        <v/>
      </c>
      <c r="C46" s="304" t="s">
        <v>1226</v>
      </c>
      <c r="D46" s="303">
        <v>1</v>
      </c>
      <c r="E46" s="302"/>
      <c r="F46" s="301"/>
      <c r="G46" s="288"/>
      <c r="H46" s="300" t="s">
        <v>1226</v>
      </c>
      <c r="I46" s="300" t="s">
        <v>1226</v>
      </c>
      <c r="J46" s="300" t="s">
        <v>1226</v>
      </c>
      <c r="K46" s="299"/>
      <c r="L46" s="298" t="s">
        <v>1226</v>
      </c>
      <c r="M46" s="298" t="s">
        <v>1226</v>
      </c>
      <c r="N46" s="289"/>
      <c r="O46" s="297" t="s">
        <v>1226</v>
      </c>
      <c r="P46" s="297" t="s">
        <v>1226</v>
      </c>
      <c r="Q46" s="296"/>
      <c r="R46" s="295">
        <v>0</v>
      </c>
      <c r="S46" s="294">
        <v>0</v>
      </c>
      <c r="T46" s="294">
        <v>0</v>
      </c>
      <c r="U46" s="294">
        <v>0</v>
      </c>
      <c r="V46" s="294">
        <v>0</v>
      </c>
      <c r="W46" s="294">
        <v>0</v>
      </c>
      <c r="X46" s="294">
        <v>0</v>
      </c>
      <c r="Y46" s="294">
        <v>0</v>
      </c>
      <c r="Z46" s="294">
        <v>0</v>
      </c>
      <c r="AA46" s="294">
        <v>0</v>
      </c>
      <c r="AB46" s="294">
        <v>0</v>
      </c>
      <c r="AC46" s="293">
        <v>0</v>
      </c>
      <c r="AD46" s="266"/>
      <c r="AE46" s="292">
        <f t="shared" si="2"/>
        <v>0</v>
      </c>
      <c r="AG46" s="289"/>
      <c r="AH46" s="291"/>
      <c r="AI46" s="290" t="s">
        <v>1226</v>
      </c>
      <c r="AJ46" s="289"/>
      <c r="AK46" s="288"/>
      <c r="AL46" s="284"/>
      <c r="AM46" s="287"/>
      <c r="AN46" s="286" t="s">
        <v>17</v>
      </c>
      <c r="AO46" s="285"/>
      <c r="AP46" s="284"/>
      <c r="AQ46" s="283" t="str">
        <f t="shared" si="3"/>
        <v/>
      </c>
      <c r="AR46" s="283" t="str">
        <f>IFERROR(VLOOKUP($AQ46,[49]TruckCenterReference!$C$23:$I64,3,FALSE), "")</f>
        <v/>
      </c>
      <c r="AS46" s="278" t="str">
        <f t="shared" si="4"/>
        <v/>
      </c>
      <c r="AT46" s="281"/>
      <c r="AU46" s="280" t="str">
        <f>IFERROR(VLOOKUP($AQ46,[49]TruckCenterReference!$C$23:$I64,4,FALSE), "")</f>
        <v/>
      </c>
      <c r="AV46" s="278" t="str">
        <f t="shared" si="5"/>
        <v/>
      </c>
      <c r="AX46" s="283" t="str">
        <f t="shared" si="6"/>
        <v/>
      </c>
      <c r="AY46" s="282" t="str">
        <f>IFERROR(VLOOKUP($AQ46,[49]TruckCenterReference!$C$23:$I64,6,FALSE), "")</f>
        <v/>
      </c>
      <c r="AZ46" s="278" t="str">
        <f t="shared" si="7"/>
        <v/>
      </c>
      <c r="BA46" s="281"/>
      <c r="BB46" s="280">
        <f>IFERROR(VLOOKUP($AQ46,[49]TruckCenterReference!$C$23:$I64,7,FALSE), 0)</f>
        <v>0</v>
      </c>
      <c r="BC46" s="280">
        <f>IFERROR(VLOOKUP($AQ46,[49]TruckCenterReference!$C$23:$K64,9,FALSE), 0)</f>
        <v>0</v>
      </c>
      <c r="BD46" s="280">
        <f>IFERROR(VLOOKUP($AQ46,[49]TruckCenterReference!$C$23:$K64,8,FALSE), 0)</f>
        <v>0</v>
      </c>
      <c r="BE46" s="279" t="str">
        <f t="shared" si="8"/>
        <v/>
      </c>
      <c r="BF46" s="278" t="str">
        <f t="shared" si="9"/>
        <v/>
      </c>
    </row>
    <row r="47" spans="1:58">
      <c r="A47" t="b">
        <f t="shared" si="0"/>
        <v>0</v>
      </c>
      <c r="B47" t="str">
        <f t="shared" si="1"/>
        <v/>
      </c>
      <c r="C47" s="304" t="s">
        <v>1226</v>
      </c>
      <c r="D47" s="303">
        <v>1</v>
      </c>
      <c r="E47" s="302"/>
      <c r="F47" s="301"/>
      <c r="G47" s="288"/>
      <c r="H47" s="300" t="s">
        <v>1226</v>
      </c>
      <c r="I47" s="300" t="s">
        <v>1226</v>
      </c>
      <c r="J47" s="300" t="s">
        <v>1226</v>
      </c>
      <c r="K47" s="299"/>
      <c r="L47" s="298" t="s">
        <v>1226</v>
      </c>
      <c r="M47" s="298" t="s">
        <v>1226</v>
      </c>
      <c r="N47" s="289"/>
      <c r="O47" s="297" t="s">
        <v>1226</v>
      </c>
      <c r="P47" s="297" t="s">
        <v>1226</v>
      </c>
      <c r="Q47" s="296"/>
      <c r="R47" s="295">
        <v>0</v>
      </c>
      <c r="S47" s="294">
        <v>0</v>
      </c>
      <c r="T47" s="294">
        <v>0</v>
      </c>
      <c r="U47" s="294">
        <v>0</v>
      </c>
      <c r="V47" s="294">
        <v>0</v>
      </c>
      <c r="W47" s="294">
        <v>0</v>
      </c>
      <c r="X47" s="294">
        <v>0</v>
      </c>
      <c r="Y47" s="294">
        <v>0</v>
      </c>
      <c r="Z47" s="294">
        <v>0</v>
      </c>
      <c r="AA47" s="294">
        <v>0</v>
      </c>
      <c r="AB47" s="294">
        <v>0</v>
      </c>
      <c r="AC47" s="293">
        <v>0</v>
      </c>
      <c r="AD47" s="266"/>
      <c r="AE47" s="292">
        <f t="shared" si="2"/>
        <v>0</v>
      </c>
      <c r="AG47" s="289"/>
      <c r="AH47" s="291"/>
      <c r="AI47" s="290" t="s">
        <v>1226</v>
      </c>
      <c r="AJ47" s="289"/>
      <c r="AK47" s="288"/>
      <c r="AL47" s="284"/>
      <c r="AM47" s="287"/>
      <c r="AN47" s="286" t="s">
        <v>17</v>
      </c>
      <c r="AO47" s="285"/>
      <c r="AP47" s="284"/>
      <c r="AQ47" s="283" t="str">
        <f t="shared" si="3"/>
        <v/>
      </c>
      <c r="AR47" s="283" t="str">
        <f>IFERROR(VLOOKUP($AQ47,[49]TruckCenterReference!$C$23:$I65,3,FALSE), "")</f>
        <v/>
      </c>
      <c r="AS47" s="278" t="str">
        <f t="shared" si="4"/>
        <v/>
      </c>
      <c r="AT47" s="281"/>
      <c r="AU47" s="280" t="str">
        <f>IFERROR(VLOOKUP($AQ47,[49]TruckCenterReference!$C$23:$I65,4,FALSE), "")</f>
        <v/>
      </c>
      <c r="AV47" s="278" t="str">
        <f t="shared" si="5"/>
        <v/>
      </c>
      <c r="AX47" s="283" t="str">
        <f t="shared" si="6"/>
        <v/>
      </c>
      <c r="AY47" s="282" t="str">
        <f>IFERROR(VLOOKUP($AQ47,[49]TruckCenterReference!$C$23:$I65,6,FALSE), "")</f>
        <v/>
      </c>
      <c r="AZ47" s="278" t="str">
        <f t="shared" si="7"/>
        <v/>
      </c>
      <c r="BA47" s="281"/>
      <c r="BB47" s="280">
        <f>IFERROR(VLOOKUP($AQ47,[49]TruckCenterReference!$C$23:$I65,7,FALSE), 0)</f>
        <v>0</v>
      </c>
      <c r="BC47" s="280">
        <f>IFERROR(VLOOKUP($AQ47,[49]TruckCenterReference!$C$23:$K65,9,FALSE), 0)</f>
        <v>0</v>
      </c>
      <c r="BD47" s="280">
        <f>IFERROR(VLOOKUP($AQ47,[49]TruckCenterReference!$C$23:$K65,8,FALSE), 0)</f>
        <v>0</v>
      </c>
      <c r="BE47" s="279" t="str">
        <f t="shared" si="8"/>
        <v/>
      </c>
      <c r="BF47" s="278" t="str">
        <f t="shared" si="9"/>
        <v/>
      </c>
    </row>
    <row r="48" spans="1:58">
      <c r="A48" t="b">
        <f t="shared" si="0"/>
        <v>0</v>
      </c>
      <c r="B48" t="str">
        <f t="shared" si="1"/>
        <v/>
      </c>
      <c r="C48" s="304" t="s">
        <v>1226</v>
      </c>
      <c r="D48" s="303">
        <v>1</v>
      </c>
      <c r="E48" s="302"/>
      <c r="F48" s="301"/>
      <c r="G48" s="288"/>
      <c r="H48" s="300" t="s">
        <v>1226</v>
      </c>
      <c r="I48" s="300" t="s">
        <v>1226</v>
      </c>
      <c r="J48" s="300" t="s">
        <v>1226</v>
      </c>
      <c r="K48" s="299"/>
      <c r="L48" s="298" t="s">
        <v>1226</v>
      </c>
      <c r="M48" s="298" t="s">
        <v>1226</v>
      </c>
      <c r="N48" s="289"/>
      <c r="O48" s="297" t="s">
        <v>1226</v>
      </c>
      <c r="P48" s="297" t="s">
        <v>1226</v>
      </c>
      <c r="Q48" s="296"/>
      <c r="R48" s="295">
        <v>0</v>
      </c>
      <c r="S48" s="294">
        <v>0</v>
      </c>
      <c r="T48" s="294">
        <v>0</v>
      </c>
      <c r="U48" s="294">
        <v>0</v>
      </c>
      <c r="V48" s="294">
        <v>0</v>
      </c>
      <c r="W48" s="294">
        <v>0</v>
      </c>
      <c r="X48" s="294">
        <v>0</v>
      </c>
      <c r="Y48" s="294">
        <v>0</v>
      </c>
      <c r="Z48" s="294">
        <v>0</v>
      </c>
      <c r="AA48" s="294">
        <v>0</v>
      </c>
      <c r="AB48" s="294">
        <v>0</v>
      </c>
      <c r="AC48" s="293">
        <v>0</v>
      </c>
      <c r="AD48" s="266"/>
      <c r="AE48" s="292">
        <f t="shared" si="2"/>
        <v>0</v>
      </c>
      <c r="AG48" s="289"/>
      <c r="AH48" s="291"/>
      <c r="AI48" s="290" t="s">
        <v>1226</v>
      </c>
      <c r="AJ48" s="289"/>
      <c r="AK48" s="288"/>
      <c r="AL48" s="284"/>
      <c r="AM48" s="287"/>
      <c r="AN48" s="286" t="s">
        <v>17</v>
      </c>
      <c r="AO48" s="285"/>
      <c r="AP48" s="284"/>
      <c r="AQ48" s="283" t="str">
        <f t="shared" si="3"/>
        <v/>
      </c>
      <c r="AR48" s="283" t="str">
        <f>IFERROR(VLOOKUP($AQ48,[49]TruckCenterReference!$C$23:$I66,3,FALSE), "")</f>
        <v/>
      </c>
      <c r="AS48" s="278" t="str">
        <f t="shared" si="4"/>
        <v/>
      </c>
      <c r="AT48" s="281"/>
      <c r="AU48" s="280" t="str">
        <f>IFERROR(VLOOKUP($AQ48,[49]TruckCenterReference!$C$23:$I66,4,FALSE), "")</f>
        <v/>
      </c>
      <c r="AV48" s="278" t="str">
        <f t="shared" si="5"/>
        <v/>
      </c>
      <c r="AX48" s="283" t="str">
        <f t="shared" si="6"/>
        <v/>
      </c>
      <c r="AY48" s="282" t="str">
        <f>IFERROR(VLOOKUP($AQ48,[49]TruckCenterReference!$C$23:$I66,6,FALSE), "")</f>
        <v/>
      </c>
      <c r="AZ48" s="278" t="str">
        <f t="shared" si="7"/>
        <v/>
      </c>
      <c r="BA48" s="281"/>
      <c r="BB48" s="280">
        <f>IFERROR(VLOOKUP($AQ48,[49]TruckCenterReference!$C$23:$I66,7,FALSE), 0)</f>
        <v>0</v>
      </c>
      <c r="BC48" s="280">
        <f>IFERROR(VLOOKUP($AQ48,[49]TruckCenterReference!$C$23:$K66,9,FALSE), 0)</f>
        <v>0</v>
      </c>
      <c r="BD48" s="280">
        <f>IFERROR(VLOOKUP($AQ48,[49]TruckCenterReference!$C$23:$K66,8,FALSE), 0)</f>
        <v>0</v>
      </c>
      <c r="BE48" s="279" t="str">
        <f t="shared" si="8"/>
        <v/>
      </c>
      <c r="BF48" s="278" t="str">
        <f t="shared" si="9"/>
        <v/>
      </c>
    </row>
    <row r="49" spans="1:58">
      <c r="A49" t="b">
        <f t="shared" si="0"/>
        <v>0</v>
      </c>
      <c r="B49" t="str">
        <f t="shared" si="1"/>
        <v/>
      </c>
      <c r="C49" s="304" t="s">
        <v>1226</v>
      </c>
      <c r="D49" s="303">
        <v>1</v>
      </c>
      <c r="E49" s="302"/>
      <c r="F49" s="301"/>
      <c r="G49" s="288"/>
      <c r="H49" s="300" t="s">
        <v>1226</v>
      </c>
      <c r="I49" s="300" t="s">
        <v>1226</v>
      </c>
      <c r="J49" s="300" t="s">
        <v>1226</v>
      </c>
      <c r="K49" s="299"/>
      <c r="L49" s="298" t="s">
        <v>1226</v>
      </c>
      <c r="M49" s="298" t="s">
        <v>1226</v>
      </c>
      <c r="N49" s="289"/>
      <c r="O49" s="297" t="s">
        <v>1226</v>
      </c>
      <c r="P49" s="297" t="s">
        <v>1226</v>
      </c>
      <c r="Q49" s="296"/>
      <c r="R49" s="295">
        <v>0</v>
      </c>
      <c r="S49" s="294">
        <v>0</v>
      </c>
      <c r="T49" s="294">
        <v>0</v>
      </c>
      <c r="U49" s="294">
        <v>0</v>
      </c>
      <c r="V49" s="294">
        <v>0</v>
      </c>
      <c r="W49" s="294">
        <v>0</v>
      </c>
      <c r="X49" s="294">
        <v>0</v>
      </c>
      <c r="Y49" s="294">
        <v>0</v>
      </c>
      <c r="Z49" s="294">
        <v>0</v>
      </c>
      <c r="AA49" s="294">
        <v>0</v>
      </c>
      <c r="AB49" s="294">
        <v>0</v>
      </c>
      <c r="AC49" s="293">
        <v>0</v>
      </c>
      <c r="AD49" s="266"/>
      <c r="AE49" s="292">
        <f t="shared" si="2"/>
        <v>0</v>
      </c>
      <c r="AG49" s="289"/>
      <c r="AH49" s="291"/>
      <c r="AI49" s="290" t="s">
        <v>1226</v>
      </c>
      <c r="AJ49" s="289"/>
      <c r="AK49" s="288"/>
      <c r="AL49" s="284"/>
      <c r="AM49" s="287"/>
      <c r="AN49" s="286" t="s">
        <v>17</v>
      </c>
      <c r="AO49" s="285"/>
      <c r="AP49" s="284"/>
      <c r="AQ49" s="283" t="str">
        <f t="shared" si="3"/>
        <v/>
      </c>
      <c r="AR49" s="283" t="str">
        <f>IFERROR(VLOOKUP($AQ49,[49]TruckCenterReference!$C$23:$I67,3,FALSE), "")</f>
        <v/>
      </c>
      <c r="AS49" s="278" t="str">
        <f t="shared" si="4"/>
        <v/>
      </c>
      <c r="AT49" s="281"/>
      <c r="AU49" s="280" t="str">
        <f>IFERROR(VLOOKUP($AQ49,[49]TruckCenterReference!$C$23:$I67,4,FALSE), "")</f>
        <v/>
      </c>
      <c r="AV49" s="278" t="str">
        <f t="shared" si="5"/>
        <v/>
      </c>
      <c r="AX49" s="283" t="str">
        <f t="shared" si="6"/>
        <v/>
      </c>
      <c r="AY49" s="282" t="str">
        <f>IFERROR(VLOOKUP($AQ49,[49]TruckCenterReference!$C$23:$I67,6,FALSE), "")</f>
        <v/>
      </c>
      <c r="AZ49" s="278" t="str">
        <f t="shared" si="7"/>
        <v/>
      </c>
      <c r="BA49" s="281"/>
      <c r="BB49" s="280">
        <f>IFERROR(VLOOKUP($AQ49,[49]TruckCenterReference!$C$23:$I67,7,FALSE), 0)</f>
        <v>0</v>
      </c>
      <c r="BC49" s="280">
        <f>IFERROR(VLOOKUP($AQ49,[49]TruckCenterReference!$C$23:$K67,9,FALSE), 0)</f>
        <v>0</v>
      </c>
      <c r="BD49" s="280">
        <f>IFERROR(VLOOKUP($AQ49,[49]TruckCenterReference!$C$23:$K67,8,FALSE), 0)</f>
        <v>0</v>
      </c>
      <c r="BE49" s="279" t="str">
        <f t="shared" si="8"/>
        <v/>
      </c>
      <c r="BF49" s="278" t="str">
        <f t="shared" si="9"/>
        <v/>
      </c>
    </row>
    <row r="50" spans="1:58">
      <c r="A50" t="b">
        <f t="shared" si="0"/>
        <v>0</v>
      </c>
      <c r="B50" t="str">
        <f t="shared" si="1"/>
        <v/>
      </c>
      <c r="C50" s="304" t="s">
        <v>1226</v>
      </c>
      <c r="D50" s="303">
        <v>1</v>
      </c>
      <c r="E50" s="302"/>
      <c r="F50" s="301"/>
      <c r="G50" s="288"/>
      <c r="H50" s="300" t="s">
        <v>1226</v>
      </c>
      <c r="I50" s="300" t="s">
        <v>1226</v>
      </c>
      <c r="J50" s="300" t="s">
        <v>1226</v>
      </c>
      <c r="K50" s="299"/>
      <c r="L50" s="298" t="s">
        <v>1226</v>
      </c>
      <c r="M50" s="298" t="s">
        <v>1226</v>
      </c>
      <c r="N50" s="289"/>
      <c r="O50" s="297" t="s">
        <v>1226</v>
      </c>
      <c r="P50" s="297" t="s">
        <v>1226</v>
      </c>
      <c r="Q50" s="296"/>
      <c r="R50" s="295">
        <v>0</v>
      </c>
      <c r="S50" s="294">
        <v>0</v>
      </c>
      <c r="T50" s="294">
        <v>0</v>
      </c>
      <c r="U50" s="294">
        <v>0</v>
      </c>
      <c r="V50" s="294">
        <v>0</v>
      </c>
      <c r="W50" s="294">
        <v>0</v>
      </c>
      <c r="X50" s="294">
        <v>0</v>
      </c>
      <c r="Y50" s="294">
        <v>0</v>
      </c>
      <c r="Z50" s="294">
        <v>0</v>
      </c>
      <c r="AA50" s="294">
        <v>0</v>
      </c>
      <c r="AB50" s="294">
        <v>0</v>
      </c>
      <c r="AC50" s="293">
        <v>0</v>
      </c>
      <c r="AD50" s="266"/>
      <c r="AE50" s="292">
        <f t="shared" si="2"/>
        <v>0</v>
      </c>
      <c r="AG50" s="289"/>
      <c r="AH50" s="291"/>
      <c r="AI50" s="290" t="s">
        <v>1226</v>
      </c>
      <c r="AJ50" s="289"/>
      <c r="AK50" s="288"/>
      <c r="AL50" s="284"/>
      <c r="AM50" s="287"/>
      <c r="AN50" s="286" t="s">
        <v>17</v>
      </c>
      <c r="AO50" s="285"/>
      <c r="AP50" s="284"/>
      <c r="AQ50" s="283" t="str">
        <f t="shared" si="3"/>
        <v/>
      </c>
      <c r="AR50" s="283" t="str">
        <f>IFERROR(VLOOKUP($AQ50,[49]TruckCenterReference!$C$23:$I68,3,FALSE), "")</f>
        <v/>
      </c>
      <c r="AS50" s="278" t="str">
        <f t="shared" si="4"/>
        <v/>
      </c>
      <c r="AT50" s="281"/>
      <c r="AU50" s="280" t="str">
        <f>IFERROR(VLOOKUP($AQ50,[49]TruckCenterReference!$C$23:$I68,4,FALSE), "")</f>
        <v/>
      </c>
      <c r="AV50" s="278" t="str">
        <f t="shared" si="5"/>
        <v/>
      </c>
      <c r="AX50" s="283" t="str">
        <f t="shared" si="6"/>
        <v/>
      </c>
      <c r="AY50" s="282" t="str">
        <f>IFERROR(VLOOKUP($AQ50,[49]TruckCenterReference!$C$23:$I68,6,FALSE), "")</f>
        <v/>
      </c>
      <c r="AZ50" s="278" t="str">
        <f t="shared" si="7"/>
        <v/>
      </c>
      <c r="BA50" s="281"/>
      <c r="BB50" s="280">
        <f>IFERROR(VLOOKUP($AQ50,[49]TruckCenterReference!$C$23:$I68,7,FALSE), 0)</f>
        <v>0</v>
      </c>
      <c r="BC50" s="280">
        <f>IFERROR(VLOOKUP($AQ50,[49]TruckCenterReference!$C$23:$K68,9,FALSE), 0)</f>
        <v>0</v>
      </c>
      <c r="BD50" s="280">
        <f>IFERROR(VLOOKUP($AQ50,[49]TruckCenterReference!$C$23:$K68,8,FALSE), 0)</f>
        <v>0</v>
      </c>
      <c r="BE50" s="279" t="str">
        <f t="shared" si="8"/>
        <v/>
      </c>
      <c r="BF50" s="278" t="str">
        <f t="shared" si="9"/>
        <v/>
      </c>
    </row>
    <row r="51" spans="1:58">
      <c r="A51" t="b">
        <f t="shared" si="0"/>
        <v>0</v>
      </c>
      <c r="B51" t="str">
        <f t="shared" si="1"/>
        <v/>
      </c>
      <c r="C51" s="304" t="s">
        <v>1226</v>
      </c>
      <c r="D51" s="303">
        <v>1</v>
      </c>
      <c r="E51" s="302"/>
      <c r="F51" s="301"/>
      <c r="G51" s="288"/>
      <c r="H51" s="300" t="s">
        <v>1226</v>
      </c>
      <c r="I51" s="300" t="s">
        <v>1226</v>
      </c>
      <c r="J51" s="300" t="s">
        <v>1226</v>
      </c>
      <c r="K51" s="299"/>
      <c r="L51" s="298" t="s">
        <v>1226</v>
      </c>
      <c r="M51" s="298" t="s">
        <v>1226</v>
      </c>
      <c r="N51" s="289"/>
      <c r="O51" s="297" t="s">
        <v>1226</v>
      </c>
      <c r="P51" s="297" t="s">
        <v>1226</v>
      </c>
      <c r="Q51" s="296"/>
      <c r="R51" s="295">
        <v>0</v>
      </c>
      <c r="S51" s="294">
        <v>0</v>
      </c>
      <c r="T51" s="294">
        <v>0</v>
      </c>
      <c r="U51" s="294">
        <v>0</v>
      </c>
      <c r="V51" s="294">
        <v>0</v>
      </c>
      <c r="W51" s="294">
        <v>0</v>
      </c>
      <c r="X51" s="294">
        <v>0</v>
      </c>
      <c r="Y51" s="294">
        <v>0</v>
      </c>
      <c r="Z51" s="294">
        <v>0</v>
      </c>
      <c r="AA51" s="294">
        <v>0</v>
      </c>
      <c r="AB51" s="294">
        <v>0</v>
      </c>
      <c r="AC51" s="293">
        <v>0</v>
      </c>
      <c r="AD51" s="266"/>
      <c r="AE51" s="292">
        <f t="shared" si="2"/>
        <v>0</v>
      </c>
      <c r="AG51" s="289"/>
      <c r="AH51" s="291"/>
      <c r="AI51" s="290" t="s">
        <v>1226</v>
      </c>
      <c r="AJ51" s="289"/>
      <c r="AK51" s="288"/>
      <c r="AL51" s="284"/>
      <c r="AM51" s="287"/>
      <c r="AN51" s="286" t="s">
        <v>17</v>
      </c>
      <c r="AO51" s="285"/>
      <c r="AP51" s="284"/>
      <c r="AQ51" s="283" t="str">
        <f t="shared" si="3"/>
        <v/>
      </c>
      <c r="AR51" s="283" t="str">
        <f>IFERROR(VLOOKUP($AQ51,[49]TruckCenterReference!$C$23:$I69,3,FALSE), "")</f>
        <v/>
      </c>
      <c r="AS51" s="278" t="str">
        <f t="shared" si="4"/>
        <v/>
      </c>
      <c r="AT51" s="281"/>
      <c r="AU51" s="280" t="str">
        <f>IFERROR(VLOOKUP($AQ51,[49]TruckCenterReference!$C$23:$I69,4,FALSE), "")</f>
        <v/>
      </c>
      <c r="AV51" s="278" t="str">
        <f t="shared" si="5"/>
        <v/>
      </c>
      <c r="AX51" s="283" t="str">
        <f t="shared" si="6"/>
        <v/>
      </c>
      <c r="AY51" s="282" t="str">
        <f>IFERROR(VLOOKUP($AQ51,[49]TruckCenterReference!$C$23:$I69,6,FALSE), "")</f>
        <v/>
      </c>
      <c r="AZ51" s="278" t="str">
        <f t="shared" si="7"/>
        <v/>
      </c>
      <c r="BA51" s="281"/>
      <c r="BB51" s="280">
        <f>IFERROR(VLOOKUP($AQ51,[49]TruckCenterReference!$C$23:$I69,7,FALSE), 0)</f>
        <v>0</v>
      </c>
      <c r="BC51" s="280">
        <f>IFERROR(VLOOKUP($AQ51,[49]TruckCenterReference!$C$23:$K69,9,FALSE), 0)</f>
        <v>0</v>
      </c>
      <c r="BD51" s="280">
        <f>IFERROR(VLOOKUP($AQ51,[49]TruckCenterReference!$C$23:$K69,8,FALSE), 0)</f>
        <v>0</v>
      </c>
      <c r="BE51" s="279" t="str">
        <f t="shared" si="8"/>
        <v/>
      </c>
      <c r="BF51" s="278" t="str">
        <f t="shared" si="9"/>
        <v/>
      </c>
    </row>
    <row r="52" spans="1:58">
      <c r="E52" s="277" t="s">
        <v>1225</v>
      </c>
      <c r="F52" s="276"/>
      <c r="G52" s="275"/>
      <c r="H52" s="269"/>
      <c r="I52" s="269"/>
      <c r="J52" s="269"/>
      <c r="K52" s="269"/>
      <c r="L52" s="269"/>
      <c r="M52" s="269"/>
      <c r="N52" s="266"/>
      <c r="O52" s="266"/>
      <c r="P52" s="266"/>
      <c r="Q52" s="266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6"/>
      <c r="AE52" s="274"/>
      <c r="AG52" s="266"/>
      <c r="AH52" s="266"/>
      <c r="AI52" s="266"/>
      <c r="AJ52" s="266"/>
      <c r="AK52" s="266"/>
      <c r="AM52" s="266"/>
    </row>
    <row r="53" spans="1:58" ht="15.75" thickBot="1">
      <c r="P53" s="273"/>
      <c r="Q53" s="272" t="s">
        <v>1224</v>
      </c>
      <c r="R53" s="270">
        <f t="shared" ref="R53:AC53" si="10">SUM(R29:R52)</f>
        <v>0</v>
      </c>
      <c r="S53" s="270">
        <f t="shared" si="10"/>
        <v>0</v>
      </c>
      <c r="T53" s="270">
        <f t="shared" si="10"/>
        <v>0</v>
      </c>
      <c r="U53" s="270">
        <f t="shared" si="10"/>
        <v>147349</v>
      </c>
      <c r="V53" s="270">
        <f t="shared" si="10"/>
        <v>48000</v>
      </c>
      <c r="W53" s="270">
        <f t="shared" si="10"/>
        <v>0</v>
      </c>
      <c r="X53" s="270">
        <f t="shared" si="10"/>
        <v>0</v>
      </c>
      <c r="Y53" s="270">
        <f t="shared" si="10"/>
        <v>45000</v>
      </c>
      <c r="Z53" s="270">
        <f t="shared" si="10"/>
        <v>0</v>
      </c>
      <c r="AA53" s="270">
        <f t="shared" si="10"/>
        <v>25000</v>
      </c>
      <c r="AB53" s="270">
        <f t="shared" si="10"/>
        <v>0</v>
      </c>
      <c r="AC53" s="270">
        <f t="shared" si="10"/>
        <v>0</v>
      </c>
      <c r="AD53" s="271"/>
      <c r="AE53" s="270">
        <f>SUM(AE29:AE52)</f>
        <v>265349</v>
      </c>
      <c r="AG53" s="266"/>
      <c r="AH53" s="266"/>
      <c r="AI53" s="266"/>
      <c r="AJ53" s="266"/>
      <c r="AK53" s="266"/>
      <c r="AM53" s="266"/>
    </row>
    <row r="54" spans="1:58" ht="15.75" thickTop="1">
      <c r="E54" s="269"/>
      <c r="F54" s="269"/>
      <c r="G54" s="269"/>
      <c r="H54" s="269"/>
      <c r="I54" s="269"/>
      <c r="J54" s="269"/>
      <c r="K54" s="269"/>
      <c r="L54" s="269"/>
      <c r="M54" s="269"/>
      <c r="N54" s="266"/>
      <c r="O54" s="266"/>
      <c r="P54" s="266"/>
      <c r="Q54" s="266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6"/>
      <c r="AE54" s="267"/>
      <c r="AG54" s="266"/>
      <c r="AH54" s="266"/>
      <c r="AI54" s="266"/>
      <c r="AJ54" s="266"/>
      <c r="AK54" s="266"/>
      <c r="AM54" s="266"/>
    </row>
    <row r="55" spans="1:58">
      <c r="AD55" s="266"/>
    </row>
    <row r="56" spans="1:58" ht="45">
      <c r="S56" t="s">
        <v>6</v>
      </c>
      <c r="T56" s="377" t="s">
        <v>1335</v>
      </c>
      <c r="U56" s="377" t="s">
        <v>1336</v>
      </c>
      <c r="V56" s="377" t="s">
        <v>1337</v>
      </c>
      <c r="W56" s="377" t="s">
        <v>1338</v>
      </c>
      <c r="X56" s="377" t="s">
        <v>1339</v>
      </c>
      <c r="Y56" s="377" t="s">
        <v>1340</v>
      </c>
      <c r="Z56" s="377"/>
      <c r="AE56" s="262"/>
    </row>
    <row r="57" spans="1:58">
      <c r="P57" t="s">
        <v>169</v>
      </c>
      <c r="Q57" t="s">
        <v>94</v>
      </c>
      <c r="S57" s="378">
        <f>+SUMIF(L30:L51,P57,AE30:AE51)</f>
        <v>118000</v>
      </c>
      <c r="T57" s="378">
        <v>0</v>
      </c>
      <c r="U57" s="378">
        <f>+S57-T57</f>
        <v>118000</v>
      </c>
      <c r="V57" s="378">
        <f>+U57/7</f>
        <v>16857.142857142859</v>
      </c>
      <c r="W57">
        <v>0</v>
      </c>
      <c r="X57" s="225">
        <f>+V57</f>
        <v>16857.142857142859</v>
      </c>
      <c r="Y57" s="225">
        <f>+U57-V57</f>
        <v>101142.85714285714</v>
      </c>
    </row>
    <row r="58" spans="1:58">
      <c r="V58" s="265"/>
    </row>
    <row r="59" spans="1:58">
      <c r="V59" s="265"/>
    </row>
    <row r="60" spans="1:58">
      <c r="V60" s="265"/>
    </row>
    <row r="61" spans="1:58">
      <c r="L61" s="265"/>
      <c r="M61" s="265"/>
      <c r="V61" s="265"/>
    </row>
    <row r="63" spans="1:58">
      <c r="V63" s="265"/>
    </row>
    <row r="68" spans="12:13">
      <c r="L68" s="265"/>
      <c r="M68" s="265"/>
    </row>
  </sheetData>
  <conditionalFormatting sqref="AZ6">
    <cfRule type="cellIs" dxfId="9" priority="10" operator="equal">
      <formula>"Fix!"</formula>
    </cfRule>
  </conditionalFormatting>
  <conditionalFormatting sqref="BF6">
    <cfRule type="cellIs" dxfId="8" priority="8" operator="equal">
      <formula>"Review"</formula>
    </cfRule>
    <cfRule type="cellIs" dxfId="7" priority="9" operator="equal">
      <formula>"Fix!"</formula>
    </cfRule>
  </conditionalFormatting>
  <conditionalFormatting sqref="AS6">
    <cfRule type="cellIs" dxfId="6" priority="7" operator="equal">
      <formula>"Review"</formula>
    </cfRule>
  </conditionalFormatting>
  <conditionalFormatting sqref="AV6">
    <cfRule type="cellIs" dxfId="5" priority="6" operator="equal">
      <formula>"Fix!"</formula>
    </cfRule>
  </conditionalFormatting>
  <conditionalFormatting sqref="AZ30:AZ51">
    <cfRule type="cellIs" dxfId="4" priority="5" operator="equal">
      <formula>"Fix!"</formula>
    </cfRule>
  </conditionalFormatting>
  <conditionalFormatting sqref="BF30:BF51">
    <cfRule type="cellIs" dxfId="3" priority="3" operator="equal">
      <formula>"Review"</formula>
    </cfRule>
    <cfRule type="cellIs" dxfId="2" priority="4" operator="equal">
      <formula>"Fix!"</formula>
    </cfRule>
  </conditionalFormatting>
  <conditionalFormatting sqref="AS30:AS51">
    <cfRule type="cellIs" dxfId="1" priority="2" operator="equal">
      <formula>"Review"</formula>
    </cfRule>
  </conditionalFormatting>
  <conditionalFormatting sqref="AV30:AV51">
    <cfRule type="cellIs" dxfId="0" priority="1" operator="equal">
      <formula>"Fix!"</formula>
    </cfRule>
  </conditionalFormatting>
  <dataValidations count="5">
    <dataValidation type="list" allowBlank="1" showInputMessage="1" showErrorMessage="1" sqref="Q30:Q51" xr:uid="{072D7B2E-2E3A-4AF3-9717-8AFBDEAC845F}">
      <formula1>",,12046"</formula1>
    </dataValidation>
    <dataValidation type="list" allowBlank="1" showInputMessage="1" showErrorMessage="1" sqref="I15" xr:uid="{BF56B9C2-0A10-48CD-A175-306E28EF39CF}">
      <formula1>H19</formula1>
    </dataValidation>
    <dataValidation type="list" allowBlank="1" showInputMessage="1" showErrorMessage="1" sqref="P6 P30:P51" xr:uid="{C6A56E63-D020-4E13-8E96-F7020C43C98F}">
      <formula1>"N,U"</formula1>
    </dataValidation>
    <dataValidation type="list" allowBlank="1" showInputMessage="1" showErrorMessage="1" sqref="O6 O30:O51" xr:uid="{42E3FD3C-6C12-4024-BE0E-A53FCE54EE02}">
      <formula1>"A,R"</formula1>
    </dataValidation>
    <dataValidation type="list" allowBlank="1" showInputMessage="1" showErrorMessage="1" sqref="E6 E30:E51" xr:uid="{67B74B27-F4BA-438E-82AB-C1BD51788F6B}">
      <formula1>"Delete!"</formula1>
    </dataValidation>
  </dataValidations>
  <pageMargins left="0.25" right="0.25" top="0.75" bottom="0.75" header="0.3" footer="0.3"/>
  <pageSetup scale="7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05BECA10E0CA249B645BB3D37E031B4" ma:contentTypeVersion="16" ma:contentTypeDescription="" ma:contentTypeScope="" ma:versionID="67367a6036927bd2114c0abc2dfeb00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2023-03-15T07:00:00+00:00</OpenedDate>
    <SignificantOrder xmlns="dc463f71-b30c-4ab2-9473-d307f9d35888">false</SignificantOrder>
    <Date1 xmlns="dc463f71-b30c-4ab2-9473-d307f9d35888">2023-03-15T07:00:00+00:00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INC.   </CaseCompanyNames>
    <Nickname xmlns="http://schemas.microsoft.com/sharepoint/v3" xsi:nil="true"/>
    <DocketNumber xmlns="dc463f71-b30c-4ab2-9473-d307f9d35888">230182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893978-DA77-4960-B631-9D01421D6628}"/>
</file>

<file path=customXml/itemProps2.xml><?xml version="1.0" encoding="utf-8"?>
<ds:datastoreItem xmlns:ds="http://schemas.openxmlformats.org/officeDocument/2006/customXml" ds:itemID="{EF7B1DFE-2D55-4A18-BC6F-0EFF732C9DB4}"/>
</file>

<file path=customXml/itemProps3.xml><?xml version="1.0" encoding="utf-8"?>
<ds:datastoreItem xmlns:ds="http://schemas.openxmlformats.org/officeDocument/2006/customXml" ds:itemID="{525625EC-9E2B-413F-8F6A-5A7CEF5D7B96}"/>
</file>

<file path=customXml/itemProps4.xml><?xml version="1.0" encoding="utf-8"?>
<ds:datastoreItem xmlns:ds="http://schemas.openxmlformats.org/officeDocument/2006/customXml" ds:itemID="{2997A8BC-A62C-487B-84AF-70CDBA254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2120 Depr Summary</vt:lpstr>
      <vt:lpstr>FAR 12.2022</vt:lpstr>
      <vt:lpstr>FAR Dep Summary</vt:lpstr>
      <vt:lpstr>Truck Depr - w Salvage </vt:lpstr>
      <vt:lpstr>Depr - Cont, Shop, Serv, Office</vt:lpstr>
      <vt:lpstr>2120 Depr - Orig</vt:lpstr>
      <vt:lpstr>2023 Bud Capital</vt:lpstr>
      <vt:lpstr>'2023 Bud Capital'!DetailBudYear</vt:lpstr>
      <vt:lpstr>'2023 Bud Capital'!DetailDistrict</vt:lpstr>
      <vt:lpstr>'2023 Bud Capital'!Print_Area</vt:lpstr>
      <vt:lpstr>'2120 Depr - Orig'!Print_Area</vt:lpstr>
      <vt:lpstr>'2120 Depr Summary'!Print_Area</vt:lpstr>
      <vt:lpstr>'Depr - Cont, Shop, Serv, Office'!Print_Area</vt:lpstr>
      <vt:lpstr>'FAR 12.2022'!Print_Area</vt:lpstr>
      <vt:lpstr>'Truck Depr - w Salvage '!Print_Area</vt:lpstr>
      <vt:lpstr>'2120 Depr - Orig'!Print_Area_MI</vt:lpstr>
      <vt:lpstr>'Depr - Cont, Shop, Serv, Office'!Print_Area_MI</vt:lpstr>
      <vt:lpstr>'Truck Depr - w Salvage '!Print_Area_MI</vt:lpstr>
      <vt:lpstr>'2120 Depr - Orig'!Print_Titles</vt:lpstr>
      <vt:lpstr>'2120 Depr Summary'!Print_Titles</vt:lpstr>
      <vt:lpstr>'Depr - Cont, Shop, Serv, Office'!Print_Titles</vt:lpstr>
      <vt:lpstr>'FAR 12.2022'!Print_Titles</vt:lpstr>
      <vt:lpstr>'Truck Depr - w Salvage 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Lindsay Waldram</cp:lastModifiedBy>
  <cp:lastPrinted>2023-03-15T16:06:57Z</cp:lastPrinted>
  <dcterms:created xsi:type="dcterms:W3CDTF">2016-07-18T18:31:56Z</dcterms:created>
  <dcterms:modified xsi:type="dcterms:W3CDTF">2023-03-15T16:07:57Z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0x0101006E56B4D1795A2E4DB2F0B01679ED314A00905BECA10E0CA249B645BB3D37E031B4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