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ustomProperty4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2\2022 WA Sch 88 Wildfire Tariff Filing\2nd Substitute Filing\"/>
    </mc:Choice>
  </mc:AlternateContent>
  <xr:revisionPtr revIDLastSave="0" documentId="13_ncr:1_{86866CC5-5E3B-4C32-B9A1-33C39509519A}" xr6:coauthVersionLast="47" xr6:coauthVersionMax="47" xr10:uidLastSave="{00000000-0000-0000-0000-000000000000}"/>
  <bookViews>
    <workbookView xWindow="28680" yWindow="-120" windowWidth="29040" windowHeight="16440" xr2:uid="{1FA0B0A0-6986-41C4-A6DD-5AFE1D5CCAEF}"/>
  </bookViews>
  <sheets>
    <sheet name="Rate Design" sheetId="2" r:id="rId1"/>
    <sheet name="Incremental Exp" sheetId="12" r:id="rId2"/>
    <sheet name="Deferral Balance" sheetId="1" r:id="rId3"/>
    <sheet name="Deferral Schedule" sheetId="11" r:id="rId4"/>
    <sheet name="Forecasted Revenue" sheetId="6" r:id="rId5"/>
    <sheet name="kWh Forecast" sheetId="3" r:id="rId6"/>
    <sheet name="CF WA Elec" sheetId="9" r:id="rId7"/>
    <sheet name="Tables for Cust Notice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tual">#REF!</definedName>
    <definedName name="AllocFactors">[1]Factors!$D$111:$AP$120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Pg1Row">MAX([2]Detail!$A:$A)</definedName>
    <definedName name="_xlnm.Print_Area" localSheetId="4">'Forecasted Revenue'!$A$1:$S$47</definedName>
    <definedName name="_xlnm.Print_Area" localSheetId="5">'kWh Forecast'!$A$1:$N$64</definedName>
    <definedName name="_xlnm.Print_Area" localSheetId="0">'Rate Design'!$A$1:$K$48</definedName>
    <definedName name="PrintAll">#REF!</definedName>
    <definedName name="Recover">[3]Macro1!$A$85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I31" i="11"/>
  <c r="R74" i="12"/>
  <c r="R75" i="12"/>
  <c r="J9" i="2"/>
  <c r="I9" i="2"/>
  <c r="H9" i="2"/>
  <c r="G9" i="2"/>
  <c r="F9" i="2"/>
  <c r="E9" i="2"/>
  <c r="J8" i="2"/>
  <c r="I8" i="2"/>
  <c r="H8" i="2"/>
  <c r="G8" i="2"/>
  <c r="F8" i="2"/>
  <c r="E8" i="2"/>
  <c r="D9" i="2"/>
  <c r="Q75" i="12"/>
  <c r="P75" i="12"/>
  <c r="O75" i="12"/>
  <c r="N75" i="12"/>
  <c r="M75" i="12"/>
  <c r="L75" i="12"/>
  <c r="K75" i="12"/>
  <c r="J75" i="12"/>
  <c r="I75" i="12"/>
  <c r="H75" i="12"/>
  <c r="Q74" i="12"/>
  <c r="Q76" i="12" s="1"/>
  <c r="Q78" i="12" s="1"/>
  <c r="P74" i="12"/>
  <c r="P76" i="12" s="1"/>
  <c r="P78" i="12" s="1"/>
  <c r="O74" i="12"/>
  <c r="O76" i="12" s="1"/>
  <c r="O78" i="12" s="1"/>
  <c r="N74" i="12"/>
  <c r="N76" i="12" s="1"/>
  <c r="N78" i="12" s="1"/>
  <c r="M74" i="12"/>
  <c r="M76" i="12" s="1"/>
  <c r="M78" i="12" s="1"/>
  <c r="L74" i="12"/>
  <c r="L76" i="12" s="1"/>
  <c r="L78" i="12" s="1"/>
  <c r="K74" i="12"/>
  <c r="K76" i="12" s="1"/>
  <c r="K78" i="12" s="1"/>
  <c r="J74" i="12"/>
  <c r="J76" i="12" s="1"/>
  <c r="J78" i="12" s="1"/>
  <c r="I74" i="12"/>
  <c r="I76" i="12" s="1"/>
  <c r="I78" i="12" s="1"/>
  <c r="H74" i="12"/>
  <c r="H76" i="12" s="1"/>
  <c r="Q64" i="12"/>
  <c r="Q65" i="12" s="1"/>
  <c r="P64" i="12"/>
  <c r="P65" i="12" s="1"/>
  <c r="O64" i="12"/>
  <c r="O65" i="12" s="1"/>
  <c r="N64" i="12"/>
  <c r="N65" i="12" s="1"/>
  <c r="M64" i="12"/>
  <c r="M65" i="12" s="1"/>
  <c r="L64" i="12"/>
  <c r="L65" i="12" s="1"/>
  <c r="K64" i="12"/>
  <c r="K65" i="12" s="1"/>
  <c r="J64" i="12"/>
  <c r="J65" i="12" s="1"/>
  <c r="I64" i="12"/>
  <c r="I65" i="12" s="1"/>
  <c r="H64" i="12"/>
  <c r="H65" i="12" s="1"/>
  <c r="Q61" i="12"/>
  <c r="Q62" i="12" s="1"/>
  <c r="P61" i="12"/>
  <c r="P62" i="12" s="1"/>
  <c r="O61" i="12"/>
  <c r="O62" i="12" s="1"/>
  <c r="N61" i="12"/>
  <c r="N62" i="12" s="1"/>
  <c r="M61" i="12"/>
  <c r="M62" i="12" s="1"/>
  <c r="L61" i="12"/>
  <c r="L62" i="12" s="1"/>
  <c r="K61" i="12"/>
  <c r="K62" i="12" s="1"/>
  <c r="K67" i="12" s="1"/>
  <c r="J61" i="12"/>
  <c r="I61" i="12"/>
  <c r="I62" i="12" s="1"/>
  <c r="H61" i="12"/>
  <c r="H62" i="12" s="1"/>
  <c r="G61" i="12"/>
  <c r="G62" i="12" s="1"/>
  <c r="O67" i="12" l="1"/>
  <c r="H67" i="12"/>
  <c r="Q67" i="12"/>
  <c r="N67" i="12"/>
  <c r="I67" i="12"/>
  <c r="R61" i="12"/>
  <c r="P67" i="12"/>
  <c r="M67" i="12"/>
  <c r="R64" i="12"/>
  <c r="H78" i="12"/>
  <c r="R76" i="12"/>
  <c r="R65" i="12"/>
  <c r="S75" i="12"/>
  <c r="L9" i="2" s="1"/>
  <c r="L67" i="12"/>
  <c r="J62" i="12"/>
  <c r="J67" i="12" s="1"/>
  <c r="R62" i="12" l="1"/>
  <c r="R78" i="12"/>
  <c r="S74" i="12"/>
  <c r="L8" i="2" s="1"/>
  <c r="G34" i="11" l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I11" i="1" l="1"/>
  <c r="I3" i="1"/>
  <c r="I4" i="1"/>
  <c r="I5" i="1"/>
  <c r="I6" i="1"/>
  <c r="I7" i="1"/>
  <c r="I8" i="1"/>
  <c r="I9" i="1"/>
  <c r="I10" i="1"/>
  <c r="I2" i="1"/>
  <c r="D20" i="6" l="1"/>
  <c r="E20" i="6"/>
  <c r="F20" i="6"/>
  <c r="G20" i="6"/>
  <c r="I8" i="6"/>
  <c r="J8" i="6"/>
  <c r="K8" i="6"/>
  <c r="L8" i="6"/>
  <c r="M8" i="6"/>
  <c r="N8" i="6"/>
  <c r="O8" i="6"/>
  <c r="P8" i="6"/>
  <c r="Q8" i="6"/>
  <c r="R8" i="6"/>
  <c r="S8" i="6"/>
  <c r="I9" i="6"/>
  <c r="J9" i="6"/>
  <c r="K9" i="6"/>
  <c r="L9" i="6"/>
  <c r="M9" i="6"/>
  <c r="N9" i="6"/>
  <c r="O9" i="6"/>
  <c r="P9" i="6"/>
  <c r="Q9" i="6"/>
  <c r="R9" i="6"/>
  <c r="S9" i="6"/>
  <c r="H9" i="6"/>
  <c r="H8" i="6"/>
  <c r="G23" i="11"/>
  <c r="T9" i="6" l="1"/>
  <c r="D16" i="11"/>
  <c r="F16" i="11" s="1"/>
  <c r="D6" i="11" l="1"/>
  <c r="D8" i="11" s="1"/>
  <c r="H13" i="2" l="1"/>
  <c r="G13" i="2"/>
  <c r="H11" i="2"/>
  <c r="G11" i="2"/>
  <c r="B14" i="1"/>
  <c r="C4" i="1" s="1"/>
  <c r="D4" i="1" s="1"/>
  <c r="C13" i="1"/>
  <c r="D13" i="1" s="1"/>
  <c r="G11" i="1"/>
  <c r="C11" i="1"/>
  <c r="D11" i="1" s="1"/>
  <c r="C9" i="1"/>
  <c r="D9" i="1" s="1"/>
  <c r="G8" i="1"/>
  <c r="C8" i="1"/>
  <c r="D8" i="1" s="1"/>
  <c r="G6" i="1"/>
  <c r="C6" i="1"/>
  <c r="D6" i="1" s="1"/>
  <c r="C5" i="1"/>
  <c r="D5" i="1" s="1"/>
  <c r="G5" i="1" s="1"/>
  <c r="G4" i="1"/>
  <c r="C3" i="1"/>
  <c r="D3" i="1" s="1"/>
  <c r="F14" i="1"/>
  <c r="E14" i="1"/>
  <c r="G3" i="1" l="1"/>
  <c r="G9" i="1"/>
  <c r="C10" i="1"/>
  <c r="D10" i="1" s="1"/>
  <c r="G10" i="1" s="1"/>
  <c r="C7" i="1"/>
  <c r="D7" i="1" s="1"/>
  <c r="G7" i="1" s="1"/>
  <c r="C12" i="1"/>
  <c r="D12" i="1" s="1"/>
  <c r="C2" i="1"/>
  <c r="D2" i="1" l="1"/>
  <c r="G2" i="1" s="1"/>
  <c r="C14" i="1"/>
  <c r="G14" i="1" l="1"/>
  <c r="I5" i="6"/>
  <c r="J5" i="6"/>
  <c r="K5" i="6"/>
  <c r="L5" i="6"/>
  <c r="M5" i="6"/>
  <c r="N5" i="6"/>
  <c r="O5" i="6"/>
  <c r="P5" i="6"/>
  <c r="Q5" i="6"/>
  <c r="R5" i="6"/>
  <c r="S5" i="6"/>
  <c r="I6" i="6"/>
  <c r="J6" i="6"/>
  <c r="K6" i="6"/>
  <c r="L6" i="6"/>
  <c r="M6" i="6"/>
  <c r="N6" i="6"/>
  <c r="O6" i="6"/>
  <c r="P6" i="6"/>
  <c r="Q6" i="6"/>
  <c r="R6" i="6"/>
  <c r="S6" i="6"/>
  <c r="I7" i="6"/>
  <c r="J7" i="6"/>
  <c r="K7" i="6"/>
  <c r="L7" i="6"/>
  <c r="M7" i="6"/>
  <c r="N7" i="6"/>
  <c r="O7" i="6"/>
  <c r="P7" i="6"/>
  <c r="Q7" i="6"/>
  <c r="R7" i="6"/>
  <c r="S7" i="6"/>
  <c r="I10" i="6"/>
  <c r="J10" i="6"/>
  <c r="K10" i="6"/>
  <c r="L10" i="6"/>
  <c r="M10" i="6"/>
  <c r="N10" i="6"/>
  <c r="O10" i="6"/>
  <c r="P10" i="6"/>
  <c r="Q10" i="6"/>
  <c r="R10" i="6"/>
  <c r="S10" i="6"/>
  <c r="I11" i="6"/>
  <c r="J11" i="6"/>
  <c r="K11" i="6"/>
  <c r="L11" i="6"/>
  <c r="M11" i="6"/>
  <c r="N11" i="6"/>
  <c r="O11" i="6"/>
  <c r="P11" i="6"/>
  <c r="Q11" i="6"/>
  <c r="R11" i="6"/>
  <c r="S11" i="6"/>
  <c r="H6" i="6"/>
  <c r="H7" i="6"/>
  <c r="H10" i="6"/>
  <c r="H11" i="6"/>
  <c r="H5" i="6"/>
  <c r="C31" i="2" l="1"/>
  <c r="D9" i="11"/>
  <c r="N29" i="3"/>
  <c r="N30" i="3"/>
  <c r="N59" i="3"/>
  <c r="N60" i="3"/>
  <c r="B60" i="3"/>
  <c r="N53" i="3"/>
  <c r="N54" i="3"/>
  <c r="N55" i="3"/>
  <c r="N56" i="3"/>
  <c r="N57" i="3"/>
  <c r="N52" i="3"/>
  <c r="N38" i="3"/>
  <c r="N39" i="3"/>
  <c r="N40" i="3"/>
  <c r="N41" i="3"/>
  <c r="N42" i="3"/>
  <c r="N43" i="3"/>
  <c r="N44" i="3"/>
  <c r="N45" i="3"/>
  <c r="N46" i="3"/>
  <c r="N47" i="3"/>
  <c r="N48" i="3"/>
  <c r="N49" i="3"/>
  <c r="N37" i="3"/>
  <c r="B50" i="3"/>
  <c r="C50" i="3"/>
  <c r="D50" i="3"/>
  <c r="E50" i="3"/>
  <c r="F50" i="3"/>
  <c r="G50" i="3"/>
  <c r="H50" i="3"/>
  <c r="I50" i="3"/>
  <c r="J50" i="3"/>
  <c r="K50" i="3"/>
  <c r="L50" i="3"/>
  <c r="M50" i="3"/>
  <c r="B52" i="3"/>
  <c r="C52" i="3"/>
  <c r="D52" i="3"/>
  <c r="E52" i="3"/>
  <c r="F52" i="3"/>
  <c r="G52" i="3"/>
  <c r="H52" i="3"/>
  <c r="I52" i="3"/>
  <c r="J52" i="3"/>
  <c r="K52" i="3"/>
  <c r="L52" i="3"/>
  <c r="M52" i="3"/>
  <c r="B53" i="3"/>
  <c r="C53" i="3"/>
  <c r="D53" i="3"/>
  <c r="E53" i="3"/>
  <c r="F53" i="3"/>
  <c r="G53" i="3"/>
  <c r="H53" i="3"/>
  <c r="I53" i="3"/>
  <c r="J53" i="3"/>
  <c r="K53" i="3"/>
  <c r="L53" i="3"/>
  <c r="M53" i="3"/>
  <c r="B54" i="3"/>
  <c r="C54" i="3"/>
  <c r="D54" i="3"/>
  <c r="E54" i="3"/>
  <c r="F54" i="3"/>
  <c r="G54" i="3"/>
  <c r="H54" i="3"/>
  <c r="I54" i="3"/>
  <c r="J54" i="3"/>
  <c r="K54" i="3"/>
  <c r="L54" i="3"/>
  <c r="M54" i="3"/>
  <c r="N23" i="3"/>
  <c r="N24" i="3"/>
  <c r="N25" i="3"/>
  <c r="N26" i="3"/>
  <c r="N27" i="3"/>
  <c r="N22" i="3"/>
  <c r="B22" i="3"/>
  <c r="N8" i="3"/>
  <c r="N9" i="3"/>
  <c r="N10" i="3"/>
  <c r="N11" i="3"/>
  <c r="N12" i="3"/>
  <c r="N13" i="3"/>
  <c r="N14" i="3"/>
  <c r="N15" i="3"/>
  <c r="N16" i="3"/>
  <c r="N17" i="3"/>
  <c r="N18" i="3"/>
  <c r="N19" i="3"/>
  <c r="N7" i="3"/>
  <c r="G19" i="11" l="1"/>
  <c r="C34" i="2" l="1"/>
  <c r="C44" i="2"/>
  <c r="C8" i="2" l="1"/>
  <c r="C55" i="3" l="1"/>
  <c r="D55" i="3"/>
  <c r="E55" i="3"/>
  <c r="F55" i="3"/>
  <c r="G55" i="3"/>
  <c r="H55" i="3"/>
  <c r="H60" i="3" s="1"/>
  <c r="I55" i="3"/>
  <c r="J55" i="3"/>
  <c r="K55" i="3"/>
  <c r="L55" i="3"/>
  <c r="M55" i="3"/>
  <c r="C56" i="3"/>
  <c r="D56" i="3"/>
  <c r="E56" i="3"/>
  <c r="F56" i="3"/>
  <c r="G56" i="3"/>
  <c r="H56" i="3"/>
  <c r="I56" i="3"/>
  <c r="J56" i="3"/>
  <c r="K56" i="3"/>
  <c r="L56" i="3"/>
  <c r="M56" i="3"/>
  <c r="C57" i="3"/>
  <c r="D57" i="3"/>
  <c r="E57" i="3"/>
  <c r="F57" i="3"/>
  <c r="G57" i="3"/>
  <c r="H57" i="3"/>
  <c r="I57" i="3"/>
  <c r="J57" i="3"/>
  <c r="K57" i="3"/>
  <c r="L57" i="3"/>
  <c r="M57" i="3"/>
  <c r="B57" i="3"/>
  <c r="B56" i="3"/>
  <c r="B58" i="3" s="1"/>
  <c r="B55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5" i="3"/>
  <c r="D25" i="3"/>
  <c r="E25" i="3"/>
  <c r="F25" i="3"/>
  <c r="G25" i="3"/>
  <c r="H25" i="3"/>
  <c r="I25" i="3"/>
  <c r="J25" i="3"/>
  <c r="K25" i="3"/>
  <c r="L25" i="3"/>
  <c r="M25" i="3"/>
  <c r="C26" i="3"/>
  <c r="D26" i="3"/>
  <c r="E26" i="3"/>
  <c r="F26" i="3"/>
  <c r="G26" i="3"/>
  <c r="H26" i="3"/>
  <c r="I26" i="3"/>
  <c r="J26" i="3"/>
  <c r="K26" i="3"/>
  <c r="L26" i="3"/>
  <c r="M26" i="3"/>
  <c r="C27" i="3"/>
  <c r="C30" i="3" s="1"/>
  <c r="D27" i="3"/>
  <c r="E27" i="3"/>
  <c r="F27" i="3"/>
  <c r="G27" i="3"/>
  <c r="H27" i="3"/>
  <c r="I27" i="3"/>
  <c r="J27" i="3"/>
  <c r="K27" i="3"/>
  <c r="K30" i="3" s="1"/>
  <c r="L27" i="3"/>
  <c r="M27" i="3"/>
  <c r="L30" i="3"/>
  <c r="B20" i="3"/>
  <c r="C20" i="3"/>
  <c r="D20" i="3"/>
  <c r="E20" i="3"/>
  <c r="F20" i="3"/>
  <c r="G20" i="3"/>
  <c r="H20" i="3"/>
  <c r="I20" i="3"/>
  <c r="J20" i="3"/>
  <c r="K20" i="3"/>
  <c r="L20" i="3"/>
  <c r="M20" i="3"/>
  <c r="B27" i="3"/>
  <c r="B26" i="3"/>
  <c r="B25" i="3"/>
  <c r="B24" i="3"/>
  <c r="B23" i="3"/>
  <c r="J60" i="3" l="1"/>
  <c r="K60" i="3"/>
  <c r="C60" i="3"/>
  <c r="G30" i="3"/>
  <c r="F60" i="3"/>
  <c r="B30" i="3"/>
  <c r="I60" i="3"/>
  <c r="G60" i="3"/>
  <c r="M60" i="3"/>
  <c r="E60" i="3"/>
  <c r="D30" i="3"/>
  <c r="L60" i="3"/>
  <c r="D60" i="3"/>
  <c r="H30" i="3"/>
  <c r="B28" i="3"/>
  <c r="I30" i="3"/>
  <c r="F30" i="3"/>
  <c r="M30" i="3"/>
  <c r="E30" i="3"/>
  <c r="J30" i="3"/>
  <c r="N50" i="3" l="1"/>
  <c r="E19" i="9" l="1"/>
  <c r="E21" i="9" s="1"/>
  <c r="C35" i="6" s="1"/>
  <c r="E25" i="9" l="1"/>
  <c r="S35" i="6" l="1"/>
  <c r="A1" i="9" l="1"/>
  <c r="M36" i="3" l="1"/>
  <c r="L36" i="3"/>
  <c r="K36" i="3"/>
  <c r="J36" i="3"/>
  <c r="I36" i="3"/>
  <c r="H36" i="3"/>
  <c r="G36" i="3"/>
  <c r="F36" i="3"/>
  <c r="E36" i="3"/>
  <c r="D36" i="3"/>
  <c r="C36" i="3"/>
  <c r="B36" i="3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G22" i="6"/>
  <c r="F22" i="6"/>
  <c r="E22" i="6"/>
  <c r="D22" i="6"/>
  <c r="G21" i="6"/>
  <c r="F21" i="6"/>
  <c r="E21" i="6"/>
  <c r="D21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C23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N20" i="3" l="1"/>
  <c r="I58" i="3"/>
  <c r="M58" i="3"/>
  <c r="H58" i="3"/>
  <c r="L58" i="3"/>
  <c r="P12" i="6"/>
  <c r="P13" i="6" s="1"/>
  <c r="E11" i="2"/>
  <c r="J28" i="3"/>
  <c r="L12" i="6"/>
  <c r="L13" i="6" s="1"/>
  <c r="E13" i="2"/>
  <c r="F13" i="2"/>
  <c r="I13" i="2"/>
  <c r="F58" i="3"/>
  <c r="J58" i="3"/>
  <c r="G58" i="3"/>
  <c r="K58" i="3"/>
  <c r="D13" i="2"/>
  <c r="I12" i="6"/>
  <c r="I13" i="6" s="1"/>
  <c r="Q12" i="6"/>
  <c r="Q13" i="6" s="1"/>
  <c r="F11" i="2"/>
  <c r="M12" i="6"/>
  <c r="M13" i="6" s="1"/>
  <c r="G28" i="3"/>
  <c r="K28" i="3"/>
  <c r="I11" i="2"/>
  <c r="J11" i="2"/>
  <c r="F28" i="3"/>
  <c r="H28" i="3"/>
  <c r="L28" i="3"/>
  <c r="I28" i="3"/>
  <c r="M28" i="3"/>
  <c r="K12" i="6"/>
  <c r="K13" i="6" s="1"/>
  <c r="O12" i="6"/>
  <c r="O13" i="6" s="1"/>
  <c r="S12" i="6"/>
  <c r="S13" i="6" s="1"/>
  <c r="C13" i="2" l="1"/>
  <c r="H12" i="6"/>
  <c r="H13" i="6" s="1"/>
  <c r="N58" i="3"/>
  <c r="N28" i="3"/>
  <c r="D11" i="2"/>
  <c r="R12" i="6"/>
  <c r="R13" i="6" s="1"/>
  <c r="J12" i="6"/>
  <c r="J13" i="6" s="1"/>
  <c r="N12" i="6"/>
  <c r="N13" i="6" s="1"/>
  <c r="F32" i="6"/>
  <c r="F42" i="6" s="1"/>
  <c r="F27" i="6"/>
  <c r="F37" i="6" s="1"/>
  <c r="E31" i="6"/>
  <c r="E41" i="6" s="1"/>
  <c r="E29" i="6"/>
  <c r="E39" i="6" s="1"/>
  <c r="G32" i="6"/>
  <c r="G42" i="6" s="1"/>
  <c r="G28" i="6"/>
  <c r="G38" i="6" s="1"/>
  <c r="F31" i="6"/>
  <c r="F41" i="6" s="1"/>
  <c r="G29" i="6"/>
  <c r="G39" i="6" s="1"/>
  <c r="F28" i="6"/>
  <c r="F38" i="6" s="1"/>
  <c r="E32" i="6"/>
  <c r="E42" i="6" s="1"/>
  <c r="E28" i="6"/>
  <c r="E38" i="6" s="1"/>
  <c r="F29" i="6"/>
  <c r="F39" i="6" s="1"/>
  <c r="G31" i="6"/>
  <c r="G41" i="6" s="1"/>
  <c r="G27" i="6"/>
  <c r="G37" i="6" s="1"/>
  <c r="C11" i="2" l="1"/>
  <c r="E27" i="6"/>
  <c r="E37" i="6" s="1"/>
  <c r="D28" i="6"/>
  <c r="D38" i="6" s="1"/>
  <c r="T7" i="6"/>
  <c r="D29" i="6"/>
  <c r="D39" i="6" s="1"/>
  <c r="T8" i="6"/>
  <c r="D31" i="6"/>
  <c r="D41" i="6" s="1"/>
  <c r="T10" i="6"/>
  <c r="D32" i="6"/>
  <c r="D42" i="6" s="1"/>
  <c r="T11" i="6"/>
  <c r="G26" i="6"/>
  <c r="E12" i="6"/>
  <c r="E26" i="6"/>
  <c r="E36" i="6" s="1"/>
  <c r="F12" i="6"/>
  <c r="E28" i="3"/>
  <c r="C28" i="3"/>
  <c r="D28" i="3"/>
  <c r="D26" i="6"/>
  <c r="D36" i="6" s="1"/>
  <c r="F26" i="6"/>
  <c r="G12" i="6" l="1"/>
  <c r="T5" i="6"/>
  <c r="D27" i="6"/>
  <c r="D37" i="6" s="1"/>
  <c r="D43" i="6" s="1"/>
  <c r="T6" i="6"/>
  <c r="G36" i="6"/>
  <c r="G43" i="6" s="1"/>
  <c r="G33" i="6"/>
  <c r="F33" i="6"/>
  <c r="F36" i="6"/>
  <c r="F43" i="6" s="1"/>
  <c r="D12" i="6"/>
  <c r="E33" i="6"/>
  <c r="E43" i="6"/>
  <c r="T12" i="6" l="1"/>
  <c r="D33" i="6"/>
  <c r="E58" i="3" l="1"/>
  <c r="C58" i="3"/>
  <c r="D58" i="3"/>
  <c r="E10" i="2" l="1"/>
  <c r="E12" i="2" s="1"/>
  <c r="E14" i="2" s="1"/>
  <c r="D10" i="2"/>
  <c r="I10" i="2"/>
  <c r="I12" i="2" s="1"/>
  <c r="J10" i="2"/>
  <c r="J12" i="2" s="1"/>
  <c r="J17" i="2" s="1"/>
  <c r="G10" i="2"/>
  <c r="G12" i="2" s="1"/>
  <c r="H10" i="2"/>
  <c r="H12" i="2" s="1"/>
  <c r="F10" i="2"/>
  <c r="F12" i="2" s="1"/>
  <c r="E17" i="2" l="1"/>
  <c r="E15" i="2"/>
  <c r="H22" i="6"/>
  <c r="H32" i="6" s="1"/>
  <c r="H42" i="6" s="1"/>
  <c r="M22" i="6"/>
  <c r="M32" i="6" s="1"/>
  <c r="M42" i="6" s="1"/>
  <c r="K22" i="6"/>
  <c r="K32" i="6" s="1"/>
  <c r="K42" i="6" s="1"/>
  <c r="O22" i="6"/>
  <c r="O32" i="6" s="1"/>
  <c r="O42" i="6" s="1"/>
  <c r="I22" i="6"/>
  <c r="I32" i="6" s="1"/>
  <c r="I42" i="6" s="1"/>
  <c r="S22" i="6"/>
  <c r="S32" i="6" s="1"/>
  <c r="S42" i="6" s="1"/>
  <c r="P22" i="6"/>
  <c r="P32" i="6" s="1"/>
  <c r="P42" i="6" s="1"/>
  <c r="L22" i="6"/>
  <c r="L32" i="6" s="1"/>
  <c r="L42" i="6" s="1"/>
  <c r="J22" i="6"/>
  <c r="J32" i="6" s="1"/>
  <c r="J42" i="6" s="1"/>
  <c r="J19" i="2"/>
  <c r="J20" i="2" s="1"/>
  <c r="R22" i="6"/>
  <c r="R32" i="6" s="1"/>
  <c r="R42" i="6" s="1"/>
  <c r="Q22" i="6"/>
  <c r="Q32" i="6" s="1"/>
  <c r="Q42" i="6" s="1"/>
  <c r="N22" i="6"/>
  <c r="N32" i="6" s="1"/>
  <c r="N42" i="6" s="1"/>
  <c r="F17" i="2"/>
  <c r="F14" i="2"/>
  <c r="F15" i="2"/>
  <c r="G17" i="2"/>
  <c r="G15" i="2"/>
  <c r="G14" i="2"/>
  <c r="S17" i="6"/>
  <c r="S27" i="6" s="1"/>
  <c r="S37" i="6" s="1"/>
  <c r="K17" i="6"/>
  <c r="K27" i="6" s="1"/>
  <c r="K37" i="6" s="1"/>
  <c r="O17" i="6"/>
  <c r="O27" i="6" s="1"/>
  <c r="O37" i="6" s="1"/>
  <c r="J17" i="6"/>
  <c r="J27" i="6" s="1"/>
  <c r="J37" i="6" s="1"/>
  <c r="M17" i="6"/>
  <c r="M27" i="6" s="1"/>
  <c r="M37" i="6" s="1"/>
  <c r="E19" i="2"/>
  <c r="E20" i="2" s="1"/>
  <c r="P17" i="6"/>
  <c r="P27" i="6" s="1"/>
  <c r="P37" i="6" s="1"/>
  <c r="N17" i="6"/>
  <c r="N27" i="6" s="1"/>
  <c r="N37" i="6" s="1"/>
  <c r="H17" i="6"/>
  <c r="H27" i="6" s="1"/>
  <c r="H37" i="6" s="1"/>
  <c r="L17" i="6"/>
  <c r="L27" i="6" s="1"/>
  <c r="L37" i="6" s="1"/>
  <c r="R17" i="6"/>
  <c r="R27" i="6" s="1"/>
  <c r="R37" i="6" s="1"/>
  <c r="I17" i="6"/>
  <c r="I27" i="6" s="1"/>
  <c r="I37" i="6" s="1"/>
  <c r="Q17" i="6"/>
  <c r="Q27" i="6" s="1"/>
  <c r="Q37" i="6" s="1"/>
  <c r="H14" i="2"/>
  <c r="H15" i="2"/>
  <c r="I20" i="6"/>
  <c r="I30" i="6" s="1"/>
  <c r="I40" i="6" s="1"/>
  <c r="H20" i="6"/>
  <c r="H30" i="6" s="1"/>
  <c r="H40" i="6" s="1"/>
  <c r="K20" i="6"/>
  <c r="K30" i="6" s="1"/>
  <c r="K40" i="6" s="1"/>
  <c r="R20" i="6"/>
  <c r="R30" i="6" s="1"/>
  <c r="R40" i="6" s="1"/>
  <c r="H17" i="2"/>
  <c r="H19" i="2" s="1"/>
  <c r="H20" i="2" s="1"/>
  <c r="L20" i="6"/>
  <c r="L30" i="6" s="1"/>
  <c r="L40" i="6" s="1"/>
  <c r="O20" i="6"/>
  <c r="O30" i="6" s="1"/>
  <c r="O40" i="6" s="1"/>
  <c r="M20" i="6"/>
  <c r="M30" i="6" s="1"/>
  <c r="M40" i="6" s="1"/>
  <c r="Q20" i="6"/>
  <c r="Q30" i="6" s="1"/>
  <c r="Q40" i="6" s="1"/>
  <c r="S20" i="6"/>
  <c r="S30" i="6" s="1"/>
  <c r="S40" i="6" s="1"/>
  <c r="N20" i="6"/>
  <c r="N30" i="6" s="1"/>
  <c r="N40" i="6" s="1"/>
  <c r="J20" i="6"/>
  <c r="J30" i="6" s="1"/>
  <c r="J40" i="6" s="1"/>
  <c r="P20" i="6"/>
  <c r="P30" i="6" s="1"/>
  <c r="P40" i="6" s="1"/>
  <c r="I15" i="2"/>
  <c r="I17" i="2"/>
  <c r="I14" i="2"/>
  <c r="C9" i="2"/>
  <c r="D12" i="2"/>
  <c r="H24" i="2" l="1"/>
  <c r="D23" i="10" s="1"/>
  <c r="L18" i="6"/>
  <c r="L28" i="6" s="1"/>
  <c r="L38" i="6" s="1"/>
  <c r="H18" i="6"/>
  <c r="H28" i="6" s="1"/>
  <c r="H38" i="6" s="1"/>
  <c r="I18" i="6"/>
  <c r="I28" i="6" s="1"/>
  <c r="I38" i="6" s="1"/>
  <c r="F19" i="2"/>
  <c r="F20" i="2" s="1"/>
  <c r="J18" i="6"/>
  <c r="J28" i="6" s="1"/>
  <c r="J38" i="6" s="1"/>
  <c r="R18" i="6"/>
  <c r="R28" i="6" s="1"/>
  <c r="R38" i="6" s="1"/>
  <c r="K18" i="6"/>
  <c r="K28" i="6" s="1"/>
  <c r="K38" i="6" s="1"/>
  <c r="N18" i="6"/>
  <c r="N28" i="6" s="1"/>
  <c r="N38" i="6" s="1"/>
  <c r="O18" i="6"/>
  <c r="O28" i="6" s="1"/>
  <c r="O38" i="6" s="1"/>
  <c r="M18" i="6"/>
  <c r="M28" i="6" s="1"/>
  <c r="M38" i="6" s="1"/>
  <c r="P18" i="6"/>
  <c r="P28" i="6" s="1"/>
  <c r="P38" i="6" s="1"/>
  <c r="Q18" i="6"/>
  <c r="Q28" i="6" s="1"/>
  <c r="Q38" i="6" s="1"/>
  <c r="S18" i="6"/>
  <c r="S28" i="6" s="1"/>
  <c r="S38" i="6" s="1"/>
  <c r="D14" i="2"/>
  <c r="D15" i="2"/>
  <c r="D17" i="2"/>
  <c r="J24" i="2"/>
  <c r="D25" i="10" s="1"/>
  <c r="L21" i="6"/>
  <c r="L31" i="6" s="1"/>
  <c r="L41" i="6" s="1"/>
  <c r="S21" i="6"/>
  <c r="S31" i="6" s="1"/>
  <c r="S41" i="6" s="1"/>
  <c r="R21" i="6"/>
  <c r="R31" i="6" s="1"/>
  <c r="R41" i="6" s="1"/>
  <c r="I21" i="6"/>
  <c r="I31" i="6" s="1"/>
  <c r="I41" i="6" s="1"/>
  <c r="M21" i="6"/>
  <c r="M31" i="6" s="1"/>
  <c r="M41" i="6" s="1"/>
  <c r="I19" i="2"/>
  <c r="I20" i="2" s="1"/>
  <c r="K21" i="6"/>
  <c r="K31" i="6" s="1"/>
  <c r="K41" i="6" s="1"/>
  <c r="P21" i="6"/>
  <c r="P31" i="6" s="1"/>
  <c r="P41" i="6" s="1"/>
  <c r="O21" i="6"/>
  <c r="O31" i="6" s="1"/>
  <c r="O41" i="6" s="1"/>
  <c r="J21" i="6"/>
  <c r="J31" i="6" s="1"/>
  <c r="J41" i="6" s="1"/>
  <c r="Q21" i="6"/>
  <c r="Q31" i="6" s="1"/>
  <c r="Q41" i="6" s="1"/>
  <c r="H21" i="6"/>
  <c r="H31" i="6" s="1"/>
  <c r="H41" i="6" s="1"/>
  <c r="N21" i="6"/>
  <c r="N31" i="6" s="1"/>
  <c r="N41" i="6" s="1"/>
  <c r="E24" i="2"/>
  <c r="D20" i="10" s="1"/>
  <c r="S19" i="6"/>
  <c r="S29" i="6" s="1"/>
  <c r="S39" i="6" s="1"/>
  <c r="H19" i="6"/>
  <c r="H29" i="6" s="1"/>
  <c r="H39" i="6" s="1"/>
  <c r="K19" i="6"/>
  <c r="K29" i="6" s="1"/>
  <c r="K39" i="6" s="1"/>
  <c r="M19" i="6"/>
  <c r="M29" i="6" s="1"/>
  <c r="M39" i="6" s="1"/>
  <c r="L19" i="6"/>
  <c r="L29" i="6" s="1"/>
  <c r="L39" i="6" s="1"/>
  <c r="R19" i="6"/>
  <c r="R29" i="6" s="1"/>
  <c r="R39" i="6" s="1"/>
  <c r="Q19" i="6"/>
  <c r="Q29" i="6" s="1"/>
  <c r="Q39" i="6" s="1"/>
  <c r="I19" i="6"/>
  <c r="I29" i="6" s="1"/>
  <c r="I39" i="6" s="1"/>
  <c r="P19" i="6"/>
  <c r="P29" i="6" s="1"/>
  <c r="P39" i="6" s="1"/>
  <c r="G19" i="2"/>
  <c r="G20" i="2" s="1"/>
  <c r="N19" i="6"/>
  <c r="N29" i="6" s="1"/>
  <c r="N39" i="6" s="1"/>
  <c r="O19" i="6"/>
  <c r="O29" i="6" s="1"/>
  <c r="O39" i="6" s="1"/>
  <c r="J19" i="6"/>
  <c r="J29" i="6" s="1"/>
  <c r="J39" i="6" s="1"/>
  <c r="F24" i="2" l="1"/>
  <c r="D21" i="10" s="1"/>
  <c r="I24" i="2"/>
  <c r="D24" i="10" s="1"/>
  <c r="H16" i="6"/>
  <c r="H26" i="6" s="1"/>
  <c r="S16" i="6"/>
  <c r="S26" i="6" s="1"/>
  <c r="D19" i="2"/>
  <c r="D20" i="2" s="1"/>
  <c r="M16" i="6"/>
  <c r="M26" i="6" s="1"/>
  <c r="J16" i="6"/>
  <c r="J26" i="6" s="1"/>
  <c r="R16" i="6"/>
  <c r="R26" i="6" s="1"/>
  <c r="O16" i="6"/>
  <c r="O26" i="6" s="1"/>
  <c r="Q16" i="6"/>
  <c r="Q26" i="6" s="1"/>
  <c r="N16" i="6"/>
  <c r="N26" i="6" s="1"/>
  <c r="L16" i="6"/>
  <c r="L26" i="6" s="1"/>
  <c r="P16" i="6"/>
  <c r="P26" i="6" s="1"/>
  <c r="I16" i="6"/>
  <c r="I26" i="6" s="1"/>
  <c r="K16" i="6"/>
  <c r="K26" i="6" s="1"/>
  <c r="D26" i="2"/>
  <c r="G24" i="2"/>
  <c r="D22" i="10" s="1"/>
  <c r="I33" i="6" l="1"/>
  <c r="I36" i="6"/>
  <c r="I43" i="6" s="1"/>
  <c r="L36" i="6"/>
  <c r="L43" i="6" s="1"/>
  <c r="L33" i="6"/>
  <c r="N36" i="6"/>
  <c r="N43" i="6" s="1"/>
  <c r="N33" i="6"/>
  <c r="M36" i="6"/>
  <c r="M43" i="6" s="1"/>
  <c r="M33" i="6"/>
  <c r="P33" i="6"/>
  <c r="P36" i="6"/>
  <c r="P43" i="6" s="1"/>
  <c r="S33" i="6"/>
  <c r="S36" i="6"/>
  <c r="S43" i="6" s="1"/>
  <c r="H36" i="6"/>
  <c r="H43" i="6" s="1"/>
  <c r="H33" i="6"/>
  <c r="Q36" i="6"/>
  <c r="Q43" i="6" s="1"/>
  <c r="Q33" i="6"/>
  <c r="D27" i="2"/>
  <c r="C46" i="2"/>
  <c r="D24" i="2"/>
  <c r="D19" i="10" s="1"/>
  <c r="C20" i="2"/>
  <c r="C24" i="2" s="1"/>
  <c r="D26" i="10" s="1"/>
  <c r="O36" i="6"/>
  <c r="O43" i="6" s="1"/>
  <c r="O33" i="6"/>
  <c r="R33" i="6"/>
  <c r="R36" i="6"/>
  <c r="R43" i="6" s="1"/>
  <c r="K36" i="6"/>
  <c r="K43" i="6" s="1"/>
  <c r="K33" i="6"/>
  <c r="J33" i="6"/>
  <c r="J36" i="6"/>
  <c r="J43" i="6" s="1"/>
  <c r="U33" i="6" l="1"/>
  <c r="F6" i="11"/>
  <c r="F7" i="11" s="1"/>
  <c r="J33" i="11"/>
  <c r="I33" i="11" s="1"/>
  <c r="U43" i="6"/>
  <c r="K6" i="11"/>
  <c r="J38" i="11"/>
  <c r="Q6" i="11"/>
  <c r="J44" i="11"/>
  <c r="M6" i="11"/>
  <c r="J40" i="11"/>
  <c r="J35" i="11"/>
  <c r="H6" i="11"/>
  <c r="L6" i="11"/>
  <c r="J39" i="11"/>
  <c r="J37" i="11"/>
  <c r="J6" i="11"/>
  <c r="O6" i="11"/>
  <c r="J42" i="11"/>
  <c r="I6" i="11"/>
  <c r="J36" i="11"/>
  <c r="J41" i="11"/>
  <c r="N6" i="11"/>
  <c r="G6" i="11"/>
  <c r="J34" i="11"/>
  <c r="D46" i="2"/>
  <c r="C48" i="2"/>
  <c r="P6" i="11"/>
  <c r="J43" i="11"/>
  <c r="J46" i="11" l="1"/>
  <c r="R6" i="11"/>
  <c r="F8" i="11"/>
  <c r="F9" i="11" s="1"/>
  <c r="G7" i="11" s="1"/>
  <c r="U45" i="6"/>
  <c r="H33" i="11" l="1"/>
  <c r="G8" i="11"/>
  <c r="G9" i="11" s="1"/>
  <c r="H7" i="11" s="1"/>
  <c r="I34" i="11" l="1"/>
  <c r="H34" i="11" l="1"/>
  <c r="H8" i="11"/>
  <c r="H9" i="11" s="1"/>
  <c r="I7" i="11" s="1"/>
  <c r="I35" i="11" l="1"/>
  <c r="H35" i="11" s="1"/>
  <c r="I36" i="11" l="1"/>
  <c r="H36" i="11" s="1"/>
  <c r="I8" i="11"/>
  <c r="I9" i="11" s="1"/>
  <c r="J7" i="11" s="1"/>
  <c r="I37" i="11" l="1"/>
  <c r="H37" i="11" s="1"/>
  <c r="I38" i="11" l="1"/>
  <c r="H38" i="11" s="1"/>
  <c r="J8" i="11"/>
  <c r="J9" i="11" s="1"/>
  <c r="K7" i="11" s="1"/>
  <c r="I39" i="11" l="1"/>
  <c r="H39" i="11" s="1"/>
  <c r="I40" i="11" l="1"/>
  <c r="H40" i="11" s="1"/>
  <c r="K8" i="11"/>
  <c r="K9" i="11" s="1"/>
  <c r="L7" i="11" s="1"/>
  <c r="I41" i="11" l="1"/>
  <c r="H41" i="11" s="1"/>
  <c r="L8" i="11"/>
  <c r="L9" i="11" s="1"/>
  <c r="M7" i="11" s="1"/>
  <c r="M8" i="11" l="1"/>
  <c r="M9" i="11" s="1"/>
  <c r="N7" i="11" s="1"/>
  <c r="I42" i="11"/>
  <c r="H42" i="11" s="1"/>
  <c r="I43" i="11" l="1"/>
  <c r="H43" i="11" s="1"/>
  <c r="N8" i="11"/>
  <c r="N9" i="11" s="1"/>
  <c r="O7" i="11" s="1"/>
  <c r="I44" i="11" l="1"/>
  <c r="I46" i="11" s="1"/>
  <c r="O8" i="11"/>
  <c r="O9" i="11" s="1"/>
  <c r="P7" i="11" s="1"/>
  <c r="P8" i="11" l="1"/>
  <c r="P9" i="11" s="1"/>
  <c r="Q7" i="11" s="1"/>
  <c r="H44" i="11"/>
  <c r="Q8" i="11" l="1"/>
  <c r="Q9" i="11" s="1"/>
  <c r="G20" i="11"/>
  <c r="G21" i="11" s="1"/>
  <c r="G24" i="11" s="1"/>
  <c r="R7" i="11"/>
  <c r="C32" i="2" s="1"/>
  <c r="C33" i="2" l="1"/>
  <c r="C35" i="2"/>
</calcChain>
</file>

<file path=xl/sharedStrings.xml><?xml version="1.0" encoding="utf-8"?>
<sst xmlns="http://schemas.openxmlformats.org/spreadsheetml/2006/main" count="393" uniqueCount="271">
  <si>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</si>
  <si>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</si>
  <si>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</si>
  <si>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</si>
  <si>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</si>
  <si>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</si>
  <si>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</si>
  <si>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</si>
  <si>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</si>
  <si>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</si>
  <si>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</si>
  <si>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</si>
  <si>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</si>
  <si>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</si>
  <si>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</si>
  <si>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</si>
  <si>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</si>
  <si>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</si>
  <si>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</si>
  <si>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</si>
  <si>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</si>
  <si>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</si>
  <si>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(1)</t>
  </si>
  <si>
    <t>Annual Load (Rate Year)</t>
  </si>
  <si>
    <t>(2)</t>
  </si>
  <si>
    <t>Cents Per kWh Rate</t>
  </si>
  <si>
    <t>Total Bills</t>
  </si>
  <si>
    <t>Proposed Cents per kWh Rate</t>
  </si>
  <si>
    <t>Present Cents per kWh Rate</t>
  </si>
  <si>
    <t>Difference in Rate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</si>
  <si>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</si>
  <si>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</si>
  <si>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</si>
  <si>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</si>
  <si>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</si>
  <si>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</si>
  <si>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</si>
  <si>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</si>
  <si>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</si>
  <si>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</si>
  <si>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</si>
  <si>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</si>
  <si>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</si>
  <si>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</si>
  <si>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</si>
  <si>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</si>
  <si>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</si>
  <si>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</si>
  <si>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</si>
  <si>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</si>
  <si>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</si>
  <si>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</si>
  <si>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</si>
  <si>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</si>
  <si>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</si>
  <si>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</si>
  <si>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</si>
  <si>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Interest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</si>
  <si>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</si>
  <si>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</si>
  <si>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</si>
  <si>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</si>
  <si>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</si>
  <si>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</si>
  <si>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</si>
  <si>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</si>
  <si>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</si>
  <si>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</si>
  <si>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</si>
  <si>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</si>
  <si>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</si>
  <si>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</si>
  <si>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</si>
  <si>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SCHEDULE 1, 2</t>
  </si>
  <si>
    <t>WA001/WA002</t>
  </si>
  <si>
    <t>Residential Schedule 001/002</t>
  </si>
  <si>
    <t>Schedule No.</t>
  </si>
  <si>
    <t>1/2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</si>
  <si>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</si>
  <si>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</si>
  <si>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</si>
  <si>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</si>
  <si>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</si>
  <si>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</si>
  <si>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</si>
  <si>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</si>
  <si>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Overall</t>
  </si>
  <si>
    <t>Present</t>
  </si>
  <si>
    <t>Proposed</t>
  </si>
  <si>
    <t>Approved In</t>
  </si>
  <si>
    <t>Change in Billed Revenue</t>
  </si>
  <si>
    <t>Plus Bill Impact</t>
  </si>
  <si>
    <t>SCH. 21,22,23</t>
  </si>
  <si>
    <t>SCH. 11,12,13</t>
  </si>
  <si>
    <t>TWELVE MONTHS ENDED DECEMBER 31, 2019 (Effective 10/01/21)</t>
  </si>
  <si>
    <t>UE-200900</t>
  </si>
  <si>
    <t>WA002</t>
  </si>
  <si>
    <t>WA025I</t>
  </si>
  <si>
    <t>WA023</t>
  </si>
  <si>
    <t>WA013</t>
  </si>
  <si>
    <t>WA011/012/013</t>
  </si>
  <si>
    <t>WA025/025I</t>
  </si>
  <si>
    <t>WA021/022/023</t>
  </si>
  <si>
    <t>EREV Feb Mid-month 02.16.22</t>
  </si>
  <si>
    <t>Residential Bill Impact (932 kWh's)</t>
  </si>
  <si>
    <t>Bill at 932 kWhs</t>
  </si>
  <si>
    <t>Amortization</t>
  </si>
  <si>
    <t>11/12/13</t>
  </si>
  <si>
    <t>21/22/23</t>
  </si>
  <si>
    <t xml:space="preserve">Wildfire Allocation </t>
  </si>
  <si>
    <t>Wildfire Deferral</t>
  </si>
  <si>
    <t>Conversion Factor</t>
  </si>
  <si>
    <t>Grossed up Wildfire Deferral Costs</t>
  </si>
  <si>
    <t>Wildfire Amortization Rates</t>
  </si>
  <si>
    <t xml:space="preserve">Gross Wildfire Amortization </t>
  </si>
  <si>
    <t xml:space="preserve">Net Wildfire Amortization  </t>
  </si>
  <si>
    <t>Curve</t>
  </si>
  <si>
    <t>Monthly WA Wildfire Expense</t>
  </si>
  <si>
    <t>DJ477 - Booked</t>
  </si>
  <si>
    <t>WA Revenue Forecast</t>
  </si>
  <si>
    <r>
      <t>WA Wildfire Expense Base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</si>
  <si>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  </t>
  </si>
  <si>
    <t>Avg Monthly Impact Per Customer</t>
  </si>
  <si>
    <t>Avg Annual Impact Per Customer</t>
  </si>
  <si>
    <t>SCHEDULE 25</t>
  </si>
  <si>
    <t>SCHEDULE 25I</t>
  </si>
  <si>
    <t>SP. CONTRACT</t>
  </si>
  <si>
    <t>Table 1 - Impact by Rate Schedule</t>
  </si>
  <si>
    <t>25I</t>
  </si>
  <si>
    <t>Special Contract</t>
  </si>
  <si>
    <t>25</t>
  </si>
  <si>
    <t>End January</t>
  </si>
  <si>
    <t>End February</t>
  </si>
  <si>
    <t>End March</t>
  </si>
  <si>
    <t>End April</t>
  </si>
  <si>
    <t>End May</t>
  </si>
  <si>
    <t>End June</t>
  </si>
  <si>
    <t>End July</t>
  </si>
  <si>
    <t>End August</t>
  </si>
  <si>
    <t>End September</t>
  </si>
  <si>
    <t xml:space="preserve">End October </t>
  </si>
  <si>
    <t>End November</t>
  </si>
  <si>
    <t>End December</t>
  </si>
  <si>
    <t>Net change in balance</t>
  </si>
  <si>
    <t>Return on Wildfire Costs</t>
  </si>
  <si>
    <t>Total Wildfire Costs</t>
  </si>
  <si>
    <t>Elec Wildfire deferral balance</t>
  </si>
  <si>
    <t>Monthly Rate</t>
  </si>
  <si>
    <t>Expected Wildfire tariff rider amortization revenue</t>
  </si>
  <si>
    <t>Expected Wildfire interest</t>
  </si>
  <si>
    <t>Revenue Conversion</t>
  </si>
  <si>
    <t>Total to Recover</t>
  </si>
  <si>
    <t>Total To Collect</t>
  </si>
  <si>
    <t>Special Contract Schedule 25I</t>
  </si>
  <si>
    <t>July 31 Balance</t>
  </si>
  <si>
    <t>Date</t>
  </si>
  <si>
    <t>Unamortized Balance (1)</t>
  </si>
  <si>
    <t>Interest (2)</t>
  </si>
  <si>
    <t>Annual Total</t>
  </si>
  <si>
    <t>2A</t>
  </si>
  <si>
    <t>2B</t>
  </si>
  <si>
    <t>FERC 593</t>
  </si>
  <si>
    <t>FERC 571</t>
  </si>
  <si>
    <t>Distribution Expense (FERC 593)</t>
  </si>
  <si>
    <t>Transmission Expense (FERC 571)</t>
  </si>
  <si>
    <t>Transaction Amount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</si>
  <si>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</si>
  <si>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</si>
  <si>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</si>
  <si>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</si>
  <si>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</si>
  <si>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</si>
  <si>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</si>
  <si>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</si>
  <si>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</si>
  <si>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</si>
  <si>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</si>
  <si>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WA</t>
  </si>
  <si>
    <t>NONE</t>
  </si>
  <si>
    <t>02806900</t>
  </si>
  <si>
    <t>Wildfire Resiliency Defer - WA</t>
  </si>
  <si>
    <t>Voucher</t>
  </si>
  <si>
    <t>885 Miscellaneous</t>
  </si>
  <si>
    <t>OPER</t>
  </si>
  <si>
    <t>02802072</t>
  </si>
  <si>
    <t>WFRES Distrib Operations_WA</t>
  </si>
  <si>
    <t>Contractor</t>
  </si>
  <si>
    <t>015 Construction Services</t>
  </si>
  <si>
    <t>02802073</t>
  </si>
  <si>
    <t>WFRES Distrib Maint_WA</t>
  </si>
  <si>
    <t>010 General Services</t>
  </si>
  <si>
    <t>035 Workforce - Contract</t>
  </si>
  <si>
    <t>Material</t>
  </si>
  <si>
    <t>415 Material Issues</t>
  </si>
  <si>
    <t>Overhead</t>
  </si>
  <si>
    <t>530 Stores/Material Loading</t>
  </si>
  <si>
    <t>532 Materials Tax/Fght Loading</t>
  </si>
  <si>
    <t>910 Postage</t>
  </si>
  <si>
    <t>915 Printing</t>
  </si>
  <si>
    <t>ID</t>
  </si>
  <si>
    <t>03805874</t>
  </si>
  <si>
    <t>Wildfire Resiliency Defer - ID</t>
  </si>
  <si>
    <t>03802072</t>
  </si>
  <si>
    <t>WFRES Distrib Operations_ID</t>
  </si>
  <si>
    <t>03802073</t>
  </si>
  <si>
    <t>WFRES Distrib Maint_ID</t>
  </si>
  <si>
    <t>AN</t>
  </si>
  <si>
    <t>02806691</t>
  </si>
  <si>
    <t>Wildfire Plan - Transmission</t>
  </si>
  <si>
    <t>Employee Expenses</t>
  </si>
  <si>
    <t>210 Employee Auto Mileage</t>
  </si>
  <si>
    <t>215 Employee Business Meals</t>
  </si>
  <si>
    <t>830 Dues</t>
  </si>
  <si>
    <t>09806011</t>
  </si>
  <si>
    <t>Wildfire Plan - Distribution</t>
  </si>
  <si>
    <t>205 Airfare</t>
  </si>
  <si>
    <t>225 Conference Fees</t>
  </si>
  <si>
    <t>230 Employee Lodging</t>
  </si>
  <si>
    <t>235 Employee Misc Expenses</t>
  </si>
  <si>
    <t>820 Computer Equip Software</t>
  </si>
  <si>
    <t>950 Training</t>
  </si>
  <si>
    <t>955 Uniforms - Employees</t>
  </si>
  <si>
    <t>29902070</t>
  </si>
  <si>
    <t>WFRES Trans Maint - 115kV WA</t>
  </si>
  <si>
    <t>Vehicle</t>
  </si>
  <si>
    <t>710 Rental Expense - Vehicle</t>
  </si>
  <si>
    <t>732 Vehicle Service - Ext Labr</t>
  </si>
  <si>
    <t>880 Materials &amp; Equipment</t>
  </si>
  <si>
    <t>29902071</t>
  </si>
  <si>
    <t>WFRES Trans Oper-115kV WA</t>
  </si>
  <si>
    <t>525 Small Tools loading</t>
  </si>
  <si>
    <t>Transportation</t>
  </si>
  <si>
    <t>560 Road Vehicles</t>
  </si>
  <si>
    <t>570 Work Vehicles</t>
  </si>
  <si>
    <t>33302070</t>
  </si>
  <si>
    <t>WFRES Tran Maint 230kv 333</t>
  </si>
  <si>
    <t>39902071</t>
  </si>
  <si>
    <t>WFRES Trans Operat-115kV ID</t>
  </si>
  <si>
    <t>P/T Ratio - ID</t>
  </si>
  <si>
    <t>Total ID Incremental Costs</t>
  </si>
  <si>
    <t>P/T Ratio - WA</t>
  </si>
  <si>
    <t>Total WA Incremental Costs</t>
  </si>
  <si>
    <t>Check</t>
  </si>
  <si>
    <t>Notes:</t>
  </si>
  <si>
    <t>The Wildfire Resilency (WFRES) incremental expenses above includes all MAC 207 (Wildfire Resiliency) costs, excluding labor.  Incremental labor is defined as new employees hired into a WFRES position or an existing employees hired into a WFRES position if their previous position was backfilled.  Per Dave James and Cherie Hirschberger, WFRES manager, no employees met the definition of incremental as of Dec 2021.</t>
  </si>
  <si>
    <t>Distribution</t>
  </si>
  <si>
    <t>Tranmission</t>
  </si>
  <si>
    <t>ID Share</t>
  </si>
  <si>
    <t>Allocation</t>
  </si>
  <si>
    <t>Sch 1-2</t>
  </si>
  <si>
    <t>Sch 11-12</t>
  </si>
  <si>
    <t>Sch 21-22</t>
  </si>
  <si>
    <t>Sch 25</t>
  </si>
  <si>
    <t>Sch 30-32</t>
  </si>
  <si>
    <t>Sch 41-48</t>
  </si>
  <si>
    <t>Sch 25I</t>
  </si>
  <si>
    <t>Functional Cost Components at Current Rates</t>
  </si>
  <si>
    <t>Production</t>
  </si>
  <si>
    <t>Transmission</t>
  </si>
  <si>
    <t xml:space="preserve">Distribution </t>
  </si>
  <si>
    <t>Common</t>
  </si>
  <si>
    <t>Total Current Rate Revenue</t>
  </si>
  <si>
    <t>Source: Summary tab, UE-200900 Allowed Revenue Electric COS Model.xlsm</t>
  </si>
  <si>
    <t>Line</t>
  </si>
  <si>
    <t xml:space="preserve">Change in Revenue </t>
  </si>
  <si>
    <t>Total Surcharge Amount (Grossed Up)</t>
  </si>
  <si>
    <t>As of 6/30/2022</t>
  </si>
  <si>
    <t>Weighted Average Cost of Debt</t>
  </si>
  <si>
    <t>Actual Cost of Debt</t>
  </si>
  <si>
    <t>Tax Rate</t>
  </si>
  <si>
    <t>Monthly After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</si>
</sst>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  <numFmt numFmtId="176" formatCode="_(&quot;$&quot;* #,##0.000_);_(&quot;$&quot;* \(#,##0.000\);_(&quot;$&quot;* &quot;-&quot;??_);_(@_)"/>
    <numFmt numFmtId="177" formatCode="_(* #,##0.00000_);_(* \(#,##0.00000\);_(* &quot;-&quot;??_);_(@_)"/>
    <numFmt numFmtId="178" formatCode="0000"/>
    <numFmt numFmtId="179" formatCode="000000"/>
    <numFmt numFmtId="180" formatCode="d\.mmm\.yy"/>
    <numFmt numFmtId="181" formatCode="_-* #,##0.00\ _D_M_-;\-* #,##0.00\ _D_M_-;_-* &quot;-&quot;??\ _D_M_-;_-@_-"/>
    <numFmt numFmtId="182" formatCode="_(* #,##0.000_);_(* \(#,##0.000\);_(* &quot;-&quot;??_);_(@_)"/>
    <numFmt numFmtId="183" formatCode="#.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&quot;$&quot;#,##0\ ;\(&quot;$&quot;#,##0\)"/>
    <numFmt numFmtId="187" formatCode="mmmm\ d\,\ yyyy"/>
    <numFmt numFmtId="188" formatCode="[Blue]#,##0_);[Magenta]\(#,##0\)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0.0000_);\(0.0000\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0.00000%"/>
    <numFmt numFmtId="200" formatCode="mmm\-yyyy"/>
    <numFmt numFmtId="201" formatCode="m/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0.000000%"/>
    <numFmt numFmtId="205" formatCode="#,##0.##"/>
  </numFmts>
  <fonts count="15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0.5"/>
      <color rgb="FF343334"/>
      <name val="Tahoma"/>
      <family val="2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9"/>
      <name val="Arial"/>
      <family val="2"/>
    </font>
    <font>
      <b/>
      <sz val="12"/>
      <color rgb="FF0000FF"/>
      <name val="Times New Roman"/>
      <family val="1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EAEA"/>
      </patternFill>
    </fill>
    <fill>
      <patternFill patternType="solid">
        <fgColor rgb="FFD0EBE6"/>
      </patternFill>
    </fill>
    <fill>
      <patternFill patternType="solid">
        <fgColor rgb="FFE2F1EE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/>
      <right/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90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2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0" borderId="0">
      <alignment readingOrder="1"/>
    </xf>
    <xf numFmtId="0" fontId="9" fillId="0" borderId="0"/>
    <xf numFmtId="3" fontId="14" fillId="0" borderId="0"/>
    <xf numFmtId="3" fontId="14" fillId="0" borderId="0"/>
    <xf numFmtId="0" fontId="1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/>
    <xf numFmtId="4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51" fillId="0" borderId="0"/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51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7" fontId="15" fillId="0" borderId="0">
      <alignment horizontal="left" wrapText="1"/>
    </xf>
    <xf numFmtId="177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51" fillId="0" borderId="0"/>
    <xf numFmtId="0" fontId="51" fillId="0" borderId="0"/>
    <xf numFmtId="178" fontId="53" fillId="0" borderId="0">
      <alignment horizontal="left"/>
    </xf>
    <xf numFmtId="179" fontId="54" fillId="0" borderId="0">
      <alignment horizontal="left"/>
    </xf>
    <xf numFmtId="0" fontId="55" fillId="0" borderId="28"/>
    <xf numFmtId="0" fontId="56" fillId="0" borderId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171" fontId="52" fillId="0" borderId="0">
      <alignment horizontal="left" wrapText="1"/>
    </xf>
    <xf numFmtId="0" fontId="57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71" fontId="52" fillId="0" borderId="0">
      <alignment horizontal="left" wrapText="1"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7" fillId="35" borderId="0" applyNumberFormat="0" applyBorder="0" applyAlignment="0" applyProtection="0"/>
    <xf numFmtId="171" fontId="52" fillId="0" borderId="0">
      <alignment horizontal="left" wrapText="1"/>
    </xf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171" fontId="52" fillId="0" borderId="0">
      <alignment horizontal="left" wrapText="1"/>
    </xf>
    <xf numFmtId="0" fontId="57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71" fontId="52" fillId="0" borderId="0">
      <alignment horizontal="left" wrapText="1"/>
    </xf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7" fillId="37" borderId="0" applyNumberFormat="0" applyBorder="0" applyAlignment="0" applyProtection="0"/>
    <xf numFmtId="171" fontId="52" fillId="0" borderId="0">
      <alignment horizontal="left" wrapText="1"/>
    </xf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171" fontId="52" fillId="0" borderId="0">
      <alignment horizontal="left" wrapText="1"/>
    </xf>
    <xf numFmtId="0" fontId="57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1" fontId="52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39" borderId="0" applyNumberFormat="0" applyBorder="0" applyAlignment="0" applyProtection="0"/>
    <xf numFmtId="171" fontId="52" fillId="0" borderId="0">
      <alignment horizontal="left" wrapText="1"/>
    </xf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171" fontId="52" fillId="0" borderId="0">
      <alignment horizontal="left" wrapText="1"/>
    </xf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171" fontId="52" fillId="0" borderId="0">
      <alignment horizontal="left" wrapText="1"/>
    </xf>
    <xf numFmtId="0" fontId="57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4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171" fontId="52" fillId="0" borderId="0">
      <alignment horizontal="left" wrapText="1"/>
    </xf>
    <xf numFmtId="0" fontId="57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1" fontId="52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2" borderId="0" applyNumberFormat="0" applyBorder="0" applyAlignment="0" applyProtection="0"/>
    <xf numFmtId="171" fontId="52" fillId="0" borderId="0">
      <alignment horizontal="left" wrapText="1"/>
    </xf>
    <xf numFmtId="0" fontId="57" fillId="42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1" fontId="52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71" fontId="52" fillId="0" borderId="0">
      <alignment horizontal="left" wrapText="1"/>
    </xf>
    <xf numFmtId="0" fontId="57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171" fontId="52" fillId="0" borderId="0">
      <alignment horizontal="left" wrapText="1"/>
    </xf>
    <xf numFmtId="0" fontId="57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171" fontId="52" fillId="0" borderId="0">
      <alignment horizontal="left" wrapText="1"/>
    </xf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7" fillId="44" borderId="0" applyNumberFormat="0" applyBorder="0" applyAlignment="0" applyProtection="0"/>
    <xf numFmtId="171" fontId="52" fillId="0" borderId="0">
      <alignment horizontal="left" wrapText="1"/>
    </xf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171" fontId="52" fillId="0" borderId="0">
      <alignment horizontal="left" wrapText="1"/>
    </xf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7" fillId="41" borderId="0" applyNumberFormat="0" applyBorder="0" applyAlignment="0" applyProtection="0"/>
    <xf numFmtId="171" fontId="52" fillId="0" borderId="0">
      <alignment horizontal="left" wrapText="1"/>
    </xf>
    <xf numFmtId="0" fontId="57" fillId="41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1" fontId="52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36" borderId="0" applyNumberFormat="0" applyBorder="0" applyAlignment="0" applyProtection="0"/>
    <xf numFmtId="171" fontId="52" fillId="0" borderId="0">
      <alignment horizontal="left" wrapText="1"/>
    </xf>
    <xf numFmtId="0" fontId="57" fillId="3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171" fontId="52" fillId="0" borderId="0">
      <alignment horizontal="left" wrapText="1"/>
    </xf>
    <xf numFmtId="0" fontId="57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1" fontId="52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6" borderId="0" applyNumberFormat="0" applyBorder="0" applyAlignment="0" applyProtection="0"/>
    <xf numFmtId="171" fontId="52" fillId="0" borderId="0">
      <alignment horizontal="left" wrapText="1"/>
    </xf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27" fillId="13" borderId="0" applyNumberFormat="0" applyBorder="0" applyAlignment="0" applyProtection="0"/>
    <xf numFmtId="0" fontId="27" fillId="43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7" fillId="17" borderId="0" applyNumberFormat="0" applyBorder="0" applyAlignment="0" applyProtection="0"/>
    <xf numFmtId="0" fontId="27" fillId="48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27" fillId="21" borderId="0" applyNumberFormat="0" applyBorder="0" applyAlignment="0" applyProtection="0"/>
    <xf numFmtId="0" fontId="27" fillId="46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27" fillId="25" borderId="0" applyNumberFormat="0" applyBorder="0" applyAlignment="0" applyProtection="0"/>
    <xf numFmtId="0" fontId="27" fillId="37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7" fillId="29" borderId="0" applyNumberFormat="0" applyBorder="0" applyAlignment="0" applyProtection="0"/>
    <xf numFmtId="0" fontId="27" fillId="43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8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27" fillId="10" borderId="0" applyNumberFormat="0" applyBorder="0" applyAlignment="0" applyProtection="0"/>
    <xf numFmtId="0" fontId="27" fillId="56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10" borderId="0" applyNumberFormat="0" applyBorder="0" applyAlignment="0" applyProtection="0"/>
    <xf numFmtId="0" fontId="27" fillId="56" borderId="0" applyNumberFormat="0" applyBorder="0" applyAlignment="0" applyProtection="0"/>
    <xf numFmtId="171" fontId="52" fillId="0" borderId="0">
      <alignment horizontal="left" wrapText="1"/>
    </xf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27" fillId="14" borderId="0" applyNumberFormat="0" applyBorder="0" applyAlignment="0" applyProtection="0"/>
    <xf numFmtId="0" fontId="27" fillId="48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14" borderId="0" applyNumberFormat="0" applyBorder="0" applyAlignment="0" applyProtection="0"/>
    <xf numFmtId="0" fontId="27" fillId="48" borderId="0" applyNumberFormat="0" applyBorder="0" applyAlignment="0" applyProtection="0"/>
    <xf numFmtId="171" fontId="52" fillId="0" borderId="0">
      <alignment horizontal="left" wrapText="1"/>
    </xf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27" fillId="18" borderId="0" applyNumberFormat="0" applyBorder="0" applyAlignment="0" applyProtection="0"/>
    <xf numFmtId="0" fontId="27" fillId="46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18" borderId="0" applyNumberFormat="0" applyBorder="0" applyAlignment="0" applyProtection="0"/>
    <xf numFmtId="0" fontId="27" fillId="46" borderId="0" applyNumberFormat="0" applyBorder="0" applyAlignment="0" applyProtection="0"/>
    <xf numFmtId="171" fontId="52" fillId="0" borderId="0">
      <alignment horizontal="left" wrapText="1"/>
    </xf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27" fillId="22" borderId="0" applyNumberFormat="0" applyBorder="0" applyAlignment="0" applyProtection="0"/>
    <xf numFmtId="0" fontId="27" fillId="65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22" borderId="0" applyNumberFormat="0" applyBorder="0" applyAlignment="0" applyProtection="0"/>
    <xf numFmtId="0" fontId="27" fillId="65" borderId="0" applyNumberFormat="0" applyBorder="0" applyAlignment="0" applyProtection="0"/>
    <xf numFmtId="171" fontId="52" fillId="0" borderId="0">
      <alignment horizontal="left" wrapText="1"/>
    </xf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171" fontId="52" fillId="0" borderId="0">
      <alignment horizontal="left" wrapText="1"/>
    </xf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7" fillId="26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8" fillId="6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27" fillId="30" borderId="0" applyNumberFormat="0" applyBorder="0" applyAlignment="0" applyProtection="0"/>
    <xf numFmtId="0" fontId="27" fillId="60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27" fillId="30" borderId="0" applyNumberFormat="0" applyBorder="0" applyAlignment="0" applyProtection="0"/>
    <xf numFmtId="0" fontId="27" fillId="60" borderId="0" applyNumberFormat="0" applyBorder="0" applyAlignment="0" applyProtection="0"/>
    <xf numFmtId="171" fontId="52" fillId="0" borderId="0">
      <alignment horizontal="left" wrapText="1"/>
    </xf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59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6" fillId="0" borderId="28"/>
    <xf numFmtId="180" fontId="60" fillId="0" borderId="0" applyFill="0" applyBorder="0" applyAlignment="0"/>
    <xf numFmtId="180" fontId="60" fillId="0" borderId="0" applyFill="0" applyBorder="0" applyAlignment="0"/>
    <xf numFmtId="171" fontId="52" fillId="0" borderId="0">
      <alignment horizontal="left" wrapText="1"/>
    </xf>
    <xf numFmtId="171" fontId="52" fillId="0" borderId="0">
      <alignment horizontal="left" wrapText="1"/>
    </xf>
    <xf numFmtId="180" fontId="60" fillId="0" borderId="0" applyFill="0" applyBorder="0" applyAlignment="0"/>
    <xf numFmtId="41" fontId="15" fillId="68" borderId="0"/>
    <xf numFmtId="0" fontId="61" fillId="69" borderId="29" applyNumberFormat="0" applyAlignment="0" applyProtection="0"/>
    <xf numFmtId="171" fontId="52" fillId="0" borderId="0">
      <alignment horizontal="left" wrapText="1"/>
    </xf>
    <xf numFmtId="0" fontId="61" fillId="69" borderId="29" applyNumberFormat="0" applyAlignment="0" applyProtection="0"/>
    <xf numFmtId="0" fontId="39" fillId="7" borderId="22" applyNumberFormat="0" applyAlignment="0" applyProtection="0"/>
    <xf numFmtId="0" fontId="62" fillId="70" borderId="22" applyNumberFormat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0" fontId="39" fillId="7" borderId="22" applyNumberFormat="0" applyAlignment="0" applyProtection="0"/>
    <xf numFmtId="0" fontId="62" fillId="70" borderId="22" applyNumberFormat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1" fontId="15" fillId="68" borderId="0"/>
    <xf numFmtId="41" fontId="15" fillId="68" borderId="0"/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171" fontId="52" fillId="0" borderId="0">
      <alignment horizontal="left" wrapText="1"/>
    </xf>
    <xf numFmtId="41" fontId="15" fillId="68" borderId="0"/>
    <xf numFmtId="41" fontId="15" fillId="68" borderId="0"/>
    <xf numFmtId="41" fontId="15" fillId="68" borderId="0"/>
    <xf numFmtId="0" fontId="62" fillId="70" borderId="22" applyNumberFormat="0" applyAlignment="0" applyProtection="0"/>
    <xf numFmtId="0" fontId="39" fillId="7" borderId="22" applyNumberFormat="0" applyAlignment="0" applyProtection="0"/>
    <xf numFmtId="0" fontId="63" fillId="71" borderId="30" applyNumberFormat="0" applyAlignment="0" applyProtection="0"/>
    <xf numFmtId="0" fontId="63" fillId="71" borderId="30" applyNumberFormat="0" applyAlignment="0" applyProtection="0"/>
    <xf numFmtId="171" fontId="52" fillId="0" borderId="0">
      <alignment horizontal="left" wrapText="1"/>
    </xf>
    <xf numFmtId="0" fontId="63" fillId="71" borderId="30" applyNumberFormat="0" applyAlignment="0" applyProtection="0"/>
    <xf numFmtId="171" fontId="52" fillId="0" borderId="0">
      <alignment horizontal="left" wrapText="1"/>
    </xf>
    <xf numFmtId="0" fontId="28" fillId="8" borderId="25" applyNumberFormat="0" applyAlignment="0" applyProtection="0"/>
    <xf numFmtId="0" fontId="63" fillId="71" borderId="30" applyNumberFormat="0" applyAlignment="0" applyProtection="0"/>
    <xf numFmtId="41" fontId="15" fillId="34" borderId="0"/>
    <xf numFmtId="41" fontId="15" fillId="34" borderId="0"/>
    <xf numFmtId="171" fontId="52" fillId="0" borderId="0">
      <alignment horizontal="left" wrapText="1"/>
    </xf>
    <xf numFmtId="41" fontId="15" fillId="34" borderId="0"/>
    <xf numFmtId="41" fontId="15" fillId="34" borderId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0" fontId="6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171" fontId="52" fillId="0" borderId="0">
      <alignment horizontal="left" wrapText="1"/>
    </xf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52" fillId="0" borderId="0">
      <alignment horizontal="left" wrapText="1"/>
    </xf>
    <xf numFmtId="43" fontId="15" fillId="0" borderId="0" applyFont="0" applyFill="0" applyBorder="0" applyAlignment="0" applyProtection="0"/>
    <xf numFmtId="3" fontId="67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71" fontId="52" fillId="0" borderId="0">
      <alignment horizontal="left" wrapText="1"/>
    </xf>
    <xf numFmtId="3" fontId="67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83" fontId="74" fillId="0" borderId="0">
      <protection locked="0"/>
    </xf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75" fillId="0" borderId="0" applyNumberFormat="0" applyAlignment="0">
      <alignment horizontal="left"/>
    </xf>
    <xf numFmtId="0" fontId="76" fillId="0" borderId="0" applyNumberFormat="0" applyAlignment="0"/>
    <xf numFmtId="0" fontId="76" fillId="0" borderId="0" applyNumberFormat="0" applyAlignment="0"/>
    <xf numFmtId="171" fontId="52" fillId="0" borderId="0">
      <alignment horizontal="left" wrapText="1"/>
    </xf>
    <xf numFmtId="171" fontId="52" fillId="0" borderId="0">
      <alignment horizontal="left" wrapText="1"/>
    </xf>
    <xf numFmtId="0" fontId="76" fillId="0" borderId="0" applyNumberFormat="0" applyAlignment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8" fontId="6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52" fillId="0" borderId="0">
      <alignment horizontal="left" wrapText="1"/>
    </xf>
    <xf numFmtId="44" fontId="6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8" fontId="64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6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52" fillId="0" borderId="0">
      <alignment horizontal="left" wrapText="1"/>
    </xf>
    <xf numFmtId="184" fontId="15" fillId="0" borderId="0" applyFont="0" applyFill="0" applyBorder="0" applyAlignment="0" applyProtection="0"/>
    <xf numFmtId="171" fontId="52" fillId="0" borderId="0">
      <alignment horizontal="left" wrapText="1"/>
    </xf>
    <xf numFmtId="18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171" fontId="52" fillId="0" borderId="0">
      <alignment horizontal="left" wrapText="1"/>
    </xf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52" fillId="0" borderId="0">
      <alignment horizontal="left" wrapText="1"/>
    </xf>
    <xf numFmtId="44" fontId="15" fillId="0" borderId="0" applyFont="0" applyFill="0" applyBorder="0" applyAlignment="0" applyProtection="0"/>
    <xf numFmtId="5" fontId="67" fillId="0" borderId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85" fontId="15" fillId="0" borderId="0" applyFont="0" applyFill="0" applyBorder="0" applyAlignment="0" applyProtection="0"/>
    <xf numFmtId="186" fontId="79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1" fontId="52" fillId="0" borderId="0">
      <alignment horizontal="left" wrapText="1"/>
    </xf>
    <xf numFmtId="5" fontId="67" fillId="0" borderId="0" applyFill="0" applyBorder="0" applyAlignment="0" applyProtection="0"/>
    <xf numFmtId="185" fontId="15" fillId="0" borderId="0" applyFont="0" applyFill="0" applyBorder="0" applyAlignment="0" applyProtection="0"/>
    <xf numFmtId="186" fontId="67" fillId="0" borderId="0" applyFont="0" applyFill="0" applyBorder="0" applyAlignment="0" applyProtection="0"/>
    <xf numFmtId="5" fontId="67" fillId="0" borderId="0" applyFill="0" applyBorder="0" applyAlignment="0" applyProtection="0"/>
    <xf numFmtId="185" fontId="15" fillId="0" borderId="0" applyFont="0" applyFill="0" applyBorder="0" applyAlignment="0" applyProtection="0"/>
    <xf numFmtId="187" fontId="67" fillId="0" borderId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71" fontId="52" fillId="0" borderId="0">
      <alignment horizontal="left" wrapText="1"/>
    </xf>
    <xf numFmtId="187" fontId="67" fillId="0" borderId="0" applyFill="0" applyBorder="0" applyAlignment="0" applyProtection="0"/>
    <xf numFmtId="0" fontId="72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67" fillId="0" borderId="0" applyFill="0" applyBorder="0" applyAlignment="0" applyProtection="0"/>
    <xf numFmtId="0" fontId="79" fillId="0" borderId="0" applyFont="0" applyFill="0" applyBorder="0" applyAlignment="0" applyProtection="0"/>
    <xf numFmtId="0" fontId="56" fillId="0" borderId="0"/>
    <xf numFmtId="0" fontId="80" fillId="72" borderId="0" applyNumberFormat="0" applyBorder="0" applyAlignment="0" applyProtection="0"/>
    <xf numFmtId="0" fontId="80" fillId="72" borderId="0" applyNumberFormat="0" applyBorder="0" applyAlignment="0" applyProtection="0"/>
    <xf numFmtId="0" fontId="80" fillId="73" borderId="0" applyNumberFormat="0" applyBorder="0" applyAlignment="0" applyProtection="0"/>
    <xf numFmtId="0" fontId="80" fillId="73" borderId="0" applyNumberFormat="0" applyBorder="0" applyAlignment="0" applyProtection="0"/>
    <xf numFmtId="0" fontId="80" fillId="74" borderId="0" applyNumberFormat="0" applyBorder="0" applyAlignment="0" applyProtection="0"/>
    <xf numFmtId="0" fontId="80" fillId="74" borderId="0" applyNumberFormat="0" applyBorder="0" applyAlignment="0" applyProtection="0"/>
    <xf numFmtId="171" fontId="15" fillId="0" borderId="0"/>
    <xf numFmtId="171" fontId="15" fillId="0" borderId="0"/>
    <xf numFmtId="171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/>
    <xf numFmtId="171" fontId="15" fillId="0" borderId="0"/>
    <xf numFmtId="171" fontId="52" fillId="0" borderId="0">
      <alignment horizontal="left" wrapText="1"/>
    </xf>
    <xf numFmtId="171" fontId="15" fillId="0" borderId="0"/>
    <xf numFmtId="171" fontId="52" fillId="0" borderId="0">
      <alignment horizontal="left" wrapText="1"/>
    </xf>
    <xf numFmtId="171" fontId="15" fillId="0" borderId="0"/>
    <xf numFmtId="171" fontId="52" fillId="0" borderId="0">
      <alignment horizontal="left" wrapText="1"/>
    </xf>
    <xf numFmtId="188" fontId="81" fillId="0" borderId="0"/>
    <xf numFmtId="171" fontId="52" fillId="0" borderId="0">
      <alignment horizontal="left" wrapText="1"/>
    </xf>
    <xf numFmtId="171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/>
    <xf numFmtId="171" fontId="15" fillId="0" borderId="0"/>
    <xf numFmtId="171" fontId="15" fillId="0" borderId="0"/>
    <xf numFmtId="189" fontId="15" fillId="0" borderId="0" applyFont="0" applyFill="0" applyBorder="0" applyAlignment="0" applyProtection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89" fontId="15" fillId="0" borderId="0" applyFont="0" applyFill="0" applyBorder="0" applyAlignment="0" applyProtection="0">
      <alignment horizontal="left" wrapText="1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1" fontId="52" fillId="0" borderId="0">
      <alignment horizontal="left" wrapText="1"/>
    </xf>
    <xf numFmtId="0" fontId="4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0" fontId="68" fillId="0" borderId="0"/>
    <xf numFmtId="0" fontId="68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5" fillId="3" borderId="0" applyNumberFormat="0" applyBorder="0" applyAlignment="0" applyProtection="0"/>
    <xf numFmtId="0" fontId="35" fillId="43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83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171" fontId="52" fillId="0" borderId="0">
      <alignment horizontal="left" wrapText="1"/>
    </xf>
    <xf numFmtId="38" fontId="47" fillId="34" borderId="0" applyNumberFormat="0" applyBorder="0" applyAlignment="0" applyProtection="0"/>
    <xf numFmtId="0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38" fontId="47" fillId="34" borderId="0" applyNumberFormat="0" applyBorder="0" applyAlignment="0" applyProtection="0"/>
    <xf numFmtId="0" fontId="84" fillId="0" borderId="28"/>
    <xf numFmtId="190" fontId="45" fillId="0" borderId="0" applyNumberFormat="0" applyFill="0" applyBorder="0" applyProtection="0">
      <alignment horizontal="right"/>
    </xf>
    <xf numFmtId="0" fontId="85" fillId="0" borderId="1" applyNumberFormat="0" applyAlignment="0" applyProtection="0">
      <alignment horizontal="left"/>
    </xf>
    <xf numFmtId="0" fontId="85" fillId="0" borderId="1" applyNumberFormat="0" applyAlignment="0" applyProtection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85" fillId="0" borderId="1" applyNumberFormat="0" applyAlignment="0" applyProtection="0">
      <alignment horizontal="left"/>
    </xf>
    <xf numFmtId="171" fontId="52" fillId="0" borderId="0">
      <alignment horizontal="left" wrapText="1"/>
    </xf>
    <xf numFmtId="0" fontId="85" fillId="0" borderId="14">
      <alignment horizontal="left"/>
    </xf>
    <xf numFmtId="0" fontId="85" fillId="0" borderId="14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85" fillId="0" borderId="14">
      <alignment horizontal="left"/>
    </xf>
    <xf numFmtId="0" fontId="85" fillId="0" borderId="14">
      <alignment horizontal="left"/>
    </xf>
    <xf numFmtId="171" fontId="52" fillId="0" borderId="0">
      <alignment horizontal="left" wrapText="1"/>
    </xf>
    <xf numFmtId="14" fontId="44" fillId="75" borderId="31">
      <alignment horizontal="center" vertical="center" wrapText="1"/>
    </xf>
    <xf numFmtId="0" fontId="72" fillId="0" borderId="0" applyNumberForma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32" fillId="0" borderId="19" applyNumberFormat="0" applyFill="0" applyAlignment="0" applyProtection="0"/>
    <xf numFmtId="0" fontId="87" fillId="0" borderId="33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87" fillId="0" borderId="33" applyNumberFormat="0" applyFill="0" applyAlignment="0" applyProtection="0"/>
    <xf numFmtId="0" fontId="32" fillId="0" borderId="19" applyNumberFormat="0" applyFill="0" applyAlignment="0" applyProtection="0"/>
    <xf numFmtId="0" fontId="87" fillId="0" borderId="33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88" fillId="0" borderId="0" applyNumberFormat="0" applyFill="0" applyBorder="0" applyAlignment="0" applyProtection="0"/>
    <xf numFmtId="171" fontId="52" fillId="0" borderId="0">
      <alignment horizontal="left" wrapText="1"/>
    </xf>
    <xf numFmtId="0" fontId="87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7" fillId="0" borderId="33" applyNumberFormat="0" applyFill="0" applyAlignment="0" applyProtection="0"/>
    <xf numFmtId="0" fontId="3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33" fillId="0" borderId="20" applyNumberFormat="0" applyFill="0" applyAlignment="0" applyProtection="0"/>
    <xf numFmtId="0" fontId="90" fillId="0" borderId="35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0" fillId="0" borderId="35" applyNumberFormat="0" applyFill="0" applyAlignment="0" applyProtection="0"/>
    <xf numFmtId="0" fontId="33" fillId="0" borderId="20" applyNumberFormat="0" applyFill="0" applyAlignment="0" applyProtection="0"/>
    <xf numFmtId="0" fontId="90" fillId="0" borderId="35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47" fillId="0" borderId="0" applyNumberFormat="0" applyFill="0" applyBorder="0" applyAlignment="0" applyProtection="0"/>
    <xf numFmtId="171" fontId="52" fillId="0" borderId="0">
      <alignment horizontal="left" wrapText="1"/>
    </xf>
    <xf numFmtId="0" fontId="90" fillId="0" borderId="35" applyNumberFormat="0" applyFill="0" applyAlignment="0" applyProtection="0"/>
    <xf numFmtId="0" fontId="47" fillId="0" borderId="0" applyNumberFormat="0" applyFill="0" applyBorder="0" applyAlignment="0" applyProtection="0"/>
    <xf numFmtId="0" fontId="90" fillId="0" borderId="35" applyNumberFormat="0" applyFill="0" applyAlignment="0" applyProtection="0"/>
    <xf numFmtId="0" fontId="33" fillId="0" borderId="20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34" fillId="0" borderId="21" applyNumberFormat="0" applyFill="0" applyAlignment="0" applyProtection="0"/>
    <xf numFmtId="0" fontId="92" fillId="0" borderId="37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38" fontId="93" fillId="0" borderId="0"/>
    <xf numFmtId="38" fontId="93" fillId="0" borderId="0"/>
    <xf numFmtId="38" fontId="93" fillId="0" borderId="0"/>
    <xf numFmtId="38" fontId="93" fillId="0" borderId="0"/>
    <xf numFmtId="171" fontId="52" fillId="0" borderId="0">
      <alignment horizontal="left" wrapText="1"/>
    </xf>
    <xf numFmtId="0" fontId="93" fillId="0" borderId="0"/>
    <xf numFmtId="0" fontId="93" fillId="0" borderId="0"/>
    <xf numFmtId="0" fontId="93" fillId="0" borderId="0"/>
    <xf numFmtId="38" fontId="93" fillId="0" borderId="0"/>
    <xf numFmtId="38" fontId="93" fillId="0" borderId="0"/>
    <xf numFmtId="38" fontId="93" fillId="0" borderId="0"/>
    <xf numFmtId="40" fontId="93" fillId="0" borderId="0"/>
    <xf numFmtId="40" fontId="93" fillId="0" borderId="0"/>
    <xf numFmtId="40" fontId="93" fillId="0" borderId="0"/>
    <xf numFmtId="40" fontId="93" fillId="0" borderId="0"/>
    <xf numFmtId="171" fontId="52" fillId="0" borderId="0">
      <alignment horizontal="left" wrapText="1"/>
    </xf>
    <xf numFmtId="0" fontId="93" fillId="0" borderId="0"/>
    <xf numFmtId="0" fontId="93" fillId="0" borderId="0"/>
    <xf numFmtId="0" fontId="93" fillId="0" borderId="0"/>
    <xf numFmtId="40" fontId="93" fillId="0" borderId="0"/>
    <xf numFmtId="40" fontId="93" fillId="0" borderId="0"/>
    <xf numFmtId="40" fontId="93" fillId="0" borderId="0"/>
    <xf numFmtId="0" fontId="46" fillId="0" borderId="0" applyNumberFormat="0" applyFill="0" applyBorder="0" applyAlignment="0" applyProtection="0">
      <alignment vertical="top"/>
      <protection locked="0"/>
    </xf>
    <xf numFmtId="171" fontId="52" fillId="0" borderId="0">
      <alignment horizontal="left" wrapTex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71" fontId="52" fillId="0" borderId="0">
      <alignment horizontal="left" wrapTex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171" fontId="52" fillId="0" borderId="0">
      <alignment horizontal="left" wrapText="1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37" fillId="6" borderId="22" applyNumberFormat="0" applyAlignment="0" applyProtection="0"/>
    <xf numFmtId="0" fontId="37" fillId="45" borderId="22" applyNumberFormat="0" applyAlignment="0" applyProtection="0"/>
    <xf numFmtId="0" fontId="94" fillId="42" borderId="29" applyNumberFormat="0" applyAlignment="0" applyProtection="0"/>
    <xf numFmtId="171" fontId="52" fillId="0" borderId="0">
      <alignment horizontal="left" wrapText="1"/>
    </xf>
    <xf numFmtId="0" fontId="94" fillId="42" borderId="29" applyNumberFormat="0" applyAlignment="0" applyProtection="0"/>
    <xf numFmtId="0" fontId="37" fillId="6" borderId="22" applyNumberFormat="0" applyAlignment="0" applyProtection="0"/>
    <xf numFmtId="0" fontId="37" fillId="45" borderId="22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41" fontId="43" fillId="76" borderId="38">
      <alignment horizontal="left"/>
      <protection locked="0"/>
    </xf>
    <xf numFmtId="171" fontId="52" fillId="0" borderId="0">
      <alignment horizontal="left" wrapText="1"/>
    </xf>
    <xf numFmtId="41" fontId="43" fillId="76" borderId="38">
      <alignment horizontal="left"/>
      <protection locked="0"/>
    </xf>
    <xf numFmtId="10" fontId="43" fillId="76" borderId="38">
      <alignment horizontal="right"/>
      <protection locked="0"/>
    </xf>
    <xf numFmtId="171" fontId="52" fillId="0" borderId="0">
      <alignment horizontal="left" wrapText="1"/>
    </xf>
    <xf numFmtId="10" fontId="43" fillId="76" borderId="38">
      <alignment horizontal="right"/>
      <protection locked="0"/>
    </xf>
    <xf numFmtId="171" fontId="52" fillId="0" borderId="0">
      <alignment horizontal="left" wrapText="1"/>
    </xf>
    <xf numFmtId="41" fontId="43" fillId="76" borderId="38">
      <alignment horizontal="left"/>
      <protection locked="0"/>
    </xf>
    <xf numFmtId="0" fontId="84" fillId="0" borderId="39"/>
    <xf numFmtId="0" fontId="47" fillId="34" borderId="0"/>
    <xf numFmtId="0" fontId="47" fillId="34" borderId="0"/>
    <xf numFmtId="0" fontId="47" fillId="34" borderId="0"/>
    <xf numFmtId="0" fontId="47" fillId="34" borderId="0"/>
    <xf numFmtId="171" fontId="52" fillId="0" borderId="0">
      <alignment horizontal="left" wrapText="1"/>
    </xf>
    <xf numFmtId="3" fontId="95" fillId="0" borderId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24" applyNumberFormat="0" applyFill="0" applyAlignment="0" applyProtection="0"/>
    <xf numFmtId="0" fontId="97" fillId="0" borderId="41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19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171" fontId="52" fillId="0" borderId="0">
      <alignment horizontal="left" wrapText="1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2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171" fontId="52" fillId="0" borderId="0">
      <alignment horizontal="left" wrapText="1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44" fontId="44" fillId="0" borderId="43" applyNumberFormat="0" applyFont="0" applyAlignment="0">
      <alignment horizont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8" fillId="45" borderId="0" applyNumberFormat="0" applyBorder="0" applyAlignment="0" applyProtection="0"/>
    <xf numFmtId="0" fontId="98" fillId="45" borderId="0" applyNumberFormat="0" applyBorder="0" applyAlignment="0" applyProtection="0"/>
    <xf numFmtId="0" fontId="98" fillId="45" borderId="0" applyNumberFormat="0" applyBorder="0" applyAlignment="0" applyProtection="0"/>
    <xf numFmtId="0" fontId="98" fillId="45" borderId="0" applyNumberFormat="0" applyBorder="0" applyAlignment="0" applyProtection="0"/>
    <xf numFmtId="0" fontId="49" fillId="5" borderId="0" applyNumberFormat="0" applyBorder="0" applyAlignment="0" applyProtection="0"/>
    <xf numFmtId="0" fontId="99" fillId="5" borderId="0" applyNumberForma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00" fillId="4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37" fontId="101" fillId="0" borderId="0"/>
    <xf numFmtId="37" fontId="101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37" fontId="101" fillId="0" borderId="0"/>
    <xf numFmtId="192" fontId="102" fillId="0" borderId="0"/>
    <xf numFmtId="193" fontId="15" fillId="0" borderId="0"/>
    <xf numFmtId="193" fontId="15" fillId="0" borderId="0"/>
    <xf numFmtId="171" fontId="52" fillId="0" borderId="0">
      <alignment horizontal="left" wrapText="1"/>
    </xf>
    <xf numFmtId="193" fontId="15" fillId="0" borderId="0"/>
    <xf numFmtId="193" fontId="15" fillId="0" borderId="0"/>
    <xf numFmtId="193" fontId="15" fillId="0" borderId="0"/>
    <xf numFmtId="193" fontId="15" fillId="0" borderId="0"/>
    <xf numFmtId="171" fontId="52" fillId="0" borderId="0">
      <alignment horizontal="left" wrapText="1"/>
    </xf>
    <xf numFmtId="193" fontId="15" fillId="0" borderId="0"/>
    <xf numFmtId="193" fontId="15" fillId="0" borderId="0"/>
    <xf numFmtId="193" fontId="15" fillId="0" borderId="0"/>
    <xf numFmtId="193" fontId="15" fillId="0" borderId="0"/>
    <xf numFmtId="171" fontId="52" fillId="0" borderId="0">
      <alignment horizontal="left" wrapText="1"/>
    </xf>
    <xf numFmtId="193" fontId="15" fillId="0" borderId="0"/>
    <xf numFmtId="193" fontId="15" fillId="0" borderId="0"/>
    <xf numFmtId="194" fontId="52" fillId="0" borderId="0"/>
    <xf numFmtId="194" fontId="52" fillId="0" borderId="0"/>
    <xf numFmtId="192" fontId="102" fillId="0" borderId="0"/>
    <xf numFmtId="0" fontId="15" fillId="0" borderId="0"/>
    <xf numFmtId="192" fontId="102" fillId="0" borderId="0"/>
    <xf numFmtId="195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94" fontId="52" fillId="0" borderId="0"/>
    <xf numFmtId="196" fontId="15" fillId="0" borderId="0"/>
    <xf numFmtId="197" fontId="66" fillId="0" borderId="0"/>
    <xf numFmtId="177" fontId="15" fillId="0" borderId="0">
      <alignment horizontal="left" wrapText="1"/>
    </xf>
    <xf numFmtId="177" fontId="15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15" fillId="0" borderId="0" applyFill="0" applyBorder="0" applyAlignment="0" applyProtection="0"/>
    <xf numFmtId="0" fontId="9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171" fontId="15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193" fontId="52" fillId="0" borderId="0">
      <alignment horizontal="left" wrapText="1"/>
    </xf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193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15" fillId="0" borderId="0"/>
    <xf numFmtId="0" fontId="9" fillId="0" borderId="0"/>
    <xf numFmtId="193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15" fillId="0" borderId="0"/>
    <xf numFmtId="193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193" fontId="52" fillId="0" borderId="0">
      <alignment horizontal="left" wrapText="1"/>
    </xf>
    <xf numFmtId="171" fontId="15" fillId="0" borderId="0">
      <alignment horizontal="left" wrapText="1"/>
    </xf>
    <xf numFmtId="193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93" fontId="52" fillId="0" borderId="0">
      <alignment horizontal="left" wrapText="1"/>
    </xf>
    <xf numFmtId="193" fontId="52" fillId="0" borderId="0">
      <alignment horizontal="left" wrapText="1"/>
    </xf>
    <xf numFmtId="193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93" fontId="52" fillId="0" borderId="0">
      <alignment horizontal="left" wrapText="1"/>
    </xf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03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65" fillId="0" borderId="0"/>
    <xf numFmtId="171" fontId="52" fillId="0" borderId="0">
      <alignment horizontal="left" wrapText="1"/>
    </xf>
    <xf numFmtId="0" fontId="57" fillId="0" borderId="0"/>
    <xf numFmtId="0" fontId="57" fillId="0" borderId="0"/>
    <xf numFmtId="0" fontId="65" fillId="0" borderId="0"/>
    <xf numFmtId="0" fontId="57" fillId="0" borderId="0"/>
    <xf numFmtId="0" fontId="57" fillId="0" borderId="0"/>
    <xf numFmtId="0" fontId="65" fillId="0" borderId="0"/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98" fontId="15" fillId="0" borderId="0">
      <alignment horizontal="left" wrapText="1"/>
    </xf>
    <xf numFmtId="198" fontId="15" fillId="0" borderId="0">
      <alignment horizontal="left" wrapText="1"/>
    </xf>
    <xf numFmtId="171" fontId="52" fillId="0" borderId="0">
      <alignment horizontal="left" wrapText="1"/>
    </xf>
    <xf numFmtId="198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98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9" fontId="52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52" fillId="0" borderId="0"/>
    <xf numFmtId="200" fontId="52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4" fontId="52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6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15" fillId="0" borderId="0"/>
    <xf numFmtId="167" fontId="15" fillId="0" borderId="0">
      <alignment horizontal="left" wrapText="1"/>
    </xf>
    <xf numFmtId="167" fontId="15" fillId="0" borderId="0">
      <alignment horizontal="left" wrapText="1"/>
    </xf>
    <xf numFmtId="0" fontId="57" fillId="0" borderId="0"/>
    <xf numFmtId="167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52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0" fontId="77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39" fontId="104" fillId="0" borderId="0" applyNumberFormat="0" applyFill="0" applyBorder="0" applyAlignment="0" applyProtection="0"/>
    <xf numFmtId="39" fontId="104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39" fontId="104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39" fontId="104" fillId="0" borderId="0" applyNumberFormat="0" applyFill="0" applyBorder="0" applyAlignment="0" applyProtection="0"/>
    <xf numFmtId="171" fontId="52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0" fontId="65" fillId="0" borderId="0"/>
    <xf numFmtId="0" fontId="65" fillId="0" borderId="0"/>
    <xf numFmtId="0" fontId="65" fillId="0" borderId="0"/>
    <xf numFmtId="0" fontId="65" fillId="0" borderId="0"/>
    <xf numFmtId="171" fontId="52" fillId="0" borderId="0">
      <alignment horizontal="left" wrapText="1"/>
    </xf>
    <xf numFmtId="0" fontId="15" fillId="0" borderId="0"/>
    <xf numFmtId="171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52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15" fillId="0" borderId="0"/>
    <xf numFmtId="171" fontId="52" fillId="0" borderId="0">
      <alignment horizontal="left" wrapText="1"/>
    </xf>
    <xf numFmtId="174" fontId="52" fillId="0" borderId="0">
      <alignment horizontal="left" wrapText="1"/>
    </xf>
    <xf numFmtId="0" fontId="15" fillId="0" borderId="0"/>
    <xf numFmtId="0" fontId="15" fillId="0" borderId="0"/>
    <xf numFmtId="201" fontId="15" fillId="0" borderId="0">
      <alignment horizontal="left" wrapText="1"/>
    </xf>
    <xf numFmtId="0" fontId="15" fillId="0" borderId="0"/>
    <xf numFmtId="0" fontId="9" fillId="0" borderId="0"/>
    <xf numFmtId="0" fontId="15" fillId="0" borderId="0"/>
    <xf numFmtId="0" fontId="15" fillId="0" borderId="0"/>
    <xf numFmtId="0" fontId="57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0" fontId="65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4" fontId="52" fillId="0" borderId="0">
      <alignment horizontal="left" wrapText="1"/>
    </xf>
    <xf numFmtId="174" fontId="52" fillId="0" borderId="0">
      <alignment horizontal="left" wrapText="1"/>
    </xf>
    <xf numFmtId="0" fontId="15" fillId="0" borderId="0"/>
    <xf numFmtId="0" fontId="15" fillId="0" borderId="0"/>
    <xf numFmtId="0" fontId="9" fillId="0" borderId="0"/>
    <xf numFmtId="0" fontId="9" fillId="0" borderId="0"/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0" fontId="9" fillId="0" borderId="0"/>
    <xf numFmtId="0" fontId="9" fillId="0" borderId="0"/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0" fontId="15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0" fontId="15" fillId="0" borderId="0"/>
    <xf numFmtId="0" fontId="9" fillId="0" borderId="0"/>
    <xf numFmtId="0" fontId="9" fillId="0" borderId="0"/>
    <xf numFmtId="0" fontId="103" fillId="0" borderId="0"/>
    <xf numFmtId="202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57" fillId="0" borderId="0"/>
    <xf numFmtId="0" fontId="15" fillId="0" borderId="0"/>
    <xf numFmtId="0" fontId="15" fillId="0" borderId="0"/>
    <xf numFmtId="171" fontId="52" fillId="0" borderId="0">
      <alignment horizontal="left" wrapText="1"/>
    </xf>
    <xf numFmtId="171" fontId="52" fillId="0" borderId="0">
      <alignment horizontal="left" wrapText="1"/>
    </xf>
    <xf numFmtId="0" fontId="9" fillId="0" borderId="0"/>
    <xf numFmtId="0" fontId="9" fillId="0" borderId="0"/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15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15" fillId="40" borderId="44" applyNumberFormat="0" applyFont="0" applyAlignment="0" applyProtection="0"/>
    <xf numFmtId="171" fontId="52" fillId="0" borderId="0">
      <alignment horizontal="left" wrapText="1"/>
    </xf>
    <xf numFmtId="0" fontId="15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2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171" fontId="52" fillId="0" borderId="0">
      <alignment horizontal="left" wrapTex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171" fontId="52" fillId="0" borderId="0">
      <alignment horizontal="left" wrapTex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9" borderId="26" applyNumberFormat="0" applyFont="0" applyAlignment="0" applyProtection="0"/>
    <xf numFmtId="0" fontId="57" fillId="9" borderId="26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171" fontId="52" fillId="0" borderId="0">
      <alignment horizontal="left" wrapText="1"/>
    </xf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38" fillId="7" borderId="23" applyNumberFormat="0" applyAlignment="0" applyProtection="0"/>
    <xf numFmtId="0" fontId="38" fillId="70" borderId="23" applyNumberFormat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05" fillId="70" borderId="45" applyNumberFormat="0" applyAlignment="0" applyProtection="0"/>
    <xf numFmtId="0" fontId="38" fillId="70" borderId="23" applyNumberFormat="0" applyAlignment="0" applyProtection="0"/>
    <xf numFmtId="0" fontId="38" fillId="70" borderId="23" applyNumberFormat="0" applyAlignment="0" applyProtection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172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0" fontId="15" fillId="0" borderId="38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78" fillId="0" borderId="0" applyFont="0" applyFill="0" applyBorder="0" applyAlignment="0" applyProtection="0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0" fontId="15" fillId="0" borderId="38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65" fillId="0" borderId="0" applyFont="0" applyFill="0" applyBorder="0" applyAlignment="0" applyProtection="0"/>
    <xf numFmtId="10" fontId="15" fillId="0" borderId="38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9" fillId="0" borderId="0" applyFont="0" applyFill="0" applyBorder="0" applyAlignment="0" applyProtection="0"/>
    <xf numFmtId="10" fontId="15" fillId="0" borderId="38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5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38"/>
    <xf numFmtId="9" fontId="64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9" fontId="6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65" fillId="0" borderId="0" applyFont="0" applyFill="0" applyBorder="0" applyAlignment="0" applyProtection="0"/>
    <xf numFmtId="10" fontId="15" fillId="0" borderId="38"/>
    <xf numFmtId="9" fontId="6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9" fontId="65" fillId="0" borderId="0" applyFont="0" applyFill="0" applyBorder="0" applyAlignment="0" applyProtection="0"/>
    <xf numFmtId="10" fontId="15" fillId="0" borderId="38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38"/>
    <xf numFmtId="10" fontId="15" fillId="0" borderId="38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171" fontId="52" fillId="0" borderId="0">
      <alignment horizontal="left" wrapText="1"/>
    </xf>
    <xf numFmtId="10" fontId="15" fillId="0" borderId="38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171" fontId="52" fillId="0" borderId="0">
      <alignment horizontal="left" wrapText="1"/>
    </xf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52" fillId="0" borderId="0">
      <alignment horizontal="left" wrapText="1"/>
    </xf>
    <xf numFmtId="9" fontId="64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52" fillId="0" borderId="0">
      <alignment horizontal="left" wrapText="1"/>
    </xf>
    <xf numFmtId="9" fontId="5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10" fontId="15" fillId="0" borderId="38"/>
    <xf numFmtId="41" fontId="15" fillId="77" borderId="38"/>
    <xf numFmtId="41" fontId="15" fillId="77" borderId="38"/>
    <xf numFmtId="171" fontId="52" fillId="0" borderId="0">
      <alignment horizontal="left" wrapText="1"/>
    </xf>
    <xf numFmtId="41" fontId="15" fillId="77" borderId="38"/>
    <xf numFmtId="41" fontId="15" fillId="77" borderId="38"/>
    <xf numFmtId="171" fontId="52" fillId="0" borderId="0">
      <alignment horizontal="left" wrapText="1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" fontId="65" fillId="0" borderId="0" applyFont="0" applyFill="0" applyBorder="0" applyAlignment="0" applyProtection="0"/>
    <xf numFmtId="0" fontId="106" fillId="0" borderId="31">
      <alignment horizontal="center"/>
    </xf>
    <xf numFmtId="0" fontId="106" fillId="0" borderId="31">
      <alignment horizontal="center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06" fillId="0" borderId="31">
      <alignment horizontal="center"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3" fontId="65" fillId="0" borderId="0" applyFont="0" applyFill="0" applyBorder="0" applyAlignment="0" applyProtection="0"/>
    <xf numFmtId="0" fontId="65" fillId="78" borderId="0" applyNumberFormat="0" applyFont="0" applyBorder="0" applyAlignment="0" applyProtection="0"/>
    <xf numFmtId="0" fontId="65" fillId="78" borderId="0" applyNumberFormat="0" applyFont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65" fillId="78" borderId="0" applyNumberFormat="0" applyFont="0" applyBorder="0" applyAlignment="0" applyProtection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107" fillId="0" borderId="0" applyFill="0" applyBorder="0" applyAlignment="0" applyProtection="0"/>
    <xf numFmtId="0" fontId="108" fillId="0" borderId="0"/>
    <xf numFmtId="0" fontId="109" fillId="0" borderId="0"/>
    <xf numFmtId="0" fontId="109" fillId="0" borderId="0"/>
    <xf numFmtId="0" fontId="108" fillId="0" borderId="0"/>
    <xf numFmtId="0" fontId="109" fillId="0" borderId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3" fontId="107" fillId="0" borderId="0" applyFill="0" applyBorder="0" applyAlignment="0" applyProtection="0"/>
    <xf numFmtId="42" fontId="15" fillId="68" borderId="0"/>
    <xf numFmtId="0" fontId="69" fillId="79" borderId="0"/>
    <xf numFmtId="0" fontId="110" fillId="79" borderId="39"/>
    <xf numFmtId="0" fontId="111" fillId="80" borderId="46"/>
    <xf numFmtId="0" fontId="112" fillId="79" borderId="47"/>
    <xf numFmtId="42" fontId="15" fillId="68" borderId="0"/>
    <xf numFmtId="171" fontId="52" fillId="0" borderId="0">
      <alignment horizontal="left" wrapText="1"/>
    </xf>
    <xf numFmtId="42" fontId="15" fillId="68" borderId="0"/>
    <xf numFmtId="171" fontId="52" fillId="0" borderId="0">
      <alignment horizontal="left" wrapText="1"/>
    </xf>
    <xf numFmtId="42" fontId="15" fillId="68" borderId="0"/>
    <xf numFmtId="42" fontId="15" fillId="68" borderId="0"/>
    <xf numFmtId="42" fontId="15" fillId="68" borderId="48">
      <alignment vertical="center"/>
    </xf>
    <xf numFmtId="42" fontId="15" fillId="68" borderId="48">
      <alignment vertical="center"/>
    </xf>
    <xf numFmtId="171" fontId="52" fillId="0" borderId="0">
      <alignment horizontal="left" wrapText="1"/>
    </xf>
    <xf numFmtId="42" fontId="15" fillId="68" borderId="48">
      <alignment vertical="center"/>
    </xf>
    <xf numFmtId="171" fontId="52" fillId="0" borderId="0">
      <alignment horizontal="left" wrapText="1"/>
    </xf>
    <xf numFmtId="42" fontId="15" fillId="68" borderId="48">
      <alignment vertical="center"/>
    </xf>
    <xf numFmtId="171" fontId="52" fillId="0" borderId="0">
      <alignment horizontal="left" wrapText="1"/>
    </xf>
    <xf numFmtId="0" fontId="44" fillId="68" borderId="9" applyNumberFormat="0">
      <alignment horizontal="center" vertical="center" wrapText="1"/>
    </xf>
    <xf numFmtId="0" fontId="44" fillId="68" borderId="9" applyNumberFormat="0">
      <alignment horizontal="center" vertical="center" wrapText="1"/>
    </xf>
    <xf numFmtId="0" fontId="44" fillId="68" borderId="9" applyNumberFormat="0">
      <alignment horizontal="center" vertical="center" wrapText="1"/>
    </xf>
    <xf numFmtId="171" fontId="52" fillId="0" borderId="0">
      <alignment horizontal="left" wrapText="1"/>
    </xf>
    <xf numFmtId="10" fontId="15" fillId="68" borderId="0"/>
    <xf numFmtId="10" fontId="15" fillId="68" borderId="0"/>
    <xf numFmtId="10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68" borderId="0"/>
    <xf numFmtId="10" fontId="15" fillId="68" borderId="0"/>
    <xf numFmtId="171" fontId="52" fillId="0" borderId="0">
      <alignment horizontal="left" wrapText="1"/>
    </xf>
    <xf numFmtId="10" fontId="15" fillId="68" borderId="0"/>
    <xf numFmtId="171" fontId="52" fillId="0" borderId="0">
      <alignment horizontal="left" wrapText="1"/>
    </xf>
    <xf numFmtId="10" fontId="15" fillId="68" borderId="0"/>
    <xf numFmtId="171" fontId="52" fillId="0" borderId="0">
      <alignment horizontal="left" wrapText="1"/>
    </xf>
    <xf numFmtId="10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10" fontId="15" fillId="68" borderId="0"/>
    <xf numFmtId="10" fontId="15" fillId="68" borderId="0"/>
    <xf numFmtId="10" fontId="15" fillId="68" borderId="0"/>
    <xf numFmtId="202" fontId="15" fillId="68" borderId="0"/>
    <xf numFmtId="202" fontId="15" fillId="68" borderId="0"/>
    <xf numFmtId="202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202" fontId="15" fillId="68" borderId="0"/>
    <xf numFmtId="202" fontId="15" fillId="68" borderId="0"/>
    <xf numFmtId="171" fontId="52" fillId="0" borderId="0">
      <alignment horizontal="left" wrapText="1"/>
    </xf>
    <xf numFmtId="202" fontId="15" fillId="68" borderId="0"/>
    <xf numFmtId="171" fontId="52" fillId="0" borderId="0">
      <alignment horizontal="left" wrapText="1"/>
    </xf>
    <xf numFmtId="202" fontId="15" fillId="68" borderId="0"/>
    <xf numFmtId="171" fontId="52" fillId="0" borderId="0">
      <alignment horizontal="left" wrapText="1"/>
    </xf>
    <xf numFmtId="202" fontId="15" fillId="68" borderId="0"/>
    <xf numFmtId="171" fontId="52" fillId="0" borderId="0">
      <alignment horizontal="left" wrapText="1"/>
    </xf>
    <xf numFmtId="171" fontId="52" fillId="0" borderId="0">
      <alignment horizontal="left" wrapText="1"/>
    </xf>
    <xf numFmtId="202" fontId="15" fillId="68" borderId="0"/>
    <xf numFmtId="202" fontId="15" fillId="68" borderId="0"/>
    <xf numFmtId="202" fontId="15" fillId="68" borderId="0"/>
    <xf numFmtId="42" fontId="15" fillId="68" borderId="0"/>
    <xf numFmtId="169" fontId="93" fillId="0" borderId="0" applyBorder="0" applyAlignment="0"/>
    <xf numFmtId="169" fontId="93" fillId="0" borderId="0" applyBorder="0" applyAlignment="0"/>
    <xf numFmtId="169" fontId="93" fillId="0" borderId="0" applyBorder="0" applyAlignment="0"/>
    <xf numFmtId="42" fontId="15" fillId="68" borderId="3">
      <alignment horizontal="left"/>
    </xf>
    <xf numFmtId="42" fontId="15" fillId="68" borderId="3">
      <alignment horizontal="left"/>
    </xf>
    <xf numFmtId="171" fontId="52" fillId="0" borderId="0">
      <alignment horizontal="left" wrapText="1"/>
    </xf>
    <xf numFmtId="42" fontId="15" fillId="68" borderId="3">
      <alignment horizontal="left"/>
    </xf>
    <xf numFmtId="171" fontId="52" fillId="0" borderId="0">
      <alignment horizontal="left" wrapText="1"/>
    </xf>
    <xf numFmtId="42" fontId="15" fillId="68" borderId="3">
      <alignment horizontal="left"/>
    </xf>
    <xf numFmtId="171" fontId="52" fillId="0" borderId="0">
      <alignment horizontal="left" wrapText="1"/>
    </xf>
    <xf numFmtId="202" fontId="113" fillId="68" borderId="3">
      <alignment horizontal="left"/>
    </xf>
    <xf numFmtId="171" fontId="52" fillId="0" borderId="0">
      <alignment horizontal="left" wrapText="1"/>
    </xf>
    <xf numFmtId="202" fontId="113" fillId="68" borderId="3">
      <alignment horizontal="left"/>
    </xf>
    <xf numFmtId="169" fontId="93" fillId="0" borderId="0" applyBorder="0" applyAlignment="0"/>
    <xf numFmtId="14" fontId="52" fillId="0" borderId="0" applyNumberFormat="0" applyFill="0" applyBorder="0" applyAlignment="0" applyProtection="0">
      <alignment horizontal="left"/>
    </xf>
    <xf numFmtId="14" fontId="52" fillId="0" borderId="0" applyNumberFormat="0" applyFill="0" applyBorder="0" applyAlignment="0" applyProtection="0">
      <alignment horizontal="left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171" fontId="52" fillId="0" borderId="0">
      <alignment horizontal="left" wrapText="1"/>
    </xf>
    <xf numFmtId="171" fontId="52" fillId="0" borderId="0">
      <alignment horizontal="left" wrapText="1"/>
    </xf>
    <xf numFmtId="203" fontId="15" fillId="0" borderId="0" applyFont="0" applyFill="0" applyAlignment="0">
      <alignment horizontal="right"/>
    </xf>
    <xf numFmtId="203" fontId="15" fillId="0" borderId="0" applyFont="0" applyFill="0" applyAlignment="0">
      <alignment horizontal="right"/>
    </xf>
    <xf numFmtId="4" fontId="114" fillId="76" borderId="45" applyNumberFormat="0" applyProtection="0">
      <alignment vertical="center"/>
    </xf>
    <xf numFmtId="171" fontId="52" fillId="0" borderId="0">
      <alignment horizontal="left" wrapText="1"/>
    </xf>
    <xf numFmtId="4" fontId="114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171" fontId="52" fillId="0" borderId="0">
      <alignment horizontal="left" wrapTex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2" borderId="0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3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4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5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6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7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8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89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90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91" borderId="45" applyNumberFormat="0" applyProtection="0">
      <alignment horizontal="right" vertical="center"/>
    </xf>
    <xf numFmtId="4" fontId="116" fillId="92" borderId="45" applyNumberFormat="0" applyProtection="0">
      <alignment horizontal="left" vertical="center" indent="1"/>
    </xf>
    <xf numFmtId="4" fontId="116" fillId="93" borderId="0" applyNumberFormat="0" applyProtection="0">
      <alignment horizontal="left" vertical="center" indent="1"/>
    </xf>
    <xf numFmtId="4" fontId="116" fillId="93" borderId="0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4" fontId="114" fillId="94" borderId="0" applyNumberFormat="0" applyProtection="0">
      <alignment horizontal="left" vertical="center" indent="1"/>
    </xf>
    <xf numFmtId="4" fontId="114" fillId="94" borderId="0" applyNumberFormat="0" applyProtection="0">
      <alignment horizontal="left" vertical="center" indent="1"/>
    </xf>
    <xf numFmtId="4" fontId="117" fillId="95" borderId="0" applyNumberFormat="0" applyProtection="0">
      <alignment horizontal="left" vertical="center" indent="1"/>
    </xf>
    <xf numFmtId="4" fontId="117" fillId="95" borderId="0" applyNumberFormat="0" applyProtection="0">
      <alignment horizontal="left" vertical="center" indent="1"/>
    </xf>
    <xf numFmtId="4" fontId="117" fillId="95" borderId="0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8" fillId="0" borderId="0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93" fillId="65" borderId="50" applyBorder="0"/>
    <xf numFmtId="4" fontId="114" fillId="98" borderId="45" applyNumberFormat="0" applyProtection="0">
      <alignment vertical="center"/>
    </xf>
    <xf numFmtId="171" fontId="52" fillId="0" borderId="0">
      <alignment horizontal="left" wrapText="1"/>
    </xf>
    <xf numFmtId="4" fontId="114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171" fontId="52" fillId="0" borderId="0">
      <alignment horizontal="left" wrapText="1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171" fontId="52" fillId="0" borderId="0">
      <alignment horizontal="left" wrapTex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171" fontId="52" fillId="0" borderId="0">
      <alignment horizontal="left" wrapText="1"/>
    </xf>
    <xf numFmtId="4" fontId="114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171" fontId="52" fillId="0" borderId="0">
      <alignment horizontal="left" wrapText="1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171" fontId="52" fillId="0" borderId="0">
      <alignment horizontal="left" wrapText="1"/>
    </xf>
    <xf numFmtId="171" fontId="52" fillId="0" borderId="0">
      <alignment horizontal="left" wrapTex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19" fillId="0" borderId="0"/>
    <xf numFmtId="0" fontId="119" fillId="0" borderId="0"/>
    <xf numFmtId="0" fontId="120" fillId="0" borderId="0" applyNumberFormat="0" applyProtection="0">
      <alignment horizontal="left" indent="5"/>
    </xf>
    <xf numFmtId="0" fontId="47" fillId="99" borderId="15"/>
    <xf numFmtId="4" fontId="121" fillId="94" borderId="45" applyNumberFormat="0" applyProtection="0">
      <alignment horizontal="right" vertical="center"/>
    </xf>
    <xf numFmtId="171" fontId="52" fillId="0" borderId="0">
      <alignment horizontal="left" wrapText="1"/>
    </xf>
    <xf numFmtId="4" fontId="121" fillId="94" borderId="45" applyNumberFormat="0" applyProtection="0">
      <alignment horizontal="right" vertical="center"/>
    </xf>
    <xf numFmtId="39" fontId="15" fillId="100" borderId="0"/>
    <xf numFmtId="39" fontId="15" fillId="100" borderId="0"/>
    <xf numFmtId="39" fontId="15" fillId="100" borderId="0"/>
    <xf numFmtId="171" fontId="52" fillId="0" borderId="0">
      <alignment horizontal="left" wrapText="1"/>
    </xf>
    <xf numFmtId="171" fontId="52" fillId="0" borderId="0">
      <alignment horizontal="left" wrapText="1"/>
    </xf>
    <xf numFmtId="39" fontId="15" fillId="100" borderId="0"/>
    <xf numFmtId="39" fontId="15" fillId="100" borderId="0"/>
    <xf numFmtId="171" fontId="52" fillId="0" borderId="0">
      <alignment horizontal="left" wrapText="1"/>
    </xf>
    <xf numFmtId="39" fontId="15" fillId="100" borderId="0"/>
    <xf numFmtId="171" fontId="52" fillId="0" borderId="0">
      <alignment horizontal="left" wrapText="1"/>
    </xf>
    <xf numFmtId="39" fontId="15" fillId="100" borderId="0"/>
    <xf numFmtId="171" fontId="52" fillId="0" borderId="0">
      <alignment horizontal="left" wrapText="1"/>
    </xf>
    <xf numFmtId="39" fontId="15" fillId="100" borderId="0"/>
    <xf numFmtId="171" fontId="52" fillId="0" borderId="0">
      <alignment horizontal="left" wrapText="1"/>
    </xf>
    <xf numFmtId="171" fontId="52" fillId="0" borderId="0">
      <alignment horizontal="left" wrapText="1"/>
    </xf>
    <xf numFmtId="39" fontId="15" fillId="100" borderId="0"/>
    <xf numFmtId="39" fontId="15" fillId="100" borderId="0"/>
    <xf numFmtId="39" fontId="15" fillId="100" borderId="0"/>
    <xf numFmtId="0" fontId="122" fillId="0" borderId="0" applyNumberFormat="0" applyFill="0" applyBorder="0" applyAlignment="0" applyProtection="0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38" fontId="47" fillId="0" borderId="51"/>
    <xf numFmtId="171" fontId="52" fillId="0" borderId="0">
      <alignment horizontal="left" wrapText="1"/>
    </xf>
    <xf numFmtId="38" fontId="47" fillId="0" borderId="51"/>
    <xf numFmtId="0" fontId="47" fillId="0" borderId="51"/>
    <xf numFmtId="38" fontId="47" fillId="0" borderId="51"/>
    <xf numFmtId="38" fontId="47" fillId="0" borderId="51"/>
    <xf numFmtId="38" fontId="47" fillId="0" borderId="51"/>
    <xf numFmtId="38" fontId="93" fillId="0" borderId="3"/>
    <xf numFmtId="38" fontId="93" fillId="0" borderId="3"/>
    <xf numFmtId="38" fontId="93" fillId="0" borderId="3"/>
    <xf numFmtId="38" fontId="93" fillId="0" borderId="3"/>
    <xf numFmtId="171" fontId="52" fillId="0" borderId="0">
      <alignment horizontal="left" wrapText="1"/>
    </xf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38" fontId="93" fillId="0" borderId="3"/>
    <xf numFmtId="39" fontId="52" fillId="101" borderId="0"/>
    <xf numFmtId="39" fontId="52" fillId="101" borderId="0"/>
    <xf numFmtId="171" fontId="15" fillId="0" borderId="0">
      <alignment horizontal="left" wrapText="1"/>
    </xf>
    <xf numFmtId="175" fontId="15" fillId="0" borderId="0">
      <alignment horizontal="left" wrapText="1"/>
    </xf>
    <xf numFmtId="198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7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172" fontId="15" fillId="0" borderId="0">
      <alignment horizontal="left" wrapText="1"/>
    </xf>
    <xf numFmtId="202" fontId="15" fillId="0" borderId="0">
      <alignment horizontal="left" wrapText="1"/>
    </xf>
    <xf numFmtId="202" fontId="15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1" fontId="52" fillId="0" borderId="0">
      <alignment horizontal="left" wrapText="1"/>
    </xf>
    <xf numFmtId="171" fontId="15" fillId="0" borderId="0">
      <alignment horizontal="left" wrapText="1"/>
    </xf>
    <xf numFmtId="171" fontId="15" fillId="0" borderId="0">
      <alignment horizontal="left" wrapText="1"/>
    </xf>
    <xf numFmtId="176" fontId="15" fillId="0" borderId="0">
      <alignment horizontal="left" wrapText="1"/>
    </xf>
    <xf numFmtId="176" fontId="15" fillId="0" borderId="0">
      <alignment horizontal="left" wrapText="1"/>
    </xf>
    <xf numFmtId="171" fontId="52" fillId="0" borderId="0">
      <alignment horizontal="left" wrapText="1"/>
    </xf>
    <xf numFmtId="171" fontId="52" fillId="0" borderId="0">
      <alignment horizontal="left" wrapText="1"/>
    </xf>
    <xf numFmtId="176" fontId="15" fillId="0" borderId="0">
      <alignment horizontal="left" wrapText="1"/>
    </xf>
    <xf numFmtId="175" fontId="15" fillId="0" borderId="0">
      <alignment horizontal="left" wrapText="1"/>
    </xf>
    <xf numFmtId="175" fontId="15" fillId="0" borderId="0">
      <alignment horizontal="left" wrapText="1"/>
    </xf>
    <xf numFmtId="171" fontId="52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99" fontId="15" fillId="0" borderId="0">
      <alignment horizontal="left" wrapText="1"/>
    </xf>
    <xf numFmtId="172" fontId="15" fillId="0" borderId="0">
      <alignment horizontal="left" wrapText="1"/>
    </xf>
    <xf numFmtId="172" fontId="15" fillId="0" borderId="0">
      <alignment horizontal="left" wrapText="1"/>
    </xf>
    <xf numFmtId="199" fontId="15" fillId="0" borderId="0">
      <alignment horizontal="left" wrapText="1"/>
    </xf>
    <xf numFmtId="171" fontId="15" fillId="0" borderId="0">
      <alignment horizontal="left" wrapText="1"/>
    </xf>
    <xf numFmtId="172" fontId="15" fillId="0" borderId="0">
      <alignment horizontal="left" wrapText="1"/>
    </xf>
    <xf numFmtId="171" fontId="15" fillId="0" borderId="0">
      <alignment horizontal="left" wrapText="1"/>
    </xf>
    <xf numFmtId="0" fontId="15" fillId="0" borderId="0">
      <alignment horizontal="left" wrapText="1"/>
    </xf>
    <xf numFmtId="0" fontId="114" fillId="0" borderId="0" applyNumberFormat="0" applyBorder="0" applyAlignment="0"/>
    <xf numFmtId="0" fontId="123" fillId="0" borderId="0" applyNumberFormat="0" applyBorder="0" applyAlignment="0"/>
    <xf numFmtId="0" fontId="116" fillId="0" borderId="0" applyNumberFormat="0" applyBorder="0" applyAlignment="0"/>
    <xf numFmtId="0" fontId="124" fillId="0" borderId="0"/>
    <xf numFmtId="0" fontId="84" fillId="0" borderId="47"/>
    <xf numFmtId="40" fontId="125" fillId="0" borderId="0" applyBorder="0">
      <alignment horizontal="right"/>
    </xf>
    <xf numFmtId="41" fontId="126" fillId="68" borderId="0">
      <alignment horizontal="left"/>
    </xf>
    <xf numFmtId="40" fontId="125" fillId="0" borderId="0" applyBorder="0">
      <alignment horizontal="right"/>
    </xf>
    <xf numFmtId="41" fontId="126" fillId="68" borderId="0">
      <alignment horizontal="left"/>
    </xf>
    <xf numFmtId="40" fontId="125" fillId="0" borderId="0" applyBorder="0">
      <alignment horizontal="right"/>
    </xf>
    <xf numFmtId="41" fontId="126" fillId="68" borderId="0">
      <alignment horizontal="left"/>
    </xf>
    <xf numFmtId="0" fontId="127" fillId="0" borderId="0"/>
    <xf numFmtId="0" fontId="15" fillId="0" borderId="0" applyNumberFormat="0" applyBorder="0" applyAlignment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9" fillId="0" borderId="0"/>
    <xf numFmtId="0" fontId="110" fillId="79" borderId="0"/>
    <xf numFmtId="165" fontId="130" fillId="68" borderId="0">
      <alignment horizontal="left" vertical="center"/>
    </xf>
    <xf numFmtId="165" fontId="131" fillId="0" borderId="0">
      <alignment horizontal="left" vertical="center"/>
    </xf>
    <xf numFmtId="165" fontId="131" fillId="0" borderId="0">
      <alignment horizontal="left" vertical="center"/>
    </xf>
    <xf numFmtId="0" fontId="44" fillId="68" borderId="0">
      <alignment horizontal="left" wrapText="1"/>
    </xf>
    <xf numFmtId="0" fontId="44" fillId="68" borderId="0">
      <alignment horizontal="left" wrapText="1"/>
    </xf>
    <xf numFmtId="0" fontId="44" fillId="68" borderId="0">
      <alignment horizontal="left" wrapText="1"/>
    </xf>
    <xf numFmtId="171" fontId="5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72" fillId="0" borderId="52" applyNumberFormat="0" applyFon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27" applyNumberFormat="0" applyFill="0" applyAlignment="0" applyProtection="0"/>
    <xf numFmtId="0" fontId="16" fillId="0" borderId="54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0" fontId="16" fillId="0" borderId="54" applyNumberFormat="0" applyFill="0" applyAlignment="0" applyProtection="0"/>
    <xf numFmtId="0" fontId="16" fillId="0" borderId="27" applyNumberFormat="0" applyFill="0" applyAlignment="0" applyProtection="0"/>
    <xf numFmtId="0" fontId="16" fillId="0" borderId="54" applyNumberFormat="0" applyFill="0" applyAlignment="0" applyProtection="0"/>
    <xf numFmtId="171" fontId="52" fillId="0" borderId="0">
      <alignment horizontal="left" wrapText="1"/>
    </xf>
    <xf numFmtId="171" fontId="52" fillId="0" borderId="0">
      <alignment horizontal="left" wrapText="1"/>
    </xf>
    <xf numFmtId="41" fontId="44" fillId="68" borderId="0">
      <alignment horizontal="left"/>
    </xf>
    <xf numFmtId="171" fontId="52" fillId="0" borderId="0">
      <alignment horizontal="left" wrapText="1"/>
    </xf>
    <xf numFmtId="171" fontId="52" fillId="0" borderId="0">
      <alignment horizontal="left" wrapText="1"/>
    </xf>
    <xf numFmtId="41" fontId="44" fillId="68" borderId="0">
      <alignment horizontal="left"/>
    </xf>
    <xf numFmtId="0" fontId="16" fillId="0" borderId="54" applyNumberFormat="0" applyFill="0" applyAlignment="0" applyProtection="0"/>
    <xf numFmtId="0" fontId="16" fillId="0" borderId="27" applyNumberFormat="0" applyFill="0" applyAlignment="0" applyProtection="0"/>
    <xf numFmtId="0" fontId="70" fillId="0" borderId="55"/>
    <xf numFmtId="0" fontId="71" fillId="0" borderId="55"/>
    <xf numFmtId="0" fontId="71" fillId="0" borderId="55"/>
    <xf numFmtId="0" fontId="70" fillId="0" borderId="55"/>
    <xf numFmtId="0" fontId="71" fillId="0" borderId="55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52" fillId="0" borderId="0">
      <alignment horizontal="left" wrapText="1"/>
    </xf>
    <xf numFmtId="0" fontId="2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4" fillId="68" borderId="9" applyNumberFormat="0">
      <alignment horizontal="center" vertical="center" wrapText="1"/>
    </xf>
    <xf numFmtId="0" fontId="15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alignment readingOrder="1"/>
    </xf>
    <xf numFmtId="0" fontId="15" fillId="0" borderId="0">
      <alignment readingOrder="1"/>
    </xf>
    <xf numFmtId="43" fontId="15" fillId="0" borderId="0" applyFont="0" applyFill="0" applyBorder="0" applyAlignment="0" applyProtection="0"/>
    <xf numFmtId="3" fontId="14" fillId="0" borderId="0"/>
    <xf numFmtId="9" fontId="15" fillId="0" borderId="0" applyFont="0" applyFill="0" applyBorder="0" applyAlignment="0" applyProtection="0"/>
    <xf numFmtId="0" fontId="15" fillId="89" borderId="0" applyNumberFormat="0" applyFont="0" applyFill="0" applyBorder="0" applyAlignment="0" applyProtection="0"/>
    <xf numFmtId="169" fontId="67" fillId="76" borderId="0" applyFont="0" applyFill="0" applyBorder="0" applyAlignment="0" applyProtection="0">
      <alignment wrapText="1"/>
    </xf>
    <xf numFmtId="3" fontId="14" fillId="0" borderId="0"/>
    <xf numFmtId="0" fontId="15" fillId="0" borderId="0">
      <alignment readingOrder="1"/>
    </xf>
    <xf numFmtId="38" fontId="135" fillId="0" borderId="0" applyNumberFormat="0" applyFont="0" applyFill="0" applyBorder="0">
      <alignment horizontal="left" indent="4"/>
      <protection locked="0"/>
    </xf>
    <xf numFmtId="9" fontId="6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34" fillId="0" borderId="0"/>
    <xf numFmtId="0" fontId="67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4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33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51" fillId="0" borderId="0"/>
    <xf numFmtId="0" fontId="137" fillId="77" borderId="0"/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70" borderId="15" applyNumberFormat="0">
      <protection locked="0"/>
    </xf>
    <xf numFmtId="0" fontId="15" fillId="70" borderId="15" applyNumberFormat="0">
      <protection locked="0"/>
    </xf>
    <xf numFmtId="0" fontId="47" fillId="99" borderId="15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0" fontId="47" fillId="68" borderId="56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16" fillId="92" borderId="45" applyNumberFormat="0" applyProtection="0">
      <alignment horizontal="left" vertical="center" indent="1"/>
    </xf>
    <xf numFmtId="38" fontId="93" fillId="0" borderId="3"/>
    <xf numFmtId="38" fontId="93" fillId="0" borderId="3"/>
    <xf numFmtId="4" fontId="116" fillId="92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38" fontId="93" fillId="0" borderId="3"/>
    <xf numFmtId="4" fontId="114" fillId="91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38" fontId="93" fillId="0" borderId="3"/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202" fontId="113" fillId="68" borderId="3">
      <alignment horizontal="left"/>
    </xf>
    <xf numFmtId="4" fontId="121" fillId="94" borderId="45" applyNumberFormat="0" applyProtection="0">
      <alignment horizontal="right" vertical="center"/>
    </xf>
    <xf numFmtId="202" fontId="113" fillId="68" borderId="3">
      <alignment horizontal="left"/>
    </xf>
    <xf numFmtId="42" fontId="15" fillId="68" borderId="3">
      <alignment horizontal="left"/>
    </xf>
    <xf numFmtId="4" fontId="121" fillId="94" borderId="45" applyNumberFormat="0" applyProtection="0">
      <alignment horizontal="right" vertical="center"/>
    </xf>
    <xf numFmtId="42" fontId="15" fillId="68" borderId="3">
      <alignment horizontal="left"/>
    </xf>
    <xf numFmtId="0" fontId="47" fillId="99" borderId="15"/>
    <xf numFmtId="42" fontId="15" fillId="68" borderId="3">
      <alignment horizontal="left"/>
    </xf>
    <xf numFmtId="42" fontId="15" fillId="68" borderId="3">
      <alignment horizontal="left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8" borderId="45" applyNumberFormat="0" applyProtection="0">
      <alignment horizontal="left" vertical="center" indent="1"/>
    </xf>
    <xf numFmtId="0" fontId="15" fillId="70" borderId="15" applyNumberFormat="0">
      <protection locked="0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70" borderId="15" applyNumberFormat="0">
      <protection locked="0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0" fontId="112" fillId="79" borderId="47"/>
    <xf numFmtId="0" fontId="111" fillId="80" borderId="46"/>
    <xf numFmtId="0" fontId="93" fillId="65" borderId="50" applyBorder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81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38" fontId="93" fillId="0" borderId="3"/>
    <xf numFmtId="4" fontId="115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0" fontId="15" fillId="96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4" fontId="114" fillId="96" borderId="45" applyNumberFormat="0" applyProtection="0">
      <alignment horizontal="left" vertical="center" indent="1"/>
    </xf>
    <xf numFmtId="38" fontId="93" fillId="0" borderId="3"/>
    <xf numFmtId="4" fontId="114" fillId="96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38" fontId="93" fillId="0" borderId="3"/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93" fillId="0" borderId="3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202" fontId="113" fillId="68" borderId="3">
      <alignment horizontal="left"/>
    </xf>
    <xf numFmtId="4" fontId="116" fillId="92" borderId="45" applyNumberFormat="0" applyProtection="0">
      <alignment horizontal="left" vertical="center" indent="1"/>
    </xf>
    <xf numFmtId="38" fontId="93" fillId="0" borderId="3"/>
    <xf numFmtId="42" fontId="15" fillId="68" borderId="3">
      <alignment horizontal="left"/>
    </xf>
    <xf numFmtId="42" fontId="15" fillId="68" borderId="3">
      <alignment horizontal="left"/>
    </xf>
    <xf numFmtId="4" fontId="116" fillId="92" borderId="45" applyNumberFormat="0" applyProtection="0">
      <alignment horizontal="left" vertical="center" indent="1"/>
    </xf>
    <xf numFmtId="42" fontId="15" fillId="68" borderId="3">
      <alignment horizontal="left"/>
    </xf>
    <xf numFmtId="42" fontId="15" fillId="68" borderId="3">
      <alignment horizontal="left"/>
    </xf>
    <xf numFmtId="4" fontId="114" fillId="91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0" fontId="112" fillId="79" borderId="47"/>
    <xf numFmtId="0" fontId="111" fillId="80" borderId="46"/>
    <xf numFmtId="4" fontId="121" fillId="94" borderId="45" applyNumberFormat="0" applyProtection="0">
      <alignment horizontal="right" vertical="center"/>
    </xf>
    <xf numFmtId="4" fontId="121" fillId="94" borderId="45" applyNumberFormat="0" applyProtection="0">
      <alignment horizontal="right" vertical="center"/>
    </xf>
    <xf numFmtId="202" fontId="113" fillId="68" borderId="3">
      <alignment horizontal="left"/>
    </xf>
    <xf numFmtId="0" fontId="47" fillId="99" borderId="15"/>
    <xf numFmtId="202" fontId="113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vertical="center"/>
    </xf>
    <xf numFmtId="4" fontId="114" fillId="98" borderId="45" applyNumberFormat="0" applyProtection="0">
      <alignment vertical="center"/>
    </xf>
    <xf numFmtId="0" fontId="15" fillId="70" borderId="15" applyNumberFormat="0">
      <protection locked="0"/>
    </xf>
    <xf numFmtId="0" fontId="15" fillId="70" borderId="15" applyNumberFormat="0">
      <protection locked="0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1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05" fillId="70" borderId="45" applyNumberFormat="0" applyAlignment="0" applyProtection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5" fillId="81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4" fillId="7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5" fillId="76" borderId="45" applyNumberFormat="0" applyProtection="0">
      <alignment vertical="center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4" fontId="115" fillId="76" borderId="45" applyNumberFormat="0" applyProtection="0">
      <alignment vertical="center"/>
    </xf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2" fillId="40" borderId="44" applyNumberFormat="0" applyFont="0" applyAlignment="0" applyProtection="0"/>
    <xf numFmtId="4" fontId="114" fillId="76" borderId="45" applyNumberFormat="0" applyProtection="0">
      <alignment vertical="center"/>
    </xf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202" fontId="113" fillId="68" borderId="3">
      <alignment horizontal="left"/>
    </xf>
    <xf numFmtId="202" fontId="113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0" fontId="105" fillId="70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2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70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56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94" fillId="42" borderId="2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70" borderId="45" applyNumberFormat="0" applyAlignment="0" applyProtection="0"/>
    <xf numFmtId="0" fontId="57" fillId="40" borderId="44" applyNumberFormat="0" applyFont="0" applyAlignment="0" applyProtection="0"/>
    <xf numFmtId="0" fontId="15" fillId="40" borderId="44" applyNumberFormat="0" applyFont="0" applyAlignment="0" applyProtection="0"/>
    <xf numFmtId="0" fontId="52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9" fontId="9" fillId="0" borderId="0" applyFont="0" applyFill="0" applyBorder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9" fontId="9" fillId="0" borderId="0" applyFont="0" applyFill="0" applyBorder="0" applyAlignment="0" applyProtection="0"/>
    <xf numFmtId="0" fontId="105" fillId="69" borderId="45" applyNumberFormat="0" applyAlignment="0" applyProtection="0"/>
    <xf numFmtId="0" fontId="105" fillId="69" borderId="45" applyNumberFormat="0" applyAlignment="0" applyProtection="0"/>
    <xf numFmtId="0" fontId="105" fillId="70" borderId="4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1" fillId="80" borderId="46"/>
    <xf numFmtId="0" fontId="112" fillId="79" borderId="47"/>
    <xf numFmtId="4" fontId="114" fillId="94" borderId="49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202" fontId="113" fillId="68" borderId="3">
      <alignment horizontal="left"/>
    </xf>
    <xf numFmtId="202" fontId="113" fillId="68" borderId="3">
      <alignment horizontal="left"/>
    </xf>
    <xf numFmtId="4" fontId="114" fillId="76" borderId="45" applyNumberFormat="0" applyProtection="0">
      <alignment vertical="center"/>
    </xf>
    <xf numFmtId="4" fontId="114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93" fillId="65" borderId="50" applyBorder="0"/>
    <xf numFmtId="0" fontId="93" fillId="65" borderId="50" applyBorder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0" fontId="111" fillId="80" borderId="46"/>
    <xf numFmtId="0" fontId="112" fillId="79" borderId="47"/>
    <xf numFmtId="4" fontId="114" fillId="85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94" borderId="49" applyNumberFormat="0" applyProtection="0">
      <alignment horizontal="left" vertical="center" indent="1"/>
    </xf>
    <xf numFmtId="4" fontId="114" fillId="89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6" fillId="92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4" borderId="49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93" fillId="65" borderId="50" applyBorder="0"/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42" fontId="15" fillId="68" borderId="3">
      <alignment horizontal="left"/>
    </xf>
    <xf numFmtId="0" fontId="15" fillId="96" borderId="45" applyNumberFormat="0" applyProtection="0">
      <alignment horizontal="left" vertical="center" indent="1"/>
    </xf>
    <xf numFmtId="202" fontId="113" fillId="68" borderId="3">
      <alignment horizontal="left"/>
    </xf>
    <xf numFmtId="0" fontId="15" fillId="96" borderId="45" applyNumberFormat="0" applyProtection="0">
      <alignment horizontal="left" vertical="center" indent="1"/>
    </xf>
    <xf numFmtId="202" fontId="113" fillId="68" borderId="3">
      <alignment horizontal="left"/>
    </xf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93" fillId="65" borderId="50" applyBorder="0"/>
    <xf numFmtId="4" fontId="114" fillId="76" borderId="45" applyNumberFormat="0" applyProtection="0">
      <alignment vertical="center"/>
    </xf>
    <xf numFmtId="0" fontId="15" fillId="34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83" borderId="45" applyNumberFormat="0" applyProtection="0">
      <alignment horizontal="right" vertical="center"/>
    </xf>
    <xf numFmtId="4" fontId="114" fillId="83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4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5" borderId="45" applyNumberFormat="0" applyProtection="0">
      <alignment horizontal="right" vertical="center"/>
    </xf>
    <xf numFmtId="4" fontId="114" fillId="86" borderId="45" applyNumberFormat="0" applyProtection="0">
      <alignment horizontal="right" vertical="center"/>
    </xf>
    <xf numFmtId="0" fontId="93" fillId="65" borderId="50" applyBorder="0"/>
    <xf numFmtId="4" fontId="114" fillId="86" borderId="45" applyNumberFormat="0" applyProtection="0">
      <alignment horizontal="right" vertical="center"/>
    </xf>
    <xf numFmtId="4" fontId="114" fillId="87" borderId="45" applyNumberFormat="0" applyProtection="0">
      <alignment horizontal="right" vertical="center"/>
    </xf>
    <xf numFmtId="4" fontId="114" fillId="98" borderId="45" applyNumberFormat="0" applyProtection="0">
      <alignment vertical="center"/>
    </xf>
    <xf numFmtId="4" fontId="114" fillId="87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8" borderId="45" applyNumberFormat="0" applyProtection="0">
      <alignment horizontal="right" vertical="center"/>
    </xf>
    <xf numFmtId="4" fontId="114" fillId="89" borderId="45" applyNumberFormat="0" applyProtection="0">
      <alignment horizontal="right" vertical="center"/>
    </xf>
    <xf numFmtId="4" fontId="114" fillId="98" borderId="45" applyNumberFormat="0" applyProtection="0">
      <alignment vertical="center"/>
    </xf>
    <xf numFmtId="4" fontId="114" fillId="89" borderId="45" applyNumberFormat="0" applyProtection="0">
      <alignment horizontal="right" vertical="center"/>
    </xf>
    <xf numFmtId="4" fontId="114" fillId="90" borderId="45" applyNumberFormat="0" applyProtection="0">
      <alignment horizontal="right" vertical="center"/>
    </xf>
    <xf numFmtId="4" fontId="115" fillId="98" borderId="45" applyNumberFormat="0" applyProtection="0">
      <alignment vertical="center"/>
    </xf>
    <xf numFmtId="4" fontId="114" fillId="90" borderId="45" applyNumberFormat="0" applyProtection="0">
      <alignment horizontal="right" vertical="center"/>
    </xf>
    <xf numFmtId="4" fontId="114" fillId="91" borderId="45" applyNumberFormat="0" applyProtection="0">
      <alignment horizontal="right" vertical="center"/>
    </xf>
    <xf numFmtId="4" fontId="115" fillId="98" borderId="45" applyNumberFormat="0" applyProtection="0">
      <alignment vertical="center"/>
    </xf>
    <xf numFmtId="4" fontId="114" fillId="91" borderId="45" applyNumberFormat="0" applyProtection="0">
      <alignment horizontal="right" vertical="center"/>
    </xf>
    <xf numFmtId="4" fontId="116" fillId="92" borderId="45" applyNumberFormat="0" applyProtection="0">
      <alignment horizontal="left" vertical="center" indent="1"/>
    </xf>
    <xf numFmtId="4" fontId="116" fillId="92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47" fillId="99" borderId="15"/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6" fillId="0" borderId="54" applyNumberFormat="0" applyFill="0" applyAlignment="0" applyProtection="0"/>
    <xf numFmtId="0" fontId="15" fillId="96" borderId="45" applyNumberFormat="0" applyProtection="0">
      <alignment horizontal="left" vertical="center" indent="1"/>
    </xf>
    <xf numFmtId="0" fontId="16" fillId="0" borderId="54" applyNumberFormat="0" applyFill="0" applyAlignment="0" applyProtection="0"/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6" fillId="0" borderId="54" applyNumberFormat="0" applyFill="0" applyAlignment="0" applyProtection="0"/>
    <xf numFmtId="0" fontId="15" fillId="97" borderId="45" applyNumberFormat="0" applyProtection="0">
      <alignment horizontal="left" vertical="center" indent="1"/>
    </xf>
    <xf numFmtId="10" fontId="47" fillId="68" borderId="15" applyNumberFormat="0" applyBorder="0" applyAlignment="0" applyProtection="0"/>
    <xf numFmtId="4" fontId="114" fillId="83" borderId="45" applyNumberFormat="0" applyProtection="0">
      <alignment horizontal="right" vertical="center"/>
    </xf>
    <xf numFmtId="0" fontId="57" fillId="40" borderId="44" applyNumberFormat="0" applyFon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10" fontId="47" fillId="68" borderId="56" applyNumberFormat="0" applyBorder="0" applyAlignment="0" applyProtection="0"/>
    <xf numFmtId="0" fontId="57" fillId="40" borderId="44" applyNumberFormat="0" applyFont="0" applyAlignment="0" applyProtection="0"/>
    <xf numFmtId="0" fontId="57" fillId="40" borderId="44" applyNumberFormat="0" applyFont="0" applyAlignment="0" applyProtection="0"/>
    <xf numFmtId="0" fontId="15" fillId="81" borderId="45" applyNumberFormat="0" applyProtection="0">
      <alignment horizontal="left" vertical="center" indent="1"/>
    </xf>
    <xf numFmtId="0" fontId="15" fillId="40" borderId="44" applyNumberFormat="0" applyFont="0" applyAlignment="0" applyProtection="0"/>
    <xf numFmtId="0" fontId="61" fillId="69" borderId="29" applyNumberForma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4" fontId="114" fillId="76" borderId="45" applyNumberFormat="0" applyProtection="0">
      <alignment horizontal="left" vertical="center" indent="1"/>
    </xf>
    <xf numFmtId="4" fontId="114" fillId="7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38" fontId="93" fillId="0" borderId="3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4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47" fillId="99" borderId="15"/>
    <xf numFmtId="4" fontId="114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21" fillId="94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4" fontId="121" fillId="94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15" applyNumberFormat="0">
      <protection locked="0"/>
    </xf>
    <xf numFmtId="0" fontId="15" fillId="70" borderId="15" applyNumberFormat="0">
      <protection locked="0"/>
    </xf>
    <xf numFmtId="0" fontId="15" fillId="70" borderId="56" applyNumberFormat="0">
      <protection locked="0"/>
    </xf>
    <xf numFmtId="4" fontId="114" fillId="98" borderId="45" applyNumberFormat="0" applyProtection="0">
      <alignment vertical="center"/>
    </xf>
    <xf numFmtId="0" fontId="15" fillId="70" borderId="56" applyNumberFormat="0">
      <protection locked="0"/>
    </xf>
    <xf numFmtId="4" fontId="114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47" fillId="99" borderId="15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47" fillId="99" borderId="15"/>
    <xf numFmtId="4" fontId="121" fillId="94" borderId="45" applyNumberFormat="0" applyProtection="0">
      <alignment horizontal="right" vertical="center"/>
    </xf>
    <xf numFmtId="38" fontId="93" fillId="0" borderId="3"/>
    <xf numFmtId="4" fontId="121" fillId="94" borderId="45" applyNumberFormat="0" applyProtection="0">
      <alignment horizontal="right" vertical="center"/>
    </xf>
    <xf numFmtId="38" fontId="93" fillId="0" borderId="3"/>
    <xf numFmtId="38" fontId="93" fillId="0" borderId="3"/>
    <xf numFmtId="0" fontId="93" fillId="0" borderId="3"/>
    <xf numFmtId="0" fontId="93" fillId="0" borderId="3"/>
    <xf numFmtId="0" fontId="84" fillId="0" borderId="47"/>
    <xf numFmtId="0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38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0" fontId="47" fillId="99" borderId="56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57" fillId="40" borderId="44" applyNumberFormat="0" applyFont="0" applyAlignment="0" applyProtection="0"/>
    <xf numFmtId="4" fontId="116" fillId="92" borderId="45" applyNumberFormat="0" applyProtection="0">
      <alignment horizontal="left" vertical="center" indent="1"/>
    </xf>
    <xf numFmtId="4" fontId="114" fillId="76" borderId="45" applyNumberFormat="0" applyProtection="0">
      <alignment vertical="center"/>
    </xf>
    <xf numFmtId="0" fontId="84" fillId="0" borderId="47"/>
    <xf numFmtId="0" fontId="61" fillId="69" borderId="29" applyNumberFormat="0" applyAlignment="0" applyProtection="0"/>
    <xf numFmtId="0" fontId="61" fillId="69" borderId="29" applyNumberFormat="0" applyAlignment="0" applyProtection="0"/>
    <xf numFmtId="0" fontId="57" fillId="40" borderId="44" applyNumberFormat="0" applyFont="0" applyAlignment="0" applyProtection="0"/>
    <xf numFmtId="0" fontId="105" fillId="69" borderId="45" applyNumberFormat="0" applyAlignment="0" applyProtection="0"/>
    <xf numFmtId="4" fontId="115" fillId="94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202" fontId="113" fillId="68" borderId="3">
      <alignment horizontal="left"/>
    </xf>
    <xf numFmtId="4" fontId="114" fillId="7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105" fillId="70" borderId="45" applyNumberFormat="0" applyAlignment="0" applyProtection="0"/>
    <xf numFmtId="0" fontId="15" fillId="97" borderId="45" applyNumberFormat="0" applyProtection="0">
      <alignment horizontal="left" vertical="center" indent="1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0" borderId="45" applyNumberFormat="0" applyProtection="0">
      <alignment horizontal="right" vertical="center"/>
    </xf>
    <xf numFmtId="0" fontId="15" fillId="96" borderId="45" applyNumberFormat="0" applyProtection="0">
      <alignment horizontal="left" vertical="center" indent="1"/>
    </xf>
    <xf numFmtId="4" fontId="114" fillId="96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10" fontId="47" fillId="68" borderId="15" applyNumberFormat="0" applyBorder="0" applyAlignment="0" applyProtection="0"/>
    <xf numFmtId="0" fontId="15" fillId="81" borderId="45" applyNumberFormat="0" applyProtection="0">
      <alignment horizontal="left" vertical="center" inden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42" fontId="15" fillId="68" borderId="3">
      <alignment horizontal="left"/>
    </xf>
    <xf numFmtId="0" fontId="105" fillId="69" borderId="45" applyNumberFormat="0" applyAlignment="0" applyProtection="0"/>
    <xf numFmtId="0" fontId="15" fillId="81" borderId="45" applyNumberFormat="0" applyProtection="0">
      <alignment horizontal="left" vertical="center" indent="1"/>
    </xf>
    <xf numFmtId="0" fontId="105" fillId="69" borderId="45" applyNumberFormat="0" applyAlignment="0" applyProtection="0"/>
    <xf numFmtId="10" fontId="47" fillId="68" borderId="56" applyNumberFormat="0" applyBorder="0" applyAlignment="0" applyProtection="0"/>
    <xf numFmtId="38" fontId="93" fillId="0" borderId="3"/>
    <xf numFmtId="0" fontId="15" fillId="34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97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70" borderId="56" applyNumberFormat="0">
      <protection locked="0"/>
    </xf>
    <xf numFmtId="0" fontId="15" fillId="70" borderId="56" applyNumberFormat="0">
      <protection locked="0"/>
    </xf>
    <xf numFmtId="0" fontId="15" fillId="81" borderId="45" applyNumberFormat="0" applyProtection="0">
      <alignment horizontal="left" vertical="center" indent="1"/>
    </xf>
    <xf numFmtId="0" fontId="93" fillId="65" borderId="50" applyBorder="0"/>
    <xf numFmtId="4" fontId="114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0" fontId="15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4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15" fillId="81" borderId="45" applyNumberFormat="0" applyProtection="0">
      <alignment horizontal="left" vertical="center" indent="1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47" fillId="99" borderId="56"/>
    <xf numFmtId="0" fontId="16" fillId="0" borderId="54" applyNumberFormat="0" applyFill="0" applyAlignment="0" applyProtection="0"/>
    <xf numFmtId="4" fontId="121" fillId="94" borderId="45" applyNumberFormat="0" applyProtection="0">
      <alignment horizontal="right" vertical="center"/>
    </xf>
    <xf numFmtId="4" fontId="121" fillId="94" borderId="45" applyNumberFormat="0" applyProtection="0">
      <alignment horizontal="right" vertical="center"/>
    </xf>
    <xf numFmtId="0" fontId="16" fillId="0" borderId="54" applyNumberFormat="0" applyFill="0" applyAlignment="0" applyProtection="0"/>
    <xf numFmtId="4" fontId="121" fillId="94" borderId="45" applyNumberFormat="0" applyProtection="0">
      <alignment horizontal="right" vertical="center"/>
    </xf>
    <xf numFmtId="0" fontId="16" fillId="0" borderId="54" applyNumberFormat="0" applyFill="0" applyAlignment="0" applyProtection="0"/>
    <xf numFmtId="4" fontId="121" fillId="94" borderId="45" applyNumberFormat="0" applyProtection="0">
      <alignment horizontal="right" vertical="center"/>
    </xf>
    <xf numFmtId="0" fontId="16" fillId="0" borderId="54" applyNumberFormat="0" applyFill="0" applyAlignment="0" applyProtection="0"/>
    <xf numFmtId="0" fontId="105" fillId="69" borderId="45" applyNumberForma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34" borderId="45" applyNumberFormat="0" applyProtection="0">
      <alignment horizontal="left" vertical="center" indent="1"/>
    </xf>
    <xf numFmtId="0" fontId="15" fillId="34" borderId="45" applyNumberFormat="0" applyProtection="0">
      <alignment horizontal="left" vertical="center" indent="1"/>
    </xf>
    <xf numFmtId="4" fontId="114" fillId="98" borderId="45" applyNumberFormat="0" applyProtection="0">
      <alignment horizontal="left" vertical="center" indent="1"/>
    </xf>
    <xf numFmtId="0" fontId="15" fillId="40" borderId="44" applyNumberFormat="0" applyFon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38" fontId="93" fillId="0" borderId="3"/>
    <xf numFmtId="38" fontId="93" fillId="0" borderId="3"/>
    <xf numFmtId="38" fontId="93" fillId="0" borderId="3"/>
    <xf numFmtId="38" fontId="93" fillId="0" borderId="3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0" fontId="16" fillId="0" borderId="54" applyNumberFormat="0" applyFill="0" applyAlignment="0" applyProtection="0"/>
    <xf numFmtId="0" fontId="15" fillId="40" borderId="44" applyNumberFormat="0" applyFont="0" applyAlignment="0" applyProtection="0"/>
    <xf numFmtId="0" fontId="84" fillId="0" borderId="47"/>
    <xf numFmtId="0" fontId="15" fillId="40" borderId="44" applyNumberFormat="0" applyFont="0" applyAlignment="0" applyProtection="0"/>
    <xf numFmtId="0" fontId="15" fillId="40" borderId="44" applyNumberFormat="0" applyFont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6" fillId="0" borderId="54" applyNumberFormat="0" applyFill="0" applyAlignment="0" applyProtection="0"/>
    <xf numFmtId="10" fontId="47" fillId="68" borderId="15" applyNumberFormat="0" applyBorder="0" applyAlignment="0" applyProtection="0"/>
    <xf numFmtId="4" fontId="114" fillId="91" borderId="45" applyNumberFormat="0" applyProtection="0">
      <alignment horizontal="right" vertical="center"/>
    </xf>
    <xf numFmtId="0" fontId="61" fillId="69" borderId="29" applyNumberFormat="0" applyAlignment="0" applyProtection="0"/>
    <xf numFmtId="0" fontId="61" fillId="69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81" borderId="45" applyNumberFormat="0" applyProtection="0">
      <alignment horizontal="left" vertical="center" indent="1"/>
    </xf>
    <xf numFmtId="4" fontId="114" fillId="94" borderId="45" applyNumberFormat="0" applyProtection="0">
      <alignment horizontal="right" vertical="center"/>
    </xf>
    <xf numFmtId="0" fontId="105" fillId="69" borderId="45" applyNumberFormat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4" fontId="114" fillId="98" borderId="45" applyNumberFormat="0" applyProtection="0">
      <alignment horizontal="left" vertical="center" indent="1"/>
    </xf>
    <xf numFmtId="4" fontId="114" fillId="90" borderId="45" applyNumberFormat="0" applyProtection="0">
      <alignment horizontal="right" vertical="center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96" borderId="45" applyNumberFormat="0" applyProtection="0">
      <alignment horizontal="left" vertical="center" indent="1"/>
    </xf>
    <xf numFmtId="0" fontId="57" fillId="40" borderId="44" applyNumberFormat="0" applyFont="0" applyAlignment="0" applyProtection="0"/>
    <xf numFmtId="0" fontId="52" fillId="40" borderId="44" applyNumberFormat="0" applyFont="0" applyAlignment="0" applyProtection="0"/>
    <xf numFmtId="38" fontId="93" fillId="0" borderId="3"/>
    <xf numFmtId="38" fontId="93" fillId="0" borderId="3"/>
    <xf numFmtId="38" fontId="93" fillId="0" borderId="3"/>
    <xf numFmtId="38" fontId="93" fillId="0" borderId="3"/>
    <xf numFmtId="0" fontId="93" fillId="0" borderId="3"/>
    <xf numFmtId="0" fontId="93" fillId="0" borderId="3"/>
    <xf numFmtId="0" fontId="93" fillId="0" borderId="3"/>
    <xf numFmtId="38" fontId="93" fillId="0" borderId="3"/>
    <xf numFmtId="38" fontId="93" fillId="0" borderId="3"/>
    <xf numFmtId="38" fontId="93" fillId="0" borderId="3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15" fillId="96" borderId="45" applyNumberFormat="0" applyProtection="0">
      <alignment horizontal="left" vertical="center" indent="1"/>
    </xf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10" fontId="47" fillId="68" borderId="15" applyNumberFormat="0" applyBorder="0" applyAlignment="0" applyProtection="0"/>
    <xf numFmtId="0" fontId="84" fillId="0" borderId="47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16" fillId="0" borderId="54" applyNumberFormat="0" applyFill="0" applyAlignment="0" applyProtection="0"/>
    <xf numFmtId="0" fontId="61" fillId="69" borderId="29" applyNumberFormat="0" applyAlignment="0" applyProtection="0"/>
    <xf numFmtId="0" fontId="61" fillId="69" borderId="29" applyNumberFormat="0" applyAlignment="0" applyProtection="0"/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85" fillId="0" borderId="14">
      <alignment horizontal="left"/>
    </xf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0" fontId="94" fillId="42" borderId="29" applyNumberForma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0" borderId="0">
      <alignment readingOrder="1"/>
    </xf>
    <xf numFmtId="0" fontId="42" fillId="0" borderId="0">
      <alignment readingOrder="1"/>
    </xf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38" fillId="0" borderId="0">
      <alignment readingOrder="1"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5" fillId="0" borderId="57">
      <alignment horizontal="left"/>
    </xf>
    <xf numFmtId="0" fontId="85" fillId="0" borderId="57">
      <alignment horizontal="left"/>
    </xf>
    <xf numFmtId="0" fontId="85" fillId="0" borderId="57">
      <alignment horizontal="left"/>
    </xf>
    <xf numFmtId="0" fontId="85" fillId="0" borderId="57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24">
    <xf numFmtId="0" fontId="0" fillId="0" borderId="0" xfId="0"/>
    <xf numFmtId="0" fontId="13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0" fontId="17" fillId="0" borderId="0" xfId="0" applyFont="1"/>
    <xf numFmtId="0" fontId="17" fillId="0" borderId="7" xfId="4" applyFont="1" applyBorder="1" applyAlignment="1">
      <alignment horizontal="center"/>
    </xf>
    <xf numFmtId="0" fontId="17" fillId="0" borderId="8" xfId="4" applyFont="1" applyBorder="1" applyAlignment="1">
      <alignment horizontal="center"/>
    </xf>
    <xf numFmtId="0" fontId="17" fillId="0" borderId="8" xfId="0" applyFont="1" applyBorder="1"/>
    <xf numFmtId="0" fontId="17" fillId="0" borderId="9" xfId="4" applyFont="1" applyBorder="1" applyAlignment="1">
      <alignment horizontal="center"/>
    </xf>
    <xf numFmtId="0" fontId="17" fillId="0" borderId="10" xfId="4" applyFont="1" applyBorder="1" applyAlignment="1">
      <alignment horizontal="center"/>
    </xf>
    <xf numFmtId="0" fontId="17" fillId="0" borderId="12" xfId="4" applyFont="1" applyBorder="1" applyAlignment="1">
      <alignment horizontal="center"/>
    </xf>
    <xf numFmtId="0" fontId="17" fillId="0" borderId="13" xfId="4" applyFont="1" applyBorder="1" applyAlignment="1">
      <alignment horizontal="center" wrapText="1"/>
    </xf>
    <xf numFmtId="0" fontId="17" fillId="0" borderId="14" xfId="4" applyFont="1" applyBorder="1" applyAlignment="1">
      <alignment horizontal="center"/>
    </xf>
    <xf numFmtId="0" fontId="17" fillId="0" borderId="15" xfId="4" applyFont="1" applyBorder="1" applyAlignment="1">
      <alignment horizontal="center"/>
    </xf>
    <xf numFmtId="0" fontId="17" fillId="0" borderId="16" xfId="4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0" xfId="0" applyFont="1"/>
    <xf numFmtId="10" fontId="17" fillId="0" borderId="7" xfId="0" applyNumberFormat="1" applyFont="1" applyBorder="1"/>
    <xf numFmtId="49" fontId="16" fillId="0" borderId="8" xfId="0" applyNumberFormat="1" applyFont="1" applyBorder="1" applyAlignment="1">
      <alignment horizontal="center"/>
    </xf>
    <xf numFmtId="37" fontId="17" fillId="0" borderId="7" xfId="5" applyNumberFormat="1" applyFont="1" applyBorder="1"/>
    <xf numFmtId="0" fontId="17" fillId="0" borderId="7" xfId="0" applyFont="1" applyBorder="1"/>
    <xf numFmtId="37" fontId="17" fillId="0" borderId="7" xfId="6" applyNumberFormat="1" applyFont="1" applyBorder="1"/>
    <xf numFmtId="168" fontId="17" fillId="0" borderId="7" xfId="0" applyNumberFormat="1" applyFont="1" applyBorder="1"/>
    <xf numFmtId="167" fontId="17" fillId="0" borderId="11" xfId="0" applyNumberFormat="1" applyFont="1" applyBorder="1"/>
    <xf numFmtId="167" fontId="17" fillId="0" borderId="10" xfId="0" applyNumberFormat="1" applyFont="1" applyBorder="1"/>
    <xf numFmtId="0" fontId="17" fillId="0" borderId="10" xfId="0" applyFont="1" applyBorder="1"/>
    <xf numFmtId="0" fontId="17" fillId="0" borderId="0" xfId="0" applyFont="1" applyAlignment="1">
      <alignment horizontal="center"/>
    </xf>
    <xf numFmtId="167" fontId="21" fillId="0" borderId="0" xfId="2" applyNumberFormat="1" applyFont="1"/>
    <xf numFmtId="172" fontId="13" fillId="0" borderId="0" xfId="3" applyNumberFormat="1" applyFont="1"/>
    <xf numFmtId="44" fontId="13" fillId="0" borderId="0" xfId="2" applyFont="1"/>
    <xf numFmtId="44" fontId="13" fillId="0" borderId="0" xfId="0" applyNumberFormat="1" applyFont="1"/>
    <xf numFmtId="0" fontId="19" fillId="0" borderId="0" xfId="0" applyFont="1"/>
    <xf numFmtId="17" fontId="13" fillId="0" borderId="0" xfId="0" applyNumberFormat="1" applyFont="1" applyAlignment="1">
      <alignment horizontal="center"/>
    </xf>
    <xf numFmtId="169" fontId="13" fillId="0" borderId="0" xfId="0" applyNumberFormat="1" applyFont="1"/>
    <xf numFmtId="169" fontId="13" fillId="0" borderId="3" xfId="0" applyNumberFormat="1" applyFont="1" applyBorder="1"/>
    <xf numFmtId="173" fontId="13" fillId="0" borderId="0" xfId="0" applyNumberFormat="1" applyFont="1"/>
    <xf numFmtId="10" fontId="13" fillId="0" borderId="0" xfId="0" applyNumberFormat="1" applyFont="1"/>
    <xf numFmtId="167" fontId="13" fillId="0" borderId="0" xfId="2" applyNumberFormat="1" applyFont="1"/>
    <xf numFmtId="167" fontId="13" fillId="0" borderId="0" xfId="0" applyNumberFormat="1" applyFont="1"/>
    <xf numFmtId="167" fontId="13" fillId="0" borderId="9" xfId="2" applyNumberFormat="1" applyFont="1" applyBorder="1"/>
    <xf numFmtId="0" fontId="17" fillId="0" borderId="11" xfId="0" applyFont="1" applyBorder="1" applyAlignment="1">
      <alignment horizontal="center"/>
    </xf>
    <xf numFmtId="0" fontId="17" fillId="0" borderId="12" xfId="0" applyFont="1" applyBorder="1"/>
    <xf numFmtId="167" fontId="17" fillId="0" borderId="7" xfId="2" applyNumberFormat="1" applyFont="1" applyFill="1" applyBorder="1"/>
    <xf numFmtId="44" fontId="17" fillId="0" borderId="7" xfId="2" applyFont="1" applyFill="1" applyBorder="1"/>
    <xf numFmtId="0" fontId="12" fillId="0" borderId="0" xfId="0" applyFont="1"/>
    <xf numFmtId="170" fontId="20" fillId="0" borderId="0" xfId="0" applyNumberFormat="1" applyFont="1" applyAlignment="1">
      <alignment readingOrder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 indent="1" readingOrder="1"/>
    </xf>
    <xf numFmtId="169" fontId="12" fillId="0" borderId="0" xfId="0" applyNumberFormat="1" applyFont="1"/>
    <xf numFmtId="169" fontId="17" fillId="0" borderId="0" xfId="0" applyNumberFormat="1" applyFont="1"/>
    <xf numFmtId="9" fontId="12" fillId="0" borderId="0" xfId="3" applyFont="1"/>
    <xf numFmtId="0" fontId="20" fillId="0" borderId="0" xfId="5" applyFont="1"/>
    <xf numFmtId="171" fontId="17" fillId="0" borderId="0" xfId="5" applyNumberFormat="1" applyFont="1"/>
    <xf numFmtId="0" fontId="17" fillId="0" borderId="0" xfId="5" applyFont="1"/>
    <xf numFmtId="0" fontId="24" fillId="0" borderId="0" xfId="5" applyFont="1"/>
    <xf numFmtId="44" fontId="17" fillId="0" borderId="0" xfId="2" applyFont="1"/>
    <xf numFmtId="168" fontId="13" fillId="0" borderId="0" xfId="2" applyNumberFormat="1" applyFont="1"/>
    <xf numFmtId="168" fontId="17" fillId="0" borderId="0" xfId="2" applyNumberFormat="1" applyFont="1"/>
    <xf numFmtId="0" fontId="22" fillId="0" borderId="0" xfId="0" applyFont="1"/>
    <xf numFmtId="0" fontId="22" fillId="0" borderId="0" xfId="5" applyFont="1"/>
    <xf numFmtId="0" fontId="26" fillId="0" borderId="0" xfId="0" applyFont="1"/>
    <xf numFmtId="0" fontId="26" fillId="0" borderId="0" xfId="5" applyFont="1"/>
    <xf numFmtId="172" fontId="11" fillId="0" borderId="0" xfId="3" applyNumberFormat="1" applyFont="1"/>
    <xf numFmtId="169" fontId="12" fillId="0" borderId="0" xfId="1" applyNumberFormat="1" applyFont="1"/>
    <xf numFmtId="169" fontId="21" fillId="0" borderId="0" xfId="1" applyNumberFormat="1" applyFont="1" applyFill="1"/>
    <xf numFmtId="2" fontId="12" fillId="0" borderId="0" xfId="0" applyNumberFormat="1" applyFont="1"/>
    <xf numFmtId="3" fontId="21" fillId="0" borderId="0" xfId="4" applyNumberFormat="1" applyFont="1"/>
    <xf numFmtId="0" fontId="23" fillId="0" borderId="0" xfId="0" applyFont="1" applyAlignment="1">
      <alignment vertical="center" wrapText="1"/>
    </xf>
    <xf numFmtId="168" fontId="20" fillId="0" borderId="15" xfId="2" applyNumberFormat="1" applyFont="1" applyFill="1" applyBorder="1"/>
    <xf numFmtId="168" fontId="21" fillId="0" borderId="7" xfId="0" applyNumberFormat="1" applyFont="1" applyBorder="1"/>
    <xf numFmtId="0" fontId="13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44" fontId="27" fillId="0" borderId="0" xfId="2" applyFont="1"/>
    <xf numFmtId="10" fontId="17" fillId="0" borderId="0" xfId="5" applyNumberFormat="1" applyFont="1"/>
    <xf numFmtId="10" fontId="17" fillId="0" borderId="7" xfId="3" applyNumberFormat="1" applyFont="1" applyFill="1" applyBorder="1"/>
    <xf numFmtId="0" fontId="29" fillId="0" borderId="0" xfId="0" applyFont="1"/>
    <xf numFmtId="0" fontId="29" fillId="0" borderId="0" xfId="0" applyFont="1" applyAlignment="1">
      <alignment wrapText="1"/>
    </xf>
    <xf numFmtId="171" fontId="13" fillId="0" borderId="0" xfId="0" applyNumberFormat="1" applyFont="1"/>
    <xf numFmtId="171" fontId="25" fillId="0" borderId="18" xfId="5" applyNumberFormat="1" applyFont="1" applyBorder="1"/>
    <xf numFmtId="171" fontId="20" fillId="0" borderId="0" xfId="5" applyNumberFormat="1" applyFont="1"/>
    <xf numFmtId="0" fontId="29" fillId="2" borderId="6" xfId="0" quotePrefix="1" applyFont="1" applyFill="1" applyBorder="1" applyAlignment="1">
      <alignment horizontal="center"/>
    </xf>
    <xf numFmtId="0" fontId="29" fillId="2" borderId="0" xfId="0" applyFont="1" applyFill="1"/>
    <xf numFmtId="0" fontId="29" fillId="2" borderId="6" xfId="0" applyFont="1" applyFill="1" applyBorder="1" applyAlignment="1">
      <alignment horizontal="center"/>
    </xf>
    <xf numFmtId="0" fontId="30" fillId="2" borderId="13" xfId="0" applyFont="1" applyFill="1" applyBorder="1"/>
    <xf numFmtId="0" fontId="31" fillId="2" borderId="14" xfId="0" applyFont="1" applyFill="1" applyBorder="1"/>
    <xf numFmtId="0" fontId="10" fillId="0" borderId="0" xfId="0" applyFont="1"/>
    <xf numFmtId="3" fontId="12" fillId="0" borderId="0" xfId="0" applyNumberFormat="1" applyFont="1"/>
    <xf numFmtId="0" fontId="8" fillId="0" borderId="0" xfId="0" applyFont="1"/>
    <xf numFmtId="172" fontId="31" fillId="2" borderId="16" xfId="0" applyNumberFormat="1" applyFont="1" applyFill="1" applyBorder="1"/>
    <xf numFmtId="172" fontId="29" fillId="2" borderId="8" xfId="3" applyNumberFormat="1" applyFont="1" applyFill="1" applyBorder="1"/>
    <xf numFmtId="176" fontId="13" fillId="0" borderId="0" xfId="0" applyNumberFormat="1" applyFont="1"/>
    <xf numFmtId="14" fontId="20" fillId="0" borderId="0" xfId="5" applyNumberFormat="1" applyFont="1"/>
    <xf numFmtId="171" fontId="17" fillId="0" borderId="14" xfId="5" applyNumberFormat="1" applyFont="1" applyBorder="1"/>
    <xf numFmtId="4" fontId="25" fillId="0" borderId="0" xfId="5" applyNumberFormat="1" applyFont="1" applyAlignment="1">
      <alignment horizontal="left"/>
    </xf>
    <xf numFmtId="167" fontId="21" fillId="0" borderId="0" xfId="2" applyNumberFormat="1" applyFont="1" applyFill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" fontId="17" fillId="0" borderId="0" xfId="0" quotePrefix="1" applyNumberFormat="1" applyFont="1" applyAlignment="1">
      <alignment horizontal="center"/>
    </xf>
    <xf numFmtId="172" fontId="17" fillId="0" borderId="0" xfId="0" applyNumberFormat="1" applyFont="1"/>
    <xf numFmtId="0" fontId="17" fillId="0" borderId="0" xfId="0" quotePrefix="1" applyFont="1" applyAlignment="1">
      <alignment horizontal="center"/>
    </xf>
    <xf numFmtId="0" fontId="20" fillId="0" borderId="0" xfId="0" applyFont="1"/>
    <xf numFmtId="172" fontId="20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168" fontId="13" fillId="0" borderId="0" xfId="2" applyNumberFormat="1" applyFont="1" applyFill="1"/>
    <xf numFmtId="0" fontId="29" fillId="2" borderId="14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30" fillId="2" borderId="0" xfId="0" applyFont="1" applyFill="1"/>
    <xf numFmtId="172" fontId="31" fillId="2" borderId="0" xfId="0" applyNumberFormat="1" applyFont="1" applyFill="1"/>
    <xf numFmtId="0" fontId="4" fillId="0" borderId="0" xfId="0" applyFont="1"/>
    <xf numFmtId="167" fontId="20" fillId="0" borderId="17" xfId="2" applyNumberFormat="1" applyFont="1" applyFill="1" applyBorder="1"/>
    <xf numFmtId="167" fontId="13" fillId="0" borderId="48" xfId="2" applyNumberFormat="1" applyFont="1" applyBorder="1"/>
    <xf numFmtId="5" fontId="20" fillId="0" borderId="0" xfId="0" applyNumberFormat="1" applyFont="1"/>
    <xf numFmtId="0" fontId="141" fillId="0" borderId="0" xfId="0" applyFont="1"/>
    <xf numFmtId="166" fontId="17" fillId="0" borderId="0" xfId="1" applyNumberFormat="1" applyFont="1" applyFill="1" applyBorder="1"/>
    <xf numFmtId="164" fontId="140" fillId="0" borderId="0" xfId="0" applyNumberFormat="1" applyFont="1"/>
    <xf numFmtId="166" fontId="17" fillId="0" borderId="0" xfId="0" applyNumberFormat="1" applyFont="1"/>
    <xf numFmtId="43" fontId="17" fillId="0" borderId="0" xfId="1" applyFont="1" applyFill="1" applyBorder="1"/>
    <xf numFmtId="0" fontId="17" fillId="0" borderId="0" xfId="0" applyFont="1" applyAlignment="1">
      <alignment horizontal="right"/>
    </xf>
    <xf numFmtId="7" fontId="17" fillId="0" borderId="0" xfId="0" applyNumberFormat="1" applyFont="1"/>
    <xf numFmtId="171" fontId="17" fillId="0" borderId="0" xfId="0" applyNumberFormat="1" applyFont="1"/>
    <xf numFmtId="5" fontId="17" fillId="0" borderId="0" xfId="0" applyNumberFormat="1" applyFont="1"/>
    <xf numFmtId="0" fontId="140" fillId="0" borderId="0" xfId="0" applyFont="1"/>
    <xf numFmtId="44" fontId="17" fillId="0" borderId="0" xfId="2" applyFont="1" applyFill="1" applyBorder="1"/>
    <xf numFmtId="168" fontId="17" fillId="0" borderId="0" xfId="2" applyNumberFormat="1" applyFont="1" applyFill="1" applyBorder="1"/>
    <xf numFmtId="0" fontId="16" fillId="0" borderId="0" xfId="8436" applyFont="1" applyAlignment="1">
      <alignment horizontal="center" wrapText="1"/>
    </xf>
    <xf numFmtId="0" fontId="16" fillId="102" borderId="9" xfId="8436" applyFont="1" applyFill="1" applyBorder="1" applyAlignment="1">
      <alignment horizontal="center" wrapText="1"/>
    </xf>
    <xf numFmtId="17" fontId="16" fillId="0" borderId="0" xfId="8436" applyNumberFormat="1" applyFont="1"/>
    <xf numFmtId="43" fontId="0" fillId="0" borderId="0" xfId="7203" applyFont="1" applyFill="1" applyAlignment="1">
      <alignment readingOrder="1"/>
    </xf>
    <xf numFmtId="10" fontId="0" fillId="0" borderId="0" xfId="8846" applyNumberFormat="1" applyFont="1"/>
    <xf numFmtId="43" fontId="0" fillId="0" borderId="0" xfId="7203" applyFont="1"/>
    <xf numFmtId="43" fontId="15" fillId="0" borderId="0" xfId="8436" applyNumberFormat="1"/>
    <xf numFmtId="43" fontId="0" fillId="0" borderId="0" xfId="0" applyNumberFormat="1"/>
    <xf numFmtId="43" fontId="4" fillId="0" borderId="0" xfId="1" applyFont="1"/>
    <xf numFmtId="0" fontId="15" fillId="0" borderId="0" xfId="8436"/>
    <xf numFmtId="17" fontId="16" fillId="0" borderId="0" xfId="8436" applyNumberFormat="1" applyFont="1" applyAlignment="1">
      <alignment horizontal="right"/>
    </xf>
    <xf numFmtId="43" fontId="0" fillId="0" borderId="48" xfId="7203" applyFont="1" applyBorder="1"/>
    <xf numFmtId="9" fontId="0" fillId="0" borderId="48" xfId="8846" applyFont="1" applyBorder="1"/>
    <xf numFmtId="43" fontId="4" fillId="0" borderId="48" xfId="1" applyFont="1" applyBorder="1"/>
    <xf numFmtId="169" fontId="44" fillId="0" borderId="48" xfId="8436" applyNumberFormat="1" applyFont="1" applyBorder="1"/>
    <xf numFmtId="167" fontId="13" fillId="0" borderId="0" xfId="2" applyNumberFormat="1" applyFont="1" applyBorder="1"/>
    <xf numFmtId="0" fontId="3" fillId="0" borderId="0" xfId="0" applyFont="1"/>
    <xf numFmtId="43" fontId="17" fillId="0" borderId="0" xfId="0" applyNumberFormat="1" applyFont="1"/>
    <xf numFmtId="0" fontId="142" fillId="0" borderId="0" xfId="0" applyFont="1"/>
    <xf numFmtId="0" fontId="142" fillId="0" borderId="9" xfId="0" applyFont="1" applyBorder="1"/>
    <xf numFmtId="167" fontId="142" fillId="0" borderId="0" xfId="2" applyNumberFormat="1" applyFont="1"/>
    <xf numFmtId="167" fontId="142" fillId="0" borderId="0" xfId="2" applyNumberFormat="1" applyFont="1" applyBorder="1"/>
    <xf numFmtId="167" fontId="142" fillId="0" borderId="0" xfId="0" applyNumberFormat="1" applyFont="1"/>
    <xf numFmtId="167" fontId="142" fillId="0" borderId="0" xfId="2" applyNumberFormat="1" applyFont="1" applyFill="1"/>
    <xf numFmtId="167" fontId="142" fillId="0" borderId="0" xfId="2" applyNumberFormat="1" applyFont="1" applyFill="1" applyBorder="1"/>
    <xf numFmtId="167" fontId="143" fillId="0" borderId="0" xfId="2" applyNumberFormat="1" applyFont="1" applyFill="1"/>
    <xf numFmtId="10" fontId="142" fillId="0" borderId="0" xfId="3" applyNumberFormat="1" applyFont="1"/>
    <xf numFmtId="204" fontId="142" fillId="0" borderId="0" xfId="3" applyNumberFormat="1" applyFont="1"/>
    <xf numFmtId="167" fontId="142" fillId="0" borderId="9" xfId="2" applyNumberFormat="1" applyFont="1" applyFill="1" applyBorder="1"/>
    <xf numFmtId="173" fontId="142" fillId="0" borderId="9" xfId="0" applyNumberFormat="1" applyFont="1" applyBorder="1"/>
    <xf numFmtId="0" fontId="142" fillId="0" borderId="0" xfId="0" applyFont="1" applyAlignment="1">
      <alignment horizontal="center" wrapText="1"/>
    </xf>
    <xf numFmtId="0" fontId="142" fillId="0" borderId="0" xfId="0" applyFont="1" applyAlignment="1">
      <alignment horizontal="center"/>
    </xf>
    <xf numFmtId="167" fontId="142" fillId="0" borderId="0" xfId="2" applyNumberFormat="1" applyFont="1" applyAlignment="1">
      <alignment horizontal="center" wrapText="1"/>
    </xf>
    <xf numFmtId="10" fontId="143" fillId="0" borderId="0" xfId="0" applyNumberFormat="1" applyFont="1" applyAlignment="1">
      <alignment horizontal="center" wrapText="1"/>
    </xf>
    <xf numFmtId="17" fontId="143" fillId="0" borderId="0" xfId="0" applyNumberFormat="1" applyFont="1"/>
    <xf numFmtId="5" fontId="142" fillId="0" borderId="0" xfId="0" applyNumberFormat="1" applyFont="1"/>
    <xf numFmtId="17" fontId="142" fillId="0" borderId="0" xfId="0" applyNumberFormat="1" applyFont="1"/>
    <xf numFmtId="169" fontId="142" fillId="0" borderId="0" xfId="1" applyNumberFormat="1" applyFont="1" applyFill="1" applyBorder="1"/>
    <xf numFmtId="169" fontId="142" fillId="0" borderId="0" xfId="0" applyNumberFormat="1" applyFont="1"/>
    <xf numFmtId="0" fontId="17" fillId="0" borderId="6" xfId="0" quotePrefix="1" applyFont="1" applyBorder="1" applyAlignment="1">
      <alignment horizontal="center"/>
    </xf>
    <xf numFmtId="0" fontId="2" fillId="0" borderId="0" xfId="0" applyFont="1"/>
    <xf numFmtId="0" fontId="145" fillId="103" borderId="58" xfId="0" applyFont="1" applyFill="1" applyBorder="1" applyAlignment="1">
      <alignment horizontal="left" vertical="top"/>
    </xf>
    <xf numFmtId="0" fontId="144" fillId="104" borderId="58" xfId="0" applyFont="1" applyFill="1" applyBorder="1" applyAlignment="1">
      <alignment horizontal="left" vertical="top"/>
    </xf>
    <xf numFmtId="205" fontId="145" fillId="0" borderId="59" xfId="0" applyNumberFormat="1" applyFont="1" applyBorder="1" applyAlignment="1">
      <alignment horizontal="right" vertical="top"/>
    </xf>
    <xf numFmtId="0" fontId="0" fillId="0" borderId="59" xfId="0" applyBorder="1"/>
    <xf numFmtId="205" fontId="144" fillId="104" borderId="59" xfId="0" applyNumberFormat="1" applyFont="1" applyFill="1" applyBorder="1" applyAlignment="1">
      <alignment horizontal="right" vertical="top"/>
    </xf>
    <xf numFmtId="0" fontId="145" fillId="103" borderId="59" xfId="0" applyFont="1" applyFill="1" applyBorder="1" applyAlignment="1">
      <alignment horizontal="left" vertical="top"/>
    </xf>
    <xf numFmtId="3" fontId="145" fillId="0" borderId="59" xfId="0" applyNumberFormat="1" applyFont="1" applyBorder="1" applyAlignment="1">
      <alignment horizontal="right" vertical="top"/>
    </xf>
    <xf numFmtId="3" fontId="144" fillId="104" borderId="59" xfId="0" applyNumberFormat="1" applyFont="1" applyFill="1" applyBorder="1" applyAlignment="1">
      <alignment horizontal="right" vertical="top"/>
    </xf>
    <xf numFmtId="205" fontId="144" fillId="105" borderId="59" xfId="0" applyNumberFormat="1" applyFont="1" applyFill="1" applyBorder="1" applyAlignment="1">
      <alignment horizontal="right" vertical="top"/>
    </xf>
    <xf numFmtId="43" fontId="0" fillId="0" borderId="0" xfId="1" applyFont="1"/>
    <xf numFmtId="43" fontId="146" fillId="0" borderId="48" xfId="1" applyFont="1" applyBorder="1"/>
    <xf numFmtId="43" fontId="146" fillId="0" borderId="48" xfId="1" applyFont="1" applyFill="1" applyBorder="1"/>
    <xf numFmtId="43" fontId="146" fillId="102" borderId="48" xfId="1" applyFont="1" applyFill="1" applyBorder="1"/>
    <xf numFmtId="43" fontId="0" fillId="0" borderId="48" xfId="0" applyNumberFormat="1" applyBorder="1"/>
    <xf numFmtId="43" fontId="0" fillId="0" borderId="0" xfId="1" applyFont="1" applyFill="1"/>
    <xf numFmtId="43" fontId="0" fillId="102" borderId="48" xfId="0" applyNumberFormat="1" applyFill="1" applyBorder="1"/>
    <xf numFmtId="43" fontId="147" fillId="0" borderId="0" xfId="0" applyNumberFormat="1" applyFont="1"/>
    <xf numFmtId="0" fontId="148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2" applyNumberFormat="1" applyFont="1"/>
    <xf numFmtId="172" fontId="0" fillId="0" borderId="0" xfId="3" applyNumberFormat="1" applyFont="1"/>
    <xf numFmtId="167" fontId="0" fillId="0" borderId="0" xfId="0" applyNumberFormat="1"/>
    <xf numFmtId="44" fontId="0" fillId="0" borderId="0" xfId="0" applyNumberFormat="1"/>
    <xf numFmtId="0" fontId="149" fillId="0" borderId="0" xfId="0" applyFont="1" applyAlignment="1">
      <alignment horizontal="center"/>
    </xf>
    <xf numFmtId="0" fontId="1" fillId="0" borderId="0" xfId="0" applyFont="1"/>
    <xf numFmtId="167" fontId="17" fillId="0" borderId="0" xfId="2" applyNumberFormat="1" applyFont="1"/>
    <xf numFmtId="44" fontId="142" fillId="0" borderId="0" xfId="0" applyNumberFormat="1" applyFont="1"/>
    <xf numFmtId="199" fontId="142" fillId="0" borderId="56" xfId="8693" applyNumberFormat="1" applyFont="1" applyBorder="1"/>
    <xf numFmtId="0" fontId="0" fillId="0" borderId="56" xfId="0" applyBorder="1" applyAlignment="1">
      <alignment wrapText="1"/>
    </xf>
    <xf numFmtId="175" fontId="150" fillId="0" borderId="56" xfId="8693" applyNumberFormat="1" applyFont="1" applyFill="1" applyBorder="1"/>
    <xf numFmtId="10" fontId="142" fillId="0" borderId="63" xfId="3" applyNumberFormat="1" applyFont="1" applyFill="1" applyBorder="1"/>
    <xf numFmtId="204" fontId="142" fillId="0" borderId="57" xfId="3" applyNumberFormat="1" applyFont="1" applyBorder="1"/>
    <xf numFmtId="0" fontId="145" fillId="103" borderId="59" xfId="0" applyFont="1" applyFill="1" applyBorder="1" applyAlignment="1">
      <alignment horizontal="left" vertical="top"/>
    </xf>
    <xf numFmtId="0" fontId="0" fillId="103" borderId="60" xfId="0" applyFill="1" applyBorder="1"/>
    <xf numFmtId="0" fontId="0" fillId="103" borderId="59" xfId="0" applyFill="1" applyBorder="1"/>
    <xf numFmtId="0" fontId="144" fillId="105" borderId="59" xfId="0" applyFont="1" applyFill="1" applyBorder="1" applyAlignment="1">
      <alignment horizontal="left" vertical="top"/>
    </xf>
    <xf numFmtId="0" fontId="0" fillId="105" borderId="61" xfId="0" applyFill="1" applyBorder="1"/>
    <xf numFmtId="0" fontId="0" fillId="105" borderId="62" xfId="0" applyFill="1" applyBorder="1"/>
    <xf numFmtId="0" fontId="144" fillId="104" borderId="59" xfId="0" applyFont="1" applyFill="1" applyBorder="1" applyAlignment="1">
      <alignment horizontal="left" vertical="top"/>
    </xf>
    <xf numFmtId="0" fontId="0" fillId="104" borderId="61" xfId="0" applyFill="1" applyBorder="1"/>
    <xf numFmtId="0" fontId="0" fillId="104" borderId="62" xfId="0" applyFill="1" applyBorder="1"/>
    <xf numFmtId="0" fontId="0" fillId="0" borderId="0" xfId="0" applyAlignment="1">
      <alignment horizontal="left" vertical="top" wrapText="1"/>
    </xf>
    <xf numFmtId="0" fontId="144" fillId="0" borderId="0" xfId="0" applyFont="1" applyAlignment="1">
      <alignment horizontal="center" vertical="top"/>
    </xf>
    <xf numFmtId="0" fontId="0" fillId="0" borderId="0" xfId="0"/>
    <xf numFmtId="0" fontId="145" fillId="103" borderId="58" xfId="0" applyFont="1" applyFill="1" applyBorder="1" applyAlignment="1">
      <alignment horizontal="left" vertical="top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39" fillId="2" borderId="9" xfId="0" applyFont="1" applyFill="1" applyBorder="1" applyAlignment="1">
      <alignment horizontal="center" vertical="center"/>
    </xf>
  </cellXfs>
  <cellStyles count="12490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3" xfId="11587" xr:uid="{8DD96BA9-834A-4BCB-815E-AE36EDC90FDB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3" xfId="11588" xr:uid="{AB9161F8-10DE-4980-8918-0B45AB45E623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6" xfId="11586" xr:uid="{9F0321F8-07FC-43DA-8CF8-14153CC24E37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3" xfId="11590" xr:uid="{49779364-EAE0-4CAB-831F-56678AA82C8D}"/>
    <cellStyle name="20% - Accent1 4 3 3" xfId="10276" xr:uid="{1E4B1764-DE04-4049-8F8E-13CC1BA37489}"/>
    <cellStyle name="20% - Accent1 4 3 3 2" xfId="12046" xr:uid="{E6B5156D-5D8B-4AFB-8F17-0D48ABC63AD9}"/>
    <cellStyle name="20% - Accent1 4 3 4" xfId="11589" xr:uid="{76B636FA-2436-42C9-B7F9-628C5E83150A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3" xfId="11591" xr:uid="{BF4F24AF-AE14-4E0C-9259-86946CB1A15C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3" xfId="11592" xr:uid="{0E56E3A0-B875-4CDD-A771-E2B37138C3CF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3" xfId="11593" xr:uid="{FB058EB2-82E8-4F92-8B35-6BD4BA70EEF3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3" xfId="11594" xr:uid="{560DAEFB-6DC7-4695-B5D3-C773EBC67738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3" xfId="11595" xr:uid="{4B054299-D5C1-4CE5-B090-2A17BC9D1740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3" xfId="11596" xr:uid="{33AB366E-2B0E-4088-BA94-4F18C80A6DA3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3" xfId="11599" xr:uid="{7C8B6AF5-930C-4F0E-8590-D9E5821BF314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3" xfId="11600" xr:uid="{AE09D4B9-2A52-4135-BEF7-C94907E1F381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6" xfId="11598" xr:uid="{C900629A-8BD6-4274-8A99-EC54F5724DF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3" xfId="11602" xr:uid="{9F712F3F-16BC-4001-B6CC-DAC7385F5856}"/>
    <cellStyle name="20% - Accent2 4 3 3" xfId="10288" xr:uid="{C1130814-B4C1-457B-A489-015A81F79081}"/>
    <cellStyle name="20% - Accent2 4 3 3 2" xfId="12058" xr:uid="{891BA8CB-76EB-4866-9346-0CB27BC37062}"/>
    <cellStyle name="20% - Accent2 4 3 4" xfId="11601" xr:uid="{A8E15A17-C4B9-4405-A8DF-A3FD209F6F8A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3" xfId="11603" xr:uid="{259D43C1-EDDD-49A2-BFD4-B0AAF1041553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3" xfId="11604" xr:uid="{AC3752D5-91A2-47A1-8073-791821760AA4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3" xfId="11605" xr:uid="{EB83F954-A46F-4C9A-90C9-9F467F5B4D8B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3" xfId="11606" xr:uid="{7ABA1EA3-013F-4DA1-8102-E12BD69E8A2B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3" xfId="11607" xr:uid="{F367A06D-759F-407E-9645-AD60DEA41F35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3" xfId="11608" xr:uid="{39B2B7DE-3C01-44AA-9C82-2FDE0248CBD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3" xfId="11611" xr:uid="{341D1BD7-F17C-4D42-A821-0DB1F0D1A56D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3" xfId="11612" xr:uid="{49475B6F-5390-469F-9A18-EED308368CFD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6" xfId="11610" xr:uid="{D513177B-FB37-4BB5-8875-8C0CFD572F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3" xfId="11614" xr:uid="{5D5EB53F-D5CF-47EA-8E8F-02638A1196AB}"/>
    <cellStyle name="20% - Accent3 4 3 3" xfId="10300" xr:uid="{64F2C117-28D4-4705-9804-FAAD31E16882}"/>
    <cellStyle name="20% - Accent3 4 3 3 2" xfId="12070" xr:uid="{1F7FF9BC-1D4D-4615-A528-BA3933BF3D21}"/>
    <cellStyle name="20% - Accent3 4 3 4" xfId="11613" xr:uid="{1EF1EA82-3FFE-4155-8B09-1E59154B2F30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3" xfId="11615" xr:uid="{877CB735-D1E5-4058-90E3-4F79B6550EFA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3" xfId="11616" xr:uid="{B3B71211-2B4B-4524-AE16-ED124ED338A1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3" xfId="11617" xr:uid="{0C1FB12D-72C6-40BD-931C-1087942DD48A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3" xfId="11618" xr:uid="{B521669F-9C45-4D22-8085-F5AD02D2AFE2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3" xfId="11619" xr:uid="{FCFA1C8E-101F-4E94-918A-EF531BB01B4D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3" xfId="11620" xr:uid="{ECE944F0-5432-480B-A354-60D996DFEF01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3" xfId="11623" xr:uid="{880D9E67-2547-48F7-9ED6-8336FD1504C1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3" xfId="11624" xr:uid="{0E845859-525D-47CC-93D9-9D2A53ADE02D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6" xfId="11622" xr:uid="{6A20137F-D34C-49F2-8AB9-9F8DBD3A13E0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3" xfId="11626" xr:uid="{FD652185-E7E5-4446-AFE1-56ED935F1775}"/>
    <cellStyle name="20% - Accent4 4 3 3" xfId="10312" xr:uid="{987762E5-74DD-4918-B47D-92C292BC2F44}"/>
    <cellStyle name="20% - Accent4 4 3 3 2" xfId="12082" xr:uid="{5B8CAF4D-8C91-4882-BB71-B304088E219E}"/>
    <cellStyle name="20% - Accent4 4 3 4" xfId="11625" xr:uid="{CCB0B8C5-557C-4687-A655-E19C3825D899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3" xfId="11627" xr:uid="{E07B2252-ED4A-4310-A534-85B617C57A00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3" xfId="11628" xr:uid="{50850C3A-64EC-4CC1-A09B-3EF6BE9C8F53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3" xfId="11629" xr:uid="{F124F74A-8533-4FD3-8B28-5D1077213B5A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3" xfId="11630" xr:uid="{074ECFED-F5FF-4AC3-8A7E-04C0EFBA6FC3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3" xfId="11631" xr:uid="{88E55BFF-3617-4DDE-99C3-BF8A2F8C303E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3" xfId="11632" xr:uid="{303E3BF0-9EE1-4593-A368-90BE84B4D5C6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3" xfId="11634" xr:uid="{6D133A07-5C9E-4B13-A961-A8C21528606B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3" xfId="11635" xr:uid="{76A9A87E-E506-4140-8A7D-6221FC3244EE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6" xfId="11633" xr:uid="{9CA0ECCC-0461-44A5-9276-AA0E7EEF55A9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3" xfId="11637" xr:uid="{70887533-8F07-415A-B0C2-8227755CD9E3}"/>
    <cellStyle name="20% - Accent5 5 3" xfId="10323" xr:uid="{7F153A50-3462-4BEC-9F13-4D1D5690C93C}"/>
    <cellStyle name="20% - Accent5 5 3 2" xfId="12093" xr:uid="{0F195BF3-0D07-4C96-962B-79551492ECA9}"/>
    <cellStyle name="20% - Accent5 5 4" xfId="11636" xr:uid="{F6C9D9B8-0745-4692-8ADC-B531E50C148E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3" xfId="11639" xr:uid="{4E5E8EF7-4A90-4B48-BB2B-8A82231B426D}"/>
    <cellStyle name="20% - Accent5 6 3" xfId="10325" xr:uid="{7B5F5B95-C329-4007-8AB9-84ADECAC9CAD}"/>
    <cellStyle name="20% - Accent5 6 3 2" xfId="12095" xr:uid="{1D45D008-AFDD-4FB3-B13F-59ABE276C6D7}"/>
    <cellStyle name="20% - Accent5 6 4" xfId="11638" xr:uid="{115CB158-836B-4E5D-830A-38ABDE7FC1EE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3" xfId="11640" xr:uid="{1CC5E686-4FBC-4720-B94C-7D25FE4516ED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3" xfId="11641" xr:uid="{813FA3A2-F433-4EBD-A333-7F1D479BE470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3" xfId="11642" xr:uid="{DB8A945D-8CFD-4E13-B01F-F9426C685FCB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3" xfId="11645" xr:uid="{4EDC8680-EF7C-4ECC-8B72-C01993FA9897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3" xfId="11646" xr:uid="{3934A530-3266-4EA6-BF54-AA48651C7BFA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6" xfId="11644" xr:uid="{1AA4BCDB-620C-4E27-A2C4-E17CC1EC6503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3" xfId="11648" xr:uid="{0353BB69-F09E-4B4B-B7B2-480E56B27FDB}"/>
    <cellStyle name="20% - Accent6 4 3 3" xfId="10334" xr:uid="{502ADC79-AD63-4A4A-BB54-DEE5CB215235}"/>
    <cellStyle name="20% - Accent6 4 3 3 2" xfId="12104" xr:uid="{301E437F-8EA0-4D04-8AF0-AAD85930FAF3}"/>
    <cellStyle name="20% - Accent6 4 3 4" xfId="11647" xr:uid="{DD035D60-21DF-4D1A-8D5C-7FF34BA4B67A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3" xfId="11649" xr:uid="{8D582720-8DEA-4073-8B79-A1A669C6312E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3" xfId="11650" xr:uid="{7FE79244-9A17-40BC-B370-391B8657B3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3" xfId="11651" xr:uid="{EE9F387D-83B2-4DAD-865A-C557A5854F8B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3" xfId="11652" xr:uid="{AB3601A3-2811-4930-81C3-21BD1A6C2ABA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3" xfId="11653" xr:uid="{C182FB37-75FB-415B-8744-90D245DE0882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3" xfId="11654" xr:uid="{6676478C-419F-4979-A694-74B0919AB82B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3" xfId="11657" xr:uid="{45C11A33-F8D2-4E5A-9477-8E4B0F58C025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3" xfId="11658" xr:uid="{8603B8B5-04BA-4F86-876D-F5D57C466090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6" xfId="11656" xr:uid="{7255FF06-A31B-4623-B0DF-29E9D6BFC31C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3" xfId="11660" xr:uid="{662645C3-D94B-4D90-A459-AA901389372E}"/>
    <cellStyle name="40% - Accent1 4 3 3" xfId="10346" xr:uid="{FB337CD5-5E99-41E4-AF3F-A59931A0CB6B}"/>
    <cellStyle name="40% - Accent1 4 3 3 2" xfId="12116" xr:uid="{2270600F-C398-4F1E-99FA-CA7D3B19F78E}"/>
    <cellStyle name="40% - Accent1 4 3 4" xfId="11659" xr:uid="{AEEE5097-E2E7-4A86-9336-1602A8EC39DC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3" xfId="11661" xr:uid="{8567E1BF-1515-4B1D-BC86-B511F3FA282B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3" xfId="11662" xr:uid="{B3C89CCA-416C-46CB-BCDD-2B76FD66CA03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3" xfId="11663" xr:uid="{B9CA0E18-C3A1-439A-91AD-ED8B3B0FD6FC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3" xfId="11664" xr:uid="{A673A8AC-1DF5-49B8-B4B6-3B8E8523ECF0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3" xfId="11665" xr:uid="{8100DB43-AD24-4F53-A8D0-958173D731CD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3" xfId="11666" xr:uid="{EA335A7D-BAD6-4ABC-A0D0-DD06C611EE80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3" xfId="11668" xr:uid="{7CC5D3C8-F9E7-47EF-BC07-A06FA1769E86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3" xfId="11669" xr:uid="{4B10A3F8-C30F-4AD9-BCE6-1FF19B8B0128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6" xfId="11667" xr:uid="{FCB5BE5A-5FE7-4DE3-AC99-A09F48F6BA7E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3" xfId="11671" xr:uid="{F30889DB-FB44-4C21-AD34-DB3AC00CF954}"/>
    <cellStyle name="40% - Accent2 5 3" xfId="10357" xr:uid="{16A2E30D-D1BF-421D-A647-9C8B1A907E14}"/>
    <cellStyle name="40% - Accent2 5 3 2" xfId="12127" xr:uid="{EE14E299-2437-41A1-9496-628E88DAE202}"/>
    <cellStyle name="40% - Accent2 5 4" xfId="11670" xr:uid="{80BB3982-A2ED-4286-948C-17A55E63B2E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3" xfId="11673" xr:uid="{8464CD6D-B48D-4CB9-928B-146C7C4B7E06}"/>
    <cellStyle name="40% - Accent2 6 3" xfId="10359" xr:uid="{EDB8816C-FC3F-4C92-91D6-8892EF78E174}"/>
    <cellStyle name="40% - Accent2 6 3 2" xfId="12129" xr:uid="{5C9996D5-C91F-4655-AB34-89766A38B62B}"/>
    <cellStyle name="40% - Accent2 6 4" xfId="11672" xr:uid="{5367FB8F-565A-4C9B-B758-3AED0543341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3" xfId="11674" xr:uid="{A0EA7305-610E-4886-83B3-38CB68079A01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3" xfId="11675" xr:uid="{6DBE4E86-446C-4D1A-B89E-21B8308F9F65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3" xfId="11676" xr:uid="{61FC1719-9C37-4DCA-8B00-98DAFA16603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3" xfId="11679" xr:uid="{E8188F3A-8E02-4900-803C-6FA5EF21F9B3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3" xfId="11680" xr:uid="{54F2647F-104F-4575-87CC-32DC0EBACB2A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6" xfId="11678" xr:uid="{AA1EA97A-8EFB-4D86-B01E-EBFB8C8FA32F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3" xfId="11682" xr:uid="{F551AD7C-BD9E-479C-BCCE-1122B97691CB}"/>
    <cellStyle name="40% - Accent3 4 3 3" xfId="10368" xr:uid="{1567EF3D-A399-4172-BCD1-6E8852E8B63A}"/>
    <cellStyle name="40% - Accent3 4 3 3 2" xfId="12138" xr:uid="{003A848D-36BD-492E-BC88-23250A1F093D}"/>
    <cellStyle name="40% - Accent3 4 3 4" xfId="11681" xr:uid="{AEFE48C0-B1FC-4EAE-87B3-C2EC8C7A943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3" xfId="11683" xr:uid="{5B400FF2-94BA-4D1A-8C09-0F555B5D2480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3" xfId="11684" xr:uid="{096CA5AF-9ED0-42FC-854E-D9295A08C9CB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3" xfId="11685" xr:uid="{1B321BB2-9711-497C-9A34-88B675256BD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3" xfId="11686" xr:uid="{8326F39C-4014-40F5-A4D0-F86AA8F1A64F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3" xfId="11687" xr:uid="{C8D8E7C9-4316-4E20-BFD4-25BBAEEEE7AD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3" xfId="11688" xr:uid="{47F6CB78-50B4-47D9-809D-BCD8B8EB184A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3" xfId="11691" xr:uid="{ED9EB4BF-3A51-4714-9EC9-39D8D275BFCD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3" xfId="11692" xr:uid="{FD7C403B-DA39-4675-A128-A2BFCEF3764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6" xfId="11690" xr:uid="{2FF50A4C-E41C-4432-AE16-7B8474BDB361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3" xfId="11694" xr:uid="{58DD4E2B-371E-42AB-AA24-A5F54512A0E0}"/>
    <cellStyle name="40% - Accent4 4 3 3" xfId="10380" xr:uid="{049B2F52-BB7C-47D1-93DB-BA1EB2E79E97}"/>
    <cellStyle name="40% - Accent4 4 3 3 2" xfId="12150" xr:uid="{305717FE-620F-46E4-B8D7-87CD325A2AA5}"/>
    <cellStyle name="40% - Accent4 4 3 4" xfId="11693" xr:uid="{8685D9A0-0947-44A4-8DD7-8297B268581F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3" xfId="11695" xr:uid="{64EE889E-BBD5-4597-992E-A0163DD82ECC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3" xfId="11696" xr:uid="{4969F3C5-3DC3-4A69-846A-4B54A1B9FA8F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3" xfId="11697" xr:uid="{66A755D7-18B6-4351-ADAA-E1E133A62A87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3" xfId="11698" xr:uid="{D2D82716-0621-4AC3-A0BF-46F327139C6D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3" xfId="11699" xr:uid="{0E420473-9952-4716-8DDA-2D523B822EEB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3" xfId="11700" xr:uid="{5C2DB78E-27E7-4D70-BB0A-4F87D200B62D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3" xfId="11703" xr:uid="{3067205E-6CBA-4139-9361-995FC8BEE169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3" xfId="11704" xr:uid="{9B443277-B245-4B62-BA8E-E0871F28EDD7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6" xfId="11702" xr:uid="{1AFF0B30-5F1B-4EBC-9BB3-48945F538171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3" xfId="11706" xr:uid="{136CC653-395A-4F19-B18F-68126CB98C2A}"/>
    <cellStyle name="40% - Accent5 4 3 3" xfId="10392" xr:uid="{14F18D53-5265-4534-8401-A16429EDF2AF}"/>
    <cellStyle name="40% - Accent5 4 3 3 2" xfId="12162" xr:uid="{9E0578A6-7B5B-4580-9C13-20199F9A7EFF}"/>
    <cellStyle name="40% - Accent5 4 3 4" xfId="11705" xr:uid="{6910F5F3-CDFE-4DB7-B3F2-3F6C90BFF043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3" xfId="11707" xr:uid="{0C9A6982-7964-4D4C-9E85-2FF122B3DB5E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3" xfId="11708" xr:uid="{C89ED7AA-3255-428D-987D-763F380620D6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3" xfId="11709" xr:uid="{B893B967-4113-496A-9EBF-DEFEE36D84E1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3" xfId="11710" xr:uid="{2915E449-81CB-45D7-87CE-683775B980E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3" xfId="11711" xr:uid="{8E5C5B0B-01C0-481E-BE1E-241B51AC466C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3" xfId="11712" xr:uid="{40A99254-681E-4C0C-A175-65C155C55DF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3" xfId="11715" xr:uid="{DEC88DC5-1C85-4CEB-ACAE-4641E83C5E8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3" xfId="11716" xr:uid="{2FB2BF4D-34A0-46E7-97C8-AB48D9F5AC9C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6" xfId="11714" xr:uid="{72070410-B76A-46DF-9F5C-7B10AED7287D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3" xfId="11718" xr:uid="{1A8D2350-0DFB-4CC0-8A76-7794685ECDA5}"/>
    <cellStyle name="40% - Accent6 4 3 3" xfId="10404" xr:uid="{4EB9320A-3C0E-449B-88DF-3B6757C39522}"/>
    <cellStyle name="40% - Accent6 4 3 3 2" xfId="12174" xr:uid="{5E07774F-E44C-46CB-9C73-5DE9EC1A772F}"/>
    <cellStyle name="40% - Accent6 4 3 4" xfId="11717" xr:uid="{28BC0D90-AD58-4C65-BEED-1AF3FDE028C5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3" xfId="11719" xr:uid="{8977E704-4833-4CA8-ADF6-42F2F69DF197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3" xfId="11720" xr:uid="{DC34137E-9A6F-4451-BBA0-C457E18CD3C7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3" xfId="11721" xr:uid="{B24C3738-0209-49D2-9937-8518DEF9BB48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3" xfId="11722" xr:uid="{A6E8B2FB-D0FE-4B2C-848C-46044A1375D2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3" xfId="11723" xr:uid="{4036B2A8-6C2E-4BA0-9F6C-A37A83B7E912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3" xfId="11724" xr:uid="{515652F6-27E6-48E5-A992-C4CA0FE8087B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3" xfId="11368" xr:uid="{EB345301-CE98-4977-9AAC-CA2CB7582206}"/>
    <cellStyle name="Calculation 2 2 3 2 4" xfId="11232" xr:uid="{490CA3C3-37E5-4893-A4A6-86B8BF24B262}"/>
    <cellStyle name="Calculation 2 2 3 2 5" xfId="11448" xr:uid="{5565E3F2-08BF-454C-9B86-112A80C012E2}"/>
    <cellStyle name="Calculation 2 2 3 2 6" xfId="11431" xr:uid="{5C4E78F5-D37E-4813-A719-C6FBD3275002}"/>
    <cellStyle name="Calculation 2 2 3 2 7" xfId="11505" xr:uid="{4F3FDD38-3DDE-4873-9966-A6DC2E3B53E9}"/>
    <cellStyle name="Calculation 2 2 3 2 8" xfId="11543" xr:uid="{6884CBDD-2617-4268-A139-55DD7137D2D5}"/>
    <cellStyle name="Calculation 2 2 3 3" xfId="10270" xr:uid="{E1EC663E-BD92-44B8-A948-E99CE964D21A}"/>
    <cellStyle name="Calculation 2 2 3 4" xfId="10412" xr:uid="{6BD86597-9E1F-408E-8398-45E727AFE077}"/>
    <cellStyle name="Calculation 2 2 3 5" xfId="10414" xr:uid="{CC68B30E-4F07-4A30-98B7-82F83CA67D32}"/>
    <cellStyle name="Calculation 2 2 4" xfId="9563" xr:uid="{107225BC-8925-4F7E-A753-5829FFE490FE}"/>
    <cellStyle name="Calculation 2 2 4 2" xfId="11044" xr:uid="{D47DFDF7-2FB0-4EBD-9182-9BCF506D0334}"/>
    <cellStyle name="Calculation 2 2 4 3" xfId="11367" xr:uid="{A602BFC9-F2F2-4FD9-BDB5-036698C9F4A6}"/>
    <cellStyle name="Calculation 2 2 4 4" xfId="11231" xr:uid="{8748E139-1246-44C1-935B-3C79D96983DA}"/>
    <cellStyle name="Calculation 2 2 4 5" xfId="11447" xr:uid="{9F2A4667-14D8-476F-B605-5E1E2A8FE2B1}"/>
    <cellStyle name="Calculation 2 2 4 6" xfId="11430" xr:uid="{E1EE381C-F969-4D25-8C3C-3452F7E06995}"/>
    <cellStyle name="Calculation 2 2 4 7" xfId="11504" xr:uid="{2465E266-46FA-4296-A94F-0808617BB466}"/>
    <cellStyle name="Calculation 2 2 4 8" xfId="11542" xr:uid="{9A83C73A-8F26-451E-B3C8-6B0611F4D5E2}"/>
    <cellStyle name="Calculation 2 2 5" xfId="10271" xr:uid="{6F018880-7F8F-4B84-A5BD-11F96008D461}"/>
    <cellStyle name="Calculation 2 2 6" xfId="11072" xr:uid="{CC9315D9-570A-457D-829D-6F8B4C836A04}"/>
    <cellStyle name="Calculation 2 2 7" xfId="10413" xr:uid="{01BCE6AF-F159-483A-B37B-61F7DE30FE16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3" xfId="11725" xr:uid="{5CC93015-76D0-4F6C-A382-808B647450AC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3" xfId="11727" xr:uid="{D6EFDDD6-869E-4476-B4C9-28D7C6BB761B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5" xfId="11726" xr:uid="{CAE6689F-3BFF-44C0-9B11-1E35A14833C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4" xfId="11728" xr:uid="{03DE76E6-6CE7-4848-A545-03D7B2E6505D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3" xfId="11729" xr:uid="{56A7F33B-2646-4488-B8AC-D29D3CEDBE3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3" xfId="11731" xr:uid="{537B1BF9-4BD0-4C54-ACA5-C02FBFF5E934}"/>
    <cellStyle name="Comma 32 3" xfId="10420" xr:uid="{988692C0-791F-4063-80AB-F8F0B0B5AF8C}"/>
    <cellStyle name="Comma 32 3 2" xfId="12187" xr:uid="{45689D24-02A8-46CD-88F3-78366A4533DE}"/>
    <cellStyle name="Comma 32 4" xfId="11730" xr:uid="{A9487261-1D22-41E9-B746-BFE109AAF1B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3" xfId="11733" xr:uid="{231B50BC-F4DC-4736-824C-356A24620119}"/>
    <cellStyle name="Comma 51 3" xfId="10422" xr:uid="{C5D6C8B8-BD26-4F9E-A1EE-1F5C64F5165B}"/>
    <cellStyle name="Comma 51 3 2" xfId="12189" xr:uid="{EEB8AA49-388F-4334-BAD4-30EEFCB6718C}"/>
    <cellStyle name="Comma 51 4" xfId="11732" xr:uid="{C7D2C321-C8D4-49CC-A046-B673D2156853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3" xfId="11582" xr:uid="{551CA4AA-44DC-4DDA-9D56-8D39AD7FE5A7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3" xfId="12026" xr:uid="{5CA6ACFE-B57B-472D-971D-B878E56C231E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3" xfId="12032" xr:uid="{28FB783E-898F-41A6-9F91-F57EC92868F9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3" xfId="12035" xr:uid="{A917FF12-DB13-45C5-9327-A31675D0CFB5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3" xfId="12029" xr:uid="{72B82A6D-54A1-4043-A3BA-11F1A96DF24B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1" xfId="11734" xr:uid="{E03C231C-7DBD-473A-B9AE-48EB5E085F21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6" xfId="11735" xr:uid="{3BD3C933-740C-4FEB-8776-0F42426D281F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3" xfId="11736" xr:uid="{8A66390D-0B39-4CB7-A770-7FB40B3863EC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3" xfId="11737" xr:uid="{0DBA46DE-9165-4593-8343-8EAD1728F012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3" xfId="11738" xr:uid="{4B70B258-7886-42C9-8732-F0B9AD5711DD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3" xfId="11739" xr:uid="{7FDAE0A2-2C0E-4DFE-A03F-BA8952EE4505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3" xfId="11740" xr:uid="{5A3DF148-8649-481C-8340-50380F73C299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3" xfId="11741" xr:uid="{03EC8181-B7F2-4E33-A254-BD3F56B79715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3" xfId="11742" xr:uid="{1FC32384-26D8-4767-A794-AEE58C8D2D72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3" xfId="11744" xr:uid="{5DC86827-234A-493D-941E-6F554FE9082A}"/>
    <cellStyle name="Currency 25 4" xfId="10433" xr:uid="{9A1D1E5F-ACBA-4101-981F-4AF32EE7277A}"/>
    <cellStyle name="Currency 25 4 2" xfId="12200" xr:uid="{9AA7BF61-3D8D-4EAB-BB9F-F3FD5D7786D2}"/>
    <cellStyle name="Currency 25 5" xfId="11743" xr:uid="{CBCABD80-0CB4-4C97-9BE1-E3797F2353C9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3" xfId="11746" xr:uid="{81EA42BA-7A50-4E01-B623-C37F2F960A9C}"/>
    <cellStyle name="Currency 27 3" xfId="10435" xr:uid="{899907D3-3C14-46DE-8A62-9DDD0FC3D3B1}"/>
    <cellStyle name="Currency 27 3 2" xfId="12202" xr:uid="{CB10C662-231F-4555-A707-DEE802E23859}"/>
    <cellStyle name="Currency 27 4" xfId="11745" xr:uid="{3C5657D7-5FB8-4BDC-912D-A565F6ED8754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3" xfId="11583" xr:uid="{21284C56-DB70-4AFF-B354-0D0758EBC516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6" xfId="11748" xr:uid="{282CFF06-E0CE-4B40-A659-0D6C511A6334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8" xfId="11747" xr:uid="{270C1B9B-8FDA-432D-8110-99D602A00EA6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3" xfId="11749" xr:uid="{18540E65-86EA-4B9A-B148-B11D0E584059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1" xfId="11750" xr:uid="{FB0B4D63-FEFA-48A9-A886-F3A791D2BE36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6" xfId="11751" xr:uid="{8D5E425E-7A90-4F3A-84BE-5CD2A526F622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3" xfId="11752" xr:uid="{EF3C42E0-02B6-4743-8F0A-16931654490C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3" xfId="11370" xr:uid="{E4EE62D1-5F60-40C8-9EE2-15F0A2C0B08A}"/>
    <cellStyle name="Header2 2 2 4" xfId="11433" xr:uid="{AF08199F-23C0-4923-8E57-4B40B47702E4}"/>
    <cellStyle name="Header2 2 2 5" xfId="11507" xr:uid="{4CBA122B-E104-40AB-9183-BB2DD50BF9CD}"/>
    <cellStyle name="Header2 2 2 6" xfId="11545" xr:uid="{72E86F38-1E07-4266-B394-EC19DF48F50C}"/>
    <cellStyle name="Header2 2 3" xfId="11754" xr:uid="{2DBF3F5B-F1BE-4654-AF0E-0BA70EDC1D92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3" xfId="11371" xr:uid="{A9999B41-BDD7-4EC8-A45C-8A22436B0286}"/>
    <cellStyle name="Header2 5 2 4" xfId="11434" xr:uid="{CFF875A7-4035-470E-A49C-7ACDA668F130}"/>
    <cellStyle name="Header2 5 2 5" xfId="11508" xr:uid="{1AA19B4B-5775-4CEC-8989-17AE85168739}"/>
    <cellStyle name="Header2 5 2 6" xfId="11546" xr:uid="{ED7E80E1-FE15-448A-8675-B24B66F45D05}"/>
    <cellStyle name="Header2 5 3" xfId="11755" xr:uid="{D2F5ED1F-FA07-4A24-AE83-BC74E44A8E5A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3" xfId="11372" xr:uid="{AD779705-7732-4F6A-A394-62F166A41468}"/>
    <cellStyle name="Header2 6 2 4" xfId="11435" xr:uid="{D6EEA392-BBC8-498A-B82C-9597743CB209}"/>
    <cellStyle name="Header2 6 2 5" xfId="11509" xr:uid="{47F3149D-AEB9-4467-994F-B7E28EE41FD0}"/>
    <cellStyle name="Header2 6 2 6" xfId="11547" xr:uid="{C3DA8061-BBB6-4A3A-BAA2-242E1B02E108}"/>
    <cellStyle name="Header2 6 3" xfId="11756" xr:uid="{948D9E1B-7B67-4E86-8743-ABEF8171FBF4}"/>
    <cellStyle name="Header2 7" xfId="9565" xr:uid="{C515F30B-D9CA-43D5-B85B-9936C59EAAC4}"/>
    <cellStyle name="Header2 7 2" xfId="11046" xr:uid="{20A4424E-CC28-4180-8631-608BCD244722}"/>
    <cellStyle name="Header2 7 3" xfId="11369" xr:uid="{F8E5C864-8CCE-4513-8DDF-59D626623D58}"/>
    <cellStyle name="Header2 7 4" xfId="11432" xr:uid="{FAE5E15B-FF95-4C11-8DBE-D3AF2B989B67}"/>
    <cellStyle name="Header2 7 5" xfId="11506" xr:uid="{34B6A97E-488C-4CFB-9683-6E38CAF3A292}"/>
    <cellStyle name="Header2 7 6" xfId="11544" xr:uid="{7E5E5274-94B8-440A-A9AC-A998151CDA18}"/>
    <cellStyle name="Header2 8" xfId="11753" xr:uid="{B8258020-C07B-4063-99B1-01584BD49E63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5" xfId="10218" xr:uid="{9BCE24C6-30E0-4D3F-82B1-1FB027075BEC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1" xfId="10217" xr:uid="{E9588BEB-7BF7-44E1-A11C-BD7BFBBCEBBA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7" xfId="10216" xr:uid="{89B1084C-204D-4306-957C-8E236A4507AF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7" xfId="10215" xr:uid="{5F292BF3-17CF-4F68-9885-15DEB389AB6C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7" xfId="10214" xr:uid="{E3F163F3-77E7-4309-947B-B8E5A97FABDE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7" xfId="10213" xr:uid="{B12D7A0A-1D55-4A1E-8B34-F9CF9F12D68D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1" xfId="10212" xr:uid="{2292B928-6816-464A-9806-7129A0F22A0F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7" xfId="10211" xr:uid="{CA005B4F-AFC0-4F91-B31E-EE02D87D3882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7" xfId="10210" xr:uid="{706C888F-159A-4EC8-BAFA-2F5EA3FFA4EB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7" xfId="10209" xr:uid="{9A604509-A7F0-40A6-A6EB-191C5DE676CC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7" xfId="10208" xr:uid="{6DE1D61A-D5C5-4389-8060-C11348EA53B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1" xfId="10207" xr:uid="{F6229EFC-F079-4D7A-8675-9761BF82D402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7" xfId="10206" xr:uid="{C817300A-F4AC-48B3-9B70-2E238C892A2E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7" xfId="10205" xr:uid="{E3CADF45-D40F-4C59-A230-BF0B5619222E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7" xfId="10204" xr:uid="{749D8EB6-3CB4-4553-9A95-7507480B93FC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7" xfId="10203" xr:uid="{4E26ED6F-D505-4B84-BBFE-7091A455C62E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8" xfId="10202" xr:uid="{33B0ED31-01CF-4BC4-A09A-861A0A7AE6CA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7" xfId="10201" xr:uid="{6E4B6C5C-6CAB-4719-9888-552485DEACD6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7" xfId="10200" xr:uid="{A53FB413-5732-4B69-8E67-9868EAF6D8D1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7" xfId="10199" xr:uid="{D186EA8C-849A-45CF-978D-77D6A12E86CA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7" xfId="10198" xr:uid="{CBDD5E75-2898-4425-A9B5-59FEC88B9106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3" xfId="11373" xr:uid="{A91671C2-61CA-4E12-ACA2-5F20497B382A}"/>
    <cellStyle name="Input 18 2 4" xfId="11392" xr:uid="{97B97833-A6A8-483A-BD28-0B3D563C31B8}"/>
    <cellStyle name="Input 18 2 5" xfId="11449" xr:uid="{F6E592BF-AE6D-48A5-9E98-700A04D86F2D}"/>
    <cellStyle name="Input 18 2 6" xfId="11442" xr:uid="{214904D6-9F30-4230-A64F-0D385D1273EE}"/>
    <cellStyle name="Input 18 2 7" xfId="11510" xr:uid="{3E88BD68-4148-450F-846E-1E61B1194B17}"/>
    <cellStyle name="Input 18 2 8" xfId="11548" xr:uid="{B2615A5E-4343-4399-A978-45C701BAF1EB}"/>
    <cellStyle name="Input 18 3" xfId="10176" xr:uid="{30646126-2822-45B9-AABB-62CA2D4F1841}"/>
    <cellStyle name="Input 18 4" xfId="11247" xr:uid="{B424FCDA-6E11-4C59-8B75-E36E9B5A6A24}"/>
    <cellStyle name="Input 18 5" xfId="10443" xr:uid="{2FC4AC3C-6FB7-4E9A-9CF6-43658A69B092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3" xfId="11374" xr:uid="{20DF641A-CC0F-45AB-AAC7-9D9F1E1099D9}"/>
    <cellStyle name="Input 19 2 4" xfId="11393" xr:uid="{0826B4A4-43D1-49F0-823D-C3E28BE317F7}"/>
    <cellStyle name="Input 19 2 5" xfId="11450" xr:uid="{57636C5B-C67F-430A-B286-168FF1DA71A5}"/>
    <cellStyle name="Input 19 2 6" xfId="11443" xr:uid="{CC28CD81-8DFB-4F57-BDAA-1390951F9DC7}"/>
    <cellStyle name="Input 19 2 7" xfId="11511" xr:uid="{7EABB258-000E-4534-8744-0DFE2642388B}"/>
    <cellStyle name="Input 19 2 8" xfId="11549" xr:uid="{D3B9B8C1-E23E-42F0-AC51-8F6679CDDCFA}"/>
    <cellStyle name="Input 19 3" xfId="10175" xr:uid="{D944B3F0-D32B-4973-8BFA-004F097F579B}"/>
    <cellStyle name="Input 19 4" xfId="11248" xr:uid="{314BD703-8738-47B9-B31C-44EAAD00CDF3}"/>
    <cellStyle name="Input 19 5" xfId="10444" xr:uid="{11F183BC-8009-4B4E-A3D8-2C2DB048BB24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3" xfId="11377" xr:uid="{127EC8B4-760E-4984-AB2F-53C8690B012A}"/>
    <cellStyle name="Input 2 2 3 2 4" xfId="11396" xr:uid="{A10D9481-14F0-40DF-8241-E0F1D9F200EE}"/>
    <cellStyle name="Input 2 2 3 2 5" xfId="11453" xr:uid="{0A344622-B81D-477A-A835-48D266BE971B}"/>
    <cellStyle name="Input 2 2 3 2 6" xfId="11473" xr:uid="{65DC666C-8B18-405E-852B-72A84CB483BD}"/>
    <cellStyle name="Input 2 2 3 2 7" xfId="11514" xr:uid="{76BA9127-153B-473E-9EFA-D7542668534F}"/>
    <cellStyle name="Input 2 2 3 2 8" xfId="11552" xr:uid="{04EECD46-DB42-4971-A07E-9652763EA945}"/>
    <cellStyle name="Input 2 2 3 3" xfId="10172" xr:uid="{B17BF323-CEDE-4AFC-BBF3-6B36BF3EE378}"/>
    <cellStyle name="Input 2 2 3 4" xfId="11077" xr:uid="{C6303271-0A85-479B-B7C2-07DDB24E83B5}"/>
    <cellStyle name="Input 2 2 3 5" xfId="10447" xr:uid="{AF36B0F4-1F42-4EB7-B442-47B3D6C54DA8}"/>
    <cellStyle name="Input 2 2 4" xfId="9593" xr:uid="{7B706552-1D7C-4E71-B11C-E5924721A0CD}"/>
    <cellStyle name="Input 2 2 4 2" xfId="11053" xr:uid="{53AE256B-8E83-4277-B80D-8925F3BBE306}"/>
    <cellStyle name="Input 2 2 4 3" xfId="11376" xr:uid="{D353A033-32F0-443B-A5B5-CD658E93D3AD}"/>
    <cellStyle name="Input 2 2 4 4" xfId="11395" xr:uid="{7299C3E3-ACF1-4788-87F5-834C765EDB69}"/>
    <cellStyle name="Input 2 2 4 5" xfId="11452" xr:uid="{A18D8A38-F268-41E0-8FA3-FE0BE6C13E60}"/>
    <cellStyle name="Input 2 2 4 6" xfId="11472" xr:uid="{95E035EC-BAE3-4BAF-8F09-9E782EA5D0BE}"/>
    <cellStyle name="Input 2 2 4 7" xfId="11513" xr:uid="{F47C1EA7-B26B-480E-A392-579B847D2BD9}"/>
    <cellStyle name="Input 2 2 4 8" xfId="11551" xr:uid="{211580F5-B080-4CD0-BD97-C42624103AB1}"/>
    <cellStyle name="Input 2 2 5" xfId="10173" xr:uid="{AEA86363-B080-4F0B-B152-8BC75BCE1BEE}"/>
    <cellStyle name="Input 2 2 6" xfId="11075" xr:uid="{56AA1A82-D26D-4EAE-AF14-F912F74AAE2E}"/>
    <cellStyle name="Input 2 2 7" xfId="10446" xr:uid="{EAE7B785-A7E2-47AA-A0AA-32C69D25C8CC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3" xfId="11378" xr:uid="{1F323376-52E4-497D-8DE7-9EF7C2053F01}"/>
    <cellStyle name="Input 2 3 2 4" xfId="11397" xr:uid="{46A55B66-429E-4ED5-B0F5-72F00D3C1C9B}"/>
    <cellStyle name="Input 2 3 2 5" xfId="11454" xr:uid="{C842393B-20F9-4C88-B134-71112A5E32DE}"/>
    <cellStyle name="Input 2 3 2 6" xfId="11474" xr:uid="{590943AC-56DF-4719-9E9E-7E04C1C37D27}"/>
    <cellStyle name="Input 2 3 2 7" xfId="11515" xr:uid="{126D88FC-B5E9-4631-862E-D6762C856C95}"/>
    <cellStyle name="Input 2 3 2 8" xfId="11553" xr:uid="{89F59FD1-314E-4DFE-8054-C58E1C22FEF5}"/>
    <cellStyle name="Input 2 3 3" xfId="10171" xr:uid="{D0C06C14-A307-4568-A146-1F436C6784B7}"/>
    <cellStyle name="Input 2 3 4" xfId="11078" xr:uid="{630509F9-E451-4154-B187-1CECB58DAF8E}"/>
    <cellStyle name="Input 2 3 5" xfId="10448" xr:uid="{758FE661-4B1E-4862-93E6-6D829F5FB95F}"/>
    <cellStyle name="Input 2 4" xfId="9592" xr:uid="{047CC4F4-A016-4026-8E86-230C72145410}"/>
    <cellStyle name="Input 2 4 2" xfId="11052" xr:uid="{BB0C92E3-45CA-41D4-B137-E521C4E0C857}"/>
    <cellStyle name="Input 2 4 3" xfId="11375" xr:uid="{874C7764-781C-4A2F-AD72-654F7D374108}"/>
    <cellStyle name="Input 2 4 4" xfId="11394" xr:uid="{4B25F876-DE58-43E4-AA95-670D2C756001}"/>
    <cellStyle name="Input 2 4 5" xfId="11451" xr:uid="{A813BE33-9EC8-4141-A55B-4B125C85B25C}"/>
    <cellStyle name="Input 2 4 6" xfId="11471" xr:uid="{F3FC7D6D-416A-4293-9A72-64E609AF1B21}"/>
    <cellStyle name="Input 2 4 7" xfId="11512" xr:uid="{779F022F-6229-4910-B635-0B2DE89443F5}"/>
    <cellStyle name="Input 2 4 8" xfId="11550" xr:uid="{8D5EEDF3-1A00-490E-A49F-E0D58C684A93}"/>
    <cellStyle name="Input 2 5" xfId="10174" xr:uid="{B47D8822-B269-4C97-B7F2-8BD0D818AC26}"/>
    <cellStyle name="Input 2 6" xfId="11076" xr:uid="{FAFA9A2A-62E2-47B4-8739-936C2F7B2AF6}"/>
    <cellStyle name="Input 2 7" xfId="10445" xr:uid="{37115BA9-1FA8-4D51-BD7B-D1D1005FEC88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3" xfId="11379" xr:uid="{7EE3E726-20E9-4038-83A6-D11F839E18E7}"/>
    <cellStyle name="Input 3 3 2 4" xfId="11398" xr:uid="{0D755F61-9B7D-406D-AB44-1699FA402D62}"/>
    <cellStyle name="Input 3 3 2 5" xfId="11455" xr:uid="{C28AD2EC-2D62-4282-B75F-861E69894640}"/>
    <cellStyle name="Input 3 3 2 6" xfId="11475" xr:uid="{742C0BA0-1575-4DA8-8089-FA71C685368B}"/>
    <cellStyle name="Input 3 3 2 7" xfId="11516" xr:uid="{096D3F54-747E-4574-8FB7-415975422D17}"/>
    <cellStyle name="Input 3 3 2 8" xfId="11554" xr:uid="{61CA15C9-54FD-473C-9967-F939FCEA4358}"/>
    <cellStyle name="Input 3 3 3" xfId="10170" xr:uid="{7059BD39-4612-467F-8116-1F1F7B29717F}"/>
    <cellStyle name="Input 3 3 4" xfId="11079" xr:uid="{DCAC82F6-014F-4FF3-A215-BF0692B47F68}"/>
    <cellStyle name="Input 3 3 5" xfId="10449" xr:uid="{1C17C1AD-B32B-44ED-81C8-78FC62EFF327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3" xfId="11380" xr:uid="{95198151-F787-4FF8-98E4-D501A505547B}"/>
    <cellStyle name="Input 3 5 2 4" xfId="11399" xr:uid="{894DAED2-BB3A-425A-80FE-3EBF6ECC78EC}"/>
    <cellStyle name="Input 3 5 2 5" xfId="11456" xr:uid="{C356AC57-BAE1-4B93-97D1-12F4EC1B541F}"/>
    <cellStyle name="Input 3 5 2 6" xfId="11476" xr:uid="{B0F4E2AA-7F83-46E2-8A63-54AB84FF95AC}"/>
    <cellStyle name="Input 3 5 2 7" xfId="11517" xr:uid="{203FC00F-489D-4751-B42D-842668218A89}"/>
    <cellStyle name="Input 3 5 2 8" xfId="11555" xr:uid="{EC223F76-5AAC-4F3D-964B-BBA937E95741}"/>
    <cellStyle name="Input 3 5 3" xfId="10169" xr:uid="{14F3653E-5ED9-4D7C-A1C3-369752C69476}"/>
    <cellStyle name="Input 3 5 4" xfId="11080" xr:uid="{4FA39351-052F-44EA-B9EB-DD27DC50601B}"/>
    <cellStyle name="Input 3 5 5" xfId="10450" xr:uid="{FD897AF7-956C-463E-B01A-B439E7135089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3" xfId="11381" xr:uid="{923CDBF9-76B4-456F-A827-6271539FA599}"/>
    <cellStyle name="Input 4 3 2 4" xfId="11400" xr:uid="{151338BF-9112-4F98-98BB-19E0060CE078}"/>
    <cellStyle name="Input 4 3 2 5" xfId="11457" xr:uid="{75DA61A9-D130-4FD7-AA6D-0091794B1387}"/>
    <cellStyle name="Input 4 3 2 6" xfId="11477" xr:uid="{45C917AD-B716-435F-ADF4-FF416E416EDD}"/>
    <cellStyle name="Input 4 3 2 7" xfId="11518" xr:uid="{DE56B5C1-83FB-4CBF-A49A-BE1F5AD6C80C}"/>
    <cellStyle name="Input 4 3 2 8" xfId="11556" xr:uid="{5CAE21DE-68CF-4CB3-B773-F48E57DBD180}"/>
    <cellStyle name="Input 4 3 3" xfId="10168" xr:uid="{E8AAD6CB-3A72-4B5D-9FC8-0661CC4B38C7}"/>
    <cellStyle name="Input 4 3 4" xfId="10491" xr:uid="{BA20CC4F-F275-409B-A582-B5C56C60B78C}"/>
    <cellStyle name="Input 4 3 5" xfId="10451" xr:uid="{B3A3DEF3-B29C-4FA3-9312-D19215BA4FAE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3" xfId="11382" xr:uid="{3898C1D9-A315-43AF-9BA6-0075D2E37B61}"/>
    <cellStyle name="Input 4 4 2 4" xfId="11401" xr:uid="{C0F55D57-6621-40FF-AD36-BBFFDBAACE36}"/>
    <cellStyle name="Input 4 4 2 5" xfId="11458" xr:uid="{CACCF110-CC5C-4285-B1E2-7BCC26CFEDD6}"/>
    <cellStyle name="Input 4 4 2 6" xfId="11478" xr:uid="{AB459196-1CC3-4FB5-BE46-A9E45F99B2EE}"/>
    <cellStyle name="Input 4 4 2 7" xfId="11519" xr:uid="{31F2532C-B64D-48AE-BAC6-C518B019A1D6}"/>
    <cellStyle name="Input 4 4 2 8" xfId="11557" xr:uid="{53059686-285B-4E69-BE21-150292732E45}"/>
    <cellStyle name="Input 4 4 3" xfId="10167" xr:uid="{170ED6DC-CA01-4AA6-BC1D-0BD6EE8B9C2E}"/>
    <cellStyle name="Input 4 4 4" xfId="11081" xr:uid="{CE89F1CB-BBC8-401A-91C4-ECCA8186D08D}"/>
    <cellStyle name="Input 4 4 5" xfId="10452" xr:uid="{BFA49601-BB4E-4EC0-9E1A-97ED3D442818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3" xfId="11383" xr:uid="{ADF4D950-20CC-490E-B12F-85DDF27FB4CA}"/>
    <cellStyle name="Input 5 2 4" xfId="11402" xr:uid="{142A8E92-D24A-465A-928B-41E3BA025A26}"/>
    <cellStyle name="Input 5 2 5" xfId="11459" xr:uid="{3F119DD1-BD89-4631-A6BB-6108F0D6C0C6}"/>
    <cellStyle name="Input 5 2 6" xfId="11479" xr:uid="{8DE1A40F-9EF9-4E62-BD6C-DB472EA8BD26}"/>
    <cellStyle name="Input 5 2 7" xfId="11520" xr:uid="{2569B2A6-C54B-44DC-BD59-2DC2F383B3D4}"/>
    <cellStyle name="Input 5 2 8" xfId="11558" xr:uid="{64FF8569-B744-4514-AE69-6F7DF8EE3682}"/>
    <cellStyle name="Input 5 3" xfId="10166" xr:uid="{BD05D3A9-369B-4E02-8FAF-7B7E7AB6E9C7}"/>
    <cellStyle name="Input 5 4" xfId="11082" xr:uid="{902839BB-B29B-4256-9DCC-E348668BBC69}"/>
    <cellStyle name="Input 5 5" xfId="10453" xr:uid="{88F06AA7-C0CE-48E6-AB74-0DDFB1BF75F3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3" xfId="11384" xr:uid="{4B075E67-226B-4450-BBFA-B0E699C3517D}"/>
    <cellStyle name="Input 6 2 4" xfId="11403" xr:uid="{5DA87B45-2AF0-4B62-85F7-C9CD6558B156}"/>
    <cellStyle name="Input 6 2 5" xfId="11460" xr:uid="{7A46344E-E06E-4751-A1CB-D2D5A509DF9F}"/>
    <cellStyle name="Input 6 2 6" xfId="11480" xr:uid="{EEA1D8D5-1655-4399-BB25-0A462F88D960}"/>
    <cellStyle name="Input 6 2 7" xfId="11521" xr:uid="{B50B7CFC-451F-44D7-845A-C58A4268E9EE}"/>
    <cellStyle name="Input 6 2 8" xfId="11559" xr:uid="{BBCA0612-5C42-47A4-BE09-387414DE6FB8}"/>
    <cellStyle name="Input 6 3" xfId="10165" xr:uid="{629E113C-C866-42D3-94DF-F921A25A2E0B}"/>
    <cellStyle name="Input 6 4" xfId="11083" xr:uid="{AF563A1C-6BA9-43A9-B28F-F21D92620DAF}"/>
    <cellStyle name="Input 6 5" xfId="10454" xr:uid="{613FB0F6-EB44-47B0-B984-178C70EFC99C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3" xfId="11385" xr:uid="{228F1A4F-73A5-4C58-A03D-01F99D38F70C}"/>
    <cellStyle name="Input 7 2 4" xfId="11404" xr:uid="{D949EC8E-5A48-4991-B8A9-640248D693F4}"/>
    <cellStyle name="Input 7 2 5" xfId="11461" xr:uid="{476A02D4-1224-4527-921A-7F8145634738}"/>
    <cellStyle name="Input 7 2 6" xfId="11481" xr:uid="{941DDA97-D956-4244-A758-905D46550414}"/>
    <cellStyle name="Input 7 2 7" xfId="11522" xr:uid="{635E64E2-A20B-4016-8D2D-D26BF8F5CC2F}"/>
    <cellStyle name="Input 7 2 8" xfId="11560" xr:uid="{8AD32A86-2BD1-4725-8AB9-6FE17D5E4F76}"/>
    <cellStyle name="Input 7 3" xfId="10164" xr:uid="{1CEB7FDD-F6C5-41B5-B4AA-270F371D203C}"/>
    <cellStyle name="Input 7 4" xfId="11084" xr:uid="{280552AD-D4C3-413B-ADDD-AC14A672D0A0}"/>
    <cellStyle name="Input 7 5" xfId="10455" xr:uid="{CB7A047B-8EF1-404D-ACE8-5614DDE091D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3" xfId="11386" xr:uid="{A139AEBB-848D-4CD7-9AC4-B9EB364D3D89}"/>
    <cellStyle name="Input 8 2 4" xfId="11405" xr:uid="{912527CF-5E62-429F-A7FD-4BDD2C93F387}"/>
    <cellStyle name="Input 8 2 5" xfId="11462" xr:uid="{4D99D370-AFA7-42D5-9720-EDAECB0E99FA}"/>
    <cellStyle name="Input 8 2 6" xfId="11482" xr:uid="{F2B71C99-2A83-48B1-B41D-DF094CCFBE70}"/>
    <cellStyle name="Input 8 2 7" xfId="11523" xr:uid="{E9CA0CFB-60BF-444A-89B5-A289DD33D8F5}"/>
    <cellStyle name="Input 8 2 8" xfId="11561" xr:uid="{B1C7181E-3511-4CCF-8074-F133873FBD0B}"/>
    <cellStyle name="Input 8 3" xfId="10163" xr:uid="{AD2B470A-BC02-4499-A735-042C5082CC75}"/>
    <cellStyle name="Input 8 4" xfId="11085" xr:uid="{6F1602DD-E07B-4B57-A898-0EBEA85A2454}"/>
    <cellStyle name="Input 8 5" xfId="11039" xr:uid="{8D2F7D1F-E89B-481F-BDA6-8E1B0F909516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3" xfId="11387" xr:uid="{169EC47F-43AF-4BB6-93CC-15EE016706E5}"/>
    <cellStyle name="Input 9 2 4" xfId="11406" xr:uid="{7D24977D-14AA-40A1-B3F7-79C9C19E4BC8}"/>
    <cellStyle name="Input 9 2 5" xfId="11463" xr:uid="{2486A8F7-64C4-4B0D-9368-26EF5528796C}"/>
    <cellStyle name="Input 9 2 6" xfId="11483" xr:uid="{0AA042FF-BE65-43FD-9750-8C4BD8C0BA69}"/>
    <cellStyle name="Input 9 2 7" xfId="11524" xr:uid="{E6C79B57-EF8B-4FF5-AEF8-80F2554A2416}"/>
    <cellStyle name="Input 9 2 8" xfId="11562" xr:uid="{6500CC9E-F5E8-49F6-B694-17744EC987E2}"/>
    <cellStyle name="Input 9 3" xfId="10162" xr:uid="{6EF1ADBA-2ED6-46D1-A20D-04253DB989BF}"/>
    <cellStyle name="Input 9 4" xfId="10496" xr:uid="{ED281742-C7F4-45B2-943F-1179236E4D66}"/>
    <cellStyle name="Input 9 5" xfId="11040" xr:uid="{EFAC8169-4685-4100-8B57-9D0889BE464E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1" xfId="11757" xr:uid="{680B18EC-FDEA-44C4-86EB-DABC9B8DB310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3" xfId="11759" xr:uid="{2C7349C7-5AEB-45D0-B28F-3D509B28A60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3" xfId="11760" xr:uid="{CEBADA0F-7D14-44ED-A099-49A5D5AE0B17}"/>
    <cellStyle name="Normal 10 5 4" xfId="10498" xr:uid="{53CC8EC3-7B79-4864-9DAD-53D848438E0A}"/>
    <cellStyle name="Normal 10 5 4 2" xfId="12211" xr:uid="{B491A9BA-8B71-410E-A8A5-E9F30982AD43}"/>
    <cellStyle name="Normal 10 5 5" xfId="11758" xr:uid="{04C89360-EA37-4C53-84D3-06F150FFB818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3" xfId="11762" xr:uid="{E8CE3165-F5A2-4469-B6BB-36D22149AEE6}"/>
    <cellStyle name="Normal 10 6 3" xfId="10501" xr:uid="{806D23D4-C524-4A7E-8C96-4088CC213F4F}"/>
    <cellStyle name="Normal 10 6 3 2" xfId="12214" xr:uid="{FD89007A-FE0D-478C-AEB1-9839042E7642}"/>
    <cellStyle name="Normal 10 6 4" xfId="11761" xr:uid="{D4E5C6CD-9969-4A98-9376-0E7F0A82E738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3" xfId="11763" xr:uid="{D9D92145-94E9-4781-85E6-629573200C09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3" xfId="11764" xr:uid="{9E264DB0-E4BE-4E95-8B8B-92FC5FB135E5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3" xfId="11765" xr:uid="{44BEEAF7-1B99-4C4B-91E1-618F88A11127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3" xfId="11766" xr:uid="{CE25CB81-B0FF-4A6E-851A-38FB3E5F9AC0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3" xfId="11769" xr:uid="{DC0AFA5F-D27B-4392-9F30-6FD98413DE48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3" xfId="11770" xr:uid="{8E2379B6-B4CB-4FAE-8304-23EA71D9FAEC}"/>
    <cellStyle name="Normal 11 3 4" xfId="10508" xr:uid="{49635016-CAA1-42D3-BAF6-ED937230850E}"/>
    <cellStyle name="Normal 11 3 4 2" xfId="12221" xr:uid="{1D87C31C-D79A-410B-88B5-7FFD539FC797}"/>
    <cellStyle name="Normal 11 3 5" xfId="11768" xr:uid="{9676DCC4-EA21-464D-80FB-06CCC4B9F95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3" xfId="11772" xr:uid="{6EEE02E3-E6EB-4DDD-937D-F51113B50EC6}"/>
    <cellStyle name="Normal 11 4 3" xfId="10511" xr:uid="{B902F95D-68FA-492F-BE85-96BEAFC2D229}"/>
    <cellStyle name="Normal 11 4 3 2" xfId="12224" xr:uid="{04128515-0151-44BC-BD6F-C9F6066747AF}"/>
    <cellStyle name="Normal 11 4 4" xfId="11771" xr:uid="{2DEA7E4D-DCA0-45DA-9E76-05EE5C83A56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3" xfId="11773" xr:uid="{85C41A5B-0FBD-46D4-96E2-5262D5FE7711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3" xfId="11774" xr:uid="{04F0E6ED-71A8-4061-B92A-86D16A958CC3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3" xfId="11775" xr:uid="{7B187711-8256-4979-88DF-F9604D11C78A}"/>
    <cellStyle name="Normal 11 8" xfId="10507" xr:uid="{D8C9586F-71A1-422A-8DAD-18B3567AB264}"/>
    <cellStyle name="Normal 11 8 2" xfId="12220" xr:uid="{B2944571-94CB-4DE2-93CD-85C3F94E8996}"/>
    <cellStyle name="Normal 11 9" xfId="11767" xr:uid="{E778AD86-9202-4E5D-98DA-3E72E2F13736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3" xfId="11777" xr:uid="{E4BB4C68-A90C-4794-9C27-440EFFDAFF07}"/>
    <cellStyle name="Normal 112 3" xfId="10516" xr:uid="{F231F434-0FE7-42A8-B448-AE8558EA5282}"/>
    <cellStyle name="Normal 112 3 2" xfId="12229" xr:uid="{D5D336FB-8D05-4C8C-A97C-36EBC16DEFC0}"/>
    <cellStyle name="Normal 112 4" xfId="11776" xr:uid="{86ADDAE7-B9A5-4549-A0FE-B7C08A90DB95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3" xfId="11778" xr:uid="{7790BD38-1091-42A7-8C0B-120B7E24DDE6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3" xfId="11779" xr:uid="{02C5DFA8-348A-4632-9063-57CB7FD9B317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3" xfId="11780" xr:uid="{B1CC717E-D92A-4775-B479-B237B3907A8F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3" xfId="11783" xr:uid="{F87F2EEC-2241-45B4-8B5D-36CC62E7DB7B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3" xfId="11784" xr:uid="{431E2F0E-4E75-4B7E-B0FB-1A7AF31FA52B}"/>
    <cellStyle name="Normal 12 3 4" xfId="10522" xr:uid="{1347B888-CDCF-4064-B0CD-414E420187EE}"/>
    <cellStyle name="Normal 12 3 4 2" xfId="12235" xr:uid="{BC74E6D5-895D-432A-BD09-364D76501AEC}"/>
    <cellStyle name="Normal 12 3 5" xfId="11782" xr:uid="{18768275-CAC9-47F4-9B95-E8CD7ECA4BE1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3" xfId="11786" xr:uid="{A3C94405-C5F4-4287-A5EF-AD60E6DBC71B}"/>
    <cellStyle name="Normal 12 4 3" xfId="10525" xr:uid="{9FEF16C7-5BD6-4105-934C-83BE1FD92908}"/>
    <cellStyle name="Normal 12 4 3 2" xfId="12238" xr:uid="{A719EB48-4C6C-4DB7-B0F9-F42EC1DC439C}"/>
    <cellStyle name="Normal 12 4 4" xfId="11785" xr:uid="{60B3A66E-2FED-4480-A1B8-0B943B152C7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3" xfId="11787" xr:uid="{F3284766-1E0D-4D95-A2B0-0A33259EC022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3" xfId="11788" xr:uid="{52ED1039-803F-46A2-B149-9D91D7343B6D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3" xfId="11789" xr:uid="{063F6A07-A27E-46BF-8714-C0E821291B5D}"/>
    <cellStyle name="Normal 12 8" xfId="10521" xr:uid="{D0769AB0-1F46-4AF3-8B1F-E29AE1B72930}"/>
    <cellStyle name="Normal 12 8 2" xfId="12234" xr:uid="{AEE4F675-5222-41EB-86FE-B8C234086442}"/>
    <cellStyle name="Normal 12 9" xfId="11781" xr:uid="{8023D80A-7AE1-4171-80D7-FEBD42967F87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3" xfId="11792" xr:uid="{ED5001B6-8BF8-4DDF-BF35-58D7189BE87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3" xfId="11793" xr:uid="{99CAA5D8-1308-4A81-A761-4590AE707B2D}"/>
    <cellStyle name="Normal 13 3 4" xfId="10531" xr:uid="{093057B8-5EFC-4755-A41B-31F79C3F7CD9}"/>
    <cellStyle name="Normal 13 3 4 2" xfId="12244" xr:uid="{EEB807B1-6454-4511-AB60-9AF7B9D17614}"/>
    <cellStyle name="Normal 13 3 5" xfId="11791" xr:uid="{D36D9EB6-A062-4D6F-A614-B17F29C73101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3" xfId="11795" xr:uid="{1EDE96CE-C586-42C4-854E-6C093A951464}"/>
    <cellStyle name="Normal 13 4 3" xfId="10534" xr:uid="{6314727B-1339-42CE-9414-F8E5AA3B2947}"/>
    <cellStyle name="Normal 13 4 3 2" xfId="12247" xr:uid="{137E957B-9B5C-4910-97F8-18F822C689F5}"/>
    <cellStyle name="Normal 13 4 4" xfId="11794" xr:uid="{E3FAF981-C4E6-4D3D-B322-D711D3C9584B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3" xfId="11796" xr:uid="{2D98C99C-3494-4525-8935-0D0E7BEDA91A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3" xfId="11797" xr:uid="{C454DDFD-D416-4D8E-A110-461D15EF90CB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3" xfId="11798" xr:uid="{7F323D9C-F4DE-4727-8641-64161D217C14}"/>
    <cellStyle name="Normal 13 8" xfId="10530" xr:uid="{389210B2-0A12-4665-AFCA-1A8D5B3F845D}"/>
    <cellStyle name="Normal 13 8 2" xfId="12243" xr:uid="{58222151-CAB1-4D6A-B8CF-B550B10590D5}"/>
    <cellStyle name="Normal 13 9" xfId="11790" xr:uid="{F88455B0-866A-44B5-BAE2-9D81B9781DA5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3" xfId="11801" xr:uid="{3BC7AC6F-EB4F-4BBC-8552-090AF17D3C8B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3" xfId="11802" xr:uid="{BCE6AE5C-35AA-40B2-B1C3-3D425E4576B6}"/>
    <cellStyle name="Normal 15 3 4" xfId="10540" xr:uid="{EFDBA141-29AA-41B9-A927-3398890CDF72}"/>
    <cellStyle name="Normal 15 3 4 2" xfId="12253" xr:uid="{8FA63ADD-A2A5-42DB-8DC0-816F97DA4B00}"/>
    <cellStyle name="Normal 15 3 5" xfId="11800" xr:uid="{6555D42E-1A51-4035-8ED2-61B59896927F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3" xfId="11804" xr:uid="{872B4846-9A73-4B42-9099-40E7F2D219AD}"/>
    <cellStyle name="Normal 15 4 3" xfId="10543" xr:uid="{623AF571-4CE5-450A-88FC-91C2F244ACFB}"/>
    <cellStyle name="Normal 15 4 3 2" xfId="12256" xr:uid="{65A4824D-40D4-470B-AB6A-0047D41EA1DD}"/>
    <cellStyle name="Normal 15 4 4" xfId="11803" xr:uid="{F7ABEC99-5126-4837-B657-9AE1E3599D36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3" xfId="11805" xr:uid="{74CF0768-7E83-49CC-AB2E-925C10D77456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3" xfId="11806" xr:uid="{19D06A39-73CD-4C9E-A622-3439134F10ED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3" xfId="11807" xr:uid="{9F0B8BF9-32B9-47F8-AABB-C1B64EF819FA}"/>
    <cellStyle name="Normal 15 8" xfId="10539" xr:uid="{F93B5003-C7DE-4D04-9453-C6B2F3332771}"/>
    <cellStyle name="Normal 15 8 2" xfId="12252" xr:uid="{37D6CD0A-5191-40AA-8937-596A0C201A0C}"/>
    <cellStyle name="Normal 15 9" xfId="11799" xr:uid="{163FBB76-14E3-4CB5-9B72-A47DE0184C63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3" xfId="11808" xr:uid="{A55D80E7-32F6-4E18-8F8F-75A65A100A0B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3" xfId="11581" xr:uid="{04282C52-ABC4-4D2B-8074-88FA2269400C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3" xfId="11820" xr:uid="{C8557867-EA8D-42F6-A929-EB886F15025A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3" xfId="12033" xr:uid="{1CA7FACC-1EFD-43D7-9BAF-5B746B5BF318}"/>
    <cellStyle name="Normal 16" xfId="5" xr:uid="{00000000-0005-0000-0000-000003000000}"/>
    <cellStyle name="Normal 16 10" xfId="11809" xr:uid="{89208339-65C7-46DC-8FF5-21037D00FFC5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3" xfId="11811" xr:uid="{16CDE9C3-DBB3-4AD3-9270-C02236AAB14C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3" xfId="11812" xr:uid="{CAAC0AC5-BD87-43A8-B42D-FC74DCBA9EB6}"/>
    <cellStyle name="Normal 16 3 4" xfId="10550" xr:uid="{35776A3F-6280-4C43-93F1-9E3F61879A65}"/>
    <cellStyle name="Normal 16 3 4 2" xfId="12263" xr:uid="{46E66DDB-CBEC-427E-BD51-375DF1D47B2F}"/>
    <cellStyle name="Normal 16 3 5" xfId="11810" xr:uid="{2B96B59D-8B8A-486A-8B46-0639A384CD5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3" xfId="11814" xr:uid="{F433BC1A-BEFE-48AF-978C-76F0A3F86ED9}"/>
    <cellStyle name="Normal 16 4 3" xfId="10553" xr:uid="{5B4BEE7C-72EC-4430-8BD3-86825B7F40F9}"/>
    <cellStyle name="Normal 16 4 3 2" xfId="12266" xr:uid="{5B69BA57-6F48-41BF-979B-CA96B3C0B3B2}"/>
    <cellStyle name="Normal 16 4 4" xfId="11813" xr:uid="{B29F8621-2B72-4873-912F-BCFA960CC4DD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3" xfId="11815" xr:uid="{A56E9485-BE28-4956-BEFF-08B258747140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3" xfId="11816" xr:uid="{6D6630A3-52A7-4950-9F52-A52731E668B0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3" xfId="11817" xr:uid="{B4BBDA9F-50A9-4B8F-8353-3C5E95B8EFA8}"/>
    <cellStyle name="Normal 16 8" xfId="10549" xr:uid="{27C3DB69-E832-44F4-B920-98A20FB759AB}"/>
    <cellStyle name="Normal 16 8 2" xfId="12262" xr:uid="{830A26EC-138B-4102-97C5-1558562FC6CE}"/>
    <cellStyle name="Normal 16 9" xfId="8047" xr:uid="{14C5B5D3-2019-4F87-83C2-5A97E0D53279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3" xfId="12036" xr:uid="{43272A53-878F-4870-8EC8-80A3DA3B249A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3" xfId="12030" xr:uid="{7C40D62C-E8E9-48F6-AC82-7FBC8AF8C875}"/>
    <cellStyle name="Normal 162" xfId="7" xr:uid="{07FCC79B-4E3D-4DD1-9795-F63A3C749E8B}"/>
    <cellStyle name="Normal 163" xfId="10" xr:uid="{3DF7D42E-5954-48E7-B97A-64F3BE773FFB}"/>
    <cellStyle name="Normal 164" xfId="11570" xr:uid="{B1CD00E5-BA54-4FE7-884F-40916A3A1C33}"/>
    <cellStyle name="Normal 165" xfId="11565" xr:uid="{3AE0AAD5-4B9C-4DE5-AF94-D231F942132D}"/>
    <cellStyle name="Normal 166" xfId="11571" xr:uid="{96BDC909-76C0-4E80-B17B-0E7BFB14FDA1}"/>
    <cellStyle name="Normal 167" xfId="11574" xr:uid="{5E7B262F-16A7-4AEE-A751-EB3975589359}"/>
    <cellStyle name="Normal 168" xfId="11575" xr:uid="{37E68AB2-63E2-4ECE-8DBC-313022A29C41}"/>
    <cellStyle name="Normal 169" xfId="11576" xr:uid="{6BD791F6-5C71-4DD7-865E-DBFA91C8EC7F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3" xfId="11818" xr:uid="{3A4C4337-F2E6-4A1D-919D-6570DFC7EB45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3" xfId="11819" xr:uid="{EF16716D-C7FF-4809-A022-E7F59CAA060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6" xfId="11" xr:uid="{74E29F65-292B-47AA-B0F3-CA8FD8F4137B}"/>
    <cellStyle name="Normal 2 17" xfId="11580" xr:uid="{427010E7-1BD2-4623-BC7C-4E0435054EA9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3" xfId="11821" xr:uid="{99F89930-4053-457A-A306-C4F4661C292D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3" xfId="11822" xr:uid="{879EE71A-E5BA-49EA-8134-7E325CF6F84D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3" xfId="11823" xr:uid="{30CC6046-B8C0-4CD2-944B-7AB9273DDF9F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3" xfId="11824" xr:uid="{DB37DC17-A7AA-4E74-A5E5-5F4B363953CD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3" xfId="11825" xr:uid="{52B56478-9DE3-4CFA-B045-D09227F62EDC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3" xfId="11828" xr:uid="{C5EE2722-1626-4EAF-80C0-288773822753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3" xfId="11829" xr:uid="{4E888CDD-0508-48C8-8F74-85BB5F81BE5A}"/>
    <cellStyle name="Normal 21 2 4" xfId="10567" xr:uid="{26B3884B-4A78-40B5-BF21-AFA33EF76277}"/>
    <cellStyle name="Normal 21 2 4 2" xfId="12280" xr:uid="{4E124C23-7C89-434F-830E-723704470576}"/>
    <cellStyle name="Normal 21 2 5" xfId="11827" xr:uid="{3829DD67-378A-452B-A2EF-778DA1D8EE57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3" xfId="11831" xr:uid="{7BF086E1-45C9-4A39-879A-2FC48517CBCE}"/>
    <cellStyle name="Normal 21 3 3" xfId="10570" xr:uid="{5C668AD3-9389-4FDF-95A8-B820795119DA}"/>
    <cellStyle name="Normal 21 3 3 2" xfId="12283" xr:uid="{1C83A03B-718A-476E-80EF-6F23B8AD6233}"/>
    <cellStyle name="Normal 21 3 4" xfId="11830" xr:uid="{2F7ABAAE-40CA-420C-84F7-3F312047A33B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3" xfId="11832" xr:uid="{2BCF8EE9-6B5E-4D23-AFD8-A4BD71C7D31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3" xfId="11833" xr:uid="{03436BC7-B4D9-4B62-9399-7893C42D449F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8" xfId="11826" xr:uid="{E4FAF7D9-B458-47C5-BF08-DB2CE5DAA339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3" xfId="11836" xr:uid="{CE982A5E-AF7C-4203-91DC-2626242E0E1E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3" xfId="11837" xr:uid="{2D5DEB6E-BA03-43FB-AC13-F4C0D4237312}"/>
    <cellStyle name="Normal 22 2 4" xfId="10575" xr:uid="{675DB394-6664-49D2-B21E-E52A006A508E}"/>
    <cellStyle name="Normal 22 2 4 2" xfId="12288" xr:uid="{927651AC-0816-43D7-983C-9C9E8D0B1278}"/>
    <cellStyle name="Normal 22 2 5" xfId="11835" xr:uid="{DCFA9E3E-7E60-4F52-8901-72BCA7A17D40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3" xfId="11839" xr:uid="{3E2D7839-5AB5-4010-A67A-72581DA9F598}"/>
    <cellStyle name="Normal 22 3 3" xfId="10578" xr:uid="{7B9663E0-1838-42DE-A86D-9183857ADCF1}"/>
    <cellStyle name="Normal 22 3 3 2" xfId="12291" xr:uid="{51A1DF66-F06C-4944-89BE-F3015AFC91FB}"/>
    <cellStyle name="Normal 22 3 4" xfId="11838" xr:uid="{821D2920-E09A-4EA8-87B5-DFF1EF4C6A4E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3" xfId="11840" xr:uid="{683A7459-E716-4347-95E5-96087039E1E3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3" xfId="11841" xr:uid="{C4936287-66C5-4CCA-9F18-8747C28AB3D4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8" xfId="11834" xr:uid="{F99CE6B5-1F66-4D54-B8FA-324B818CC6C6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3" xfId="11844" xr:uid="{E6C1F6BA-989C-4ACB-ACFC-9FC1E18C78D1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3" xfId="11845" xr:uid="{C9BB6A67-3753-4630-A1BC-C55259A58F5F}"/>
    <cellStyle name="Normal 23 2 4" xfId="10583" xr:uid="{5291C157-CF75-4E32-9D02-61AFF449DC9E}"/>
    <cellStyle name="Normal 23 2 4 2" xfId="12296" xr:uid="{78484D44-72DC-4C40-9188-9A4962C1FD0A}"/>
    <cellStyle name="Normal 23 2 5" xfId="11843" xr:uid="{D400B714-5610-4E48-AF4A-0FC461F0AA8C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3" xfId="11847" xr:uid="{01E21515-85A1-4883-A55B-D6C1FE3C7436}"/>
    <cellStyle name="Normal 23 3 3" xfId="10586" xr:uid="{8B4A56EE-10E2-423C-8E40-3D5C9A718039}"/>
    <cellStyle name="Normal 23 3 3 2" xfId="12299" xr:uid="{4061F3A8-F2E7-46E8-906C-FED0D36CEF92}"/>
    <cellStyle name="Normal 23 3 4" xfId="11846" xr:uid="{D7DEFD6D-DF4F-40B4-957C-DD7812824F1D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3" xfId="11848" xr:uid="{D5B39EAA-6D1C-4697-A8EE-9396A8EBB22E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3" xfId="11849" xr:uid="{CF9F41F6-55B4-4411-9EDE-3742754A3F78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8" xfId="11842" xr:uid="{09F9B9C3-E844-4ECC-B7EB-9DCF01D518D4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3" xfId="11852" xr:uid="{0B5F10A0-0E81-409D-A918-DE25B012EC55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3" xfId="11853" xr:uid="{E592B98D-B3E3-4C5D-8F6B-D31E5C80295A}"/>
    <cellStyle name="Normal 24 2 4" xfId="10591" xr:uid="{C5A55CA6-8E66-4C8F-8F37-DA4E35022C1F}"/>
    <cellStyle name="Normal 24 2 4 2" xfId="12304" xr:uid="{D116E05D-EB63-4F6C-A729-F0553C6EACAD}"/>
    <cellStyle name="Normal 24 2 5" xfId="11851" xr:uid="{583A69B3-D112-4CF2-8828-158F94ADC9FA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3" xfId="11855" xr:uid="{5297B2D1-E96E-4BEE-A018-A997A8423609}"/>
    <cellStyle name="Normal 24 3 3" xfId="10594" xr:uid="{E470F7AB-5C39-43B9-93AD-C889A3B81CE3}"/>
    <cellStyle name="Normal 24 3 3 2" xfId="12307" xr:uid="{6BB0EB6D-4EDD-4739-9BDB-AB5B7A047EDE}"/>
    <cellStyle name="Normal 24 3 4" xfId="11854" xr:uid="{C45C418A-7D22-4ED0-BB71-17FA8FC10971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3" xfId="11856" xr:uid="{1796E743-7042-473B-9F06-559BC1836E70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3" xfId="11857" xr:uid="{7FC4EC67-81E3-41D1-8875-7EB49920BB10}"/>
    <cellStyle name="Normal 24 6" xfId="10590" xr:uid="{B7F95988-A823-4E7B-8CEB-1E3E7C7F29B5}"/>
    <cellStyle name="Normal 24 6 2" xfId="12303" xr:uid="{FB499A58-BC1D-4839-AE43-9B49A978C23E}"/>
    <cellStyle name="Normal 24 7" xfId="8179" xr:uid="{11C4C21E-CB1C-4ED3-8DA9-DED1A12B4B01}"/>
    <cellStyle name="Normal 24 8" xfId="11850" xr:uid="{3C4B4ED1-61C3-4081-A097-A7B66B3EE945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3" xfId="11860" xr:uid="{E3FD83D5-2569-47B7-8376-5E65A7E0CBD4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3" xfId="11861" xr:uid="{15A24F2F-A5CC-4B17-B4BA-84600850B321}"/>
    <cellStyle name="Normal 25 2 4" xfId="10599" xr:uid="{57D776E8-56A8-4465-96BB-83F996D5F80D}"/>
    <cellStyle name="Normal 25 2 4 2" xfId="12312" xr:uid="{5589D2D2-A21C-40FF-AB4F-1B32E255D713}"/>
    <cellStyle name="Normal 25 2 5" xfId="11859" xr:uid="{62CCB1F2-CB40-4323-8522-72CC3582F1D2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3" xfId="11863" xr:uid="{F3C0CB9A-430A-4C77-AF58-690C8B3B1619}"/>
    <cellStyle name="Normal 25 3 3" xfId="10602" xr:uid="{54BA1A16-A1F2-4F29-85E4-2DEAF55DEBF6}"/>
    <cellStyle name="Normal 25 3 3 2" xfId="12315" xr:uid="{D4ED8D04-9018-4683-A366-D0CE44482D91}"/>
    <cellStyle name="Normal 25 3 4" xfId="11862" xr:uid="{1C6ECCF0-F901-472F-9AA7-95B8EEBE319A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3" xfId="11864" xr:uid="{63C5A452-CEDD-4D5B-9CAF-36F1AE082F8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3" xfId="11865" xr:uid="{B9362C12-7B15-48A2-85FC-375B30AB88DA}"/>
    <cellStyle name="Normal 25 6" xfId="10598" xr:uid="{FCBB64C1-C47A-40E0-82A9-CD2654E0BABE}"/>
    <cellStyle name="Normal 25 6 2" xfId="12311" xr:uid="{5B1167D4-DA9C-49F6-9BD4-BF9C2ACEA864}"/>
    <cellStyle name="Normal 25 7" xfId="11858" xr:uid="{BAFA6AF4-87FF-428A-8159-CCF9039355FF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3" xfId="11868" xr:uid="{AFCC70A6-4F2C-4132-AE7D-CB4A99174315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3" xfId="11869" xr:uid="{70D26C5F-19C8-4C5E-8654-B840ED44A5C0}"/>
    <cellStyle name="Normal 26 2 4" xfId="10607" xr:uid="{0C3BD497-11AB-4948-BD03-721804B31E79}"/>
    <cellStyle name="Normal 26 2 4 2" xfId="12320" xr:uid="{11158C38-D53F-4EFF-94EC-28D4DAB068AE}"/>
    <cellStyle name="Normal 26 2 5" xfId="11867" xr:uid="{8FD4E19D-18FE-4D6F-A632-697D74A843F9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3" xfId="11871" xr:uid="{DE04DE62-A693-42B2-8CCC-07D101293666}"/>
    <cellStyle name="Normal 26 3 3" xfId="10610" xr:uid="{40A5A00B-8E82-43CF-B893-C34A23D21AAB}"/>
    <cellStyle name="Normal 26 3 3 2" xfId="12323" xr:uid="{898667F4-43BC-4E03-81D3-032C6F7D70DC}"/>
    <cellStyle name="Normal 26 3 4" xfId="11870" xr:uid="{262283AE-AF19-47A0-843B-FA36EF301C79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3" xfId="11872" xr:uid="{EBFB3400-808D-4D1D-AF0A-2DB59D14C767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3" xfId="11873" xr:uid="{8E60A846-F414-4F3D-BCF6-6EDBB4229887}"/>
    <cellStyle name="Normal 26 6" xfId="10606" xr:uid="{FF3FEFBB-8A92-4510-BCDE-F14B4BE1D378}"/>
    <cellStyle name="Normal 26 6 2" xfId="12319" xr:uid="{45542C58-5956-4783-A057-B1298AFCED6B}"/>
    <cellStyle name="Normal 26 7" xfId="11866" xr:uid="{580B9B97-F2F3-4BB8-B30B-EE857780D2A9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3" xfId="11876" xr:uid="{286F2575-8F5D-46D3-A057-F0EA937D044A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3" xfId="11877" xr:uid="{9A930A22-F08C-4BC8-BC85-3BED0CC966F7}"/>
    <cellStyle name="Normal 27 2 4" xfId="10615" xr:uid="{6E12ACEC-2DE5-44D4-9769-CCB877F9C1F8}"/>
    <cellStyle name="Normal 27 2 4 2" xfId="12328" xr:uid="{1A00CE03-1B24-4FD5-8C46-D1A73482520D}"/>
    <cellStyle name="Normal 27 2 5" xfId="11875" xr:uid="{E4BD54C6-A423-453E-836A-02F21DAFFC05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3" xfId="11879" xr:uid="{A2B0C234-F8CA-426A-9E84-A3DE8CDA4AF7}"/>
    <cellStyle name="Normal 27 3 3" xfId="10618" xr:uid="{63282C2B-52E3-46A7-B981-D66AB72102A2}"/>
    <cellStyle name="Normal 27 3 3 2" xfId="12331" xr:uid="{42660F6D-A39F-4FCD-BA04-19DB4F6CA447}"/>
    <cellStyle name="Normal 27 3 4" xfId="11878" xr:uid="{322FF068-21B0-47E1-A8BD-790C17ED8331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3" xfId="11880" xr:uid="{A871F23E-CFD0-498A-B1DB-47E722518C53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3" xfId="11881" xr:uid="{20ED0E61-F551-4C5A-9D8F-F4C1A7E4AD3C}"/>
    <cellStyle name="Normal 27 6" xfId="10614" xr:uid="{D31EF6DE-731A-4AA0-9FE4-DED6E054925A}"/>
    <cellStyle name="Normal 27 6 2" xfId="12327" xr:uid="{819A2001-FE8D-46D2-954D-507992CAE8E6}"/>
    <cellStyle name="Normal 27 7" xfId="11874" xr:uid="{6E72FBD2-71C1-4F8A-9E7B-C3EA60E47D00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3" xfId="11884" xr:uid="{F40F7C78-4EF0-44AC-95C0-2AAF6261C8B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3" xfId="11885" xr:uid="{D69EF16C-5764-49CD-9F6B-18253F6ADC05}"/>
    <cellStyle name="Normal 28 2 4" xfId="10623" xr:uid="{427BA67E-8CAB-4211-94CF-32A5C2EF1213}"/>
    <cellStyle name="Normal 28 2 4 2" xfId="12336" xr:uid="{ED8E3EA0-436F-427C-A524-A996D4291516}"/>
    <cellStyle name="Normal 28 2 5" xfId="11883" xr:uid="{149FDFCC-97A4-45EF-B96F-68C3EE5D4F4C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3" xfId="11887" xr:uid="{69BAE651-38A4-4923-BF7B-9FF816267AAA}"/>
    <cellStyle name="Normal 28 3 3" xfId="10626" xr:uid="{F15C1504-B325-4140-8F77-B702E9279BC1}"/>
    <cellStyle name="Normal 28 3 3 2" xfId="12339" xr:uid="{13ABC509-249D-449F-B853-9AC0F961E0D0}"/>
    <cellStyle name="Normal 28 3 4" xfId="11886" xr:uid="{9116D133-4CEA-422C-BF90-A0EBD730BABF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3" xfId="11888" xr:uid="{30386E33-CB37-4953-B065-E74EDC1D8461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3" xfId="11889" xr:uid="{AD0B510F-3DDE-4C9C-BCF8-BAFA481F0768}"/>
    <cellStyle name="Normal 28 6" xfId="10622" xr:uid="{8A23CBEF-A40F-4E67-8F57-4E04C8730AC8}"/>
    <cellStyle name="Normal 28 6 2" xfId="12335" xr:uid="{521B8C9F-257D-4D0A-8F68-A6778B162A8A}"/>
    <cellStyle name="Normal 28 7" xfId="11882" xr:uid="{1EB0D3D4-7161-4BB9-B99E-3AD3F1BAEADE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3" xfId="11892" xr:uid="{E7FB823C-B45B-4B84-B873-8B35CA38AA5C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3" xfId="11893" xr:uid="{A748A83C-2448-430C-83A3-AE1D41DA6283}"/>
    <cellStyle name="Normal 29 2 4" xfId="10631" xr:uid="{F193692A-5043-4AF2-9177-9A90C9F577EA}"/>
    <cellStyle name="Normal 29 2 4 2" xfId="12344" xr:uid="{30966595-52CD-4A1B-BEC5-746E52CEDC21}"/>
    <cellStyle name="Normal 29 2 5" xfId="11891" xr:uid="{BA29B809-B304-4FF4-842C-21785FA8024B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3" xfId="11895" xr:uid="{E95F4152-8DB9-4168-9E3A-5D6CCCE1022E}"/>
    <cellStyle name="Normal 29 3 3" xfId="10634" xr:uid="{BC4F42C6-4D79-4F83-A958-21F4B3D6349F}"/>
    <cellStyle name="Normal 29 3 3 2" xfId="12347" xr:uid="{773C062E-80ED-4C2D-907B-9FFAC3ECE8F9}"/>
    <cellStyle name="Normal 29 3 4" xfId="11894" xr:uid="{5FF4877A-4D8F-4FD3-B9C7-1B9EE1F7EFFC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3" xfId="11896" xr:uid="{0B6F09B2-C8FD-4DAC-BC04-0C5A143BBFDB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3" xfId="11897" xr:uid="{68587BCA-5E65-4B48-B588-615D36E8EEFB}"/>
    <cellStyle name="Normal 29 6" xfId="10630" xr:uid="{4B4D3246-6A1D-4C4F-B5E6-D7643A833462}"/>
    <cellStyle name="Normal 29 6 2" xfId="12343" xr:uid="{AD8B9CCE-3893-4221-A471-2BB425D23CB9}"/>
    <cellStyle name="Normal 29 7" xfId="11890" xr:uid="{52886014-6F2B-44A9-ADAE-3E65CB10F312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3" xfId="11899" xr:uid="{717612FC-EBDD-43C1-B90F-82BDF3A53482}"/>
    <cellStyle name="Normal 3 5 3" xfId="10638" xr:uid="{4C521A7D-594A-4C0E-A1E1-F83D93A6B665}"/>
    <cellStyle name="Normal 3 5 3 2" xfId="12351" xr:uid="{6D0111E3-266A-48CF-A56F-32F8095F9D07}"/>
    <cellStyle name="Normal 3 5 4" xfId="11898" xr:uid="{FF56C5D8-3681-4DA4-A4BA-5F6A10F1DBE8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4" xfId="11900" xr:uid="{52745612-FD47-450D-A66B-491BC23CD9F7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3" xfId="11903" xr:uid="{932191E9-54E0-4DF4-989A-8FEBDB259ADD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3" xfId="11904" xr:uid="{6C442BD8-BD51-4D7F-BB8F-B8392AC86A14}"/>
    <cellStyle name="Normal 30 2 4" xfId="10642" xr:uid="{04855FFD-1485-4FE1-9F10-BC472247823B}"/>
    <cellStyle name="Normal 30 2 4 2" xfId="12355" xr:uid="{064FB0B4-EE58-4BBA-85F7-85AB57FDE07F}"/>
    <cellStyle name="Normal 30 2 5" xfId="11902" xr:uid="{E809EC33-098E-4070-8EAE-C238E58E1609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3" xfId="11906" xr:uid="{DFC85D7A-A5B6-44DB-A107-918DA9F656F7}"/>
    <cellStyle name="Normal 30 3 3" xfId="10645" xr:uid="{E824F053-11EB-425F-A234-9B8C2B5D0F39}"/>
    <cellStyle name="Normal 30 3 3 2" xfId="12358" xr:uid="{2BBFF49F-B2EA-433D-AADD-E82B6CAAD2B0}"/>
    <cellStyle name="Normal 30 3 4" xfId="11905" xr:uid="{D661FD23-FCF7-4F1C-A7FD-54EA654EE8D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3" xfId="11907" xr:uid="{66D1143D-EF64-48C6-9D3E-E8BE4B272CF9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3" xfId="11908" xr:uid="{C23BEC31-F24B-489F-BAF4-F3C83FF1002E}"/>
    <cellStyle name="Normal 30 6" xfId="10641" xr:uid="{76EC64CC-EBB0-47B9-AAE9-017C17D01F63}"/>
    <cellStyle name="Normal 30 6 2" xfId="12354" xr:uid="{ABCA8CB7-C6EE-4FFB-9A9B-540AD69F84C4}"/>
    <cellStyle name="Normal 30 7" xfId="11901" xr:uid="{A217ED74-438D-4822-86FC-74C7F67A06DA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3" xfId="11911" xr:uid="{8AD4D9C0-76AD-4BB0-9DB1-1422E56C249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3" xfId="11912" xr:uid="{254219ED-04F0-4A7F-9878-A4F1BC7AFBCA}"/>
    <cellStyle name="Normal 31 2 4" xfId="10650" xr:uid="{EC96DFCA-8B5C-4178-8A07-12563522530C}"/>
    <cellStyle name="Normal 31 2 4 2" xfId="12363" xr:uid="{FCC56BDA-28AE-4D6E-BBE3-FC96677982A3}"/>
    <cellStyle name="Normal 31 2 5" xfId="11910" xr:uid="{A46C7D0C-1409-4076-B168-0C1382661F07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3" xfId="11914" xr:uid="{0CB7A72F-9EFA-4E0C-B10A-CB97FA972087}"/>
    <cellStyle name="Normal 31 3 3" xfId="10653" xr:uid="{C59751E9-8214-46AC-AE4C-F4869180CD49}"/>
    <cellStyle name="Normal 31 3 3 2" xfId="12366" xr:uid="{11128704-FAFF-45FA-90BE-091036D2BB0A}"/>
    <cellStyle name="Normal 31 3 4" xfId="11913" xr:uid="{80B353B1-C368-4255-8603-1B5AEF498BC5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3" xfId="11915" xr:uid="{4C1B6429-6EA8-4547-AA3A-85FF48F07A1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3" xfId="11916" xr:uid="{ACDE36EF-C46B-4826-A5E7-C913D0F2CE06}"/>
    <cellStyle name="Normal 31 6" xfId="10649" xr:uid="{73839291-65A7-466A-B1CE-7B7D746C54B2}"/>
    <cellStyle name="Normal 31 6 2" xfId="12362" xr:uid="{067CEEFD-D6CB-49F4-AB90-9F41DF3F3CC5}"/>
    <cellStyle name="Normal 31 7" xfId="11909" xr:uid="{6C246F80-4696-45FD-8EB9-529ED65C50F3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3" xfId="11919" xr:uid="{9108C8C5-569B-4CD3-946F-BD53166B2052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3" xfId="11920" xr:uid="{E81F4315-4E44-4778-8FAD-12FAE4E36718}"/>
    <cellStyle name="Normal 32 2 4" xfId="10658" xr:uid="{95A44601-49CA-4348-B337-1B706A68F833}"/>
    <cellStyle name="Normal 32 2 4 2" xfId="12371" xr:uid="{FA7E4679-10D1-4B4E-BA22-C348CBFE1055}"/>
    <cellStyle name="Normal 32 2 5" xfId="11918" xr:uid="{6A04E0AE-E7B3-4C2B-AF74-A3112A8C49C3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3" xfId="11922" xr:uid="{40CCA03B-0412-4981-BB2B-39A3AAED8EBD}"/>
    <cellStyle name="Normal 32 3 3" xfId="10661" xr:uid="{E455A505-0BA0-49C7-BCBE-0A34CF9FCC62}"/>
    <cellStyle name="Normal 32 3 3 2" xfId="12374" xr:uid="{8FCAE4BD-4C93-4154-827E-8F2C126D6279}"/>
    <cellStyle name="Normal 32 3 4" xfId="11921" xr:uid="{4FFB4F06-BEF1-4665-82C6-3ABF94DDEBD1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3" xfId="11923" xr:uid="{1A12F3F4-6E9B-41D1-A3AF-CF4E7D64EC7A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3" xfId="11924" xr:uid="{9CA99758-340F-4F2E-9062-E4EAAF11C47F}"/>
    <cellStyle name="Normal 32 6" xfId="10657" xr:uid="{12CCE738-64A6-414B-BA54-9AFA9A18D45E}"/>
    <cellStyle name="Normal 32 6 2" xfId="12370" xr:uid="{0165A3DD-BD21-4AD0-906B-3B3B3999FD2F}"/>
    <cellStyle name="Normal 32 7" xfId="11917" xr:uid="{ED2713EB-2B46-4DC1-9961-7A7EF46F95CE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3" xfId="11927" xr:uid="{3794BBDD-D26F-4619-A275-0A80E52D344E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3" xfId="11928" xr:uid="{38A87B5A-A914-407B-A79D-DAF59F016DC4}"/>
    <cellStyle name="Normal 33 2 4" xfId="10666" xr:uid="{064D2421-700D-4FC7-AF1A-4BA21C34D7FA}"/>
    <cellStyle name="Normal 33 2 4 2" xfId="12379" xr:uid="{64BB4686-FAB0-42ED-8BA5-1A9784FA365D}"/>
    <cellStyle name="Normal 33 2 5" xfId="11926" xr:uid="{966C0488-4760-4C90-8614-791050BC6221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3" xfId="11930" xr:uid="{B4C38519-DB3A-499C-8682-F32B6613B8CD}"/>
    <cellStyle name="Normal 33 3 3" xfId="10669" xr:uid="{3DA1870C-7C70-434E-8E16-D7F2A34C914C}"/>
    <cellStyle name="Normal 33 3 3 2" xfId="12382" xr:uid="{1AD4EC32-C827-4687-8BB5-4FBA6E847FD7}"/>
    <cellStyle name="Normal 33 3 4" xfId="11929" xr:uid="{2A64D96B-5D09-481A-B759-D369EBBFCCAF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3" xfId="11931" xr:uid="{60DB411F-E3F3-452C-BF28-8BF1E7BDF6DE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3" xfId="11932" xr:uid="{A7ECD159-17F3-48D9-A274-BE7F8AE6A26E}"/>
    <cellStyle name="Normal 33 6" xfId="10665" xr:uid="{FEA6F091-288F-4C26-BC98-7BAC18403E0A}"/>
    <cellStyle name="Normal 33 6 2" xfId="12378" xr:uid="{83681A3C-7B16-4475-909B-A6F88722AEC2}"/>
    <cellStyle name="Normal 33 7" xfId="11925" xr:uid="{E73D1379-4848-435D-B2E6-384B66F7F646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3" xfId="11935" xr:uid="{16E874D3-B1E5-4294-B7BB-62B977F7F667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3" xfId="11936" xr:uid="{29F0F778-F806-4C25-AA40-40F26DC15485}"/>
    <cellStyle name="Normal 34 2 4" xfId="10674" xr:uid="{A1AF2BAA-14DB-4F2B-A2E4-AA4767FE0CA4}"/>
    <cellStyle name="Normal 34 2 4 2" xfId="12387" xr:uid="{A7AFE908-FBF5-4F0E-AF4B-CA3200B44B28}"/>
    <cellStyle name="Normal 34 2 5" xfId="11934" xr:uid="{A7237D5B-95CD-47F7-84C2-198C00FAA07A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3" xfId="11938" xr:uid="{6EE6EAC3-B0C7-4915-980A-CD40276F96B1}"/>
    <cellStyle name="Normal 34 3 3" xfId="10677" xr:uid="{A44E81F7-989C-43C4-93AC-5ADD65D0FD2F}"/>
    <cellStyle name="Normal 34 3 3 2" xfId="12390" xr:uid="{F5FDC5EA-E636-4CD2-A2F2-F4D2A46E0676}"/>
    <cellStyle name="Normal 34 3 4" xfId="11937" xr:uid="{8F3034B1-AE1C-471D-9E81-A9E03B83FDD6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3" xfId="11939" xr:uid="{EDADF09A-F090-47D7-BCB5-FAEBAFA6250E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3" xfId="11940" xr:uid="{4A4CEE49-76E1-4FD3-9192-C9F043578899}"/>
    <cellStyle name="Normal 34 6" xfId="10673" xr:uid="{C46B46F8-090C-4FE6-BF9E-470F64828A8B}"/>
    <cellStyle name="Normal 34 6 2" xfId="12386" xr:uid="{187CA5FD-404E-4A22-9836-D672726F405E}"/>
    <cellStyle name="Normal 34 7" xfId="11933" xr:uid="{1364D78D-89E7-4014-9E78-F4EE83FE378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3" xfId="11943" xr:uid="{FF1F9A59-18FB-45E3-BB94-682EA8AC966B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3" xfId="11944" xr:uid="{D5162BD9-3D81-4275-ABE0-4AB6347B9A96}"/>
    <cellStyle name="Normal 35 2 4" xfId="10682" xr:uid="{5AE81CB1-D186-4D60-BC64-CC21E817CC91}"/>
    <cellStyle name="Normal 35 2 4 2" xfId="12395" xr:uid="{7DAF23BD-416A-4136-AB1A-EF1316E8F25A}"/>
    <cellStyle name="Normal 35 2 5" xfId="11942" xr:uid="{9F51893B-209D-4F35-970D-0F749F4CC10A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3" xfId="11946" xr:uid="{7CF89E51-0BFB-4AED-BD9F-6FFB6E4DF48B}"/>
    <cellStyle name="Normal 35 3 3" xfId="10685" xr:uid="{D1887A81-C60C-4F2D-A01F-7B2EE832F218}"/>
    <cellStyle name="Normal 35 3 3 2" xfId="12398" xr:uid="{534B5FF9-6BE5-488A-9947-EA690690CD64}"/>
    <cellStyle name="Normal 35 3 4" xfId="11945" xr:uid="{1EF4011C-179F-498F-9F3C-138FC6B7F4A4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3" xfId="11947" xr:uid="{7E8ED7AC-A3DB-4596-AD67-52A02D4923B0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3" xfId="11948" xr:uid="{F543D6A9-EB0F-44DD-AF04-9537F9195357}"/>
    <cellStyle name="Normal 35 6" xfId="10681" xr:uid="{55EF01FB-4D23-4925-A483-D8C019AEC850}"/>
    <cellStyle name="Normal 35 6 2" xfId="12394" xr:uid="{619FC5E9-2EC2-4A89-8E59-9D6E775FBCDD}"/>
    <cellStyle name="Normal 35 7" xfId="11941" xr:uid="{AFC91A02-1348-4130-BB09-EED0C70D7908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3" xfId="11951" xr:uid="{5EE02DC2-5B8C-4D22-96EB-D14F36AFA09F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3" xfId="11952" xr:uid="{4BA3D110-45D4-4BD4-949A-2865EEB36A8E}"/>
    <cellStyle name="Normal 36 2 4" xfId="10690" xr:uid="{93BAE019-87F8-4876-8AB9-0067295EE4A5}"/>
    <cellStyle name="Normal 36 2 4 2" xfId="12403" xr:uid="{B69FB8A9-E10E-4918-9803-01907A1DAF20}"/>
    <cellStyle name="Normal 36 2 5" xfId="11950" xr:uid="{B4C16133-3203-4EE0-BF41-016C1FF62CFE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3" xfId="11954" xr:uid="{438C8015-9A4C-4748-8497-DF57BB448775}"/>
    <cellStyle name="Normal 36 3 3" xfId="10693" xr:uid="{4560C206-C1EB-4F56-84C6-45903CC97DDF}"/>
    <cellStyle name="Normal 36 3 3 2" xfId="12406" xr:uid="{F36DE823-BC02-40C6-896D-4F14E116A24B}"/>
    <cellStyle name="Normal 36 3 4" xfId="11953" xr:uid="{5E3B6EDF-CD3E-44AA-9E8B-BFBACC7C7169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3" xfId="11955" xr:uid="{2A0D2BA9-C4D1-432F-93F9-5347CC880B55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3" xfId="11956" xr:uid="{C189BC0F-59EE-4D7A-A3C9-0EADF1AB22C6}"/>
    <cellStyle name="Normal 36 6" xfId="10689" xr:uid="{99C53E75-C90D-4CAF-84BB-CD64A6685F51}"/>
    <cellStyle name="Normal 36 6 2" xfId="12402" xr:uid="{B64FC8B7-DF3E-4B55-9EB9-818736A10D52}"/>
    <cellStyle name="Normal 36 7" xfId="11949" xr:uid="{6F688280-7109-4883-9D44-72D670EEF189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3" xfId="11959" xr:uid="{609C1398-CB1B-40E9-809F-EE207665E606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3" xfId="11960" xr:uid="{B2A9F4BE-C3CE-4475-8A03-BA0DD2A2F88B}"/>
    <cellStyle name="Normal 37 2 4" xfId="10698" xr:uid="{EA89D14F-A285-4CC3-A9AB-392DC3F39F7B}"/>
    <cellStyle name="Normal 37 2 4 2" xfId="12411" xr:uid="{3E066D32-77C9-493C-BFDE-26E79077093A}"/>
    <cellStyle name="Normal 37 2 5" xfId="11958" xr:uid="{F83331F9-7B43-485C-ADB4-9396729DA0A5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3" xfId="11962" xr:uid="{D80A06AC-37C5-4A95-9C3D-1268FC662739}"/>
    <cellStyle name="Normal 37 3 3" xfId="10701" xr:uid="{862C8A1A-254A-4F8B-A8A0-EBD1E6A98896}"/>
    <cellStyle name="Normal 37 3 3 2" xfId="12414" xr:uid="{4009984A-55CD-4A6F-8033-25239BC92B61}"/>
    <cellStyle name="Normal 37 3 4" xfId="11961" xr:uid="{8DC1F7FA-6A2F-495F-990B-87DA2E149F3D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3" xfId="11963" xr:uid="{F8B4C984-C7C5-48D7-9A24-0DC620AA3290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3" xfId="11964" xr:uid="{D9DEECFF-E7B2-407C-9547-3464B9C5AEAD}"/>
    <cellStyle name="Normal 37 6" xfId="10697" xr:uid="{32958F84-9077-4132-82DA-EE8B6106B69E}"/>
    <cellStyle name="Normal 37 6 2" xfId="12410" xr:uid="{B80CB153-A641-4A60-9284-C09A4A5B8FA0}"/>
    <cellStyle name="Normal 37 7" xfId="11957" xr:uid="{AF5148C4-FD59-4C50-81F7-5230504550D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3" xfId="11967" xr:uid="{C6589658-C76E-46AA-837D-B92326A4706B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3" xfId="11968" xr:uid="{9D419A96-ADEA-465D-9C15-E3CBE2B9D67B}"/>
    <cellStyle name="Normal 38 2 4" xfId="10706" xr:uid="{247295DA-445C-4970-B243-3F5A6242DBF0}"/>
    <cellStyle name="Normal 38 2 4 2" xfId="12419" xr:uid="{09456E65-C33F-4B9D-AF23-72632513459F}"/>
    <cellStyle name="Normal 38 2 5" xfId="11966" xr:uid="{D8C4FB1B-256A-427A-B1FD-274EA404E054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3" xfId="11970" xr:uid="{66A5248F-2E54-4A10-A879-48F45204B3B0}"/>
    <cellStyle name="Normal 38 3 3" xfId="10709" xr:uid="{1F8F97F9-2470-468A-9868-E0966E2DF3C2}"/>
    <cellStyle name="Normal 38 3 3 2" xfId="12422" xr:uid="{91D39893-7FA2-4E47-8FB3-1BE3910DE04F}"/>
    <cellStyle name="Normal 38 3 4" xfId="11969" xr:uid="{56D27EF6-6DA8-4F92-954F-1D8E6B0CF3A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3" xfId="11971" xr:uid="{D6FF71A2-8D30-42A9-89FF-08A12817D713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3" xfId="11972" xr:uid="{9DCC7F5A-A0F6-40D5-878B-C19AFEB3953D}"/>
    <cellStyle name="Normal 38 6" xfId="10705" xr:uid="{642A4CE0-099A-43E2-9609-CDDFBDFD3510}"/>
    <cellStyle name="Normal 38 6 2" xfId="12418" xr:uid="{EF0C9DB1-5D0C-4C12-B986-0C365F470ECB}"/>
    <cellStyle name="Normal 38 7" xfId="11965" xr:uid="{CE1646BF-684A-49CB-A893-167453792C96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3" xfId="11975" xr:uid="{8CBE990F-5D8C-4165-8BF2-BBBCB6B79C3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3" xfId="11976" xr:uid="{04FFA2E3-7586-4174-B7F0-1EA2E6BBFB27}"/>
    <cellStyle name="Normal 39 2 4" xfId="10714" xr:uid="{74F5A4E9-A2A1-4B51-829F-58BDD38D5460}"/>
    <cellStyle name="Normal 39 2 4 2" xfId="12427" xr:uid="{2699A22A-EA93-41DA-9780-93AE1277C679}"/>
    <cellStyle name="Normal 39 2 5" xfId="11974" xr:uid="{D4B77E43-3BC5-467D-885A-3CA401AB993F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3" xfId="11978" xr:uid="{1505AF7B-0EAA-4112-A0AD-0CAC7E527991}"/>
    <cellStyle name="Normal 39 3 3" xfId="10717" xr:uid="{DBB964C7-CCA0-4CDB-B6B0-81A29C8BC683}"/>
    <cellStyle name="Normal 39 3 3 2" xfId="12430" xr:uid="{3E76CF4B-522F-4A6F-A6FC-AFEBB611998D}"/>
    <cellStyle name="Normal 39 3 4" xfId="11977" xr:uid="{CAB496B2-A2BD-4DBF-9020-3E7AB76597F8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3" xfId="11979" xr:uid="{69958E00-8BEB-45C6-8936-03C535433937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3" xfId="11980" xr:uid="{A07B59E1-4E2F-413F-8B06-1C05A6028FA8}"/>
    <cellStyle name="Normal 39 6" xfId="10713" xr:uid="{C5ED82E2-0046-4F0E-8FC2-8D7D0BF05FEE}"/>
    <cellStyle name="Normal 39 6 2" xfId="12426" xr:uid="{5AEFB4EF-EC3E-4C7A-B4A5-7BCD75687361}"/>
    <cellStyle name="Normal 39 7" xfId="11973" xr:uid="{3604D623-C887-4ABA-9ADB-1AA84F2E69FA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3" xfId="11983" xr:uid="{D1A66F8D-1630-4D9B-A96C-1D19D4E32EBE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3" xfId="11984" xr:uid="{45F9598E-8759-4772-920F-1140A42C8F11}"/>
    <cellStyle name="Normal 4 2 2 4" xfId="10722" xr:uid="{E4121F1F-F074-4EA3-BBA9-D0F5CAE2255C}"/>
    <cellStyle name="Normal 4 2 2 4 2" xfId="12435" xr:uid="{0C0AA80A-7D4C-45AB-9D17-D928DCC05314}"/>
    <cellStyle name="Normal 4 2 2 5" xfId="11982" xr:uid="{C84047B1-1D8E-47B8-90EA-9B6B62B344D0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3" xfId="11986" xr:uid="{1C98036A-7AB4-425F-886C-96C14ADBCA75}"/>
    <cellStyle name="Normal 4 2 3 3" xfId="10725" xr:uid="{5C65D08A-D688-4FD2-AD05-1F287B19558F}"/>
    <cellStyle name="Normal 4 2 3 3 2" xfId="12438" xr:uid="{6DBAC4D8-57C9-4FA6-A69B-7533A84522C6}"/>
    <cellStyle name="Normal 4 2 3 4" xfId="11985" xr:uid="{CF855957-4CA8-4170-820E-58A181EDDEEF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3" xfId="11987" xr:uid="{9901245E-72E7-4E2C-AF28-19CE181F0410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3" xfId="11988" xr:uid="{6034F775-423B-4760-BE77-BDBE1CB95A63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8" xfId="11981" xr:uid="{9844F07A-210F-4A4E-B470-9E85F26EB4F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4" xfId="11989" xr:uid="{C0493965-4D0F-4530-9791-E7A507132736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3" xfId="11990" xr:uid="{3ACB10FD-7D80-4B0A-9534-669353E9EEB8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3" xfId="11992" xr:uid="{9630633E-4B7F-4ADF-9719-5B881F9EACAE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3" xfId="11993" xr:uid="{514E7651-7866-49C2-AC9A-B6E32B113132}"/>
    <cellStyle name="Normal 46 2 4" xfId="10731" xr:uid="{B804BC41-CBC4-4D65-9373-07ED45D9873B}"/>
    <cellStyle name="Normal 46 2 4 2" xfId="12444" xr:uid="{9523CE61-22A6-4AEC-815E-1559EBEF8982}"/>
    <cellStyle name="Normal 46 2 5" xfId="11991" xr:uid="{039BF0F6-6791-45D2-920E-C11B3848ADF5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3" xfId="11994" xr:uid="{4E112F43-36B8-4D7C-AA46-E50CC8FCACE1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3" xfId="11995" xr:uid="{BAD64895-2BC5-457A-914E-026232067486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3" xfId="11996" xr:uid="{FF09558F-66D9-4FB2-9E37-C5E967B6F348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3" xfId="11997" xr:uid="{0E3B6D59-879D-439D-B2FB-BD9CCBE9FADA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4" xfId="11998" xr:uid="{10D560ED-A056-468D-A5D7-6B52045C84ED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3" xfId="12000" xr:uid="{458D4CE5-4DD5-44E2-B342-747AF8FC1126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3" xfId="12001" xr:uid="{8D687BC4-DBC4-4F7D-8F2E-A7DB5580834E}"/>
    <cellStyle name="Normal 51 2 4" xfId="10739" xr:uid="{39EAACC5-08D4-4A39-AE2E-36A4B9E42546}"/>
    <cellStyle name="Normal 51 2 4 2" xfId="12452" xr:uid="{F8764F1B-52EA-4ED7-B2AF-E4B1FC5685B1}"/>
    <cellStyle name="Normal 51 2 5" xfId="11999" xr:uid="{1AF8044C-256C-4D3F-A797-03354AC43027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3" xfId="12002" xr:uid="{B81AF47A-7D83-4949-B30D-ADD01EE9ED65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3" xfId="12003" xr:uid="{2E497288-6296-492B-838E-71810790CC21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3" xfId="12005" xr:uid="{53F5F522-7D88-483B-96DA-2CB7E3F4EFE7}"/>
    <cellStyle name="Normal 6 5 3" xfId="10744" xr:uid="{60A34026-FA1D-4287-887B-ABF204649BF4}"/>
    <cellStyle name="Normal 6 5 3 2" xfId="12457" xr:uid="{D78105C3-DAA2-45DD-B661-77BC25D13C36}"/>
    <cellStyle name="Normal 6 5 4" xfId="12004" xr:uid="{ADC410FE-9569-4D7D-A294-6F435FED7323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3" xfId="12007" xr:uid="{081C2541-E0F0-48F7-94D7-4CBA820F2DAB}"/>
    <cellStyle name="Normal 7 4 3" xfId="10746" xr:uid="{326DDFCB-90CF-42A1-83DD-61E844C51319}"/>
    <cellStyle name="Normal 7 4 3 2" xfId="12459" xr:uid="{58933EAC-A7BE-4AE4-BC66-C4E6A5CCCCAF}"/>
    <cellStyle name="Normal 7 4 4" xfId="12006" xr:uid="{A267926B-E7BC-4E2A-B00D-4BF75C4207BA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3" xfId="12009" xr:uid="{585458A8-1348-499C-BEF1-9C85D4CBF9B6}"/>
    <cellStyle name="Normal 8 4 3" xfId="10748" xr:uid="{97ED4491-0B7A-43D4-89EB-FEF9A396C5A3}"/>
    <cellStyle name="Normal 8 4 3 2" xfId="12461" xr:uid="{D58FD922-D433-4B49-860A-025727C0708E}"/>
    <cellStyle name="Normal 8 4 4" xfId="12008" xr:uid="{C9F4DAF5-DF7C-4E7D-AE50-E9DD55884C79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3" xfId="12011" xr:uid="{F75E795F-B395-4462-B436-B475DF7E2C65}"/>
    <cellStyle name="Normal 9 3 3" xfId="10750" xr:uid="{30DA1740-F1E6-408F-B9F8-DF992DCFD3F4}"/>
    <cellStyle name="Normal 9 3 3 2" xfId="12463" xr:uid="{09B262B8-A1EE-4454-95A5-E6F0DC817034}"/>
    <cellStyle name="Normal 9 3 4" xfId="12010" xr:uid="{CE2E3D80-BECC-49BA-BB34-858414D3F08C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4" xfId="12012" xr:uid="{B4CABA08-0C42-4ED7-8AF2-FFDC3887DADD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3" xfId="12013" xr:uid="{DAD353C5-5619-4731-9CE0-8F6EE7E6DFC2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3" xfId="12014" xr:uid="{92E03EE7-068E-4DDB-8E0F-099CEA4249A9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3" xfId="12015" xr:uid="{A84D1E70-08FB-4F69-ACB9-35E088C8DC20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5" xfId="10142" xr:uid="{FBB6D0D8-6220-4F12-9AF3-539033EA55E2}"/>
    <cellStyle name="Note 10 6" xfId="11233" xr:uid="{68572464-A32F-47EA-8A2B-4020A58359A6}"/>
    <cellStyle name="Note 10 7" xfId="10756" xr:uid="{FBF8C93B-1931-455B-A456-485981A8AFE4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5" xfId="10141" xr:uid="{01B0DF2B-AA0A-4AF7-90D4-973F4252FECE}"/>
    <cellStyle name="Note 11 6" xfId="10790" xr:uid="{EF496A12-F5A2-4E9A-926F-FCC3E387945C}"/>
    <cellStyle name="Note 11 7" xfId="11038" xr:uid="{4A8FA7B1-6A75-4AA5-8B80-2D6D76E3EE10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4" xfId="10139" xr:uid="{8CC28FA1-9B50-4A81-98A0-F4C3E2D56639}"/>
    <cellStyle name="Note 12 3 5" xfId="11071" xr:uid="{5DA4E146-AB2E-4CA3-9A5F-452BE0DF20E8}"/>
    <cellStyle name="Note 12 3 6" xfId="11428" xr:uid="{205DC2C6-D69A-484D-8BC1-54719D0CA0DE}"/>
    <cellStyle name="Note 12 4" xfId="8597" xr:uid="{8912C9E8-88F9-403E-A4FC-5285D52EB56B}"/>
    <cellStyle name="Note 12 4 2" xfId="10088" xr:uid="{DCDBC012-26C3-44E6-A35D-B60893DCC030}"/>
    <cellStyle name="Note 12 4 3" xfId="10138" xr:uid="{42551E04-7CE8-4D66-BA36-E5365997BA1B}"/>
    <cellStyle name="Note 12 4 4" xfId="11391" xr:uid="{8888347E-B6B2-4042-9F97-E9A0AD1B8549}"/>
    <cellStyle name="Note 12 4 5" xfId="11429" xr:uid="{E0BF8DC8-CE53-404F-B6B5-8E4DDC8AE8DF}"/>
    <cellStyle name="Note 12 5" xfId="10090" xr:uid="{C91B88E9-A5A9-4030-B1BF-18C25F4343FB}"/>
    <cellStyle name="Note 12 6" xfId="10140" xr:uid="{5415DC50-176F-4B96-B228-098A249196C7}"/>
    <cellStyle name="Note 12 7" xfId="10791" xr:uid="{7633077E-53EA-4157-A569-3B88C672F4CF}"/>
    <cellStyle name="Note 12 8" xfId="11426" xr:uid="{40E2ABD3-0C8A-40E3-A1E5-FFFBC6D4725D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3" xfId="10137" xr:uid="{3C1D0A7C-0C58-4052-B283-46D4F26E922E}"/>
    <cellStyle name="Note 14 4" xfId="10792" xr:uid="{C66BD361-7433-4AB6-8044-CDF87530425F}"/>
    <cellStyle name="Note 14 5" xfId="11486" xr:uid="{2B24864B-A898-4326-98CC-182F171894FC}"/>
    <cellStyle name="Note 2" xfId="8601" xr:uid="{B0F31418-A854-4B6F-9CA1-349BADCDBB8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3" xfId="10134" xr:uid="{0B30DE9F-BCA8-4334-B758-F5B04FB4073C}"/>
    <cellStyle name="Note 2 2 2 4" xfId="10794" xr:uid="{F555E891-1A17-4DD8-9270-3D6A027E993D}"/>
    <cellStyle name="Note 2 2 2 5" xfId="11069" xr:uid="{DE2079AB-B9EB-4ADE-81CE-14FB942B46C3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3" xfId="10133" xr:uid="{F94FB5A7-4D30-4D30-BB3C-1CF28FB8D0C4}"/>
    <cellStyle name="Note 2 2 4 4" xfId="11041" xr:uid="{7C7FC222-E6CE-428A-A4D7-DD5A9C953B11}"/>
    <cellStyle name="Note 2 2 4 5" xfId="10757" xr:uid="{F83F8BE7-30BD-4B3E-979F-609A3C41C36C}"/>
    <cellStyle name="Note 2 2 5" xfId="10084" xr:uid="{769B996B-04F7-4B55-B6F1-E213AE96E05E}"/>
    <cellStyle name="Note 2 2 6" xfId="10135" xr:uid="{4FB7C026-176F-407D-99F4-E263B10D4CE2}"/>
    <cellStyle name="Note 2 2 7" xfId="11042" xr:uid="{2D80FB2F-C641-4D55-BB4A-483E66119E9D}"/>
    <cellStyle name="Note 2 2 8" xfId="11068" xr:uid="{759D4C14-EDFB-4746-B9FE-C9D464138A98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3" xfId="10131" xr:uid="{6D647381-CF11-43AD-8C00-2BDF251AD249}"/>
    <cellStyle name="Note 2 3 2 4" xfId="10796" xr:uid="{405F38B3-AE9E-4471-8E80-D6E27C63CE2E}"/>
    <cellStyle name="Note 2 3 2 5" xfId="10759" xr:uid="{89DBF3EC-7035-4E71-8237-B3D1944AF574}"/>
    <cellStyle name="Note 2 3 3" xfId="10081" xr:uid="{48AB26F0-E934-4E11-B1C3-5F20453B6B57}"/>
    <cellStyle name="Note 2 3 4" xfId="10132" xr:uid="{3C5CB4BC-6873-4296-B0EA-8401884BB897}"/>
    <cellStyle name="Note 2 3 5" xfId="10795" xr:uid="{5BAB2BF4-5D84-450A-A5BF-F0A987C79EB9}"/>
    <cellStyle name="Note 2 3 6" xfId="10758" xr:uid="{C023B842-0C2F-47C8-8A1D-C3A0C747F26C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3" xfId="10129" xr:uid="{5794FAFD-95F3-4A67-93F2-243FB2756098}"/>
    <cellStyle name="Note 2 4 2 4" xfId="10798" xr:uid="{81319F14-75B9-4CF9-9DB1-BFEF6BD3BDBA}"/>
    <cellStyle name="Note 2 4 2 5" xfId="10761" xr:uid="{E21E7E26-CBE5-4035-BD19-FFE1221E0C86}"/>
    <cellStyle name="Note 2 4 3" xfId="10079" xr:uid="{2682D457-8AA0-4652-933F-A1343FCBFDB0}"/>
    <cellStyle name="Note 2 4 4" xfId="10130" xr:uid="{3267A055-7CB3-4550-A2E2-EF18E9F97549}"/>
    <cellStyle name="Note 2 4 5" xfId="10797" xr:uid="{B28D2610-A5F6-4A64-92C3-189D26E056B0}"/>
    <cellStyle name="Note 2 4 6" xfId="10760" xr:uid="{7744EE94-6480-47C0-943E-24594FD9A41B}"/>
    <cellStyle name="Note 2 5" xfId="8610" xr:uid="{4416D1B1-50AC-499E-B0E2-32965C35CD17}"/>
    <cellStyle name="Note 2 5 2" xfId="10077" xr:uid="{C0081EDF-1CE5-48E3-8927-503D9501D65B}"/>
    <cellStyle name="Note 2 5 3" xfId="11244" xr:uid="{937F5376-5F3D-43C1-914A-8207AD4EB35B}"/>
    <cellStyle name="Note 2 5 4" xfId="10799" xr:uid="{053FE8D7-6642-4CDA-97A7-C0B737FFDB28}"/>
    <cellStyle name="Note 2 5 5" xfId="11485" xr:uid="{DAE5615C-BF13-488B-A10E-DF346C416312}"/>
    <cellStyle name="Note 2 6" xfId="10085" xr:uid="{781EF099-3E6A-4D01-9AE4-1735914CF405}"/>
    <cellStyle name="Note 2 7" xfId="10136" xr:uid="{B6110EF7-4B7D-45B4-9462-F27409CA41E2}"/>
    <cellStyle name="Note 2 8" xfId="10793" xr:uid="{200CA136-5792-44C0-B88E-A8BE8DFB9F93}"/>
    <cellStyle name="Note 2 9" xfId="11043" xr:uid="{5774F36F-78D2-47D1-A167-4B61E449F711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4" xfId="10127" xr:uid="{AF91F7F3-BE2C-4B0F-A325-99D254EB3286}"/>
    <cellStyle name="Note 3 2 5" xfId="10801" xr:uid="{A884D2DC-C8D4-4762-ABC0-E9C018443E21}"/>
    <cellStyle name="Note 3 2 6" xfId="10763" xr:uid="{DBC0C5E0-7E77-47C9-8A55-34A4600E0F49}"/>
    <cellStyle name="Note 3 3" xfId="8615" xr:uid="{489749B3-EEEC-49D6-A07A-1DD5C4A188E9}"/>
    <cellStyle name="Note 3 3 2" xfId="10073" xr:uid="{3FA049E4-739B-4793-98EC-BD937DACC19C}"/>
    <cellStyle name="Note 3 3 3" xfId="10126" xr:uid="{25F2E611-116B-45E4-8B2E-4A9198DE46EC}"/>
    <cellStyle name="Note 3 3 4" xfId="10802" xr:uid="{DE3223AA-7116-4A36-A429-C9509E0B689F}"/>
    <cellStyle name="Note 3 3 5" xfId="10764" xr:uid="{3DCE0387-00DB-402E-B29F-EE38759240E6}"/>
    <cellStyle name="Note 3 4" xfId="8616" xr:uid="{F3E7F71C-238E-4353-80DB-7E7D52DE7527}"/>
    <cellStyle name="Note 3 4 2" xfId="11256" xr:uid="{0973445F-9FE5-4338-A2E7-9331A80C7581}"/>
    <cellStyle name="Note 3 4 3" xfId="10125" xr:uid="{BAB1F334-3FC6-4172-8124-B0A354A12B5F}"/>
    <cellStyle name="Note 3 4 4" xfId="10803" xr:uid="{E16F69DE-15F3-4C93-9F6C-F720E3F266BE}"/>
    <cellStyle name="Note 3 4 5" xfId="10765" xr:uid="{9F671A4B-33E8-4705-8934-4D567692388B}"/>
    <cellStyle name="Note 3 5" xfId="10075" xr:uid="{A129DDA0-4F6A-4922-9953-0D431DE7E64D}"/>
    <cellStyle name="Note 3 6" xfId="10128" xr:uid="{7E391FF4-62ED-4698-A2B5-9F9305B2E40F}"/>
    <cellStyle name="Note 3 7" xfId="10800" xr:uid="{10F79C3E-FAB3-40D8-A2CD-F240AFB1FE41}"/>
    <cellStyle name="Note 3 8" xfId="10762" xr:uid="{64D2CB07-ED7B-4AC9-8FC6-3A32973131AD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4" xfId="10123" xr:uid="{BF2E67E9-F2D5-4DBA-BA64-CF481A0EBD15}"/>
    <cellStyle name="Note 4 2 5" xfId="10805" xr:uid="{E881F8D8-8500-4F21-8430-CC88C6E597CB}"/>
    <cellStyle name="Note 4 2 6" xfId="10767" xr:uid="{61F496C6-86C9-434C-ACF2-839EDC005928}"/>
    <cellStyle name="Note 4 3" xfId="8620" xr:uid="{60C805D6-9A51-41BD-B795-D23E02B1D2E3}"/>
    <cellStyle name="Note 4 3 2" xfId="10069" xr:uid="{DE891074-1E59-4A6C-B0A1-366F73D02B61}"/>
    <cellStyle name="Note 4 3 3" xfId="10122" xr:uid="{02AB36EA-ED9C-4CF8-ACEB-3B4007BF9285}"/>
    <cellStyle name="Note 4 3 4" xfId="10807" xr:uid="{2B7956A1-2405-45A0-B253-1E6A7DB54A43}"/>
    <cellStyle name="Note 4 3 5" xfId="10768" xr:uid="{144AD4C6-BB09-4B00-89EA-D043A72A0D7F}"/>
    <cellStyle name="Note 4 4" xfId="8621" xr:uid="{00475F0A-EA64-49AB-8DF4-0AB2F4EEC038}"/>
    <cellStyle name="Note 4 4 2" xfId="10068" xr:uid="{5A0D1FFD-7328-4FEE-B41E-6AB008EE1644}"/>
    <cellStyle name="Note 4 4 3" xfId="10121" xr:uid="{A8C62683-A4C2-46DB-9FD3-4A0C5485BDFF}"/>
    <cellStyle name="Note 4 4 4" xfId="10808" xr:uid="{CBB256AA-D758-4DCD-AD59-CA9E53A00FE1}"/>
    <cellStyle name="Note 4 4 5" xfId="11227" xr:uid="{B3BC1542-9AA3-4761-BE46-62162F097A7D}"/>
    <cellStyle name="Note 4 5" xfId="10072" xr:uid="{44427543-03DA-4A7B-B20F-4B61BCCEE7F4}"/>
    <cellStyle name="Note 4 6" xfId="10124" xr:uid="{E4C0B448-0C9F-4471-9C7D-68A2436F6241}"/>
    <cellStyle name="Note 4 7" xfId="10804" xr:uid="{CDFF87A9-9640-486D-A0FD-25F12155D9EB}"/>
    <cellStyle name="Note 4 8" xfId="10766" xr:uid="{34157FF3-1C25-4F30-9789-7EF60C85DEC3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4" xfId="10119" xr:uid="{3F492F52-150F-4FA5-A074-25E61C74AE2B}"/>
    <cellStyle name="Note 5 2 5" xfId="10810" xr:uid="{5930B3AB-CA9E-4B03-BEE7-33353CA75FF7}"/>
    <cellStyle name="Note 5 2 6" xfId="10770" xr:uid="{D01CEB49-19C2-4FBE-A66E-63F1D6A1BE7C}"/>
    <cellStyle name="Note 5 3" xfId="8625" xr:uid="{B2D3DFE3-4F9F-4C13-9ADB-8C755CF03280}"/>
    <cellStyle name="Note 5 3 2" xfId="10064" xr:uid="{BC655537-AE4A-4496-92CD-A03C70C8C56B}"/>
    <cellStyle name="Note 5 3 3" xfId="10118" xr:uid="{E5972260-F30E-444D-9389-C6E59BB97F3F}"/>
    <cellStyle name="Note 5 3 4" xfId="10811" xr:uid="{EB836693-4591-4FA0-8BDC-701DBFBE8EA5}"/>
    <cellStyle name="Note 5 3 5" xfId="10771" xr:uid="{ABCB093C-79BD-4C91-B6DA-BECB745A03A9}"/>
    <cellStyle name="Note 5 4" xfId="8626" xr:uid="{B935650B-4069-4B82-B19E-D3B8F56EB5CE}"/>
    <cellStyle name="Note 5 4 2" xfId="10063" xr:uid="{C5DD669C-F49D-4282-9D00-DE89E9A63411}"/>
    <cellStyle name="Note 5 4 3" xfId="10117" xr:uid="{98BFB453-55EF-42D9-9476-ABC81FDF7EEE}"/>
    <cellStyle name="Note 5 4 4" xfId="10812" xr:uid="{5EBA36B3-D808-4DA6-923A-396766C5AAD8}"/>
    <cellStyle name="Note 5 4 5" xfId="10772" xr:uid="{65DA5046-8367-4B9C-AB25-E4E41CB9FFB9}"/>
    <cellStyle name="Note 5 5" xfId="10067" xr:uid="{5BF9FECE-EBDD-4058-ABE4-B016B13FEDE4}"/>
    <cellStyle name="Note 5 6" xfId="10120" xr:uid="{253CE198-566E-4B37-8DE9-42F7915C6525}"/>
    <cellStyle name="Note 5 7" xfId="10809" xr:uid="{045ADCB7-BB53-45DB-BFCD-2085F5C03FD0}"/>
    <cellStyle name="Note 5 8" xfId="10769" xr:uid="{42CD97AE-0B7D-4C56-A44E-8FAEA76494A9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3" xfId="10115" xr:uid="{4D3C3546-34E4-421F-B000-5A4A7D747269}"/>
    <cellStyle name="Note 6 3 4" xfId="10814" xr:uid="{23F26C6E-2A7C-4389-851B-FAC8AAC8129E}"/>
    <cellStyle name="Note 6 3 5" xfId="10774" xr:uid="{7DDBC83E-919E-46BD-9677-E759CF4F5822}"/>
    <cellStyle name="Note 6 4" xfId="8631" xr:uid="{89CA8313-21EB-4E43-820A-F323CEAB6EED}"/>
    <cellStyle name="Note 6 4 2" xfId="10059" xr:uid="{9A2CCB53-9BC5-4453-BA9B-9EF74921F197}"/>
    <cellStyle name="Note 6 4 3" xfId="10114" xr:uid="{73BC4429-E2A2-4C27-90E8-4C7A76040027}"/>
    <cellStyle name="Note 6 4 4" xfId="10815" xr:uid="{6893E6D4-BDC6-4F8F-BF5D-609780BFC16B}"/>
    <cellStyle name="Note 6 4 5" xfId="10775" xr:uid="{40B8A53A-6275-464C-9375-4517BBF6F9B7}"/>
    <cellStyle name="Note 6 5" xfId="10062" xr:uid="{E5D632A6-AC3C-4F6E-BD6C-1235EDA26295}"/>
    <cellStyle name="Note 6 6" xfId="10116" xr:uid="{00541D9C-5D54-4B36-8979-0468740E4ABF}"/>
    <cellStyle name="Note 6 7" xfId="10813" xr:uid="{E72FF0F3-839B-4F62-8461-080296ED5365}"/>
    <cellStyle name="Note 6 8" xfId="10773" xr:uid="{F0413A01-1960-4936-9E09-BE48321D3198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3" xfId="10112" xr:uid="{A3E5F398-F74E-4EF8-ADB1-9321BD12BE02}"/>
    <cellStyle name="Note 7 3 4" xfId="10817" xr:uid="{A3DC13B1-9C1B-4AA6-BE32-D2893717E91C}"/>
    <cellStyle name="Note 7 3 5" xfId="10777" xr:uid="{2DD37091-48FF-4591-85BF-D79D2609D425}"/>
    <cellStyle name="Note 7 4" xfId="8636" xr:uid="{13E449A0-B29F-4591-BBF3-DE000D131DED}"/>
    <cellStyle name="Note 7 4 2" xfId="10055" xr:uid="{7CA82B35-F85B-437D-BE6A-76D2AC832310}"/>
    <cellStyle name="Note 7 4 3" xfId="10111" xr:uid="{70F9E7A8-CDF8-46F7-89DD-CE9DA3955612}"/>
    <cellStyle name="Note 7 4 4" xfId="10818" xr:uid="{D7FA5142-6378-4F78-B71C-004D1A0D8DDF}"/>
    <cellStyle name="Note 7 4 5" xfId="10778" xr:uid="{C34EC7E3-8D8D-4AE2-9AA8-03E87407EAC8}"/>
    <cellStyle name="Note 7 5" xfId="10058" xr:uid="{43D912C2-7E6A-4220-A247-19AE72D70213}"/>
    <cellStyle name="Note 7 6" xfId="10113" xr:uid="{9A82FE89-F133-4CEA-8D3C-BE79D1159390}"/>
    <cellStyle name="Note 7 7" xfId="10816" xr:uid="{EA1A4764-0704-4DE5-800E-35321DBE386F}"/>
    <cellStyle name="Note 7 8" xfId="10776" xr:uid="{B39F58A4-D821-45B4-AFB1-CE09CF96CB0B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3" xfId="10109" xr:uid="{6B246B92-C5BF-4AD3-AC1A-70F06EB0A45F}"/>
    <cellStyle name="Note 8 3 4" xfId="10820" xr:uid="{B83C32E0-6C3B-438D-B6CB-D53FEA05F21C}"/>
    <cellStyle name="Note 8 3 5" xfId="10780" xr:uid="{E54C2E0E-F1F6-4031-9555-AE57E096DBA5}"/>
    <cellStyle name="Note 8 4" xfId="8641" xr:uid="{661C3D1A-6650-4DD4-97C5-20DFDA0346FB}"/>
    <cellStyle name="Note 8 4 2" xfId="10050" xr:uid="{33C85296-0ECB-4FF7-B24E-298A097B8F4C}"/>
    <cellStyle name="Note 8 4 3" xfId="10108" xr:uid="{41FDBF21-7F49-406A-9243-4319B2117784}"/>
    <cellStyle name="Note 8 4 4" xfId="10821" xr:uid="{B5392738-9A05-4E17-B0E3-EB29452C3047}"/>
    <cellStyle name="Note 8 4 5" xfId="10781" xr:uid="{0317DD3E-445A-4186-B037-8946D9C4D88A}"/>
    <cellStyle name="Note 8 5" xfId="10054" xr:uid="{91981A38-C6A1-4E3A-9CC0-7D535E905CEA}"/>
    <cellStyle name="Note 8 6" xfId="10110" xr:uid="{B0802949-E64D-4AC7-9952-975DB2CE9D2B}"/>
    <cellStyle name="Note 8 7" xfId="10819" xr:uid="{F78D82FE-791D-45B8-A52E-A53B62985204}"/>
    <cellStyle name="Note 8 8" xfId="10779" xr:uid="{392EAABA-7D76-4662-98B9-E57F601E46EC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3" xfId="10106" xr:uid="{3846466E-E4D0-47AB-ADCF-C06D2DB988E7}"/>
    <cellStyle name="Note 9 3 4" xfId="10823" xr:uid="{EDDF86D8-F6E1-4A04-BD74-F312C8348DAC}"/>
    <cellStyle name="Note 9 3 5" xfId="10783" xr:uid="{EF8B1753-16B5-4121-A97B-4962FED5D729}"/>
    <cellStyle name="Note 9 4" xfId="8646" xr:uid="{09295B5D-E740-4AD4-BF26-CCBFCFF1FE17}"/>
    <cellStyle name="Note 9 4 2" xfId="10045" xr:uid="{7A6EF792-653D-47F7-9C3F-F12ACBCD8B3B}"/>
    <cellStyle name="Note 9 4 3" xfId="10105" xr:uid="{BC85FD35-03EC-4F49-AE5A-7A996F80DA28}"/>
    <cellStyle name="Note 9 4 4" xfId="10824" xr:uid="{6E477B53-7A8F-4533-A581-35DBD843B82F}"/>
    <cellStyle name="Note 9 4 5" xfId="10784" xr:uid="{0EA5846E-D71B-49AB-AAF0-464DFFE3CE9D}"/>
    <cellStyle name="Note 9 5" xfId="10049" xr:uid="{57AE3F18-A6FA-4AF7-8D81-69D29704EE62}"/>
    <cellStyle name="Note 9 6" xfId="10107" xr:uid="{7ED86853-BEF8-48B0-9251-F569D295DFED}"/>
    <cellStyle name="Note 9 7" xfId="10822" xr:uid="{19FB63B6-97FD-4496-A894-1DD13600F09B}"/>
    <cellStyle name="Note 9 8" xfId="10782" xr:uid="{E8C84B48-6558-4F09-A4AC-7E54C7D3ECE6}"/>
    <cellStyle name="Output 2" xfId="8647" xr:uid="{99C2C267-68C9-4464-9A5E-DBFAC978397C}"/>
    <cellStyle name="Output 2 10" xfId="10785" xr:uid="{D42F82D2-D7DB-4E3F-AAA2-34C5B95D8A4B}"/>
    <cellStyle name="Output 2 2" xfId="8648" xr:uid="{BB917D34-430C-4F9C-85C4-B2745FBF82B1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3" xfId="10102" xr:uid="{8F8E8EE9-EAB5-4A92-9F38-85DDCA6520BD}"/>
    <cellStyle name="Output 2 2 3 4" xfId="10828" xr:uid="{4A263D85-FD3B-4F49-AAFA-DFD63C2A1322}"/>
    <cellStyle name="Output 2 2 3 5" xfId="10146" xr:uid="{9A15EC3F-0D7C-41DF-A18B-3BAD5C7D2C69}"/>
    <cellStyle name="Output 2 2 3 6" xfId="10149" xr:uid="{B4387BBD-D54E-4054-B810-8F475B0EA67F}"/>
    <cellStyle name="Output 2 2 3 7" xfId="11234" xr:uid="{9DBBDC64-82AA-4C7F-B5A3-E9E35207D223}"/>
    <cellStyle name="Output 2 2 4" xfId="10043" xr:uid="{71D3F22F-FC54-49D8-BCBF-FA7E9731D90E}"/>
    <cellStyle name="Output 2 2 5" xfId="10103" xr:uid="{561E5C95-FB2D-4C37-AF63-2C21C9A3827F}"/>
    <cellStyle name="Output 2 2 6" xfId="10826" xr:uid="{0449B05A-AE37-4369-AF98-309C5CB53F5D}"/>
    <cellStyle name="Output 2 2 7" xfId="10147" xr:uid="{5E7B3C71-A3AF-4F76-A1FF-E3ECD83E5CA0}"/>
    <cellStyle name="Output 2 2 8" xfId="11466" xr:uid="{C40A719F-B9DB-43F1-BCFF-E492D72BC843}"/>
    <cellStyle name="Output 2 2 9" xfId="10786" xr:uid="{02BCE3DC-1F0B-4F43-99DC-B49DC8F70CB9}"/>
    <cellStyle name="Output 2 3" xfId="8651" xr:uid="{FD4997A6-CBA8-4FB2-AB2F-038722178A3D}"/>
    <cellStyle name="Output 2 3 2" xfId="10041" xr:uid="{3DD96490-8CC0-4834-9C0E-BA9000847511}"/>
    <cellStyle name="Output 2 3 3" xfId="10101" xr:uid="{6092BD86-B8DA-4707-BFC4-33C7B2D95D73}"/>
    <cellStyle name="Output 2 3 4" xfId="10829" xr:uid="{00C96006-7305-4D71-93A3-79B692A5FB07}"/>
    <cellStyle name="Output 2 3 5" xfId="10145" xr:uid="{29DD6770-273D-4C24-A2D0-59D1A3CCE2BF}"/>
    <cellStyle name="Output 2 3 6" xfId="11271" xr:uid="{CFAE8A97-7A50-43F1-B0B9-BB0E23FF0057}"/>
    <cellStyle name="Output 2 3 7" xfId="10787" xr:uid="{F9A5D7EF-A2F0-4F6E-9664-A9602BC9CBE7}"/>
    <cellStyle name="Output 2 4" xfId="8652" xr:uid="{61AB9886-9B74-498A-91BE-A91D420AF636}"/>
    <cellStyle name="Output 2 4 2" xfId="10040" xr:uid="{43DF899C-AE7F-42DC-99C1-D51F9A04B4D0}"/>
    <cellStyle name="Output 2 4 3" xfId="10100" xr:uid="{64E3F8D5-F5FA-45EA-B6E5-B059F3394EDD}"/>
    <cellStyle name="Output 2 4 4" xfId="11366" xr:uid="{548370B8-6F21-4E89-9ADA-4C47C5A1F34D}"/>
    <cellStyle name="Output 2 4 5" xfId="10144" xr:uid="{BA72898D-1E2D-411A-8F02-7041E59EB95C}"/>
    <cellStyle name="Output 2 4 6" xfId="11269" xr:uid="{914BC4A3-FB79-4C1A-8F13-03825543EE02}"/>
    <cellStyle name="Output 2 4 7" xfId="10788" xr:uid="{F0F59169-0B13-46EC-A73E-2608445F0D7F}"/>
    <cellStyle name="Output 2 5" xfId="10044" xr:uid="{683CB62E-21AE-4443-893F-1B401477B0B7}"/>
    <cellStyle name="Output 2 6" xfId="10104" xr:uid="{C3C685CE-4397-40D4-B966-3854FBB6DB97}"/>
    <cellStyle name="Output 2 7" xfId="10825" xr:uid="{942BFDDD-12F6-4F10-9CBC-A4433E083820}"/>
    <cellStyle name="Output 2 8" xfId="10148" xr:uid="{0263058F-C299-40BD-9261-B4F25F5FA11A}"/>
    <cellStyle name="Output 2 9" xfId="10150" xr:uid="{31AFA7F8-1856-4529-97BD-9D2846886461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3" xfId="10099" xr:uid="{B17654EF-590B-44BD-B64B-05FC9333E62F}"/>
    <cellStyle name="Output 4 4" xfId="10830" xr:uid="{319B2602-69C4-4054-A2CC-FB5B865E6D05}"/>
    <cellStyle name="Output 4 5" xfId="10143" xr:uid="{BC9911B6-F2DA-4008-A1AE-AA0689E8282F}"/>
    <cellStyle name="Output 4 6" xfId="11245" xr:uid="{03D2C446-DA5A-4032-B6A0-5BEE2B3D4D69}"/>
    <cellStyle name="Output 4 7" xfId="10789" xr:uid="{4E654739-D5EE-4197-8439-FB5E937329B5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3" xfId="11584" xr:uid="{83DE8373-37C8-4C47-8BED-7EDFEFF06298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3" xfId="12027" xr:uid="{0E14E1F7-19FF-4B9B-BA59-304181BAF4C9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3" xfId="12031" xr:uid="{B67C6A90-FE0E-4E12-A35C-1311E906FB41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3" xfId="12034" xr:uid="{9D258F40-5A7A-4DC8-A26D-1CE5AE7B6D8B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3" xfId="12028" xr:uid="{D3E9FC42-C311-433C-8226-B077F5E9B83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6" xfId="12016" xr:uid="{6438F6B5-7B7C-4B36-858D-C7396150EC99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3" xfId="12017" xr:uid="{A291D1E9-284A-4E8D-9F30-310CFF144EDB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6" xfId="12018" xr:uid="{A80FC592-31F0-40A9-BF7D-DCBD77FB0544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3" xfId="12019" xr:uid="{3BBD3165-7559-4DF1-9B63-02E73007F1A5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1" xfId="12020" xr:uid="{F0EBE1D8-0EA3-4FD9-AAEF-5C630C8F4C25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6" xfId="12021" xr:uid="{C1DB8BF5-C288-43B5-B25B-E652B84ACD31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3" xfId="12022" xr:uid="{17DE1A02-1562-44EB-AD8A-B67394BEA40D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3" xfId="12023" xr:uid="{645B895E-932E-400D-A4E9-571870140722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3" xfId="12024" xr:uid="{E967D4D6-8FB6-4725-B464-C2790C369073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3" xfId="12025" xr:uid="{00680726-7279-4773-8E7B-FD6E5121CB3A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3" xfId="9935" xr:uid="{B2B75C98-8E0D-4F2B-B410-235B3419681C}"/>
    <cellStyle name="Report - Style7 4" xfId="10875" xr:uid="{3BF29A76-506F-4BC7-9DC9-0269DAC5C3B8}"/>
    <cellStyle name="Report - Style7 5" xfId="10839" xr:uid="{7CAA7D54-C5F9-492D-AE98-580F8A56AB4A}"/>
    <cellStyle name="Report - Style8" xfId="9068" xr:uid="{82DA74E3-B627-40F2-87BF-C4BF5059E351}"/>
    <cellStyle name="Report - Style8 2" xfId="9746" xr:uid="{59EB8C0C-E12C-42AC-8A69-6953346BD9EE}"/>
    <cellStyle name="Report - Style8 3" xfId="9934" xr:uid="{F7933B83-FF99-456E-8811-DBD26F8BF6EF}"/>
    <cellStyle name="Report - Style8 4" xfId="10876" xr:uid="{37022C2E-A05E-4D1C-9AB9-D2CB88D22828}"/>
    <cellStyle name="Report - Style8 5" xfId="10840" xr:uid="{87D27691-3FB5-43F7-845A-2E0A57243AD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1" xfId="10843" xr:uid="{C54B5D4A-EB00-47D1-8549-C329150A97C3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4" xfId="9898" xr:uid="{559C9617-8A0C-4A0B-9187-D6EF324FC3FB}"/>
    <cellStyle name="Reports Total 2 5" xfId="10914" xr:uid="{98EFEF13-6FB6-4C10-BED9-7B722712C46E}"/>
    <cellStyle name="Reports Total 2 6" xfId="11268" xr:uid="{CD268471-4051-4270-BC2C-79ED7E322F96}"/>
    <cellStyle name="Reports Total 2 7" xfId="10097" xr:uid="{BEA425F0-4E4C-443D-9ADB-8F379EEA08A0}"/>
    <cellStyle name="Reports Total 2 8" xfId="10844" xr:uid="{71162525-8550-4424-9F1B-58EE79B896E6}"/>
    <cellStyle name="Reports Total 3" xfId="9129" xr:uid="{18223E04-4C14-4FCB-AF1A-2D079B517A4F}"/>
    <cellStyle name="Reports Total 3 2" xfId="9694" xr:uid="{B2353565-A2FE-44A1-911F-6980C2585A5C}"/>
    <cellStyle name="Reports Total 3 3" xfId="9896" xr:uid="{5E6D9291-DE8B-4FF7-B9BE-93E269D80F86}"/>
    <cellStyle name="Reports Total 3 4" xfId="10915" xr:uid="{B543D752-9AED-4B29-A087-1290BCCAE713}"/>
    <cellStyle name="Reports Total 3 5" xfId="9942" xr:uid="{B7F2490C-A3E5-40B7-9444-5CB5F4958DEE}"/>
    <cellStyle name="Reports Total 3 6" xfId="10096" xr:uid="{64153B85-D723-4C82-BCB1-7EFDDE100B67}"/>
    <cellStyle name="Reports Total 3 7" xfId="10845" xr:uid="{219C9CE2-E403-407E-9DFD-FD461AE72A4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3" xfId="9895" xr:uid="{796BC382-982E-4C7A-89F0-87B755266B82}"/>
    <cellStyle name="Reports Total 5 4" xfId="10916" xr:uid="{E10565AC-CC87-44A0-9F72-95C4CE1005EF}"/>
    <cellStyle name="Reports Total 5 5" xfId="9941" xr:uid="{EFA4EE95-F4CE-406E-AC09-C5E96A37AE3E}"/>
    <cellStyle name="Reports Total 5 6" xfId="10095" xr:uid="{B1500EB0-5A3B-4D75-A749-4EB7B59D5185}"/>
    <cellStyle name="Reports Total 5 7" xfId="10846" xr:uid="{66E8F991-B90B-459F-89BC-5636003D919B}"/>
    <cellStyle name="Reports Total 6" xfId="9697" xr:uid="{6E707A72-ED89-4512-8E5E-CB3186CFCC77}"/>
    <cellStyle name="Reports Total 7" xfId="9899" xr:uid="{C8A4B652-EFA2-4061-AFE8-1A1D066BA4A8}"/>
    <cellStyle name="Reports Total 8" xfId="10913" xr:uid="{2071898F-CE62-4056-B3D3-D7C73381A5A8}"/>
    <cellStyle name="Reports Total 9" xfId="9943" xr:uid="{1A13435B-6154-4A70-920F-048EF401E54A}"/>
    <cellStyle name="Reports Total_AURORA Total New" xfId="9132" xr:uid="{4608726D-57CE-43E5-B2D6-4BF0273DD5D7}"/>
    <cellStyle name="Reports Unit Cost Total" xfId="9133" xr:uid="{1B943184-0A61-4ABD-B0D7-350C3B53F840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3" xfId="9892" xr:uid="{4BA9BCFD-AA5A-459C-881A-DCFDD082CE73}"/>
    <cellStyle name="Reports Unit Cost Total 3 4" xfId="10920" xr:uid="{5E3918D3-8C7F-4CD9-9D6C-FBDB4156733E}"/>
    <cellStyle name="Reports Unit Cost Total 3 5" xfId="9938" xr:uid="{4FDAEA49-6A79-4883-8B0C-ABB2F02978CD}"/>
    <cellStyle name="Reports Unit Cost Total 3 6" xfId="10093" xr:uid="{CE0740EE-9D4F-4940-BC43-297828FEDA81}"/>
    <cellStyle name="Reports Unit Cost Total 3 7" xfId="10848" xr:uid="{A2B03F59-454F-40FE-A4E5-AA1769FD2BC9}"/>
    <cellStyle name="Reports Unit Cost Total 4" xfId="9691" xr:uid="{40D43AA3-3B95-4B85-9A4F-DC9843F1A3FE}"/>
    <cellStyle name="Reports Unit Cost Total 5" xfId="11240" xr:uid="{B6FA06E7-8A1B-4C49-8DBE-EAA00FD3E8E7}"/>
    <cellStyle name="Reports Unit Cost Total 6" xfId="10918" xr:uid="{4F6FBB24-CC08-4F61-B2E6-301211414111}"/>
    <cellStyle name="Reports Unit Cost Total 7" xfId="9940" xr:uid="{D1BCB752-EC3B-4895-95CA-B4A787AFC451}"/>
    <cellStyle name="Reports Unit Cost Total 8" xfId="10094" xr:uid="{FB6B3D64-6009-4C26-A52E-0674A2298F3A}"/>
    <cellStyle name="Reports Unit Cost Total 9" xfId="10847" xr:uid="{89340EED-A9D5-4E4A-9AF0-864377503C50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3" xfId="9872" xr:uid="{C52623B8-B5C6-4545-9F21-90529A6BA3C1}"/>
    <cellStyle name="SAPBEXaggData 3 4" xfId="10938" xr:uid="{084355DA-F02A-4E8B-A3A3-534672C145DD}"/>
    <cellStyle name="SAPBEXaggData 3 5" xfId="9932" xr:uid="{C2B041E1-1905-4C87-8DB9-E56F1D2EDAEF}"/>
    <cellStyle name="SAPBEXaggData 3 6" xfId="11229" xr:uid="{645A1AAF-E19D-4BAE-B7ED-206EAC3871D1}"/>
    <cellStyle name="SAPBEXaggData 3 7" xfId="10850" xr:uid="{41E518DE-C833-4377-8F79-A380CD175F27}"/>
    <cellStyle name="SAPBEXaggData 4" xfId="9675" xr:uid="{3302A2E7-4219-467A-8F5A-52FCD80C6671}"/>
    <cellStyle name="SAPBEXaggData 5" xfId="9874" xr:uid="{E393FC62-BFEC-4F40-87B0-03B51AFE127B}"/>
    <cellStyle name="SAPBEXaggData 6" xfId="10936" xr:uid="{65C42EBA-DEF5-4998-8CF9-A4DFFDCB6187}"/>
    <cellStyle name="SAPBEXaggData 7" xfId="9933" xr:uid="{5330C2A0-6071-4361-A0C9-E0907243DF41}"/>
    <cellStyle name="SAPBEXaggData 8" xfId="10087" xr:uid="{9CE7D2DD-7B4A-4BC5-9776-E95974533457}"/>
    <cellStyle name="SAPBEXaggData 9" xfId="10849" xr:uid="{89F873E8-FC72-46B8-AB3A-80154010D40B}"/>
    <cellStyle name="SAPBEXaggDataEmph" xfId="9159" xr:uid="{9E93213C-6A8E-4346-860D-04E6CE1B1320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3" xfId="9869" xr:uid="{E4F0B90E-5672-4539-9CAE-F4CBF4437711}"/>
    <cellStyle name="SAPBEXaggDataEmph 3 4" xfId="10941" xr:uid="{E3A569AC-0E9B-4AF8-B9BF-6CB613B067E3}"/>
    <cellStyle name="SAPBEXaggDataEmph 3 5" xfId="11242" xr:uid="{54CBE934-C369-4752-BECF-2B9CB53D2218}"/>
    <cellStyle name="SAPBEXaggDataEmph 3 6" xfId="10070" xr:uid="{8A0450B0-147B-4FE7-ACE8-CF161D7D58DF}"/>
    <cellStyle name="SAPBEXaggDataEmph 3 7" xfId="10852" xr:uid="{06235436-F697-4235-84CE-7CCBFA43A4ED}"/>
    <cellStyle name="SAPBEXaggDataEmph 4" xfId="9672" xr:uid="{97E8F64B-A2CA-4111-9660-4B71B9BF6628}"/>
    <cellStyle name="SAPBEXaggDataEmph 5" xfId="9871" xr:uid="{EBF3EC56-33BA-46A3-A9E0-60FE4B309479}"/>
    <cellStyle name="SAPBEXaggDataEmph 6" xfId="10939" xr:uid="{B9B256B2-289F-434E-A597-4032D3BEB5BD}"/>
    <cellStyle name="SAPBEXaggDataEmph 7" xfId="9931" xr:uid="{32A75A52-53FB-4BB1-BE28-027787479AE0}"/>
    <cellStyle name="SAPBEXaggDataEmph 8" xfId="10076" xr:uid="{129DAC95-B288-4411-BBC4-AB7D946107A3}"/>
    <cellStyle name="SAPBEXaggDataEmph 9" xfId="10851" xr:uid="{56FF41D0-D06A-4DF1-B262-529D54AF8D80}"/>
    <cellStyle name="SAPBEXaggItem" xfId="9162" xr:uid="{6536CA6C-93C2-4781-A127-8D3204B4EA04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3" xfId="9866" xr:uid="{632D9E97-D390-49D8-BB5D-9142665BF338}"/>
    <cellStyle name="SAPBEXaggItem 3 4" xfId="10946" xr:uid="{004B4634-FEE7-4314-A453-5B6EA8FEA387}"/>
    <cellStyle name="SAPBEXaggItem 3 5" xfId="11241" xr:uid="{06201C0E-87A4-4F4F-A070-57D31928A53D}"/>
    <cellStyle name="SAPBEXaggItem 3 6" xfId="10061" xr:uid="{BDB830D2-AEE8-4AD9-8C46-E28311707BEF}"/>
    <cellStyle name="SAPBEXaggItem 3 7" xfId="10855" xr:uid="{5515D629-AB50-4262-914E-EF6E0F78D16E}"/>
    <cellStyle name="SAPBEXaggItem 4" xfId="9669" xr:uid="{BF59A42B-C109-48E8-B815-51809BD478B7}"/>
    <cellStyle name="SAPBEXaggItem 5" xfId="9868" xr:uid="{8C2C684C-745D-4591-A3D3-C0CCC46F7F1B}"/>
    <cellStyle name="SAPBEXaggItem 6" xfId="10942" xr:uid="{E2F40BF6-4D31-427D-BAC4-396EFCF002AA}"/>
    <cellStyle name="SAPBEXaggItem 7" xfId="9930" xr:uid="{5368FE2A-F406-4173-8A5C-5A760A6C6BDB}"/>
    <cellStyle name="SAPBEXaggItem 8" xfId="10065" xr:uid="{E21E4468-B262-46CB-BCB2-11FBF309C9C5}"/>
    <cellStyle name="SAPBEXaggItem 9" xfId="10853" xr:uid="{678407E7-229A-4B27-B52C-CBCBCB92E5A6}"/>
    <cellStyle name="SAPBEXaggItemX" xfId="9165" xr:uid="{B28D0951-83F6-4664-AAE3-8619EF23DF32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3" xfId="9863" xr:uid="{929986C0-E035-4581-8FA6-8E5F8C975FA1}"/>
    <cellStyle name="SAPBEXaggItemX 3 4" xfId="11086" xr:uid="{65B3F635-B131-4DCE-BFD2-6CE4FFC2F0EB}"/>
    <cellStyle name="SAPBEXaggItemX 3 5" xfId="9928" xr:uid="{5F743081-B9C0-4DB4-A911-EFD983227C27}"/>
    <cellStyle name="SAPBEXaggItemX 3 6" xfId="10053" xr:uid="{30B37A1F-EDD8-46E4-9D8B-E4FFD3135560}"/>
    <cellStyle name="SAPBEXaggItemX 3 7" xfId="10857" xr:uid="{6E845CEC-F805-4795-8E34-09B3AD410F9E}"/>
    <cellStyle name="SAPBEXaggItemX 4" xfId="9667" xr:uid="{1899E766-53E3-447A-9960-3C02073E77B2}"/>
    <cellStyle name="SAPBEXaggItemX 5" xfId="9865" xr:uid="{F2949221-19F4-49E0-8A48-3FD4FB44D6D0}"/>
    <cellStyle name="SAPBEXaggItemX 6" xfId="11087" xr:uid="{2F408498-196E-4F54-8088-65A0D7C0ADF1}"/>
    <cellStyle name="SAPBEXaggItemX 7" xfId="9929" xr:uid="{BEC0FAD0-4D3D-499E-8F13-6414E89CE35D}"/>
    <cellStyle name="SAPBEXaggItemX 8" xfId="10057" xr:uid="{CE1E7BE8-BE9C-4641-9CC6-BEFE7832D618}"/>
    <cellStyle name="SAPBEXaggItemX 9" xfId="10856" xr:uid="{52556E98-AFD0-435A-8C08-8AF89CDBCFE1}"/>
    <cellStyle name="SAPBEXchaText" xfId="9168" xr:uid="{BB34B328-4560-4B78-BAD2-EA26DA84250A}"/>
    <cellStyle name="SAPBEXchaText 10" xfId="9665" xr:uid="{9B040C8B-130A-4F10-9EE2-0D60A97E731B}"/>
    <cellStyle name="SAPBEXchaText 11" xfId="9862" xr:uid="{DA003090-C57A-40C6-829E-DA59ACED7CFE}"/>
    <cellStyle name="SAPBEXchaText 12" xfId="10947" xr:uid="{CC32E0D1-20F4-445F-8DB9-A4F1F77ECC80}"/>
    <cellStyle name="SAPBEXchaText 13" xfId="9927" xr:uid="{011181C7-8245-4C13-BA9A-A5EB73CC42AC}"/>
    <cellStyle name="SAPBEXchaText 14" xfId="10052" xr:uid="{DA4B2F9D-87B3-4D93-964B-D06BE1A8F7F3}"/>
    <cellStyle name="SAPBEXchaText 15" xfId="10858" xr:uid="{7C8EC967-C728-4ED8-BDB4-ECB62FE9D631}"/>
    <cellStyle name="SAPBEXchaText 2" xfId="9169" xr:uid="{0D183FEE-D5AB-4769-9BB0-6A328A117928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4" xfId="9860" xr:uid="{3901A41E-B99C-4074-BC3A-1B91F18C0668}"/>
    <cellStyle name="SAPBEXchaText 2 2 5" xfId="10949" xr:uid="{8D7B17CC-241C-442F-A090-7FA555E6E5AE}"/>
    <cellStyle name="SAPBEXchaText 2 2 6" xfId="9925" xr:uid="{E26C2269-E5C9-4A50-8096-64EA9388420A}"/>
    <cellStyle name="SAPBEXchaText 2 2 7" xfId="10047" xr:uid="{5B53E7E4-15A4-4C63-95B2-5578FB1AE7D3}"/>
    <cellStyle name="SAPBEXchaText 2 2 8" xfId="10860" xr:uid="{890168AB-5A0F-4D1A-A3D8-5F558CB7A659}"/>
    <cellStyle name="SAPBEXchaText 2 3" xfId="9172" xr:uid="{9C64EEC8-6BEF-4DFA-9712-5ECD26022421}"/>
    <cellStyle name="SAPBEXchaText 2 4" xfId="9664" xr:uid="{D41D299D-BB98-4895-9CB7-7E837FB6D7D9}"/>
    <cellStyle name="SAPBEXchaText 2 5" xfId="9861" xr:uid="{6C0DE86D-0044-4A82-87B7-A443F202E378}"/>
    <cellStyle name="SAPBEXchaText 2 6" xfId="10948" xr:uid="{8A3026A5-58B5-4139-967B-7379DB436921}"/>
    <cellStyle name="SAPBEXchaText 2 7" xfId="9926" xr:uid="{47D5D8B4-98DF-4FFF-88CD-CE6C60E1CA51}"/>
    <cellStyle name="SAPBEXchaText 2 8" xfId="10048" xr:uid="{47449C71-1F7C-48D1-A6A8-72A55BCA5CF1}"/>
    <cellStyle name="SAPBEXchaText 2 9" xfId="10859" xr:uid="{012B3F86-7E09-417E-89BC-B819D586798B}"/>
    <cellStyle name="SAPBEXchaText 3" xfId="9173" xr:uid="{763C7E04-ED9F-4522-8F83-87D763B22CA3}"/>
    <cellStyle name="SAPBEXchaText 3 10" xfId="10861" xr:uid="{CEEF5419-9AD5-4285-AE41-231CA2F85F43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4" xfId="9856" xr:uid="{B6008842-424C-4B66-9D21-F49A7EFED8D9}"/>
    <cellStyle name="SAPBEXchaText 3 2 5" xfId="10953" xr:uid="{4B2F70FB-C902-4654-848B-19DE3246B3C0}"/>
    <cellStyle name="SAPBEXchaText 3 2 6" xfId="9923" xr:uid="{4512684A-CD2E-453B-B643-EEF13803E9C0}"/>
    <cellStyle name="SAPBEXchaText 3 2 7" xfId="10038" xr:uid="{4B067B5D-E076-4444-A0EA-401CDEC6228F}"/>
    <cellStyle name="SAPBEXchaText 3 2 8" xfId="10862" xr:uid="{00865BBF-C2E2-4A34-BB58-632294916E07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4" xfId="9854" xr:uid="{303745EF-0DE6-4E14-ACB4-50D0E96559E1}"/>
    <cellStyle name="SAPBEXchaText 3 3 5" xfId="10955" xr:uid="{64282E64-DD56-4343-894E-C1E459C954DB}"/>
    <cellStyle name="SAPBEXchaText 3 3 6" xfId="9922" xr:uid="{E810A7B5-5C0C-473D-BED6-170DE07D6F69}"/>
    <cellStyle name="SAPBEXchaText 3 3 7" xfId="10036" xr:uid="{E0D8A44C-0235-4711-A8F4-579BA9719EDD}"/>
    <cellStyle name="SAPBEXchaText 3 3 8" xfId="10863" xr:uid="{242E279A-A488-43AC-9321-17A34F2E2594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4" xfId="9853" xr:uid="{534A3AA4-12D4-40AE-A9FE-04A354857B12}"/>
    <cellStyle name="SAPBEXchaText 3 4 5" xfId="10957" xr:uid="{D72C54C1-8CDD-4DDD-A1F9-D31CE71CD3F3}"/>
    <cellStyle name="SAPBEXchaText 3 4 6" xfId="9921" xr:uid="{2E66E037-C48B-490F-834E-63DFFF9DD1FA}"/>
    <cellStyle name="SAPBEXchaText 3 4 7" xfId="10035" xr:uid="{2535575E-0DF3-4B60-B21F-C54759C3754A}"/>
    <cellStyle name="SAPBEXchaText 3 4 8" xfId="10864" xr:uid="{AE391947-7C3C-499A-9AC2-762F960B6E22}"/>
    <cellStyle name="SAPBEXchaText 3 5" xfId="9660" xr:uid="{844E0358-5E33-4EFE-A177-C1DB5A1E4AE8}"/>
    <cellStyle name="SAPBEXchaText 3 6" xfId="9857" xr:uid="{042EED5D-7A7A-47AB-B497-51C770895484}"/>
    <cellStyle name="SAPBEXchaText 3 7" xfId="10952" xr:uid="{42C2D866-28C8-4EE4-96DA-0AFE50C4BBE4}"/>
    <cellStyle name="SAPBEXchaText 3 8" xfId="9924" xr:uid="{70AE6C8C-A9B4-4FF9-AEF9-CF5ACF152F3A}"/>
    <cellStyle name="SAPBEXchaText 3 9" xfId="10039" xr:uid="{90789F59-96E4-455F-AA79-288994E8F0C5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4" xfId="9852" xr:uid="{4595BFFA-C12C-4FF4-9E9C-8AC1075F04F5}"/>
    <cellStyle name="SAPBEXchaText 4 5" xfId="10958" xr:uid="{485C130B-8036-4205-82A4-CBE6DB737831}"/>
    <cellStyle name="SAPBEXchaText 4 6" xfId="9920" xr:uid="{B6074D8A-F4CB-4DAE-8CC6-3DAEE4B18D00}"/>
    <cellStyle name="SAPBEXchaText 4 7" xfId="10034" xr:uid="{2B967127-3433-4EA0-A0D3-FAD4D14A0911}"/>
    <cellStyle name="SAPBEXchaText 4 8" xfId="10865" xr:uid="{EABC3D13-EA0E-4186-8D52-524F2F512A2B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3" xfId="9849" xr:uid="{823A0A3F-56D6-4EE2-947E-8CFBC4FADD87}"/>
    <cellStyle name="SAPBEXchaText 7 4" xfId="10961" xr:uid="{17B2280C-7DC4-4D9D-AB02-6C8B5853EF29}"/>
    <cellStyle name="SAPBEXchaText 7 5" xfId="11255" xr:uid="{B510200B-DBE2-4C82-874A-E23F86B723ED}"/>
    <cellStyle name="SAPBEXchaText 7 6" xfId="10033" xr:uid="{D79D4F83-413A-4A5F-B13D-CBA40F1397C6}"/>
    <cellStyle name="SAPBEXchaText 7 7" xfId="11065" xr:uid="{10D290DE-4F4B-428E-ADAD-38B13FC7F1AF}"/>
    <cellStyle name="SAPBEXchaText 8" xfId="9185" xr:uid="{54E844C7-DA54-444B-A9D8-AD8D277B4521}"/>
    <cellStyle name="SAPBEXchaText 8 2" xfId="9651" xr:uid="{A9DEA793-6698-418A-BF5B-249372ACF8A4}"/>
    <cellStyle name="SAPBEXchaText 8 3" xfId="9848" xr:uid="{1C7A325C-A464-4A30-9F13-5E519E73988E}"/>
    <cellStyle name="SAPBEXchaText 8 4" xfId="10962" xr:uid="{F07CA425-FA67-4A71-AC25-ED0B64E73685}"/>
    <cellStyle name="SAPBEXchaText 8 5" xfId="9919" xr:uid="{7D6E1C14-8230-4402-8148-0F543578AEA2}"/>
    <cellStyle name="SAPBEXchaText 8 6" xfId="10032" xr:uid="{34F6BD1C-2B87-4610-9C4E-7C001FD74261}"/>
    <cellStyle name="SAPBEXchaText 8 7" xfId="10868" xr:uid="{F8686CC4-995A-4F6E-B313-379E8F59D3E4}"/>
    <cellStyle name="SAPBEXchaText 9" xfId="9186" xr:uid="{49570C78-837D-44FA-BA9D-2FAC3A4D968F}"/>
    <cellStyle name="SAPBEXchaText 9 2" xfId="9650" xr:uid="{1D718EF6-D9C8-4281-A06B-4B86955F8074}"/>
    <cellStyle name="SAPBEXchaText 9 3" xfId="9847" xr:uid="{26699DE1-7310-47E8-AAC7-985E5E66B262}"/>
    <cellStyle name="SAPBEXchaText 9 4" xfId="10963" xr:uid="{09EF463F-9263-4064-8E61-EE53F3BDB3C6}"/>
    <cellStyle name="SAPBEXchaText 9 5" xfId="9918" xr:uid="{EF3FA22A-85BE-41CB-B342-30F5AA6AAC7E}"/>
    <cellStyle name="SAPBEXchaText 9 6" xfId="10031" xr:uid="{10A9CB8F-C657-4980-B2AC-57BFA7CAD588}"/>
    <cellStyle name="SAPBEXchaText 9 7" xfId="10869" xr:uid="{35BDB3B7-16D2-4073-A848-6B8BF13551E5}"/>
    <cellStyle name="SAPBEXexcBad7" xfId="9187" xr:uid="{F5C91354-0999-45C7-BB17-F602111AD09C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3" xfId="9844" xr:uid="{C738AFD2-2EFD-48EC-B3EA-C01F12213093}"/>
    <cellStyle name="SAPBEXexcBad7 3 4" xfId="10965" xr:uid="{71E940BA-4C1B-4091-9C31-E6F366AC271B}"/>
    <cellStyle name="SAPBEXexcBad7 3 5" xfId="9916" xr:uid="{98E4656A-5AF0-4A54-9BB1-47C56F43016D}"/>
    <cellStyle name="SAPBEXexcBad7 3 6" xfId="11037" xr:uid="{0099D92D-66F7-4A31-9439-B93D3B06B0CB}"/>
    <cellStyle name="SAPBEXexcBad7 3 7" xfId="10871" xr:uid="{D17F1D61-B07B-4F71-923D-CE101CDA65BA}"/>
    <cellStyle name="SAPBEXexcBad7 4" xfId="9649" xr:uid="{93C80C76-F5C6-4AC7-8EAB-D13CA6F9EA73}"/>
    <cellStyle name="SAPBEXexcBad7 5" xfId="9846" xr:uid="{9C8BE7D4-397C-45CC-A2BC-DB9822DBB724}"/>
    <cellStyle name="SAPBEXexcBad7 6" xfId="10964" xr:uid="{DAC56A39-80B6-4479-AB41-100539757B9C}"/>
    <cellStyle name="SAPBEXexcBad7 7" xfId="9917" xr:uid="{D66BE5AD-97EB-424B-9CB1-C2D97157F820}"/>
    <cellStyle name="SAPBEXexcBad7 8" xfId="10030" xr:uid="{0DD2CA88-A51A-46D8-969F-5F3659DF0746}"/>
    <cellStyle name="SAPBEXexcBad7 9" xfId="10870" xr:uid="{0CC7C207-8071-4D5B-8490-4F8F5D8C963A}"/>
    <cellStyle name="SAPBEXexcBad8" xfId="9190" xr:uid="{36811D35-F6A3-40D2-A963-15E2696E0163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3" xfId="9842" xr:uid="{F1FDBBEA-8F63-4915-8B15-1D037D6D661C}"/>
    <cellStyle name="SAPBEXexcBad8 3 4" xfId="10967" xr:uid="{9AD2CB63-81A6-4B04-B4E0-FAEBDC4C1B58}"/>
    <cellStyle name="SAPBEXexcBad8 3 5" xfId="9914" xr:uid="{89F3BF4D-6359-4666-8B99-6F253A8DFD57}"/>
    <cellStyle name="SAPBEXexcBad8 3 6" xfId="10028" xr:uid="{CA6DCF59-339B-4C3A-98AA-CE8E2CB10322}"/>
    <cellStyle name="SAPBEXexcBad8 3 7" xfId="10873" xr:uid="{EEA9DAAA-6A8E-4508-B2DD-739469AB9E36}"/>
    <cellStyle name="SAPBEXexcBad8 4" xfId="9647" xr:uid="{8D52CE94-2846-4FD3-8BED-CE748B454029}"/>
    <cellStyle name="SAPBEXexcBad8 5" xfId="9843" xr:uid="{D30482EC-DA0B-4DEF-8492-0A46B11D85C8}"/>
    <cellStyle name="SAPBEXexcBad8 6" xfId="10966" xr:uid="{F7528779-9F73-41E3-A1BF-DE267E22B7B8}"/>
    <cellStyle name="SAPBEXexcBad8 7" xfId="9915" xr:uid="{C8CEF554-4345-4663-90FC-8991CB591762}"/>
    <cellStyle name="SAPBEXexcBad8 8" xfId="10029" xr:uid="{DD5A3279-18AF-4255-8A05-9C1909501F55}"/>
    <cellStyle name="SAPBEXexcBad8 9" xfId="10872" xr:uid="{C6994F2B-4768-48C9-A677-AD18BA631BFB}"/>
    <cellStyle name="SAPBEXexcBad9" xfId="9193" xr:uid="{AAB1226A-12F4-4BDD-8624-2A9C259C1FB9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3" xfId="9839" xr:uid="{14F44683-7045-4D38-9E8F-5F916A8EE2E4}"/>
    <cellStyle name="SAPBEXexcBad9 3 4" xfId="10969" xr:uid="{AE27901B-540C-416E-BF61-38AC8B551506}"/>
    <cellStyle name="SAPBEXexcBad9 3 5" xfId="9912" xr:uid="{51A9FFE7-B9DA-47C3-897F-7553671269DD}"/>
    <cellStyle name="SAPBEXexcBad9 3 6" xfId="10026" xr:uid="{0C0625E5-A053-4030-B5BF-6F0C2B1FBB7B}"/>
    <cellStyle name="SAPBEXexcBad9 3 7" xfId="10877" xr:uid="{49AE5AFD-9550-467E-ACCF-52DE4607CA01}"/>
    <cellStyle name="SAPBEXexcBad9 4" xfId="9645" xr:uid="{47771C50-7E39-4F10-993D-858D09525671}"/>
    <cellStyle name="SAPBEXexcBad9 5" xfId="9841" xr:uid="{522B30D2-865A-4488-A03B-ECB0EABD757B}"/>
    <cellStyle name="SAPBEXexcBad9 6" xfId="10968" xr:uid="{3DE30A68-6BCD-49AD-9B43-57E1AAD9A073}"/>
    <cellStyle name="SAPBEXexcBad9 7" xfId="9913" xr:uid="{48598389-C6CA-407F-8439-BE6085A9B12B}"/>
    <cellStyle name="SAPBEXexcBad9 8" xfId="10027" xr:uid="{0A9D2F31-5277-45CF-9AFF-115F068870EC}"/>
    <cellStyle name="SAPBEXexcBad9 9" xfId="10874" xr:uid="{D0A2880E-F996-4FA9-94AF-136EA6E97FBC}"/>
    <cellStyle name="SAPBEXexcCritical4" xfId="9196" xr:uid="{EB036E64-36C4-41D8-9136-699C880085FD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3" xfId="9837" xr:uid="{96C032EB-10CF-492E-8A11-E4CB869577E3}"/>
    <cellStyle name="SAPBEXexcCritical4 3 4" xfId="10972" xr:uid="{033F26EE-41F9-4DD3-87A9-5B9C6C3731C9}"/>
    <cellStyle name="SAPBEXexcCritical4 3 5" xfId="9910" xr:uid="{89FE914E-A7B8-45D0-B0DD-D536064F36CD}"/>
    <cellStyle name="SAPBEXexcCritical4 3 6" xfId="10024" xr:uid="{ED3B9FAA-F5FE-4490-A9C0-30550FA8F398}"/>
    <cellStyle name="SAPBEXexcCritical4 3 7" xfId="10879" xr:uid="{5ADF0405-2E95-4006-AA56-66119A9E02EB}"/>
    <cellStyle name="SAPBEXexcCritical4 4" xfId="9642" xr:uid="{F06EAC2F-EDA6-4C86-926C-01F07302D617}"/>
    <cellStyle name="SAPBEXexcCritical4 5" xfId="9838" xr:uid="{63D0A787-CD23-4C3E-A5EA-817AFFF974A4}"/>
    <cellStyle name="SAPBEXexcCritical4 6" xfId="10970" xr:uid="{23D9CE9C-8A0F-427D-BED7-2B81C7560187}"/>
    <cellStyle name="SAPBEXexcCritical4 7" xfId="9911" xr:uid="{AE02B1C7-9AC6-4D9A-B003-AC0683E50BAB}"/>
    <cellStyle name="SAPBEXexcCritical4 8" xfId="10025" xr:uid="{2E2A318A-22CA-40EF-A01E-1A3DEA67DE22}"/>
    <cellStyle name="SAPBEXexcCritical4 9" xfId="10878" xr:uid="{DA7A9FD1-FA25-4674-9888-36FA5A298A89}"/>
    <cellStyle name="SAPBEXexcCritical5" xfId="9199" xr:uid="{0C7F851A-48CE-46FD-9190-50FD8A8BB890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3" xfId="9834" xr:uid="{8C5D5EED-C829-4928-930C-FA800F3FF1D3}"/>
    <cellStyle name="SAPBEXexcCritical5 3 4" xfId="10975" xr:uid="{0CB5705F-8D57-483C-921B-2CEF90ACEE95}"/>
    <cellStyle name="SAPBEXexcCritical5 3 5" xfId="9908" xr:uid="{C297851A-2908-4881-9352-A998C01594EB}"/>
    <cellStyle name="SAPBEXexcCritical5 3 6" xfId="10022" xr:uid="{BC640DE8-1E45-4079-9F01-88AD96372A14}"/>
    <cellStyle name="SAPBEXexcCritical5 3 7" xfId="10881" xr:uid="{6C26065A-D8BF-418E-88B0-153366BB70D4}"/>
    <cellStyle name="SAPBEXexcCritical5 4" xfId="9639" xr:uid="{1B58B66C-3CB1-43C9-A701-F69FCF3FD61E}"/>
    <cellStyle name="SAPBEXexcCritical5 5" xfId="9836" xr:uid="{15713E6A-E7BB-44EE-965C-16FD74C8CFFA}"/>
    <cellStyle name="SAPBEXexcCritical5 6" xfId="10973" xr:uid="{2902BD70-7773-4178-B9A9-42EC25B79CCC}"/>
    <cellStyle name="SAPBEXexcCritical5 7" xfId="9909" xr:uid="{21648B9C-F0B9-4A6C-97BA-5DFA5BB1969D}"/>
    <cellStyle name="SAPBEXexcCritical5 8" xfId="10023" xr:uid="{761FC13A-0C25-4985-B2E6-BFE54B03023C}"/>
    <cellStyle name="SAPBEXexcCritical5 9" xfId="10880" xr:uid="{75325CA1-F5DB-4694-9165-80C81400AB73}"/>
    <cellStyle name="SAPBEXexcCritical6" xfId="9202" xr:uid="{76F1AA3C-5C2C-4B5A-B6CD-2EEA6F42F242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3" xfId="9832" xr:uid="{2F6A6FEC-818E-488B-80EF-9AABDB04A452}"/>
    <cellStyle name="SAPBEXexcCritical6 3 4" xfId="10977" xr:uid="{E23C5F1B-A69A-4BBC-AFF9-284EC1C0DEC1}"/>
    <cellStyle name="SAPBEXexcCritical6 3 5" xfId="9906" xr:uid="{DBB264C0-B6C4-49E0-B4BD-A5402A0F0D9B}"/>
    <cellStyle name="SAPBEXexcCritical6 3 6" xfId="10020" xr:uid="{6BDD2AC9-49D8-45A0-ABDB-5CA81367F4EF}"/>
    <cellStyle name="SAPBEXexcCritical6 3 7" xfId="10883" xr:uid="{AF275792-02C4-4439-9E0D-A0F71EED3CDC}"/>
    <cellStyle name="SAPBEXexcCritical6 4" xfId="9636" xr:uid="{74C57354-E683-4AC4-B021-2C589D01469C}"/>
    <cellStyle name="SAPBEXexcCritical6 5" xfId="9833" xr:uid="{F72FAEA6-AB6B-4F89-A37B-200E4AC1D84D}"/>
    <cellStyle name="SAPBEXexcCritical6 6" xfId="10976" xr:uid="{FF76A6FF-D199-43C1-AC09-178A4FD77A1D}"/>
    <cellStyle name="SAPBEXexcCritical6 7" xfId="9907" xr:uid="{59A7F727-6608-4D2E-A94F-8EE9B64A7D72}"/>
    <cellStyle name="SAPBEXexcCritical6 8" xfId="10021" xr:uid="{6F1852D3-6199-41E3-9D0E-0996A5F7A1B2}"/>
    <cellStyle name="SAPBEXexcCritical6 9" xfId="10882" xr:uid="{6EDA9B21-7F03-4600-BA8F-7502294C311E}"/>
    <cellStyle name="SAPBEXexcGood1" xfId="9205" xr:uid="{A2E761E7-BE76-40D5-BA11-7DF6B8B9B29E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3" xfId="9830" xr:uid="{1B740605-F63A-48C0-AA23-7189B5F04D08}"/>
    <cellStyle name="SAPBEXexcGood1 3 4" xfId="10980" xr:uid="{63DE5709-975B-470D-9DE2-4A24A7EE54C2}"/>
    <cellStyle name="SAPBEXexcGood1 3 5" xfId="9904" xr:uid="{3F4D3DCF-07A5-44AF-BBCD-B15562E53991}"/>
    <cellStyle name="SAPBEXexcGood1 3 6" xfId="10018" xr:uid="{1E5E4155-8F88-4C9C-9B44-6B1CA5A0B85A}"/>
    <cellStyle name="SAPBEXexcGood1 3 7" xfId="10886" xr:uid="{156BEF47-AC5D-47D8-A1D9-037D6140B34A}"/>
    <cellStyle name="SAPBEXexcGood1 4" xfId="9634" xr:uid="{3D5F55D1-4B3B-4F2B-BD61-226994BB2E30}"/>
    <cellStyle name="SAPBEXexcGood1 5" xfId="9831" xr:uid="{D2E07C4E-DE30-45B5-A810-97595A442A7B}"/>
    <cellStyle name="SAPBEXexcGood1 6" xfId="10978" xr:uid="{6AF595D2-D78E-4C7D-B863-3F5C7AA4386A}"/>
    <cellStyle name="SAPBEXexcGood1 7" xfId="9905" xr:uid="{E240EFC0-4738-436A-9C79-922216CAE653}"/>
    <cellStyle name="SAPBEXexcGood1 8" xfId="10019" xr:uid="{ABA643B1-1E10-44CC-B853-4EBCE24B57D9}"/>
    <cellStyle name="SAPBEXexcGood1 9" xfId="10885" xr:uid="{1E035829-AACE-4FC2-89CD-157F6E773936}"/>
    <cellStyle name="SAPBEXexcGood2" xfId="9208" xr:uid="{3E4C8546-138E-447F-9867-F0D0AF1EF5F0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3" xfId="11252" xr:uid="{B1896E82-9652-4D61-9B8F-578750AA9075}"/>
    <cellStyle name="SAPBEXexcGood2 3 4" xfId="10983" xr:uid="{F2ED0E9D-D6EE-4785-8837-76BD4DFF7FD6}"/>
    <cellStyle name="SAPBEXexcGood2 3 5" xfId="9902" xr:uid="{D992EFA9-E29E-43AA-AAB7-D4D35F36D91E}"/>
    <cellStyle name="SAPBEXexcGood2 3 6" xfId="10017" xr:uid="{AEFBC5EF-CCF8-4817-87C2-87EB72F6AA2E}"/>
    <cellStyle name="SAPBEXexcGood2 3 7" xfId="10888" xr:uid="{F6BEAFA7-2BFC-4797-8CF6-2A152B26B46C}"/>
    <cellStyle name="SAPBEXexcGood2 4" xfId="9632" xr:uid="{15202E31-55CD-4F67-959C-CDC74BD2E9C0}"/>
    <cellStyle name="SAPBEXexcGood2 5" xfId="9829" xr:uid="{B3DD190B-58D8-4266-BC18-533230996BEC}"/>
    <cellStyle name="SAPBEXexcGood2 6" xfId="10981" xr:uid="{807E8E44-0FB0-48AA-B965-25CCEA277E2E}"/>
    <cellStyle name="SAPBEXexcGood2 7" xfId="9903" xr:uid="{0E162F60-A92E-4B0B-9846-DBBAEF9B4A4F}"/>
    <cellStyle name="SAPBEXexcGood2 8" xfId="11470" xr:uid="{D99DC316-CE2B-445B-AFDB-3A031896BE6F}"/>
    <cellStyle name="SAPBEXexcGood2 9" xfId="10887" xr:uid="{F2248E4F-DFB8-4E6A-BACA-75DA00ED68F0}"/>
    <cellStyle name="SAPBEXexcGood3" xfId="9211" xr:uid="{5C92F9D9-BE96-4C4D-AA02-FFF5718A9349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3" xfId="9825" xr:uid="{FB0315DB-FE05-4A01-8A42-7FF962711631}"/>
    <cellStyle name="SAPBEXexcGood3 3 4" xfId="10986" xr:uid="{E658946D-9DDF-4C37-BEC4-2FA4203C9132}"/>
    <cellStyle name="SAPBEXexcGood3 3 5" xfId="9900" xr:uid="{A5372DC4-7625-4978-B033-54A95355370C}"/>
    <cellStyle name="SAPBEXexcGood3 3 6" xfId="10015" xr:uid="{F042EC1D-B789-4D9C-AF31-34AC0A462E50}"/>
    <cellStyle name="SAPBEXexcGood3 3 7" xfId="10889" xr:uid="{C07B3EDF-B417-4EA8-8804-6E6A2B67E6B5}"/>
    <cellStyle name="SAPBEXexcGood3 4" xfId="9629" xr:uid="{CC39F732-C939-4C42-A1D3-504504C38CBB}"/>
    <cellStyle name="SAPBEXexcGood3 5" xfId="9827" xr:uid="{2E0143A9-BD5A-49C8-A8C8-8005949AD5DA}"/>
    <cellStyle name="SAPBEXexcGood3 6" xfId="10984" xr:uid="{B193F1F2-B2E0-4B2B-AF4E-F57C408CEDF8}"/>
    <cellStyle name="SAPBEXexcGood3 7" xfId="9901" xr:uid="{3E36D55B-57E8-40DF-98D8-6762B00B4A68}"/>
    <cellStyle name="SAPBEXexcGood3 8" xfId="10016" xr:uid="{6836BAF2-5D5F-4CC8-A0CB-230794AE0620}"/>
    <cellStyle name="SAPBEXexcGood3 9" xfId="11446" xr:uid="{4D01CC5B-CB07-42C5-9177-7F7BBB6A5C45}"/>
    <cellStyle name="SAPBEXfilterDrill" xfId="9214" xr:uid="{45C066AB-D5D5-448B-8AEE-FEF82680DE85}"/>
    <cellStyle name="SAPBEXfilterDrill 10" xfId="10890" xr:uid="{D5142093-6B5E-4F44-A854-5A3635B4B295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3" xfId="9821" xr:uid="{E7725CAF-CFA5-481B-842B-B4A9F445C42A}"/>
    <cellStyle name="SAPBEXfilterDrill 4 4" xfId="10988" xr:uid="{3AEC182A-3B7F-4E51-A21B-241C51D7D953}"/>
    <cellStyle name="SAPBEXfilterDrill 4 5" xfId="9893" xr:uid="{172C55C8-956E-4AFC-99AA-6837066B1025}"/>
    <cellStyle name="SAPBEXfilterDrill 4 6" xfId="10014" xr:uid="{B42927C0-30F7-43B5-A5BA-669279965D94}"/>
    <cellStyle name="SAPBEXfilterDrill 4 7" xfId="10891" xr:uid="{BB437B64-421C-4520-A81E-5F58C47D89D9}"/>
    <cellStyle name="SAPBEXfilterDrill 5" xfId="9626" xr:uid="{635A89C7-B4D8-4AEB-A75D-78F1FA6B870B}"/>
    <cellStyle name="SAPBEXfilterDrill 6" xfId="9824" xr:uid="{8277F225-5AB2-4948-903A-BB14459203D6}"/>
    <cellStyle name="SAPBEXfilterDrill 7" xfId="10987" xr:uid="{2053F8BD-D780-4D5F-990D-6D5AE203559D}"/>
    <cellStyle name="SAPBEXfilterDrill 8" xfId="9897" xr:uid="{2A5358A2-1988-491E-B6A4-EAA671A4AE8C}"/>
    <cellStyle name="SAPBEXfilterDrill 9" xfId="11228" xr:uid="{10D2B696-40F4-446C-8611-82F458770007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5" xfId="10884" xr:uid="{DCA3A2E8-3694-4CAC-B45C-F6247A12692E}"/>
    <cellStyle name="SAPBEXfilterItem 6" xfId="10842" xr:uid="{6F5DDBB7-972D-4EA2-8366-F8BC460BFF8C}"/>
    <cellStyle name="SAPBEXfilterItem 7" xfId="10854" xr:uid="{8AB200F2-6842-4658-9E86-8858B80822B2}"/>
    <cellStyle name="SAPBEXfilterItem 8" xfId="10892" xr:uid="{E881654F-1E2E-460A-AEFA-29E896D34DFC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4" xfId="11239" xr:uid="{1FA1DE4A-5496-4071-90EA-249FCC1B66FF}"/>
    <cellStyle name="SAPBEXformats 2 5" xfId="10995" xr:uid="{7C861212-24A2-4088-9D46-218A83045B6C}"/>
    <cellStyle name="SAPBEXformats 2 6" xfId="9885" xr:uid="{89FA12B3-B1F6-4684-BAE6-4DD9DB33BFBD}"/>
    <cellStyle name="SAPBEXformats 2 7" xfId="10012" xr:uid="{CC0A8D6F-4409-4F4D-9DE4-D55134FB78AB}"/>
    <cellStyle name="SAPBEXformats 2 8" xfId="10894" xr:uid="{FC2ED0B4-7F49-4272-B5AF-958B2C5E9519}"/>
    <cellStyle name="SAPBEXformats 3" xfId="9227" xr:uid="{1B157140-5AFF-4840-9B91-10E2FAEA2CC4}"/>
    <cellStyle name="SAPBEXformats 3 2" xfId="11106" xr:uid="{2423CDD3-3FAB-40C4-A33F-CA7984442BF9}"/>
    <cellStyle name="SAPBEXformats 3 3" xfId="9813" xr:uid="{FD0AFA76-E705-410A-8DED-7550AD797B9B}"/>
    <cellStyle name="SAPBEXformats 3 4" xfId="10996" xr:uid="{C14F735E-A8FF-47AA-924E-CF41D60CB7AB}"/>
    <cellStyle name="SAPBEXformats 3 5" xfId="9883" xr:uid="{13289529-DEEC-4F38-8AFC-BC930F006BB4}"/>
    <cellStyle name="SAPBEXformats 3 6" xfId="10011" xr:uid="{DB54720E-2769-4A4C-A347-A5D863211D5E}"/>
    <cellStyle name="SAPBEXformats 3 7" xfId="10895" xr:uid="{38B8C076-DE1B-46D6-9D44-057654B8ABEE}"/>
    <cellStyle name="SAPBEXformats 4" xfId="9228" xr:uid="{EE80F081-D5F4-4ECE-95DE-3C25FD67FF69}"/>
    <cellStyle name="SAPBEXformats 4 2" xfId="11107" xr:uid="{BC112BF7-DC40-4FFD-984F-9E43BD98DA8F}"/>
    <cellStyle name="SAPBEXformats 4 3" xfId="9812" xr:uid="{DC1CEE2D-355E-4152-8DDC-3C0349124DD4}"/>
    <cellStyle name="SAPBEXformats 4 4" xfId="11088" xr:uid="{3A4A3D04-286E-4704-BCCC-FEF6E0B9D401}"/>
    <cellStyle name="SAPBEXformats 4 5" xfId="9882" xr:uid="{20C81717-B9C1-43C1-ABC7-4C7CBC192625}"/>
    <cellStyle name="SAPBEXformats 4 6" xfId="10010" xr:uid="{53FEDDCB-9D9E-4A43-BACD-83D28EAE6511}"/>
    <cellStyle name="SAPBEXformats 4 7" xfId="10896" xr:uid="{AE474C97-BA86-4156-AEFA-CC23915B457A}"/>
    <cellStyle name="SAPBEXformats 5" xfId="11103" xr:uid="{7CBB45FE-1260-4728-AFEA-FC4CC674AF35}"/>
    <cellStyle name="SAPBEXformats 6" xfId="9815" xr:uid="{B87C1B95-E77C-4FC8-9164-BA503E690FEE}"/>
    <cellStyle name="SAPBEXformats 7" xfId="10994" xr:uid="{C86A4C5D-27D9-40DF-8DF3-1F6A3872F917}"/>
    <cellStyle name="SAPBEXformats 8" xfId="9886" xr:uid="{01F83B8A-BB3C-484A-945E-24057530C287}"/>
    <cellStyle name="SAPBEXformats 9" xfId="10013" xr:uid="{BEE20CF7-1A37-4E0F-8A4C-CCC560380755}"/>
    <cellStyle name="SAPBEXheaderItem" xfId="9229" xr:uid="{DB4016F8-E491-4A30-B019-E4A5C58842D9}"/>
    <cellStyle name="SAPBEXheaderItem 10" xfId="10897" xr:uid="{F51FC088-0FCC-4A8F-A371-48B33FDE9C49}"/>
    <cellStyle name="SAPBEXheaderItem 2" xfId="9230" xr:uid="{9424D3B9-0755-4027-896E-B49C8AD198A2}"/>
    <cellStyle name="SAPBEXheaderItem 2 2" xfId="11109" xr:uid="{246539AB-9C53-472D-A4C3-4F7D5851EBEC}"/>
    <cellStyle name="SAPBEXheaderItem 2 3" xfId="9810" xr:uid="{BE45F04D-189B-4B2B-8B2C-26E71304827B}"/>
    <cellStyle name="SAPBEXheaderItem 2 4" xfId="10999" xr:uid="{28FF697B-C904-414F-B0B9-AEDA6278C632}"/>
    <cellStyle name="SAPBEXheaderItem 2 5" xfId="9880" xr:uid="{DC5877DA-A5C0-49A9-ACCC-6F7AD76A5DFE}"/>
    <cellStyle name="SAPBEXheaderItem 2 6" xfId="10008" xr:uid="{1C7B4387-1B79-40FF-B3BC-2613D627BF8F}"/>
    <cellStyle name="SAPBEXheaderItem 2 7" xfId="10898" xr:uid="{DE27FB2B-E022-44BC-A7FC-5DB47907A3CD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3" xfId="9808" xr:uid="{3C46D9F1-2D0F-4CF6-A825-2DA5FEA2CA53}"/>
    <cellStyle name="SAPBEXheaderItem 4 4" xfId="11001" xr:uid="{BC21DA26-1ABE-400F-9BD0-AFE7586FF457}"/>
    <cellStyle name="SAPBEXheaderItem 4 5" xfId="9878" xr:uid="{2F4817C4-1CFA-40EA-B8C3-EDE5E4241C80}"/>
    <cellStyle name="SAPBEXheaderItem 4 6" xfId="10007" xr:uid="{D44E75B5-15C2-4BD5-9ABE-1FCD01C0C2F6}"/>
    <cellStyle name="SAPBEXheaderItem 4 7" xfId="10899" xr:uid="{00AD585D-3531-4D44-AE03-44C42CF98C16}"/>
    <cellStyle name="SAPBEXheaderItem 5" xfId="11108" xr:uid="{E8CC4400-C61D-4F69-A4EA-3B1146662FF0}"/>
    <cellStyle name="SAPBEXheaderItem 6" xfId="9811" xr:uid="{EE865CEE-F64F-4983-83CC-7FE575C73656}"/>
    <cellStyle name="SAPBEXheaderItem 7" xfId="10998" xr:uid="{556BFDD4-11D6-48E4-AA1A-1E43672B41BA}"/>
    <cellStyle name="SAPBEXheaderItem 8" xfId="9881" xr:uid="{92638A95-C3F7-4D8F-AD48-4AC5996E7347}"/>
    <cellStyle name="SAPBEXheaderItem 9" xfId="10009" xr:uid="{0125C8E0-3DEB-4C95-B46B-527F18E20DB0}"/>
    <cellStyle name="SAPBEXheaderText" xfId="9233" xr:uid="{3A24828F-064E-43C8-98F7-7EBC087023F0}"/>
    <cellStyle name="SAPBEXheaderText 10" xfId="10900" xr:uid="{10714A5D-3C28-4E0B-ABDF-472763A18423}"/>
    <cellStyle name="SAPBEXheaderText 2" xfId="9234" xr:uid="{8DB2D5F0-025A-44AD-871E-4FBD71B28E0D}"/>
    <cellStyle name="SAPBEXheaderText 2 2" xfId="11112" xr:uid="{BFE60617-0A0F-4C31-99D6-8E45764552DA}"/>
    <cellStyle name="SAPBEXheaderText 2 3" xfId="9806" xr:uid="{60FC82A0-42FA-43CE-8D29-F6B4E5AC3D00}"/>
    <cellStyle name="SAPBEXheaderText 2 4" xfId="11003" xr:uid="{E588BA58-3A2C-4627-A023-523959CDADCA}"/>
    <cellStyle name="SAPBEXheaderText 2 5" xfId="11254" xr:uid="{A2D8AD29-9F8A-4497-AD86-E8A66407AC4E}"/>
    <cellStyle name="SAPBEXheaderText 2 6" xfId="10005" xr:uid="{411F5F1C-7454-465F-A97A-8E55F7C21F0D}"/>
    <cellStyle name="SAPBEXheaderText 2 7" xfId="10901" xr:uid="{A7C4A026-FD67-43EF-8995-7E194E5CDC33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3" xfId="9804" xr:uid="{F03535EC-32AC-433B-9053-7A4A72118A3E}"/>
    <cellStyle name="SAPBEXheaderText 4 4" xfId="11005" xr:uid="{9CE48014-9967-4423-AA04-581688BCE5EE}"/>
    <cellStyle name="SAPBEXheaderText 4 5" xfId="9875" xr:uid="{83085662-11CF-4C90-AD7A-EBA70C2D77F1}"/>
    <cellStyle name="SAPBEXheaderText 4 6" xfId="10004" xr:uid="{F42439F9-8568-4423-917D-B3C38C0503D1}"/>
    <cellStyle name="SAPBEXheaderText 4 7" xfId="10902" xr:uid="{B6F25C4F-F7A3-4CF0-90BB-8D81BD1807C8}"/>
    <cellStyle name="SAPBEXheaderText 5" xfId="11111" xr:uid="{64061E94-8676-4591-9CC7-9E77B66DD4CC}"/>
    <cellStyle name="SAPBEXheaderText 6" xfId="9807" xr:uid="{BB28BEB3-1597-4EC8-B5E8-25F3FACB57AE}"/>
    <cellStyle name="SAPBEXheaderText 7" xfId="11002" xr:uid="{12DE0E79-8F81-4174-99A3-5C5E7071DB7E}"/>
    <cellStyle name="SAPBEXheaderText 8" xfId="9877" xr:uid="{3DEA2CDC-16A6-448A-9284-55139D419C3C}"/>
    <cellStyle name="SAPBEXheaderText 9" xfId="10006" xr:uid="{227EF81C-2663-4202-9EA3-EF61F77A3178}"/>
    <cellStyle name="SAPBEXHLevel0" xfId="9237" xr:uid="{98754777-63C2-4FEA-A74A-38B0E85A16A0}"/>
    <cellStyle name="SAPBEXHLevel0 10" xfId="11525" xr:uid="{34EB639B-A7C2-4B7B-84EB-FBFA800D35DE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4" xfId="9802" xr:uid="{5F6E1553-46E9-4EC4-AD63-88F29F8E8EA5}"/>
    <cellStyle name="SAPBEXHLevel0 2 5" xfId="11007" xr:uid="{20EA0BEB-788A-403E-AF1B-0DBEEE906D57}"/>
    <cellStyle name="SAPBEXHLevel0 2 6" xfId="9873" xr:uid="{502CEEAB-0EF2-4489-A28A-150414DAE010}"/>
    <cellStyle name="SAPBEXHLevel0 2 7" xfId="10002" xr:uid="{F2A280D5-33DB-4747-9CE7-466C351634D2}"/>
    <cellStyle name="SAPBEXHLevel0 2 8" xfId="10903" xr:uid="{5910CE4E-6AE6-4C53-953B-AD89A438F50F}"/>
    <cellStyle name="SAPBEXHLevel0 3" xfId="9240" xr:uid="{ED7B1A2A-5D2D-4E6B-BC3F-AC7F69EFB141}"/>
    <cellStyle name="SAPBEXHLevel0 3 2" xfId="11118" xr:uid="{BCBB4ABF-829B-4499-A2E2-DF3133FA42B9}"/>
    <cellStyle name="SAPBEXHLevel0 3 3" xfId="9800" xr:uid="{36806F04-DF99-40EC-BBC5-72E6AD544BA4}"/>
    <cellStyle name="SAPBEXHLevel0 3 4" xfId="11008" xr:uid="{656FDEF1-2B10-4F1D-A745-13056A40C78C}"/>
    <cellStyle name="SAPBEXHLevel0 3 5" xfId="9867" xr:uid="{FC0ED2DD-0110-416A-A553-FF60FD112161}"/>
    <cellStyle name="SAPBEXHLevel0 3 6" xfId="10001" xr:uid="{AB97DC4A-562B-4A90-AD49-B1F35F72FF7E}"/>
    <cellStyle name="SAPBEXHLevel0 3 7" xfId="10905" xr:uid="{2E495C7D-90C0-49C5-B325-AD6CFFB1739E}"/>
    <cellStyle name="SAPBEXHLevel0 4" xfId="9241" xr:uid="{E4D7C807-E68B-41C3-BFFA-4AFF0747FC17}"/>
    <cellStyle name="SAPBEXHLevel0 4 2" xfId="11119" xr:uid="{E15A3B77-9529-4103-890F-EAB8209987E7}"/>
    <cellStyle name="SAPBEXHLevel0 4 3" xfId="9799" xr:uid="{181A053E-7B9B-4583-BA6C-AE158B20F9C6}"/>
    <cellStyle name="SAPBEXHLevel0 4 4" xfId="11009" xr:uid="{E0E8E4AF-A956-42C9-B54E-2E135B1F3E4E}"/>
    <cellStyle name="SAPBEXHLevel0 4 5" xfId="9864" xr:uid="{68C34D1A-7838-48DF-9348-CA0259553409}"/>
    <cellStyle name="SAPBEXHLevel0 4 6" xfId="10000" xr:uid="{21E0BA16-04F3-4B8C-B560-350BF8598FE8}"/>
    <cellStyle name="SAPBEXHLevel0 4 7" xfId="10906" xr:uid="{CC945425-4038-49F5-97E2-80DC44EE9F95}"/>
    <cellStyle name="SAPBEXHLevel0 5" xfId="11115" xr:uid="{D4766F27-E28B-43BE-BFCB-298BA288DE69}"/>
    <cellStyle name="SAPBEXHLevel0 6" xfId="9803" xr:uid="{27FE62C7-38BA-417B-A9CF-276666B2C551}"/>
    <cellStyle name="SAPBEXHLevel0 7" xfId="11006" xr:uid="{62C62863-0673-4ED4-B231-F4E2E5F54DF4}"/>
    <cellStyle name="SAPBEXHLevel0 8" xfId="11253" xr:uid="{707BF4AB-B1B2-47F0-B219-FED562E9E4D9}"/>
    <cellStyle name="SAPBEXHLevel0 9" xfId="10003" xr:uid="{02A93FE4-6205-4E1D-8503-534164B3B132}"/>
    <cellStyle name="SAPBEXHLevel0X" xfId="9242" xr:uid="{90CD8B87-E11F-46B8-B95D-1EC4386376C6}"/>
    <cellStyle name="SAPBEXHLevel0X 10" xfId="9798" xr:uid="{E8F98BED-BD25-4FD0-8D4A-B67E1D486E61}"/>
    <cellStyle name="SAPBEXHLevel0X 11" xfId="11010" xr:uid="{F2E38843-4CED-421A-A99D-B5C022CC7FA5}"/>
    <cellStyle name="SAPBEXHLevel0X 12" xfId="9859" xr:uid="{3C6D2B98-F785-4F37-83B3-59922087BC2B}"/>
    <cellStyle name="SAPBEXHLevel0X 13" xfId="9999" xr:uid="{10525804-79F4-44F4-8195-0E61985DE1AD}"/>
    <cellStyle name="SAPBEXHLevel0X 14" xfId="10907" xr:uid="{5218FD8A-F067-43E2-A154-BCF9D1D4ACAA}"/>
    <cellStyle name="SAPBEXHLevel0X 2" xfId="9243" xr:uid="{B4A00326-F70B-43EF-A9F9-D17EE10A4DEC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4" xfId="9796" xr:uid="{2E7246CF-6BB1-4E4D-9E73-B3E8E605C2D7}"/>
    <cellStyle name="SAPBEXHLevel0X 2 2 5" xfId="11012" xr:uid="{87AF9AA3-377A-4CB8-BD46-FAB5FAFEFB29}"/>
    <cellStyle name="SAPBEXHLevel0X 2 2 6" xfId="9855" xr:uid="{50F150AD-4326-4B8B-A263-7B4372DE4E22}"/>
    <cellStyle name="SAPBEXHLevel0X 2 2 7" xfId="9997" xr:uid="{B3C5451E-7BE7-4B95-A417-6F3CEF7B24F8}"/>
    <cellStyle name="SAPBEXHLevel0X 2 2 8" xfId="11484" xr:uid="{058CB3EB-29B3-4D82-9CC6-2F8EAE98A88E}"/>
    <cellStyle name="SAPBEXHLevel0X 2 3" xfId="9246" xr:uid="{6B761929-4FC4-44BB-9F81-CA89C5EBE7A7}"/>
    <cellStyle name="SAPBEXHLevel0X 2 4" xfId="11121" xr:uid="{058ECD9E-FDFB-4AA6-A8A2-4A2EED34A35A}"/>
    <cellStyle name="SAPBEXHLevel0X 2 5" xfId="9797" xr:uid="{53C65CEE-9612-4591-8A88-8E8B3D1820FE}"/>
    <cellStyle name="SAPBEXHLevel0X 2 6" xfId="11011" xr:uid="{D88DB87E-49D8-4DF5-9072-2D91586CB88A}"/>
    <cellStyle name="SAPBEXHLevel0X 2 7" xfId="9858" xr:uid="{601EE68A-00EF-4270-A6EF-AF042527C4BF}"/>
    <cellStyle name="SAPBEXHLevel0X 2 8" xfId="9998" xr:uid="{FC4B7985-25B0-42E8-945C-BCE4520D7131}"/>
    <cellStyle name="SAPBEXHLevel0X 2 9" xfId="11066" xr:uid="{690BEE3F-19A8-407E-A0F6-60E04C6A201E}"/>
    <cellStyle name="SAPBEXHLevel0X 3" xfId="9247" xr:uid="{94D333CB-F6E7-483E-91AA-63DA1E54BF4C}"/>
    <cellStyle name="SAPBEXHLevel0X 3 10" xfId="10908" xr:uid="{D880C20A-3D16-462E-A1FD-B658661318A5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4" xfId="9792" xr:uid="{D16BA273-3BE0-49D2-B15C-C6DFC8F7C3E4}"/>
    <cellStyle name="SAPBEXHLevel0X 3 2 5" xfId="11016" xr:uid="{2B4668DA-CD00-4B99-A993-2A7BF2CD8997}"/>
    <cellStyle name="SAPBEXHLevel0X 3 2 6" xfId="9850" xr:uid="{17B25E80-4C62-4EEA-9F1D-7D50ED06D340}"/>
    <cellStyle name="SAPBEXHLevel0X 3 2 7" xfId="9995" xr:uid="{43A2F23A-749E-4992-A738-5EED4F25B3C6}"/>
    <cellStyle name="SAPBEXHLevel0X 3 2 8" xfId="10909" xr:uid="{ACDB742C-9AC9-4C2F-BCA5-F3CFD62D672C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4" xfId="9790" xr:uid="{E9D9C05D-5D38-4DC3-B822-4A18CD9AD37A}"/>
    <cellStyle name="SAPBEXHLevel0X 3 3 5" xfId="11018" xr:uid="{8BC6CDD2-B786-41C1-ABEF-FB3CB1AB7FBC}"/>
    <cellStyle name="SAPBEXHLevel0X 3 3 6" xfId="9845" xr:uid="{E122AA0E-D7E8-47F9-B51A-6FD366910ED5}"/>
    <cellStyle name="SAPBEXHLevel0X 3 3 7" xfId="9994" xr:uid="{B11C0A57-A712-4354-85B9-4CC1A7AE273F}"/>
    <cellStyle name="SAPBEXHLevel0X 3 3 8" xfId="10910" xr:uid="{E79D5CAF-9079-48E7-A977-11F0670E44AA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4" xfId="9788" xr:uid="{87491BE2-5C5D-44FF-ABBE-B83760603D20}"/>
    <cellStyle name="SAPBEXHLevel0X 3 4 5" xfId="11020" xr:uid="{AF4EA3DE-9288-45DB-A564-9F3696F9FA3A}"/>
    <cellStyle name="SAPBEXHLevel0X 3 4 6" xfId="9840" xr:uid="{A16383C6-6605-4F0D-AD1F-E7FD974AAD58}"/>
    <cellStyle name="SAPBEXHLevel0X 3 4 7" xfId="9993" xr:uid="{4457502A-7BC7-452C-B5EA-551B2920D082}"/>
    <cellStyle name="SAPBEXHLevel0X 3 4 8" xfId="10911" xr:uid="{3848FC6B-428A-456F-8EFA-88135FCABB3C}"/>
    <cellStyle name="SAPBEXHLevel0X 3 5" xfId="11124" xr:uid="{43036A82-6547-4B2B-8E08-0AD6C3E1A6B1}"/>
    <cellStyle name="SAPBEXHLevel0X 3 6" xfId="9793" xr:uid="{BD425201-6A27-471F-8A67-F4B9D19E8379}"/>
    <cellStyle name="SAPBEXHLevel0X 3 7" xfId="11015" xr:uid="{AC2E0221-3735-404D-989A-9A1539C54D10}"/>
    <cellStyle name="SAPBEXHLevel0X 3 8" xfId="9851" xr:uid="{4E9E227C-4FB9-4E7D-AD95-EC8B56FFAD1E}"/>
    <cellStyle name="SAPBEXHLevel0X 3 9" xfId="9996" xr:uid="{4D9CFF69-1157-4748-8F68-003943DF6746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4" xfId="9786" xr:uid="{7457D565-36CA-4E67-B6B5-B59BD99F0855}"/>
    <cellStyle name="SAPBEXHLevel0X 4 5" xfId="11021" xr:uid="{D22A6920-A434-49EA-AD43-75AD91F45C41}"/>
    <cellStyle name="SAPBEXHLevel0X 4 6" xfId="9835" xr:uid="{5E6BBA19-6787-4511-9E6B-4358B13E9CDE}"/>
    <cellStyle name="SAPBEXHLevel0X 4 7" xfId="9992" xr:uid="{BEBB2C54-CCD2-486F-813F-8BB9C5057011}"/>
    <cellStyle name="SAPBEXHLevel0X 4 8" xfId="10912" xr:uid="{F82F6271-548A-4F0A-BF10-13428A16616E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3" xfId="9784" xr:uid="{88CECF27-1A82-4A87-8C30-FC5BE7261717}"/>
    <cellStyle name="SAPBEXHLevel0X 6 4" xfId="11027" xr:uid="{CCCB8AED-56D6-4ADD-8FA7-A566F8E900CB}"/>
    <cellStyle name="SAPBEXHLevel0X 6 5" xfId="9828" xr:uid="{E2A5C84C-0B89-4010-926F-37D89117FA5A}"/>
    <cellStyle name="SAPBEXHLevel0X 6 6" xfId="11238" xr:uid="{B9F8782A-24BD-47A7-9CAB-5D203AA9D11A}"/>
    <cellStyle name="SAPBEXHLevel0X 6 7" xfId="10917" xr:uid="{D490D938-3450-4023-B7FD-0C19AD880EA8}"/>
    <cellStyle name="SAPBEXHLevel0X 7" xfId="9258" xr:uid="{A5E88BEB-D83C-4BD1-B3E1-DF2E02733452}"/>
    <cellStyle name="SAPBEXHLevel0X 7 2" xfId="11130" xr:uid="{8EDDC187-D3F6-4BE2-B8B1-1D7FB256E815}"/>
    <cellStyle name="SAPBEXHLevel0X 7 3" xfId="9783" xr:uid="{68DA4D75-D6C9-4BAE-9957-D13210F77675}"/>
    <cellStyle name="SAPBEXHLevel0X 7 4" xfId="11029" xr:uid="{EB57BE44-8ECC-44B4-A5F5-2277476CC70F}"/>
    <cellStyle name="SAPBEXHLevel0X 7 5" xfId="9826" xr:uid="{D47738FE-CC9B-43E9-B7BA-D810A57764B9}"/>
    <cellStyle name="SAPBEXHLevel0X 7 6" xfId="11236" xr:uid="{83D14364-D03A-4A2A-85CE-DF0401BB975A}"/>
    <cellStyle name="SAPBEXHLevel0X 7 7" xfId="10919" xr:uid="{02479FC9-CD00-4B6D-A8DF-42EAF2409705}"/>
    <cellStyle name="SAPBEXHLevel0X 8" xfId="9259" xr:uid="{03FC83FF-2E7D-4D08-AA88-67583E16603A}"/>
    <cellStyle name="SAPBEXHLevel0X 8 2" xfId="11131" xr:uid="{E0B91DA8-3633-4D9F-8724-DDBD254CB3D2}"/>
    <cellStyle name="SAPBEXHLevel0X 8 3" xfId="9782" xr:uid="{5960AC84-8A27-44EB-A211-77D0B605C6EE}"/>
    <cellStyle name="SAPBEXHLevel0X 8 4" xfId="11031" xr:uid="{3830252D-23B3-47B7-B261-7ED49D516B84}"/>
    <cellStyle name="SAPBEXHLevel0X 8 5" xfId="9823" xr:uid="{BFC6FB47-A1FA-4BA2-B5F7-F108FABD32F9}"/>
    <cellStyle name="SAPBEXHLevel0X 8 6" xfId="11237" xr:uid="{7E0306EF-8ABB-4F60-887A-C38CDA7D40BC}"/>
    <cellStyle name="SAPBEXHLevel0X 8 7" xfId="10921" xr:uid="{B49FB1BD-D9E1-4A8B-AA04-E157CE83EFFF}"/>
    <cellStyle name="SAPBEXHLevel0X 9" xfId="11120" xr:uid="{BE9C8184-27EA-442B-ABC2-144EF05DDF35}"/>
    <cellStyle name="SAPBEXHLevel1" xfId="9260" xr:uid="{82AB8D82-9ECC-4279-A1E5-967604598384}"/>
    <cellStyle name="SAPBEXHLevel1 10" xfId="10922" xr:uid="{12C0F68E-BC96-41EF-91C0-B57F12237D45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4" xfId="9780" xr:uid="{DCC6BAC0-8FA7-469F-BEA5-8E9DA800FCEB}"/>
    <cellStyle name="SAPBEXHLevel1 2 5" xfId="11033" xr:uid="{9AFF3351-B284-4666-9396-2D780FDB147E}"/>
    <cellStyle name="SAPBEXHLevel1 2 6" xfId="9820" xr:uid="{A26B54B3-A136-4743-8053-F631AE98A98D}"/>
    <cellStyle name="SAPBEXHLevel1 2 7" xfId="11035" xr:uid="{075D99A2-DD43-4CD2-96E3-5770F3FEFC0D}"/>
    <cellStyle name="SAPBEXHLevel1 2 8" xfId="10923" xr:uid="{4E88CB9F-C541-4B9A-AAB1-CA6C7C024002}"/>
    <cellStyle name="SAPBEXHLevel1 3" xfId="9263" xr:uid="{0013BDAD-0AEA-424D-8F02-CC3A64D83A0C}"/>
    <cellStyle name="SAPBEXHLevel1 3 2" xfId="11134" xr:uid="{97AD2C4F-1127-4E97-B7A0-198ED4842006}"/>
    <cellStyle name="SAPBEXHLevel1 3 3" xfId="9778" xr:uid="{47C13085-97DC-4C59-8AD9-6967504FACD3}"/>
    <cellStyle name="SAPBEXHLevel1 3 4" xfId="11278" xr:uid="{CA7CA65E-FC6D-4680-857C-00CEB0EC02B7}"/>
    <cellStyle name="SAPBEXHLevel1 3 5" xfId="9819" xr:uid="{7FDA4562-B5F1-4A23-BEAC-97ED6F413F40}"/>
    <cellStyle name="SAPBEXHLevel1 3 6" xfId="11275" xr:uid="{41AA24C4-6955-4CDC-8B97-1AC257AAD40D}"/>
    <cellStyle name="SAPBEXHLevel1 3 7" xfId="10924" xr:uid="{6B0B1D7E-DA59-463D-AAC1-F63C8AB32025}"/>
    <cellStyle name="SAPBEXHLevel1 4" xfId="9264" xr:uid="{5C9B6F3C-FC8A-4EC7-BC08-E2FF081A07FB}"/>
    <cellStyle name="SAPBEXHLevel1 4 2" xfId="11135" xr:uid="{B6B50BF2-08E9-4C17-B935-47B2C96FF5BF}"/>
    <cellStyle name="SAPBEXHLevel1 4 3" xfId="9777" xr:uid="{B56B5E30-6AFD-4AC1-BAA5-7E7B77DF6C2B}"/>
    <cellStyle name="SAPBEXHLevel1 4 4" xfId="11279" xr:uid="{6E275BD2-37C8-4A14-9E12-DF46C3C5C1DA}"/>
    <cellStyle name="SAPBEXHLevel1 4 5" xfId="9818" xr:uid="{21ABF7E3-53A9-4DF4-AB24-493493901581}"/>
    <cellStyle name="SAPBEXHLevel1 4 6" xfId="11276" xr:uid="{7F58580E-E74A-4E73-B2FF-5418BEB6CA42}"/>
    <cellStyle name="SAPBEXHLevel1 4 7" xfId="10925" xr:uid="{07C29D4F-83D8-4994-B8A4-A66ECB21E6D1}"/>
    <cellStyle name="SAPBEXHLevel1 5" xfId="11132" xr:uid="{9935021E-4AB6-40BC-A9F0-5F777675DD0B}"/>
    <cellStyle name="SAPBEXHLevel1 6" xfId="9781" xr:uid="{C6087541-EACF-4923-BA23-562470645602}"/>
    <cellStyle name="SAPBEXHLevel1 7" xfId="11032" xr:uid="{EFC8A1FB-FB77-4E07-8FC9-534C34E03B01}"/>
    <cellStyle name="SAPBEXHLevel1 8" xfId="9822" xr:uid="{703696D5-F2F7-4439-AFAF-C31EAC54FF9C}"/>
    <cellStyle name="SAPBEXHLevel1 9" xfId="11246" xr:uid="{D5044E0F-BF0F-4DE2-B5C7-6A32BB816466}"/>
    <cellStyle name="SAPBEXHLevel1X" xfId="9265" xr:uid="{49228859-4B96-4EB5-90D9-9073063D3A2A}"/>
    <cellStyle name="SAPBEXHLevel1X 10" xfId="10926" xr:uid="{B29429C7-581F-4B5F-8F71-024BBEE2FEFD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4" xfId="9775" xr:uid="{7A83575D-92C6-495A-A5D5-AC619AC1BD9F}"/>
    <cellStyle name="SAPBEXHLevel1X 2 5" xfId="11281" xr:uid="{C5F35C9A-E7EA-41DC-ABEC-D9FF016C5900}"/>
    <cellStyle name="SAPBEXHLevel1X 2 6" xfId="9816" xr:uid="{BBD57F00-8218-4FC1-856F-9564C92401FB}"/>
    <cellStyle name="SAPBEXHLevel1X 2 7" xfId="9990" xr:uid="{0C651CDA-4505-4664-9D50-4DF42DC56C21}"/>
    <cellStyle name="SAPBEXHLevel1X 2 8" xfId="10927" xr:uid="{EF0D741E-DF13-4D69-9A34-E0D953661148}"/>
    <cellStyle name="SAPBEXHLevel1X 3" xfId="9268" xr:uid="{5ABA1497-5B8E-46ED-AA85-ABC381062038}"/>
    <cellStyle name="SAPBEXHLevel1X 3 2" xfId="11138" xr:uid="{6CF1F0FA-DC2B-4B34-8C23-71856B86BCA2}"/>
    <cellStyle name="SAPBEXHLevel1X 3 3" xfId="9773" xr:uid="{61722CBF-DB7D-432A-829A-14C5398FB552}"/>
    <cellStyle name="SAPBEXHLevel1X 3 4" xfId="11282" xr:uid="{6430DFEE-C138-4598-BACB-9C11F05CB25D}"/>
    <cellStyle name="SAPBEXHLevel1X 3 5" xfId="9809" xr:uid="{DAFFBAB9-7329-477C-80D3-9A48F20EA4C0}"/>
    <cellStyle name="SAPBEXHLevel1X 3 6" xfId="9989" xr:uid="{D28BBFB0-0E5F-4CD8-A889-B7022951B713}"/>
    <cellStyle name="SAPBEXHLevel1X 3 7" xfId="10928" xr:uid="{D3C717AB-C4BF-4523-A214-DDBEFA7B1613}"/>
    <cellStyle name="SAPBEXHLevel1X 4" xfId="9269" xr:uid="{6664CBAE-6EA5-40BA-9D97-905FCA11FBCF}"/>
    <cellStyle name="SAPBEXHLevel1X 4 2" xfId="11139" xr:uid="{ED926A7A-F8FA-462F-8CCB-90BC41934D73}"/>
    <cellStyle name="SAPBEXHLevel1X 4 3" xfId="9772" xr:uid="{23BF40D6-D2C7-4B0A-8D57-234871B57ABF}"/>
    <cellStyle name="SAPBEXHLevel1X 4 4" xfId="11283" xr:uid="{A582FBB2-7286-42DC-B125-A4558A75F09A}"/>
    <cellStyle name="SAPBEXHLevel1X 4 5" xfId="9805" xr:uid="{04144A42-B22A-4356-B6B0-C764A3788065}"/>
    <cellStyle name="SAPBEXHLevel1X 4 6" xfId="9988" xr:uid="{AC3AAFDB-B336-44A0-88B7-BDADC753E2D7}"/>
    <cellStyle name="SAPBEXHLevel1X 4 7" xfId="10929" xr:uid="{5C949C6A-2453-4FB8-BF67-A810E2F55E04}"/>
    <cellStyle name="SAPBEXHLevel1X 5" xfId="11136" xr:uid="{79441672-8400-4546-AA09-D96A7EAF97F8}"/>
    <cellStyle name="SAPBEXHLevel1X 6" xfId="9776" xr:uid="{237FE479-8CDE-4B31-83EB-FF01E4D6F843}"/>
    <cellStyle name="SAPBEXHLevel1X 7" xfId="11280" xr:uid="{30F8BCA1-B4BD-474D-941D-CDD708BE1957}"/>
    <cellStyle name="SAPBEXHLevel1X 8" xfId="9817" xr:uid="{94748A26-4162-47D6-A912-AEC1FA6478B7}"/>
    <cellStyle name="SAPBEXHLevel1X 9" xfId="9991" xr:uid="{70025CF5-E614-48D9-924F-A5C742C3E12B}"/>
    <cellStyle name="SAPBEXHLevel2" xfId="9270" xr:uid="{1DE609A1-AB0E-4F30-9AD3-48098847BAF4}"/>
    <cellStyle name="SAPBEXHLevel2 10" xfId="10930" xr:uid="{EC3D44AC-2FCC-4DAB-9BD8-3A12028271B4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4" xfId="9770" xr:uid="{17AC6B69-DEF7-4A13-B333-C1F566C2CA86}"/>
    <cellStyle name="SAPBEXHLevel2 2 5" xfId="11285" xr:uid="{1BE63100-2117-4D72-97EB-6A06DE72FDA4}"/>
    <cellStyle name="SAPBEXHLevel2 2 6" xfId="9795" xr:uid="{5EA90CA3-9B51-4C69-B451-60138BC1940A}"/>
    <cellStyle name="SAPBEXHLevel2 2 7" xfId="9986" xr:uid="{45DECD26-CC79-4943-B833-FF4DEC8CF394}"/>
    <cellStyle name="SAPBEXHLevel2 2 8" xfId="10931" xr:uid="{1B4F6D1A-D938-4E8E-9D91-9B0894B763E2}"/>
    <cellStyle name="SAPBEXHLevel2 3" xfId="9273" xr:uid="{AAC39BDA-9466-46C2-82E8-25A0CAFCB6BB}"/>
    <cellStyle name="SAPBEXHLevel2 3 2" xfId="11142" xr:uid="{97B6977B-4806-41AF-9235-9052742847E7}"/>
    <cellStyle name="SAPBEXHLevel2 3 3" xfId="9768" xr:uid="{5910B9EF-33D3-4A6F-AA60-B3AC2830ADFB}"/>
    <cellStyle name="SAPBEXHLevel2 3 4" xfId="11287" xr:uid="{573F8C88-715C-4044-B3B6-E730CECB114A}"/>
    <cellStyle name="SAPBEXHLevel2 3 5" xfId="9791" xr:uid="{E0493326-2966-4266-A22F-60D58E2D2A55}"/>
    <cellStyle name="SAPBEXHLevel2 3 6" xfId="9985" xr:uid="{C61287EE-E167-4CBA-8322-012460BD1429}"/>
    <cellStyle name="SAPBEXHLevel2 3 7" xfId="10932" xr:uid="{A6A5AD95-E49D-4697-B34D-BE01DDA5232E}"/>
    <cellStyle name="SAPBEXHLevel2 4" xfId="9274" xr:uid="{3454D74A-B80C-41C8-9A8D-DD3B73E68A16}"/>
    <cellStyle name="SAPBEXHLevel2 4 2" xfId="11143" xr:uid="{AC1C7295-905E-42D8-A5ED-EE43454C5EC4}"/>
    <cellStyle name="SAPBEXHLevel2 4 3" xfId="9767" xr:uid="{A33DAB70-F185-42AC-B5A1-F3538E505F97}"/>
    <cellStyle name="SAPBEXHLevel2 4 4" xfId="11288" xr:uid="{435C731B-0BAA-4FF1-8771-E2E9318ACE03}"/>
    <cellStyle name="SAPBEXHLevel2 4 5" xfId="9789" xr:uid="{11EE5D02-B77C-4632-9002-956C0F71DE87}"/>
    <cellStyle name="SAPBEXHLevel2 4 6" xfId="11274" xr:uid="{16DC5A18-DD0B-4EF4-A16C-194F71D7A81C}"/>
    <cellStyle name="SAPBEXHLevel2 4 7" xfId="10933" xr:uid="{6829F289-F15A-4D2C-90DC-B00F23A9AC27}"/>
    <cellStyle name="SAPBEXHLevel2 5" xfId="11140" xr:uid="{1E8E6F63-0A28-406E-80BB-A2FFCDEE1B7B}"/>
    <cellStyle name="SAPBEXHLevel2 6" xfId="9771" xr:uid="{B820B6EC-043D-448C-A4F5-A06C21841100}"/>
    <cellStyle name="SAPBEXHLevel2 7" xfId="11284" xr:uid="{94EAB7C6-3220-4ED4-943F-35ADFDCBBFD5}"/>
    <cellStyle name="SAPBEXHLevel2 8" xfId="9801" xr:uid="{E558B0AB-6762-4EA9-A6EB-7AF76942128F}"/>
    <cellStyle name="SAPBEXHLevel2 9" xfId="9987" xr:uid="{D873CD54-2D54-4815-B734-9BF8394493D4}"/>
    <cellStyle name="SAPBEXHLevel2X" xfId="9275" xr:uid="{8B28F1D7-0F47-45C3-BBC3-CB50EC67C03B}"/>
    <cellStyle name="SAPBEXHLevel2X 10" xfId="10934" xr:uid="{B29AC23F-0220-499F-B95C-266B640AF5F8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4" xfId="9765" xr:uid="{B695B829-B1ED-4C97-8D28-9CC4CB8EF440}"/>
    <cellStyle name="SAPBEXHLevel2X 2 5" xfId="11290" xr:uid="{FBAEAA37-8D43-4028-A574-B9350FCCDCCB}"/>
    <cellStyle name="SAPBEXHLevel2X 2 6" xfId="9785" xr:uid="{4A895C8F-E73A-469B-B890-4BB6ACBA3469}"/>
    <cellStyle name="SAPBEXHLevel2X 2 7" xfId="9983" xr:uid="{8A9F5995-9A57-4404-957B-0152F1FECCA1}"/>
    <cellStyle name="SAPBEXHLevel2X 2 8" xfId="11389" xr:uid="{68F762EA-8AF0-4255-9F8A-CB513B662269}"/>
    <cellStyle name="SAPBEXHLevel2X 3" xfId="9278" xr:uid="{ECCC38AA-1A23-41E8-9D3C-3241F90228F5}"/>
    <cellStyle name="SAPBEXHLevel2X 3 2" xfId="11146" xr:uid="{2ABF952F-9249-4730-BCF2-3542E2872EE3}"/>
    <cellStyle name="SAPBEXHLevel2X 3 3" xfId="9763" xr:uid="{4CDA56F1-7ED0-4F80-A53D-8222B766CA86}"/>
    <cellStyle name="SAPBEXHLevel2X 3 4" xfId="11291" xr:uid="{E38AF5EC-5B70-42A8-94B6-7473F94C0EDF}"/>
    <cellStyle name="SAPBEXHLevel2X 3 5" xfId="9779" xr:uid="{18375CF3-1823-4A65-8C35-41D5D7E99EDC}"/>
    <cellStyle name="SAPBEXHLevel2X 3 6" xfId="9982" xr:uid="{F9E1AAF5-08C0-4A5F-AAB1-4595D87B5210}"/>
    <cellStyle name="SAPBEXHLevel2X 3 7" xfId="11388" xr:uid="{61A07DEA-1960-432B-A75C-F4237C925DCA}"/>
    <cellStyle name="SAPBEXHLevel2X 4" xfId="9279" xr:uid="{964550D9-CEB0-4791-B1FA-E3C76FB54824}"/>
    <cellStyle name="SAPBEXHLevel2X 4 2" xfId="11147" xr:uid="{C76A7399-920C-4C5A-B63F-AB85BE82EE4E}"/>
    <cellStyle name="SAPBEXHLevel2X 4 3" xfId="9762" xr:uid="{D127B4FA-D64C-4198-9274-3005341305A9}"/>
    <cellStyle name="SAPBEXHLevel2X 4 4" xfId="11292" xr:uid="{7FC3A512-A67C-459D-9E66-88A148199ED7}"/>
    <cellStyle name="SAPBEXHLevel2X 4 5" xfId="9774" xr:uid="{EFE9121A-734E-4A54-9A21-16147E871EFF}"/>
    <cellStyle name="SAPBEXHLevel2X 4 6" xfId="9981" xr:uid="{F11705DC-B7E0-485B-B783-BAEBD5F7EB8C}"/>
    <cellStyle name="SAPBEXHLevel2X 4 7" xfId="10937" xr:uid="{4E8E39CF-66EF-467E-BE4F-7573F7FD1000}"/>
    <cellStyle name="SAPBEXHLevel2X 5" xfId="11144" xr:uid="{14490C9E-EE3A-4D06-A230-D4E5E9337817}"/>
    <cellStyle name="SAPBEXHLevel2X 6" xfId="9766" xr:uid="{143BA238-600E-470C-B3D3-45B78C608A82}"/>
    <cellStyle name="SAPBEXHLevel2X 7" xfId="11289" xr:uid="{113D0718-6745-4412-8DB7-968DCC131836}"/>
    <cellStyle name="SAPBEXHLevel2X 8" xfId="9787" xr:uid="{69237B84-F679-49D9-AA72-440D418BCAAA}"/>
    <cellStyle name="SAPBEXHLevel2X 9" xfId="9984" xr:uid="{27DF3E32-AAE9-45DE-AAD6-B7A86B5C160C}"/>
    <cellStyle name="SAPBEXHLevel3" xfId="9280" xr:uid="{43ABE0A7-A1D9-49A8-96D3-E0E05A4C8E2C}"/>
    <cellStyle name="SAPBEXHLevel3 10" xfId="10940" xr:uid="{63C06DEE-1B33-4441-BC46-720BE0E15B6C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4" xfId="9760" xr:uid="{DE6A8868-DA0F-4663-A493-96B56CDECABE}"/>
    <cellStyle name="SAPBEXHLevel3 2 5" xfId="11294" xr:uid="{F704EA71-5CE0-4194-B277-0C46D9354281}"/>
    <cellStyle name="SAPBEXHLevel3 2 6" xfId="9764" xr:uid="{3BC98A3B-7C72-4F1F-AC1B-F8FC6C73AAB5}"/>
    <cellStyle name="SAPBEXHLevel3 2 7" xfId="9979" xr:uid="{C0329B89-6DB9-4440-83E5-E9B416BBE96B}"/>
    <cellStyle name="SAPBEXHLevel3 2 8" xfId="10943" xr:uid="{C379A51B-965D-4AEB-B530-D0532F6185F6}"/>
    <cellStyle name="SAPBEXHLevel3 3" xfId="9283" xr:uid="{34C99D4F-2DBC-4C94-B5B7-66DB5BDA4122}"/>
    <cellStyle name="SAPBEXHLevel3 3 2" xfId="11150" xr:uid="{908EFCA3-B6B0-40F0-BC6F-B241F677614B}"/>
    <cellStyle name="SAPBEXHLevel3 3 3" xfId="9759" xr:uid="{9DC2F418-1847-407A-A53E-A64498CD5962}"/>
    <cellStyle name="SAPBEXHLevel3 3 4" xfId="11296" xr:uid="{DB6780D3-F14E-4CDC-8E86-830BBDFA28FF}"/>
    <cellStyle name="SAPBEXHLevel3 3 5" xfId="9755" xr:uid="{B0596302-3FF1-4983-8900-87B5C683493C}"/>
    <cellStyle name="SAPBEXHLevel3 3 6" xfId="9978" xr:uid="{9E828570-3D90-475E-A8B1-FFF9388CC016}"/>
    <cellStyle name="SAPBEXHLevel3 3 7" xfId="10950" xr:uid="{B7E88191-2589-4053-A594-73D2505D3586}"/>
    <cellStyle name="SAPBEXHLevel3 4" xfId="9284" xr:uid="{D4561DA2-0D8B-4E46-B9FD-0DDF245BE1E3}"/>
    <cellStyle name="SAPBEXHLevel3 4 2" xfId="11151" xr:uid="{F4B4B470-EE59-4B84-9A60-57F9D2785A9A}"/>
    <cellStyle name="SAPBEXHLevel3 4 3" xfId="9758" xr:uid="{42E6DAF3-7956-4E75-B838-21ED3364893F}"/>
    <cellStyle name="SAPBEXHLevel3 4 4" xfId="11297" xr:uid="{FF95A0F9-DAB7-49AE-8411-570B34D7252E}"/>
    <cellStyle name="SAPBEXHLevel3 4 5" xfId="9750" xr:uid="{617B93D9-743E-490C-950A-F02B8AF8B83A}"/>
    <cellStyle name="SAPBEXHLevel3 4 6" xfId="9977" xr:uid="{6977047A-5B35-43CF-9D9B-65FEA387B6BD}"/>
    <cellStyle name="SAPBEXHLevel3 4 7" xfId="10951" xr:uid="{623C3E41-4634-4695-BDF4-41C890B85942}"/>
    <cellStyle name="SAPBEXHLevel3 5" xfId="11148" xr:uid="{7601314B-C113-4718-AFC8-2B6A4E53D63D}"/>
    <cellStyle name="SAPBEXHLevel3 6" xfId="9761" xr:uid="{9C8785D3-BE29-481A-9D2A-0A0A346C1D4C}"/>
    <cellStyle name="SAPBEXHLevel3 7" xfId="11293" xr:uid="{68B30FEF-A9C8-45D3-9AFA-80B01C311C8F}"/>
    <cellStyle name="SAPBEXHLevel3 8" xfId="9769" xr:uid="{7BDAF0F2-77E5-4613-8887-7E88FD0D7424}"/>
    <cellStyle name="SAPBEXHLevel3 9" xfId="9980" xr:uid="{DD13A66B-0911-48FD-8C8F-F88A85B2E03A}"/>
    <cellStyle name="SAPBEXHLevel3X" xfId="9285" xr:uid="{0D773523-6FCE-4697-B6BB-8E49B1E2C6E6}"/>
    <cellStyle name="SAPBEXHLevel3X 10" xfId="10954" xr:uid="{93D10DC6-68C9-41E5-B7FE-4FF93DF5BE6F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4" xfId="9756" xr:uid="{5E49D616-C6F6-4EA2-B45F-B669F1A672C4}"/>
    <cellStyle name="SAPBEXHLevel3X 2 5" xfId="11299" xr:uid="{1AAB5B60-5ED3-4A75-A072-DE180A0EF902}"/>
    <cellStyle name="SAPBEXHLevel3X 2 6" xfId="9749" xr:uid="{6B9E5B4D-9BCF-4EAB-873D-80FE380C9D62}"/>
    <cellStyle name="SAPBEXHLevel3X 2 7" xfId="9975" xr:uid="{0E9F6954-6099-4152-A775-88B09C6CB3F2}"/>
    <cellStyle name="SAPBEXHLevel3X 2 8" xfId="10956" xr:uid="{C1C644C1-61D0-44D4-8F8A-A2A8DC4F2184}"/>
    <cellStyle name="SAPBEXHLevel3X 3" xfId="9288" xr:uid="{188A59E7-C0B9-43BA-B04A-148BCBBA920E}"/>
    <cellStyle name="SAPBEXHLevel3X 3 2" xfId="11154" xr:uid="{99244DB1-BCDB-4BFD-B88D-EDD442D3C0F3}"/>
    <cellStyle name="SAPBEXHLevel3X 3 3" xfId="9754" xr:uid="{5375AC60-3512-4A29-88F7-0F00889DC141}"/>
    <cellStyle name="SAPBEXHLevel3X 3 4" xfId="11300" xr:uid="{DA0E0CB9-1664-4BA8-BC74-02D67846F9AC}"/>
    <cellStyle name="SAPBEXHLevel3X 3 5" xfId="9744" xr:uid="{EEF66C46-04D2-4CC3-A14F-BEE73B555229}"/>
    <cellStyle name="SAPBEXHLevel3X 3 6" xfId="9974" xr:uid="{C693B204-F422-47F5-8475-B512B6740F47}"/>
    <cellStyle name="SAPBEXHLevel3X 3 7" xfId="10959" xr:uid="{DA134C53-1B01-4635-88B1-7834E4DAD849}"/>
    <cellStyle name="SAPBEXHLevel3X 4" xfId="9289" xr:uid="{4D7A37FE-D1E6-4351-9032-8D69A0177B6E}"/>
    <cellStyle name="SAPBEXHLevel3X 4 2" xfId="11155" xr:uid="{BC5B9170-C28F-44B9-8529-83D4429F8CBF}"/>
    <cellStyle name="SAPBEXHLevel3X 4 3" xfId="9753" xr:uid="{C9914E01-956D-4358-AA5B-CFFA6AB6F278}"/>
    <cellStyle name="SAPBEXHLevel3X 4 4" xfId="11301" xr:uid="{D5B74FA2-4810-45E0-80E3-BD826609A79A}"/>
    <cellStyle name="SAPBEXHLevel3X 4 5" xfId="9741" xr:uid="{68C0424C-A48F-4B95-B7F8-0B279ACF099B}"/>
    <cellStyle name="SAPBEXHLevel3X 4 6" xfId="9973" xr:uid="{19AA07FD-D429-413F-A40A-ABA026FEFBF8}"/>
    <cellStyle name="SAPBEXHLevel3X 4 7" xfId="10960" xr:uid="{7B906C87-C092-443E-AE78-1979AE69BAB7}"/>
    <cellStyle name="SAPBEXHLevel3X 5" xfId="11152" xr:uid="{0625F224-695A-4FA7-BD18-9528550F7975}"/>
    <cellStyle name="SAPBEXHLevel3X 6" xfId="9757" xr:uid="{0AE52BC9-CA1B-4AA9-A25F-DDE466649F85}"/>
    <cellStyle name="SAPBEXHLevel3X 7" xfId="11298" xr:uid="{16217191-F6DD-4DC6-B34F-D0108A43DCFD}"/>
    <cellStyle name="SAPBEXHLevel3X 8" xfId="11407" xr:uid="{039F40A5-1A47-41B5-BDBE-421C95A85B65}"/>
    <cellStyle name="SAPBEXHLevel3X 9" xfId="9976" xr:uid="{DBEC16B1-21E3-4388-B66B-A7158C3360C1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8" xfId="11160" xr:uid="{5580D2E4-A2BF-41CD-A556-D05CD65F808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9" xfId="11158" xr:uid="{1A076680-5B66-405B-9459-27A120C3CC7A}"/>
    <cellStyle name="SAPBEXItemHeader" xfId="9294" xr:uid="{E9145759-BE4B-472C-96C9-3ABD3DC07898}"/>
    <cellStyle name="SAPBEXItemHeader 2" xfId="10867" xr:uid="{296B149D-96AD-49AE-85EF-6ED72FBADF32}"/>
    <cellStyle name="SAPBEXItemHeader 3" xfId="10935" xr:uid="{8E8823B5-3E57-4BE1-82E5-FD5C61C743FD}"/>
    <cellStyle name="SAPBEXItemHeader 4" xfId="9748" xr:uid="{5DDF5C67-2A90-4760-A082-6B9D7014F28A}"/>
    <cellStyle name="SAPBEXItemHeader 5" xfId="11305" xr:uid="{3110F91C-AA17-4599-BFC4-D0B253E991C3}"/>
    <cellStyle name="SAPBEXItemHeader 6" xfId="10866" xr:uid="{A24031FF-176E-44E0-80F8-AC2D722CF3DD}"/>
    <cellStyle name="SAPBEXItemHeader 7" xfId="10904" xr:uid="{AC0F957C-5BF5-470C-8949-847EB9044579}"/>
    <cellStyle name="SAPBEXItemHeader 8" xfId="10971" xr:uid="{25597471-C5A5-497C-BF8A-29D8C16D801E}"/>
    <cellStyle name="SAPBEXresData" xfId="9295" xr:uid="{7E1C2E81-53F0-4923-8012-DFC78EA96501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3" xfId="9743" xr:uid="{9A67B091-2330-4243-95A1-5B09D0065655}"/>
    <cellStyle name="SAPBEXresData 3 4" xfId="11308" xr:uid="{B454C5E8-E5FC-4325-9D02-6F63C8F32567}"/>
    <cellStyle name="SAPBEXresData 3 5" xfId="9723" xr:uid="{CD23E754-FAB0-4C81-BF10-FE3F9F73147D}"/>
    <cellStyle name="SAPBEXresData 3 6" xfId="9969" xr:uid="{CE20005A-DE0A-417E-9260-FEFC4219B681}"/>
    <cellStyle name="SAPBEXresData 3 7" xfId="10979" xr:uid="{FF9FED54-D68A-4E41-8D55-FFF4CFAB5273}"/>
    <cellStyle name="SAPBEXresData 4" xfId="11159" xr:uid="{9B1427EB-EE0F-42FE-9C53-778A7E966C67}"/>
    <cellStyle name="SAPBEXresData 5" xfId="9745" xr:uid="{35D31612-1136-47DA-AB1E-401C412AB512}"/>
    <cellStyle name="SAPBEXresData 6" xfId="11306" xr:uid="{8681A2C1-DC4E-4AB9-95B5-303AA24B925B}"/>
    <cellStyle name="SAPBEXresData 7" xfId="9727" xr:uid="{B7622C58-D8CA-47BE-8EA9-DAD2C0A7AF25}"/>
    <cellStyle name="SAPBEXresData 8" xfId="9970" xr:uid="{0D483185-C561-465A-BF98-0E1A9C40CA77}"/>
    <cellStyle name="SAPBEXresData 9" xfId="10974" xr:uid="{9A16E7D7-B9F6-4BAD-8908-073311B08259}"/>
    <cellStyle name="SAPBEXresDataEmph" xfId="9298" xr:uid="{0ED3F9FF-1EC1-4BA7-A481-7A78A357C106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3" xfId="9740" xr:uid="{FE7AD3F5-878C-4418-BC64-5956E50125AD}"/>
    <cellStyle name="SAPBEXresDataEmph 3 4" xfId="11311" xr:uid="{33D5D0D2-4048-40EC-9356-B0E504633A3A}"/>
    <cellStyle name="SAPBEXresDataEmph 3 5" xfId="9719" xr:uid="{3939376E-DB9F-4505-8B97-956385CF0755}"/>
    <cellStyle name="SAPBEXresDataEmph 3 6" xfId="9967" xr:uid="{35BE7529-9245-445B-9E53-749CFC1D65E2}"/>
    <cellStyle name="SAPBEXresDataEmph 3 7" xfId="10985" xr:uid="{070A5648-9E24-4E6F-91F5-E0A76E1C8468}"/>
    <cellStyle name="SAPBEXresDataEmph 4" xfId="11162" xr:uid="{077AB3CD-4F45-4604-8662-A28C7C135B87}"/>
    <cellStyle name="SAPBEXresDataEmph 5" xfId="9742" xr:uid="{CF8EB81B-EE1E-4ED1-9D70-634AB0CCC59E}"/>
    <cellStyle name="SAPBEXresDataEmph 6" xfId="11309" xr:uid="{400C6350-CC14-41AA-ADFB-D3E549AAB492}"/>
    <cellStyle name="SAPBEXresDataEmph 7" xfId="9721" xr:uid="{2ECD18F1-6649-47C3-8422-82375516685E}"/>
    <cellStyle name="SAPBEXresDataEmph 8" xfId="9968" xr:uid="{2C41F155-C40E-4775-943B-8558CB1EF672}"/>
    <cellStyle name="SAPBEXresDataEmph 9" xfId="10982" xr:uid="{BCAB1E41-C2BB-47A9-9F9E-68BAE177C0B4}"/>
    <cellStyle name="SAPBEXresItem" xfId="9301" xr:uid="{37BFB463-ACEE-4D97-AB6F-58C7BE49D239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3" xfId="9738" xr:uid="{69746440-EE96-4A5F-87BD-6336EE58C195}"/>
    <cellStyle name="SAPBEXresItem 3 4" xfId="11314" xr:uid="{B7AF544E-B21A-4017-88AE-D37422CE8F2F}"/>
    <cellStyle name="SAPBEXresItem 3 5" xfId="9709" xr:uid="{8FF653A3-31DE-4150-BE12-186085FD2917}"/>
    <cellStyle name="SAPBEXresItem 3 6" xfId="9966" xr:uid="{CE72FAA5-9F7A-4BCD-A02F-59CF252036B9}"/>
    <cellStyle name="SAPBEXresItem 3 7" xfId="10989" xr:uid="{A7F6D00D-2B0C-493D-BCE7-E9FF3242276D}"/>
    <cellStyle name="SAPBEXresItem 4" xfId="11164" xr:uid="{1372196C-58CB-42A9-BB40-7144304E4C43}"/>
    <cellStyle name="SAPBEXresItem 5" xfId="11251" xr:uid="{6345B254-A54B-42FF-B817-A1E4D6240D53}"/>
    <cellStyle name="SAPBEXresItem 6" xfId="11312" xr:uid="{875AF5F9-B0D2-40FF-B98E-A5D85C7A9DC1}"/>
    <cellStyle name="SAPBEXresItem 7" xfId="9712" xr:uid="{EBF03F39-7818-48C3-8324-3283A0790921}"/>
    <cellStyle name="SAPBEXresItem 8" xfId="11469" xr:uid="{9F7848A2-D374-41CF-B3B7-8160F203C2CB}"/>
    <cellStyle name="SAPBEXresItem 9" xfId="11390" xr:uid="{1843D5D8-7759-4449-A3CA-B2AE1F9DFBE3}"/>
    <cellStyle name="SAPBEXresItemX" xfId="9304" xr:uid="{9EB6A9DD-4422-4807-9D0E-0F14C798A5D1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3" xfId="9735" xr:uid="{B6345B8B-9C3D-4DFC-90E5-91C1E86A734C}"/>
    <cellStyle name="SAPBEXresItemX 3 4" xfId="11317" xr:uid="{EE6A682D-6E04-4D29-B839-AF4C9F85901D}"/>
    <cellStyle name="SAPBEXresItemX 3 5" xfId="9704" xr:uid="{A841F54C-0160-460C-BB2C-BCBC625D49ED}"/>
    <cellStyle name="SAPBEXresItemX 3 6" xfId="9964" xr:uid="{F6DCD8A4-83B2-459E-AE1D-24671041F8E8}"/>
    <cellStyle name="SAPBEXresItemX 3 7" xfId="10991" xr:uid="{ADDD32E1-9C6A-403C-814D-2424C87F50A0}"/>
    <cellStyle name="SAPBEXresItemX 4" xfId="11166" xr:uid="{CB8297A2-F24A-407A-8F75-414D9F4D606F}"/>
    <cellStyle name="SAPBEXresItemX 5" xfId="9737" xr:uid="{13C4C804-958A-4139-9945-244E1D755AA1}"/>
    <cellStyle name="SAPBEXresItemX 6" xfId="11315" xr:uid="{459A6A37-9D20-4CF1-B9FD-AA0C99953904}"/>
    <cellStyle name="SAPBEXresItemX 7" xfId="9707" xr:uid="{F51D128D-90C9-4D4F-850F-28D501FA86FB}"/>
    <cellStyle name="SAPBEXresItemX 8" xfId="9965" xr:uid="{0304DFC9-1D47-4C29-890E-0AAF05884344}"/>
    <cellStyle name="SAPBEXresItemX 9" xfId="10990" xr:uid="{060B47D1-2D28-4793-AC86-92EF6B2EBB35}"/>
    <cellStyle name="SAPBEXstdData" xfId="9307" xr:uid="{C23ADCD6-6776-49E8-8B95-9CB8776B5EFC}"/>
    <cellStyle name="SAPBEXstdData 10" xfId="10992" xr:uid="{52B3EA0D-DBAA-4C32-93BB-85DDDF5A6E6C}"/>
    <cellStyle name="SAPBEXstdData 2" xfId="9308" xr:uid="{6AC4E40E-2B7C-44DD-9F73-E76B04A8E825}"/>
    <cellStyle name="SAPBEXstdData 2 2" xfId="11169" xr:uid="{82C8D310-A59D-4C6A-9570-C6F48DF64398}"/>
    <cellStyle name="SAPBEXstdData 2 3" xfId="9733" xr:uid="{FCFEE628-D943-4805-96F0-AC12AF03C5B9}"/>
    <cellStyle name="SAPBEXstdData 2 4" xfId="11319" xr:uid="{D2A27FE2-8D4A-4D9A-AA7E-53CDE46BA000}"/>
    <cellStyle name="SAPBEXstdData 2 5" xfId="9699" xr:uid="{796CA827-074E-4CC8-A16E-FF3B6D0720A7}"/>
    <cellStyle name="SAPBEXstdData 2 6" xfId="11465" xr:uid="{CF582D95-F9DF-44F1-A8BF-58F566EB9F79}"/>
    <cellStyle name="SAPBEXstdData 2 7" xfId="10993" xr:uid="{56154504-272F-4E66-8C6C-253279AD07BA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3" xfId="9732" xr:uid="{7F4DC9BF-E3B3-4756-88ED-C0DBD81A5EB1}"/>
    <cellStyle name="SAPBEXstdData 4 4" xfId="11321" xr:uid="{AE67F60E-4374-44AB-B134-5C78EAC167FF}"/>
    <cellStyle name="SAPBEXstdData 4 5" xfId="9698" xr:uid="{A27A86D5-AEAD-4998-9A36-18E72B21C81D}"/>
    <cellStyle name="SAPBEXstdData 4 6" xfId="9962" xr:uid="{D10C9F61-9A17-4E58-ACFC-A9BB84C258E3}"/>
    <cellStyle name="SAPBEXstdData 4 7" xfId="11000" xr:uid="{652C9C39-EC49-40BC-A434-3E4DA645675A}"/>
    <cellStyle name="SAPBEXstdData 5" xfId="11168" xr:uid="{3BEA785F-D5F4-452F-A897-AC304E747BCC}"/>
    <cellStyle name="SAPBEXstdData 6" xfId="9734" xr:uid="{318CDCB6-D053-4690-BCA8-D4D601EA54A1}"/>
    <cellStyle name="SAPBEXstdData 7" xfId="11318" xr:uid="{77A9606B-5CB6-41C3-9C56-379D79320C7A}"/>
    <cellStyle name="SAPBEXstdData 8" xfId="9703" xr:uid="{CC86F109-225C-4718-A3C8-8C9A5C625C29}"/>
    <cellStyle name="SAPBEXstdData 9" xfId="9963" xr:uid="{4A0BEB45-BF12-46F1-A30C-18A295B57725}"/>
    <cellStyle name="SAPBEXstdDataEmph" xfId="9311" xr:uid="{7BCB4A63-2E78-4716-B843-35F175FD43CF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3" xfId="9731" xr:uid="{60C89BC0-7A0D-4132-BF28-4A8FC1075B31}"/>
    <cellStyle name="SAPBEXstdDataEmph 3 4" xfId="11323" xr:uid="{18E1D73E-53BD-4A45-8F11-603ABB5B3AB8}"/>
    <cellStyle name="SAPBEXstdDataEmph 3 5" xfId="9688" xr:uid="{7582953D-3FD6-4F86-A985-DE5DA29350DF}"/>
    <cellStyle name="SAPBEXstdDataEmph 3 6" xfId="9960" xr:uid="{EE2FE7A7-DC6E-4159-91BC-732332CF7CA2}"/>
    <cellStyle name="SAPBEXstdDataEmph 3 7" xfId="11013" xr:uid="{A42B8D17-CFDF-467A-ABA8-AE7F875B1AF4}"/>
    <cellStyle name="SAPBEXstdDataEmph 4" xfId="11171" xr:uid="{CADDBA4C-2AA9-4D75-9553-8AD9BE3B0C68}"/>
    <cellStyle name="SAPBEXstdDataEmph 5" xfId="11235" xr:uid="{42676ADF-0EE4-4A7B-BA3F-803251A7DAE0}"/>
    <cellStyle name="SAPBEXstdDataEmph 6" xfId="11322" xr:uid="{CE1D6245-CA56-4942-9DC5-2B579891CD87}"/>
    <cellStyle name="SAPBEXstdDataEmph 7" xfId="11408" xr:uid="{50126FCB-50AD-41AB-8456-C1D0776BBA25}"/>
    <cellStyle name="SAPBEXstdDataEmph 8" xfId="9961" xr:uid="{901F3BEF-341D-4EB5-99FB-591790F8CF08}"/>
    <cellStyle name="SAPBEXstdDataEmph 9" xfId="11004" xr:uid="{BD2482BA-9A12-45AD-BF17-55DFF65B9FFE}"/>
    <cellStyle name="SAPBEXstdItem" xfId="9314" xr:uid="{577BACAA-3BB6-48A5-A2EC-9ACEDFFA457D}"/>
    <cellStyle name="SAPBEXstdItem 10" xfId="9730" xr:uid="{19D7A782-431D-45D3-8F07-0CDF00F87CCE}"/>
    <cellStyle name="SAPBEXstdItem 11" xfId="11324" xr:uid="{B2836A63-EAF9-4E6B-94C1-6DCDD22663ED}"/>
    <cellStyle name="SAPBEXstdItem 12" xfId="9687" xr:uid="{E27E2038-D23E-4C27-8565-AC07AD6E547E}"/>
    <cellStyle name="SAPBEXstdItem 13" xfId="9959" xr:uid="{3944AFCA-27F8-472A-AFC4-947DEF639F0F}"/>
    <cellStyle name="SAPBEXstdItem 14" xfId="11014" xr:uid="{4D581025-8345-4E52-8E5E-61DEA673DDB8}"/>
    <cellStyle name="SAPBEXstdItem 2" xfId="9315" xr:uid="{9F1968E0-C7D8-450A-B3C6-9D8C8D46F836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4" xfId="9728" xr:uid="{A6DDF56E-29F6-4539-A2F6-BD9C8EBDAFA4}"/>
    <cellStyle name="SAPBEXstdItem 2 2 5" xfId="11326" xr:uid="{E8EE12D6-B94B-4101-8A12-6F6E57775E39}"/>
    <cellStyle name="SAPBEXstdItem 2 2 6" xfId="9685" xr:uid="{5AC33B60-0C0B-454B-944E-FD6AE2A555CF}"/>
    <cellStyle name="SAPBEXstdItem 2 2 7" xfId="9957" xr:uid="{56FB923F-CD18-497A-87A4-5EA524AD4C90}"/>
    <cellStyle name="SAPBEXstdItem 2 2 8" xfId="11019" xr:uid="{CD4F447E-BBFA-4041-8B7B-1752D99AF4B4}"/>
    <cellStyle name="SAPBEXstdItem 2 3" xfId="9318" xr:uid="{F36EFAE5-9B96-4F41-A8FC-41C0BADF6BCD}"/>
    <cellStyle name="SAPBEXstdItem 2 4" xfId="11174" xr:uid="{DF868D99-6BF4-421A-B479-7C37B4EBCBCB}"/>
    <cellStyle name="SAPBEXstdItem 2 5" xfId="9729" xr:uid="{EAA18C2D-4025-4230-AF37-62F4050B74D3}"/>
    <cellStyle name="SAPBEXstdItem 2 6" xfId="11325" xr:uid="{19CE3CBE-FAA2-4CC6-9CAE-62CF142B129B}"/>
    <cellStyle name="SAPBEXstdItem 2 7" xfId="9686" xr:uid="{88444106-58A7-405A-949C-8F044686851E}"/>
    <cellStyle name="SAPBEXstdItem 2 8" xfId="9958" xr:uid="{611EA5E7-5C6C-4EB4-87F2-7A5D47FE1EDD}"/>
    <cellStyle name="SAPBEXstdItem 2 9" xfId="11017" xr:uid="{42582101-6B45-4A3F-AE77-D01ADCAB13AF}"/>
    <cellStyle name="SAPBEXstdItem 3" xfId="9319" xr:uid="{0358A5D1-EF4B-4A10-AAAE-77D1632DDD70}"/>
    <cellStyle name="SAPBEXstdItem 3 10" xfId="11026" xr:uid="{C97E4847-2349-41FB-9922-E5D305BDB23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4" xfId="9725" xr:uid="{F578076B-55E3-4791-B1A6-8D7BB97EC977}"/>
    <cellStyle name="SAPBEXstdItem 3 2 5" xfId="11329" xr:uid="{38D1EEA0-62FA-4FC5-8ED5-3169A595A714}"/>
    <cellStyle name="SAPBEXstdItem 3 2 6" xfId="9683" xr:uid="{44EDEA36-EB44-4665-8CB8-192E547A6AA8}"/>
    <cellStyle name="SAPBEXstdItem 3 2 7" xfId="9955" xr:uid="{7E985723-8384-41E2-A54D-C365561164EF}"/>
    <cellStyle name="SAPBEXstdItem 3 2 8" xfId="11277" xr:uid="{B986259C-A2AB-42C7-9C59-582E94734764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4" xfId="9724" xr:uid="{095E5DA2-F328-4682-A7F0-18CCFE8BD84A}"/>
    <cellStyle name="SAPBEXstdItem 3 3 5" xfId="11331" xr:uid="{2EEF984B-F70D-4D1B-AA6C-2A4A64D22930}"/>
    <cellStyle name="SAPBEXstdItem 3 3 6" xfId="9682" xr:uid="{0B03D947-C47F-4F7C-97E2-BBE238E133AA}"/>
    <cellStyle name="SAPBEXstdItem 3 3 7" xfId="9954" xr:uid="{2FC95850-96D2-4139-8393-B8F695857F7C}"/>
    <cellStyle name="SAPBEXstdItem 3 3 8" xfId="11286" xr:uid="{D90E3C04-0931-4380-839B-FD64D1D3C7B4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4" xfId="9722" xr:uid="{7993493C-2A20-4797-904E-D4F006392CC9}"/>
    <cellStyle name="SAPBEXstdItem 3 4 5" xfId="11332" xr:uid="{EB6D1DDD-2BC3-4616-B3A0-3F4EFE2B5EC0}"/>
    <cellStyle name="SAPBEXstdItem 3 4 6" xfId="9681" xr:uid="{DC960440-74FB-468C-9109-AF489B06B029}"/>
    <cellStyle name="SAPBEXstdItem 3 4 7" xfId="9953" xr:uid="{B37C4B19-A946-4DB9-85A6-A3B2B46BFF67}"/>
    <cellStyle name="SAPBEXstdItem 3 4 8" xfId="11295" xr:uid="{7067842D-453F-43FD-AA25-5035263C86E7}"/>
    <cellStyle name="SAPBEXstdItem 3 5" xfId="11176" xr:uid="{43D07414-C9FC-44A3-AD05-F96E39E7D797}"/>
    <cellStyle name="SAPBEXstdItem 3 6" xfId="9726" xr:uid="{14412471-CBB1-4BCD-B954-0354514CD16D}"/>
    <cellStyle name="SAPBEXstdItem 3 7" xfId="11328" xr:uid="{9C3D3EB2-9503-487F-A633-F55D7E5ABCB2}"/>
    <cellStyle name="SAPBEXstdItem 3 8" xfId="9684" xr:uid="{C720A0DF-B970-4AC6-AAF1-509692B26557}"/>
    <cellStyle name="SAPBEXstdItem 3 9" xfId="9956" xr:uid="{F4FB0B89-37E9-4776-9E49-511C9BC8B743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4" xfId="9720" xr:uid="{3B7AC281-80B3-4F93-A57C-6D666FF67044}"/>
    <cellStyle name="SAPBEXstdItem 4 5" xfId="11334" xr:uid="{E00843F9-97DE-4444-A1A1-6FFFDF8F6302}"/>
    <cellStyle name="SAPBEXstdItem 4 6" xfId="9680" xr:uid="{9C29CBC8-A411-430D-B1BC-D4C5731169B3}"/>
    <cellStyle name="SAPBEXstdItem 4 7" xfId="9952" xr:uid="{9BE7BB37-BD61-48D1-B6B7-703ECDD9077E}"/>
    <cellStyle name="SAPBEXstdItem 4 8" xfId="11304" xr:uid="{9DCFEDE4-B874-46D7-B6AC-C42DDD1CFD9B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3" xfId="9718" xr:uid="{FA1B66B6-3E0A-4F94-BEE6-D394A875512F}"/>
    <cellStyle name="SAPBEXstdItem 6 4" xfId="11336" xr:uid="{416F70D8-878F-4A9E-ACF8-186832D00F5C}"/>
    <cellStyle name="SAPBEXstdItem 6 5" xfId="9679" xr:uid="{A633F323-8D00-4AFE-82B6-57C15A393E8A}"/>
    <cellStyle name="SAPBEXstdItem 6 6" xfId="9951" xr:uid="{2C40C3F8-37DD-4950-82FD-7F647F22B2F4}"/>
    <cellStyle name="SAPBEXstdItem 6 7" xfId="11464" xr:uid="{EC2966DF-AF34-4CC8-8206-79C4E7C8792D}"/>
    <cellStyle name="SAPBEXstdItem 7" xfId="9330" xr:uid="{6AA585FE-21CE-4966-8EA4-6DD061FAA97C}"/>
    <cellStyle name="SAPBEXstdItem 7 2" xfId="11183" xr:uid="{AE4265AC-8CA5-40DB-906F-3BA2078E53B9}"/>
    <cellStyle name="SAPBEXstdItem 7 3" xfId="9717" xr:uid="{706E31C2-D81C-44FB-ABD2-8587B654F45F}"/>
    <cellStyle name="SAPBEXstdItem 7 4" xfId="11337" xr:uid="{7FC77456-1C07-4332-B2EF-4F59DF1DDC9F}"/>
    <cellStyle name="SAPBEXstdItem 7 5" xfId="9678" xr:uid="{5906BFCC-9555-44A1-AB82-5D0C3B7F139C}"/>
    <cellStyle name="SAPBEXstdItem 7 6" xfId="9950" xr:uid="{5BAAC154-5CE0-46F9-8E8B-32E57C3E80CE}"/>
    <cellStyle name="SAPBEXstdItem 7 7" xfId="11307" xr:uid="{353C504B-90A7-4EBD-ADFE-511DD918B2C9}"/>
    <cellStyle name="SAPBEXstdItem 8" xfId="9331" xr:uid="{A363554C-DB75-4DE7-8F1C-B41473755D53}"/>
    <cellStyle name="SAPBEXstdItem 8 2" xfId="11184" xr:uid="{26D6EBCB-5E80-4753-BB90-338EC8DB858F}"/>
    <cellStyle name="SAPBEXstdItem 8 3" xfId="9716" xr:uid="{F8CCB58B-1258-4446-82F4-A579AEC348F7}"/>
    <cellStyle name="SAPBEXstdItem 8 4" xfId="11338" xr:uid="{7677DC75-CC03-44CD-95DD-CDEA310113E6}"/>
    <cellStyle name="SAPBEXstdItem 8 5" xfId="9677" xr:uid="{43A7C79D-0ED2-462A-901E-9747A50D4275}"/>
    <cellStyle name="SAPBEXstdItem 8 6" xfId="9949" xr:uid="{49D58C74-A0FF-4D40-8853-0E03D88A35B2}"/>
    <cellStyle name="SAPBEXstdItem 8 7" xfId="11310" xr:uid="{843C1E3F-7726-4B45-99C9-E5BE6CCFB945}"/>
    <cellStyle name="SAPBEXstdItem 9" xfId="11173" xr:uid="{6D6D8241-55B6-4B54-8CF9-5689A50DA069}"/>
    <cellStyle name="SAPBEXstdItemX" xfId="9332" xr:uid="{732CCF79-A5E8-4E75-869F-2ECBD64E280E}"/>
    <cellStyle name="SAPBEXstdItemX 10" xfId="9715" xr:uid="{462A4783-6FDE-4824-8E48-0FC92EC756B6}"/>
    <cellStyle name="SAPBEXstdItemX 11" xfId="11339" xr:uid="{83ED8569-147E-4BD8-842A-6A9FEA47934A}"/>
    <cellStyle name="SAPBEXstdItemX 12" xfId="9676" xr:uid="{AB145D45-0E2C-4A8F-9B3E-AF7C1ECD8316}"/>
    <cellStyle name="SAPBEXstdItemX 13" xfId="11243" xr:uid="{648AF8D8-D759-4C16-97A0-72A4973A5700}"/>
    <cellStyle name="SAPBEXstdItemX 14" xfId="11313" xr:uid="{E3A5FCD9-CA4F-45C2-803C-E695726D4971}"/>
    <cellStyle name="SAPBEXstdItemX 2" xfId="9333" xr:uid="{90020DBD-6C5C-4920-B4C3-3D4F640A2512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4" xfId="9713" xr:uid="{7A696FD8-DE55-489A-B3AF-A8E9DDE9585F}"/>
    <cellStyle name="SAPBEXstdItemX 2 2 5" xfId="11341" xr:uid="{0327741A-A31B-420A-8BE6-47572FF37B5B}"/>
    <cellStyle name="SAPBEXstdItemX 2 2 6" xfId="9671" xr:uid="{E7788C69-F072-4187-A173-CCEA97FA3FB8}"/>
    <cellStyle name="SAPBEXstdItemX 2 2 7" xfId="11249" xr:uid="{42E44047-22DC-4E61-88E1-1B65695A0A2C}"/>
    <cellStyle name="SAPBEXstdItemX 2 2 8" xfId="11320" xr:uid="{36930775-40A8-49CE-A68D-1BB5FDC53FE2}"/>
    <cellStyle name="SAPBEXstdItemX 2 3" xfId="9336" xr:uid="{CE95E0E3-49AE-4584-BDE2-1ABFB5FD1426}"/>
    <cellStyle name="SAPBEXstdItemX 2 4" xfId="11186" xr:uid="{52E14C62-7C40-4614-AC5B-69DF3D59BA5B}"/>
    <cellStyle name="SAPBEXstdItemX 2 5" xfId="9714" xr:uid="{079A6447-0856-4C3D-AF9B-CF775561E209}"/>
    <cellStyle name="SAPBEXstdItemX 2 6" xfId="11340" xr:uid="{64BB1AF4-CBBD-4305-B62E-2706D305D8B7}"/>
    <cellStyle name="SAPBEXstdItemX 2 7" xfId="9674" xr:uid="{2D789376-9EAF-4E1B-A0C3-9EA2593C2BD6}"/>
    <cellStyle name="SAPBEXstdItemX 2 8" xfId="11250" xr:uid="{2DF3AE2A-6E42-4E4B-A3D9-1CA9FD27FFAB}"/>
    <cellStyle name="SAPBEXstdItemX 2 9" xfId="11316" xr:uid="{00310FAB-0A86-4C27-BD9C-B74BEFA2269A}"/>
    <cellStyle name="SAPBEXstdItemX 3" xfId="9337" xr:uid="{88D667BB-B5B5-4050-A1D8-B7072C24122B}"/>
    <cellStyle name="SAPBEXstdItemX 3 10" xfId="11327" xr:uid="{9897D40B-C14C-4428-B7A8-F201AA6AF410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4" xfId="9710" xr:uid="{15C7B191-C0B6-49DB-9062-CD558D979562}"/>
    <cellStyle name="SAPBEXstdItemX 3 2 5" xfId="11344" xr:uid="{4716DD62-FBE5-4123-8657-3CEA7DEA7C05}"/>
    <cellStyle name="SAPBEXstdItemX 3 2 6" xfId="9661" xr:uid="{EAA22456-A4DC-4788-9C0E-01E4F8ACDD95}"/>
    <cellStyle name="SAPBEXstdItemX 3 2 7" xfId="11070" xr:uid="{83640850-4412-4B45-958E-3C4E431519A0}"/>
    <cellStyle name="SAPBEXstdItemX 3 2 8" xfId="11330" xr:uid="{807B8DB4-2B85-4F58-A6FA-4E5633D67950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4" xfId="9708" xr:uid="{88F5D22D-8AE6-4E5B-A28D-6C71E423C668}"/>
    <cellStyle name="SAPBEXstdItemX 3 3 5" xfId="11345" xr:uid="{1E9D1A02-6E4B-4195-9FC3-00BC52CE3541}"/>
    <cellStyle name="SAPBEXstdItemX 3 3 6" xfId="9657" xr:uid="{D95A142C-7498-47AE-B378-D06080ECD20E}"/>
    <cellStyle name="SAPBEXstdItemX 3 3 7" xfId="11270" xr:uid="{D3FF31F1-6090-4A72-9437-9A3FAA30F328}"/>
    <cellStyle name="SAPBEXstdItemX 3 3 8" xfId="11333" xr:uid="{CB6D98E6-124D-4DE7-B75D-929AE240B9FD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4" xfId="9706" xr:uid="{F088BEE8-2B67-4A6A-B511-0A4967A07263}"/>
    <cellStyle name="SAPBEXstdItemX 3 4 5" xfId="11346" xr:uid="{001E3B7B-18F9-4A2C-8F47-ACCA6B874C55}"/>
    <cellStyle name="SAPBEXstdItemX 3 4 6" xfId="9654" xr:uid="{BB76BB13-E569-4AA4-9F54-FA3DF9E47919}"/>
    <cellStyle name="SAPBEXstdItemX 3 4 7" xfId="9948" xr:uid="{8B4F8248-8FD3-4FFE-91CA-074C54AA1FDE}"/>
    <cellStyle name="SAPBEXstdItemX 3 4 8" xfId="11335" xr:uid="{66E92479-5868-4170-BC90-EAF659B264AA}"/>
    <cellStyle name="SAPBEXstdItemX 3 5" xfId="11188" xr:uid="{25FD2924-1047-4099-8F72-2CAC5853B2F0}"/>
    <cellStyle name="SAPBEXstdItemX 3 6" xfId="9711" xr:uid="{98926DF5-6257-4E44-9C6B-95271ABEFE7E}"/>
    <cellStyle name="SAPBEXstdItemX 3 7" xfId="11343" xr:uid="{5BA61AAC-AE16-40B5-A3C4-AB49E6D11CF9}"/>
    <cellStyle name="SAPBEXstdItemX 3 8" xfId="9662" xr:uid="{6B40D704-1A5F-4B10-9128-B1EF8A084A6B}"/>
    <cellStyle name="SAPBEXstdItemX 3 9" xfId="11258" xr:uid="{1424455B-1D45-46D6-8739-577C0F61301D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4" xfId="9705" xr:uid="{C9DA1798-C43A-4F30-A960-83A4C7DF4DCF}"/>
    <cellStyle name="SAPBEXstdItemX 4 5" xfId="11348" xr:uid="{10886F83-6B09-4B52-B2E2-AF207EDB16CB}"/>
    <cellStyle name="SAPBEXstdItemX 4 6" xfId="9653" xr:uid="{FF28E58B-CF18-480B-A7A4-7B9DDB4D771B}"/>
    <cellStyle name="SAPBEXstdItemX 4 7" xfId="9947" xr:uid="{B4D4C3A3-1802-4070-9425-8741B5740328}"/>
    <cellStyle name="SAPBEXstdItemX 4 8" xfId="11342" xr:uid="{05E67D01-3B54-4A9E-8DB9-B4B2DE697547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3" xfId="9702" xr:uid="{0E64DAC5-5FA3-4A97-915C-40964802E99C}"/>
    <cellStyle name="SAPBEXstdItemX 6 4" xfId="11351" xr:uid="{E8C84B51-7471-49B5-A9E2-E5AF90C7F356}"/>
    <cellStyle name="SAPBEXstdItemX 6 5" xfId="9644" xr:uid="{D65581E3-2287-49A2-BA30-4779EA950DB6}"/>
    <cellStyle name="SAPBEXstdItemX 6 6" xfId="9946" xr:uid="{64E23BE8-7984-498B-8DB2-D0F2145A1A08}"/>
    <cellStyle name="SAPBEXstdItemX 6 7" xfId="11347" xr:uid="{E332155D-E927-4119-941C-322E1001DD1E}"/>
    <cellStyle name="SAPBEXstdItemX 7" xfId="9348" xr:uid="{45FBCB75-0F66-42E7-B651-704D2B62DA10}"/>
    <cellStyle name="SAPBEXstdItemX 7 2" xfId="11194" xr:uid="{089EEA20-21D5-4758-AC89-EE2D965D0B3F}"/>
    <cellStyle name="SAPBEXstdItemX 7 3" xfId="9701" xr:uid="{6244F50A-EF1C-424E-A6D6-99B61A9FA628}"/>
    <cellStyle name="SAPBEXstdItemX 7 4" xfId="11352" xr:uid="{98C38D26-BBE1-4BB7-BF2C-8F04B8E419AD}"/>
    <cellStyle name="SAPBEXstdItemX 7 5" xfId="9641" xr:uid="{7D50C242-CD2D-4D01-8956-7C675FEDB3C3}"/>
    <cellStyle name="SAPBEXstdItemX 7 6" xfId="9945" xr:uid="{1E1B7E58-422A-461B-9963-E03E1454443F}"/>
    <cellStyle name="SAPBEXstdItemX 7 7" xfId="11349" xr:uid="{612A01C7-27CB-41DF-A7AF-0784D40EC0B6}"/>
    <cellStyle name="SAPBEXstdItemX 8" xfId="9349" xr:uid="{C9F0DF99-A2F3-4EB5-962C-92DA0A3511A5}"/>
    <cellStyle name="SAPBEXstdItemX 8 2" xfId="11195" xr:uid="{40829A4C-A01E-4E3B-9077-9D867A7F4F90}"/>
    <cellStyle name="SAPBEXstdItemX 8 3" xfId="9700" xr:uid="{81F34769-584E-4E05-BC67-738F48F690F9}"/>
    <cellStyle name="SAPBEXstdItemX 8 4" xfId="11353" xr:uid="{B113FE7B-659B-4220-8D30-4BE1BE18CF14}"/>
    <cellStyle name="SAPBEXstdItemX 8 5" xfId="9638" xr:uid="{EEE27D60-D57B-4F96-9C43-3765E3365468}"/>
    <cellStyle name="SAPBEXstdItemX 8 6" xfId="9944" xr:uid="{C5B2CC4A-9928-4017-B6DA-F065706B3547}"/>
    <cellStyle name="SAPBEXstdItemX 8 7" xfId="11350" xr:uid="{7CEA80C1-20D9-470F-A866-0A99890D6990}"/>
    <cellStyle name="SAPBEXstdItemX 9" xfId="11185" xr:uid="{E6C687AF-3D39-4501-99DD-A1EF55B75A5A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7" xfId="11222" xr:uid="{21580435-A9F2-4924-A160-236B18C86ED2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3" xfId="9690" xr:uid="{67938236-2B07-4122-9B01-9E34FD2BD135}"/>
    <cellStyle name="SAPBEXundefined 3 4" xfId="11362" xr:uid="{69833288-6D66-45A2-BCC0-AB0A9A40732E}"/>
    <cellStyle name="SAPBEXundefined 3 5" xfId="11123" xr:uid="{1340D516-9E1D-4B76-B0D4-B8B1AA3DB4FB}"/>
    <cellStyle name="SAPBEXundefined 3 6" xfId="9936" xr:uid="{E37EF67F-DAE5-4DD9-B585-C671A773199E}"/>
    <cellStyle name="SAPBEXundefined 3 7" xfId="11364" xr:uid="{360F8826-379B-4DFD-A80A-8FCB2BA8B6D1}"/>
    <cellStyle name="SAPBEXundefined 4" xfId="11197" xr:uid="{46801B65-D402-4800-95D1-3114FED77A77}"/>
    <cellStyle name="SAPBEXundefined 5" xfId="9693" xr:uid="{A076387E-2185-40DC-93F6-39216A7C882D}"/>
    <cellStyle name="SAPBEXundefined 6" xfId="11359" xr:uid="{66726B09-4758-45B7-95B9-53202AEFDEDA}"/>
    <cellStyle name="SAPBEXundefined 7" xfId="11117" xr:uid="{BD814983-ED45-45C0-A9B9-990B1B8B3B13}"/>
    <cellStyle name="SAPBEXundefined 8" xfId="9937" xr:uid="{851B2AC2-715C-472A-851F-AE5457005A2D}"/>
    <cellStyle name="SAPBEXundefined 9" xfId="11360" xr:uid="{9C6AA163-200F-4D1F-914C-68A964E82694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1" xfId="9631" xr:uid="{B0F29263-3944-4C5D-90AC-8018545D82A0}"/>
    <cellStyle name="StmtTtl2 12" xfId="11415" xr:uid="{979E328E-38CF-460C-9764-461D8E369DAB}"/>
    <cellStyle name="StmtTtl2 13" xfId="11273" xr:uid="{1EEC5DA0-8D8E-417E-86BE-06961BD83E62}"/>
    <cellStyle name="StmtTtl2 14" xfId="9894" xr:uid="{396291EF-F470-4C46-91C6-66583E5BA00C}"/>
    <cellStyle name="StmtTtl2 15" xfId="11487" xr:uid="{EC8183E5-7C41-414F-ABC1-5E53B9FE883E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3" xfId="9625" xr:uid="{6E885D8A-9E75-4D8D-840C-92983ECDA7D0}"/>
    <cellStyle name="StmtTtl2 2 2 4" xfId="11417" xr:uid="{2357A26D-077E-45F6-A77E-70C6314C4D41}"/>
    <cellStyle name="StmtTtl2 2 2 5" xfId="11200" xr:uid="{3F00CC30-3A17-4E2F-B7B0-B5141528C95B}"/>
    <cellStyle name="StmtTtl2 2 2 6" xfId="9890" xr:uid="{3396706E-1704-42A7-8C63-C070653713DB}"/>
    <cellStyle name="StmtTtl2 2 2 7" xfId="11489" xr:uid="{81099B1D-C426-4ACE-86EA-58B1D67A1793}"/>
    <cellStyle name="StmtTtl2 2 3" xfId="11211" xr:uid="{3A68D9E6-3579-4A88-8707-A3B036C73BA7}"/>
    <cellStyle name="StmtTtl2 2 4" xfId="9628" xr:uid="{09AB7971-9A89-46EB-8B4A-BF20B6859494}"/>
    <cellStyle name="StmtTtl2 2 5" xfId="11416" xr:uid="{6AAAB125-7222-484D-B905-B21B70F08689}"/>
    <cellStyle name="StmtTtl2 2 6" xfId="11198" xr:uid="{AFFD935E-F96C-4646-A620-06996D04BC1B}"/>
    <cellStyle name="StmtTtl2 2 7" xfId="9891" xr:uid="{0E38F389-10C9-423A-A0BA-DA7E202D8C84}"/>
    <cellStyle name="StmtTtl2 2 8" xfId="11488" xr:uid="{943781B9-A4A1-4619-9DB3-DDEF33CBBEA5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4" xfId="9624" xr:uid="{7D9FD170-615B-4165-B884-911DE9E05E98}"/>
    <cellStyle name="StmtTtl2 3 5" xfId="11418" xr:uid="{D97F492E-D3E2-45C6-A5EE-BE27A9C4E45E}"/>
    <cellStyle name="StmtTtl2 3 6" xfId="11201" xr:uid="{FC4DE869-250B-4F4E-B077-1D1364C844BF}"/>
    <cellStyle name="StmtTtl2 3 7" xfId="9889" xr:uid="{31D20FCC-4F0F-4601-A232-2C55BAF08398}"/>
    <cellStyle name="StmtTtl2 3 8" xfId="11490" xr:uid="{0577137C-5671-42B3-84AD-261B2C351DC5}"/>
    <cellStyle name="StmtTtl2 4" xfId="9401" xr:uid="{A3FB7CA6-912D-4DC2-8733-F13BCA888B5E}"/>
    <cellStyle name="StmtTtl2 4 2" xfId="11215" xr:uid="{C6F7ABD3-D73F-4C10-9E71-4499EEC9E764}"/>
    <cellStyle name="StmtTtl2 4 3" xfId="11098" xr:uid="{BACBA9B0-BFD3-4DE5-BAD0-F1B876019EDE}"/>
    <cellStyle name="StmtTtl2 4 4" xfId="11419" xr:uid="{764D28E7-64C3-4CF2-86B1-B82AC30969F3}"/>
    <cellStyle name="StmtTtl2 4 5" xfId="11202" xr:uid="{8E447318-9661-4527-997C-B0F4B8B36957}"/>
    <cellStyle name="StmtTtl2 4 6" xfId="9888" xr:uid="{6F5012D6-C844-49DA-B082-96E1D3EF8CCD}"/>
    <cellStyle name="StmtTtl2 4 7" xfId="11491" xr:uid="{3B336865-8EB4-4E47-B106-61B7DE24840E}"/>
    <cellStyle name="StmtTtl2 5" xfId="9402" xr:uid="{2B1D948D-7441-410D-9E0D-8D26A17F7739}"/>
    <cellStyle name="StmtTtl2 5 2" xfId="11216" xr:uid="{500235C2-A2DD-4F40-BE1A-A6B454E280B0}"/>
    <cellStyle name="StmtTtl2 5 3" xfId="11099" xr:uid="{2912844D-46FD-4EF0-86ED-1FFE67FE7B73}"/>
    <cellStyle name="StmtTtl2 5 4" xfId="11420" xr:uid="{3F758212-1A7B-4B88-8F26-F816F848E9DC}"/>
    <cellStyle name="StmtTtl2 5 5" xfId="11203" xr:uid="{F62EFC30-EDD5-49D9-912B-C037FE91BD6C}"/>
    <cellStyle name="StmtTtl2 5 6" xfId="9887" xr:uid="{77F226C3-6FF1-47B9-9C5B-95F12D1ED78C}"/>
    <cellStyle name="StmtTtl2 5 7" xfId="11492" xr:uid="{02C42586-886E-4E1B-9942-D3D402BEC0ED}"/>
    <cellStyle name="StmtTtl2 6" xfId="9403" xr:uid="{B561BF7C-B210-45CF-8B89-BE527269A4C0}"/>
    <cellStyle name="StmtTtl2 6 2" xfId="11217" xr:uid="{E18BFA3C-65AC-462E-9D1C-466C61773375}"/>
    <cellStyle name="StmtTtl2 6 3" xfId="11100" xr:uid="{9AC644FE-882C-403B-AA2D-D38798EFA332}"/>
    <cellStyle name="StmtTtl2 6 4" xfId="11421" xr:uid="{B5B684F8-19DC-405A-9B5B-2E6E92940FD5}"/>
    <cellStyle name="StmtTtl2 6 5" xfId="11205" xr:uid="{B782C34C-6BBB-4342-94C4-9BE2D267899A}"/>
    <cellStyle name="StmtTtl2 6 6" xfId="9884" xr:uid="{160DF3C7-0342-43BD-AC74-0BC16C56387F}"/>
    <cellStyle name="StmtTtl2 6 7" xfId="11493" xr:uid="{A9A931BB-F63E-4BF5-B35A-3F0329622F07}"/>
    <cellStyle name="StmtTtl2 7" xfId="9404" xr:uid="{A87A0229-327D-4938-B368-F9C6219B8089}"/>
    <cellStyle name="StmtTtl2 7 2" xfId="11218" xr:uid="{3DFBAA0C-D424-44EB-A8C3-DCD8978CF8DB}"/>
    <cellStyle name="StmtTtl2 7 3" xfId="11101" xr:uid="{E49D2655-9D17-4697-99C8-516B282DAA42}"/>
    <cellStyle name="StmtTtl2 7 4" xfId="11422" xr:uid="{E9B8A6A3-799A-45FB-8C33-0E95DD5EC543}"/>
    <cellStyle name="StmtTtl2 7 5" xfId="11206" xr:uid="{D06F236C-1176-4611-B3D4-2A106C7A950F}"/>
    <cellStyle name="StmtTtl2 7 6" xfId="9879" xr:uid="{2B874D2F-A260-4941-86E0-E89114EA4945}"/>
    <cellStyle name="StmtTtl2 7 7" xfId="11494" xr:uid="{59C77F97-FAFB-4310-A5DD-8A39BB153D37}"/>
    <cellStyle name="StmtTtl2 8" xfId="9405" xr:uid="{195F1CE6-5BC5-446D-A6AB-7CCAAC803458}"/>
    <cellStyle name="StmtTtl2 8 2" xfId="11219" xr:uid="{66FFD9F0-BFCE-41B0-986F-75BB71948150}"/>
    <cellStyle name="StmtTtl2 8 3" xfId="11102" xr:uid="{56CC852A-E54A-4E41-8B64-17C29A56ACEB}"/>
    <cellStyle name="StmtTtl2 8 4" xfId="11423" xr:uid="{A795B74B-29E0-4341-9829-5543AF26FB8F}"/>
    <cellStyle name="StmtTtl2 8 5" xfId="11207" xr:uid="{C98BD14F-B4F6-4A2F-88C7-157F8266BB64}"/>
    <cellStyle name="StmtTtl2 8 6" xfId="9876" xr:uid="{5438D86D-A9E9-4C74-92BC-A3865349AE18}"/>
    <cellStyle name="StmtTtl2 8 7" xfId="11495" xr:uid="{2E3BCE49-032C-4105-B33F-42FAA46CFCFE}"/>
    <cellStyle name="StmtTtl2 9" xfId="9406" xr:uid="{0D5D0755-7221-416D-B0BA-FCFBB2DAC362}"/>
    <cellStyle name="StmtTtl2 9 2" xfId="11220" xr:uid="{F170A840-7576-4CFA-9CA0-C3A79187D984}"/>
    <cellStyle name="StmtTtl2 9 3" xfId="11105" xr:uid="{6BD88AC3-3A72-441C-A424-110E5BB5FB4B}"/>
    <cellStyle name="StmtTtl2 9 4" xfId="11424" xr:uid="{CC446D61-F780-4231-B280-F4036D1F1C9C}"/>
    <cellStyle name="StmtTtl2 9 5" xfId="11208" xr:uid="{6C4CED47-BAF7-4C5E-8CE9-C42A39462A51}"/>
    <cellStyle name="StmtTtl2 9 6" xfId="9870" xr:uid="{6068C7A0-D55D-4D0F-91AA-2EB5C9AC68FD}"/>
    <cellStyle name="StmtTtl2 9 7" xfId="11496" xr:uid="{969D32C5-592D-4EB3-84B9-A578CB0F5A44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3" xfId="11204" xr:uid="{F7987E35-3E35-4BCB-927C-5C500A0E0F0E}"/>
    <cellStyle name="subtot - Style5 4" xfId="11427" xr:uid="{75571FB3-1397-46D1-BF20-AD13077FD29A}"/>
    <cellStyle name="subtot - Style5 5" xfId="11534" xr:uid="{517D516F-5538-45CC-AD1E-7B5978C540A9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2" xfId="9492" xr:uid="{FD2C1ABD-1447-4AE0-8FE2-640755C425C6}"/>
    <cellStyle name="Total 2 2 2 2" xfId="11023" xr:uid="{E9C923DF-668F-4DF4-B781-5398BF5651C4}"/>
    <cellStyle name="Total 2 2 2 3" xfId="11355" xr:uid="{9877DEBD-4A27-487E-8804-7A88663BE400}"/>
    <cellStyle name="Total 2 2 2 4" xfId="11214" xr:uid="{38701C60-2F21-40BB-A501-382D15C29325}"/>
    <cellStyle name="Total 2 2 2 5" xfId="11437" xr:uid="{AC6E8C38-83ED-4C86-9392-20F8BE484E25}"/>
    <cellStyle name="Total 2 2 2 6" xfId="11410" xr:uid="{82377B3A-98D0-4BF4-B390-8459B7F38D66}"/>
    <cellStyle name="Total 2 2 2 7" xfId="11498" xr:uid="{1C41175B-C99E-4DE0-BABC-26330AE08A62}"/>
    <cellStyle name="Total 2 2 2 8" xfId="11536" xr:uid="{237D406B-AA78-42B5-BD03-FF9CFDA2FAC5}"/>
    <cellStyle name="Total 2 2 3" xfId="9493" xr:uid="{691C82E3-41F3-4DE6-AFCC-6C93A89E41AD}"/>
    <cellStyle name="Total 2 2 3 2" xfId="11024" xr:uid="{49548619-89E8-4D96-8DEB-1BA8687CB09D}"/>
    <cellStyle name="Total 2 2 3 3" xfId="11356" xr:uid="{2A1D7240-A9AA-4072-8076-5FDD79CF7B1E}"/>
    <cellStyle name="Total 2 2 3 4" xfId="11221" xr:uid="{C0363E70-65AF-4379-AC9B-CECEC21830F6}"/>
    <cellStyle name="Total 2 2 3 5" xfId="11438" xr:uid="{93A4774D-B554-4D9C-8AE1-F5275152014E}"/>
    <cellStyle name="Total 2 2 3 6" xfId="11411" xr:uid="{F4147EAE-F6F0-409C-B25B-79543AFA9175}"/>
    <cellStyle name="Total 2 2 3 7" xfId="11499" xr:uid="{3B22F757-FB99-4F4D-8A3F-B1F0F7035DD1}"/>
    <cellStyle name="Total 2 2 3 8" xfId="11537" xr:uid="{1BA7B7ED-6C2F-4EB9-BCEF-314BA893E7CA}"/>
    <cellStyle name="Total 2 2 4" xfId="11022" xr:uid="{F5BA983B-42CC-4E32-B27E-D872AD055559}"/>
    <cellStyle name="Total 2 2 5" xfId="11354" xr:uid="{C4E14E1F-3D58-419D-BC6B-4E832B94E60E}"/>
    <cellStyle name="Total 2 2 6" xfId="11209" xr:uid="{97B574F9-14FE-4787-9CB5-F4490365FC13}"/>
    <cellStyle name="Total 2 2 7" xfId="11436" xr:uid="{07709BA5-022B-449A-A88A-51EAC51CEEE4}"/>
    <cellStyle name="Total 2 2 8" xfId="11409" xr:uid="{D58B0A94-E6C9-4629-819C-69C6576CEC29}"/>
    <cellStyle name="Total 2 2 9" xfId="11497" xr:uid="{76A7545C-64DA-44C4-97F2-91DD5B19440F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3" xfId="11358" xr:uid="{8599AE25-4369-4A59-8005-1BF333547A93}"/>
    <cellStyle name="Total 2 3 2 4" xfId="11223" xr:uid="{71CE58EF-FC10-4AAC-BDBF-8894DE578556}"/>
    <cellStyle name="Total 2 3 2 5" xfId="11439" xr:uid="{74F8A196-6F3F-4BD1-B3C1-42354F487B20}"/>
    <cellStyle name="Total 2 3 2 6" xfId="11412" xr:uid="{24433621-0BAC-4517-8720-6763FF99A682}"/>
    <cellStyle name="Total 2 3 2 7" xfId="11500" xr:uid="{3EDBFF76-0072-4119-8006-7D2C91A7D837}"/>
    <cellStyle name="Total 2 3 2 8" xfId="11538" xr:uid="{F0FB4947-A2AC-4D64-AC03-1431E245AAAA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3" xfId="11361" xr:uid="{F9DC9837-1DD1-4B7E-BDE1-E41A292E2B4C}"/>
    <cellStyle name="Total 2 4 4" xfId="11224" xr:uid="{74401742-50C5-4FA8-A6A1-074E70F45A70}"/>
    <cellStyle name="Total 2 4 5" xfId="11440" xr:uid="{FB9FE91D-335E-47E4-BA06-3C8D5A0CBAA6}"/>
    <cellStyle name="Total 2 4 6" xfId="11413" xr:uid="{0ED5FE68-3E8F-48CE-9ACC-CFBA9CA00CAF}"/>
    <cellStyle name="Total 2 4 7" xfId="11501" xr:uid="{F7C6FE68-06ED-4299-A790-30B2E8D7AD99}"/>
    <cellStyle name="Total 2 4 8" xfId="11539" xr:uid="{856C4B23-A351-42AC-B5CD-6405973FBDB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3" xfId="11363" xr:uid="{B6EB80F5-E090-4B40-BE30-B5B8E22E7A98}"/>
    <cellStyle name="Total 3 2 4" xfId="11225" xr:uid="{243265EA-2092-4FE1-96B9-F8A92B3ADB88}"/>
    <cellStyle name="Total 3 2 5" xfId="11441" xr:uid="{61DCAE67-561C-4329-B873-EA6B7A1085C8}"/>
    <cellStyle name="Total 3 2 6" xfId="11414" xr:uid="{9435E53D-098D-4859-BFB3-B051B7FCBF1A}"/>
    <cellStyle name="Total 3 2 7" xfId="11502" xr:uid="{897BF1FA-7EE6-45CE-A874-3F0EEB90AFAC}"/>
    <cellStyle name="Total 3 2 8" xfId="11540" xr:uid="{9D63977D-2882-4E90-AB1B-1647485C303B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2" xfId="9508" xr:uid="{40264CAA-4EDB-496E-895B-648C75E957B4}"/>
    <cellStyle name="Total 9 3" xfId="11034" xr:uid="{7924FA09-53C7-4809-AFE1-2E8D4B657642}"/>
    <cellStyle name="Total 9 4" xfId="11365" xr:uid="{10A9A7F6-F9D4-4FED-8834-C06E063FC03E}"/>
    <cellStyle name="Total 9 5" xfId="11226" xr:uid="{1C61D1D1-D7BB-4C31-A516-69A56B5F7A3B}"/>
    <cellStyle name="Total 9 6" xfId="11444" xr:uid="{B07A2D92-C940-4C33-A859-83316112BE9B}"/>
    <cellStyle name="Total 9 7" xfId="11425" xr:uid="{231E8E01-3490-4152-9CA1-0D60A00401AF}"/>
    <cellStyle name="Total 9 8" xfId="11503" xr:uid="{9EA31C8C-DB4D-4C0E-B214-D202CEB693B2}"/>
    <cellStyle name="Total 9 9" xfId="11541" xr:uid="{CF6BF6BB-842C-4E52-AEC8-6512D32E39D4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nce\Downloads\UE-22%20Base%20Case%20Electric%20COS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nce\Downloads\UE-200900%20Allowed%20Revenue%20Electric%20COS%20Mod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Sch%2088%20Wildfire%20Tariff%20Filing/202207%20-%20WFRES%20Resiliency%20Deferral%208.1.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ID%20DSM/2022.07.29%20ID%20DSM%20Schedule%2091%20(AVU-E-22-09)/For%20Filing/Avista%20Electric%20DSM%20Sch%2091%20Workpapers%20(July202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WP%20CBR\WWP%202016-12%20CBR\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-RR Cross-Reference "/>
      <sheetName val="B - COS Results"/>
      <sheetName val="C-COS Allocation Factors"/>
      <sheetName val="D-Summary of Adjustments"/>
      <sheetName val="E-Summary of Results"/>
      <sheetName val="E2-Summary of Avg Cust Unit"/>
      <sheetName val="Index"/>
      <sheetName val="Print"/>
      <sheetName val="Detail"/>
      <sheetName val="Summary"/>
      <sheetName val="Factors"/>
      <sheetName val="Allocators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Substations "/>
      <sheetName val="DA Sch 25"/>
      <sheetName val="Area Lights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  <sheetName val="Tables for Testimo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1">
          <cell r="D111">
            <v>0.44346681679952721</v>
          </cell>
          <cell r="E111">
            <v>0.44502079821027724</v>
          </cell>
          <cell r="F111">
            <v>0</v>
          </cell>
          <cell r="G111">
            <v>0</v>
          </cell>
          <cell r="H111">
            <v>0</v>
          </cell>
          <cell r="I111">
            <v>0.51303926917699627</v>
          </cell>
          <cell r="J111">
            <v>0.49957229633396255</v>
          </cell>
          <cell r="K111">
            <v>0.59772729081116904</v>
          </cell>
          <cell r="L111">
            <v>0</v>
          </cell>
          <cell r="M111">
            <v>0</v>
          </cell>
          <cell r="N111">
            <v>0.56070966269042888</v>
          </cell>
          <cell r="O111">
            <v>0.57433912650722085</v>
          </cell>
          <cell r="P111">
            <v>0</v>
          </cell>
          <cell r="Q111">
            <v>0.61003164066352111</v>
          </cell>
          <cell r="R111">
            <v>0.48085023949988787</v>
          </cell>
          <cell r="S111">
            <v>0.48085023949988787</v>
          </cell>
          <cell r="T111">
            <v>0</v>
          </cell>
          <cell r="U111">
            <v>0</v>
          </cell>
          <cell r="V111">
            <v>0</v>
          </cell>
          <cell r="W111">
            <v>0.85312205119460227</v>
          </cell>
          <cell r="X111">
            <v>0.85487301643976765</v>
          </cell>
          <cell r="Y111">
            <v>0.83761693964620276</v>
          </cell>
          <cell r="Z111">
            <v>0.83062324998843307</v>
          </cell>
          <cell r="AA111">
            <v>0</v>
          </cell>
          <cell r="AB111">
            <v>0</v>
          </cell>
          <cell r="AC111">
            <v>1</v>
          </cell>
          <cell r="AD111">
            <v>0.85469318336837241</v>
          </cell>
          <cell r="AE111">
            <v>0</v>
          </cell>
          <cell r="AF111">
            <v>0</v>
          </cell>
          <cell r="AG111">
            <v>0.46035243090872102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0.11263258107067242</v>
          </cell>
          <cell r="E112">
            <v>0.11302726434932626</v>
          </cell>
          <cell r="F112">
            <v>0</v>
          </cell>
          <cell r="G112">
            <v>0</v>
          </cell>
          <cell r="H112">
            <v>0</v>
          </cell>
          <cell r="I112">
            <v>0.10923211125494485</v>
          </cell>
          <cell r="J112">
            <v>0.11303030415373641</v>
          </cell>
          <cell r="K112">
            <v>0.13725493863621901</v>
          </cell>
          <cell r="L112">
            <v>0</v>
          </cell>
          <cell r="M112">
            <v>0</v>
          </cell>
          <cell r="N112">
            <v>0.13870024205740578</v>
          </cell>
          <cell r="O112">
            <v>0.14207170157788387</v>
          </cell>
          <cell r="P112">
            <v>0</v>
          </cell>
          <cell r="Q112">
            <v>0.23801280307414305</v>
          </cell>
          <cell r="R112">
            <v>0.11894577363261558</v>
          </cell>
          <cell r="S112">
            <v>0.11894577363261556</v>
          </cell>
          <cell r="T112">
            <v>0</v>
          </cell>
          <cell r="U112">
            <v>0</v>
          </cell>
          <cell r="V112">
            <v>0</v>
          </cell>
          <cell r="W112">
            <v>0.12832532986852344</v>
          </cell>
          <cell r="X112">
            <v>0.12858870741498299</v>
          </cell>
          <cell r="Y112">
            <v>0.13649302662405011</v>
          </cell>
          <cell r="Z112">
            <v>0.14530601709903898</v>
          </cell>
          <cell r="AA112">
            <v>0</v>
          </cell>
          <cell r="AB112">
            <v>0</v>
          </cell>
          <cell r="AC112">
            <v>0</v>
          </cell>
          <cell r="AD112">
            <v>0.12856165719611251</v>
          </cell>
          <cell r="AE112">
            <v>0</v>
          </cell>
          <cell r="AF112">
            <v>0</v>
          </cell>
          <cell r="AG112">
            <v>0.14815574961494871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0.23072143567727649</v>
          </cell>
          <cell r="E113">
            <v>0.23126829205880595</v>
          </cell>
          <cell r="F113">
            <v>0</v>
          </cell>
          <cell r="G113">
            <v>0</v>
          </cell>
          <cell r="H113">
            <v>0</v>
          </cell>
          <cell r="I113">
            <v>0.21113155012561557</v>
          </cell>
          <cell r="J113">
            <v>0.21812934269320125</v>
          </cell>
          <cell r="K113">
            <v>0.24191866391447675</v>
          </cell>
          <cell r="L113">
            <v>0</v>
          </cell>
          <cell r="M113">
            <v>0</v>
          </cell>
          <cell r="N113">
            <v>0.26182727554038915</v>
          </cell>
          <cell r="O113">
            <v>0.24388412401649673</v>
          </cell>
          <cell r="P113">
            <v>0</v>
          </cell>
          <cell r="Q113">
            <v>0.1006610689139734</v>
          </cell>
          <cell r="R113">
            <v>0.22453636262856633</v>
          </cell>
          <cell r="S113">
            <v>0.2245363626285663</v>
          </cell>
          <cell r="T113">
            <v>0</v>
          </cell>
          <cell r="U113">
            <v>0</v>
          </cell>
          <cell r="V113">
            <v>0</v>
          </cell>
          <cell r="W113">
            <v>6.9807350546668354E-3</v>
          </cell>
          <cell r="X113">
            <v>6.8688185096582996E-3</v>
          </cell>
          <cell r="Y113">
            <v>1.7205322024688864E-2</v>
          </cell>
          <cell r="Z113">
            <v>1.0581218989816283E-2</v>
          </cell>
          <cell r="AA113">
            <v>0</v>
          </cell>
          <cell r="AB113">
            <v>0</v>
          </cell>
          <cell r="AC113">
            <v>0</v>
          </cell>
          <cell r="AD113">
            <v>6.9935909613048075E-3</v>
          </cell>
          <cell r="AE113">
            <v>0</v>
          </cell>
          <cell r="AF113">
            <v>0</v>
          </cell>
          <cell r="AG113">
            <v>0.2382105286100375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9.9624952261400432E-2</v>
          </cell>
          <cell r="E114">
            <v>9.8817527159852495E-2</v>
          </cell>
          <cell r="F114">
            <v>0</v>
          </cell>
          <cell r="G114">
            <v>0</v>
          </cell>
          <cell r="H114">
            <v>0</v>
          </cell>
          <cell r="I114">
            <v>8.1360390103073943E-2</v>
          </cell>
          <cell r="J114">
            <v>8.3029076539583538E-2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8.2213364415885407E-2</v>
          </cell>
          <cell r="S114">
            <v>8.2213364415885407E-2</v>
          </cell>
          <cell r="T114">
            <v>0</v>
          </cell>
          <cell r="U114">
            <v>0</v>
          </cell>
          <cell r="V114">
            <v>0</v>
          </cell>
          <cell r="W114">
            <v>8.0172510882145769E-5</v>
          </cell>
          <cell r="X114">
            <v>0</v>
          </cell>
          <cell r="Y114">
            <v>0</v>
          </cell>
          <cell r="Z114">
            <v>1.3336306310722805E-3</v>
          </cell>
          <cell r="AA114">
            <v>0</v>
          </cell>
          <cell r="AB114">
            <v>0.95454545454545459</v>
          </cell>
          <cell r="AC114">
            <v>0</v>
          </cell>
          <cell r="AD114">
            <v>8.0320158702434214E-5</v>
          </cell>
          <cell r="AE114">
            <v>0</v>
          </cell>
          <cell r="AF114">
            <v>0</v>
          </cell>
          <cell r="AG114">
            <v>7.4863415768213648E-2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2.8970598164564022E-2</v>
          </cell>
          <cell r="E115">
            <v>2.9072115954172154E-2</v>
          </cell>
          <cell r="F115">
            <v>0</v>
          </cell>
          <cell r="G115">
            <v>0</v>
          </cell>
          <cell r="H115">
            <v>0</v>
          </cell>
          <cell r="I115">
            <v>2.0878984727712609E-2</v>
          </cell>
          <cell r="J115">
            <v>2.2187217505674175E-2</v>
          </cell>
          <cell r="K115">
            <v>2.309910663813533E-2</v>
          </cell>
          <cell r="L115">
            <v>0</v>
          </cell>
          <cell r="M115">
            <v>0</v>
          </cell>
          <cell r="N115">
            <v>3.4078527356894275E-2</v>
          </cell>
          <cell r="O115">
            <v>3.4906891992723253E-2</v>
          </cell>
          <cell r="P115">
            <v>0</v>
          </cell>
          <cell r="Q115">
            <v>5.1294487348362602E-2</v>
          </cell>
          <cell r="R115">
            <v>2.922487185745766E-2</v>
          </cell>
          <cell r="S115">
            <v>2.9224871857457656E-2</v>
          </cell>
          <cell r="T115">
            <v>0</v>
          </cell>
          <cell r="U115">
            <v>0</v>
          </cell>
          <cell r="V115">
            <v>0</v>
          </cell>
          <cell r="W115">
            <v>9.6496524903427125E-3</v>
          </cell>
          <cell r="X115">
            <v>9.6694576355911034E-3</v>
          </cell>
          <cell r="Y115">
            <v>8.684711705058459E-3</v>
          </cell>
          <cell r="Z115">
            <v>1.2092377071112116E-2</v>
          </cell>
          <cell r="AA115">
            <v>0</v>
          </cell>
          <cell r="AB115">
            <v>0</v>
          </cell>
          <cell r="AC115">
            <v>0</v>
          </cell>
          <cell r="AD115">
            <v>9.6674235460457638E-3</v>
          </cell>
          <cell r="AE115">
            <v>0</v>
          </cell>
          <cell r="AF115">
            <v>0</v>
          </cell>
          <cell r="AG115">
            <v>2.6479541425706896E-2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3.0127093966263027E-3</v>
          </cell>
          <cell r="E116">
            <v>3.0232664309319053E-3</v>
          </cell>
          <cell r="F116">
            <v>0</v>
          </cell>
          <cell r="G116">
            <v>0</v>
          </cell>
          <cell r="H116">
            <v>0</v>
          </cell>
          <cell r="I116">
            <v>7.7069772602598725E-4</v>
          </cell>
          <cell r="J116">
            <v>3.8266680040099932E-4</v>
          </cell>
          <cell r="K116">
            <v>0</v>
          </cell>
          <cell r="L116">
            <v>0</v>
          </cell>
          <cell r="M116">
            <v>0</v>
          </cell>
          <cell r="N116">
            <v>4.6842923548817226E-3</v>
          </cell>
          <cell r="O116">
            <v>4.7981559056751825E-3</v>
          </cell>
          <cell r="P116">
            <v>1</v>
          </cell>
          <cell r="Q116">
            <v>0</v>
          </cell>
          <cell r="R116">
            <v>4.0171290965890791E-3</v>
          </cell>
          <cell r="S116">
            <v>4.0171290965890791E-3</v>
          </cell>
          <cell r="T116">
            <v>0</v>
          </cell>
          <cell r="U116">
            <v>0</v>
          </cell>
          <cell r="V116">
            <v>0</v>
          </cell>
          <cell r="W116">
            <v>1.8382411423691996E-3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1.2392476243061811E-2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D117">
            <v>8.1570906629933063E-2</v>
          </cell>
          <cell r="E117">
            <v>7.9770735836633938E-2</v>
          </cell>
          <cell r="F117">
            <v>1</v>
          </cell>
          <cell r="G117">
            <v>0</v>
          </cell>
          <cell r="H117">
            <v>0</v>
          </cell>
          <cell r="I117">
            <v>6.3586996885630742E-2</v>
          </cell>
          <cell r="J117">
            <v>6.3669095973441073E-2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6.0212258868998079E-2</v>
          </cell>
          <cell r="S117">
            <v>6.0212258868998079E-2</v>
          </cell>
          <cell r="T117">
            <v>0</v>
          </cell>
          <cell r="U117">
            <v>0</v>
          </cell>
          <cell r="V117">
            <v>0</v>
          </cell>
          <cell r="W117">
            <v>3.8177386134355131E-6</v>
          </cell>
          <cell r="X117">
            <v>0</v>
          </cell>
          <cell r="Y117">
            <v>0</v>
          </cell>
          <cell r="Z117">
            <v>6.350622052725146E-5</v>
          </cell>
          <cell r="AA117">
            <v>0</v>
          </cell>
          <cell r="AB117">
            <v>4.5454545454545456E-2</v>
          </cell>
          <cell r="AC117">
            <v>0</v>
          </cell>
          <cell r="AD117">
            <v>3.8247694620206767E-6</v>
          </cell>
          <cell r="AE117">
            <v>1</v>
          </cell>
          <cell r="AF117">
            <v>0</v>
          </cell>
          <cell r="AG117">
            <v>3.9545857429310396E-2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>
            <v>1</v>
          </cell>
          <cell r="V120">
            <v>1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1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Index"/>
      <sheetName val="Print"/>
      <sheetName val="Detail"/>
      <sheetName val="Summary"/>
      <sheetName val="Factors"/>
      <sheetName val="Allocators"/>
      <sheetName val="Avg Cust Unit Cost"/>
      <sheetName val="AMI Costs and Benefits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DA Sch 25"/>
      <sheetName val="area lights"/>
      <sheetName val="Substations 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30">
          <cell r="A730">
            <v>730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Wildfire Deferral Baseline"/>
      <sheetName val="Wildfire Incremental Expense"/>
      <sheetName val="PT Ratio with 2021 Data"/>
      <sheetName val="202012 WFRES Depr Entry"/>
      <sheetName val="PT Ratio with 2020 Data"/>
      <sheetName val="2022 Expected Spend"/>
      <sheetName val="202110 WA Revenue Forecast"/>
    </sheetNames>
    <sheetDataSet>
      <sheetData sheetId="0"/>
      <sheetData sheetId="1"/>
      <sheetData sheetId="2">
        <row r="35">
          <cell r="D35">
            <v>0.65529999999999999</v>
          </cell>
          <cell r="E35">
            <v>0.34470000000000001</v>
          </cell>
        </row>
      </sheetData>
      <sheetData sheetId="3"/>
      <sheetData sheetId="4">
        <row r="35">
          <cell r="D35">
            <v>0.65539999999999998</v>
          </cell>
          <cell r="E35">
            <v>0.34460000000000002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 Electric - Sched 91"/>
      <sheetName val="Revenue By Month"/>
      <sheetName val="DSM Balance"/>
      <sheetName val="Rev Conv Factor"/>
      <sheetName val="Billing Determinants"/>
      <sheetName val="Base Revenu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9"/>
  <sheetViews>
    <sheetView tabSelected="1" workbookViewId="0">
      <selection activeCell="F31" sqref="F31"/>
    </sheetView>
  </sheetViews>
  <sheetFormatPr defaultColWidth="9.140625" defaultRowHeight="15"/>
  <cols>
    <col min="1" max="1" width="9.140625" style="1"/>
    <col min="2" max="2" width="43.5703125" style="1" customWidth="1"/>
    <col min="3" max="3" width="17.85546875" style="1" customWidth="1"/>
    <col min="4" max="6" width="17" style="1" customWidth="1"/>
    <col min="7" max="8" width="15.85546875" style="1" bestFit="1" customWidth="1"/>
    <col min="9" max="10" width="17" style="1" customWidth="1"/>
    <col min="11" max="11" width="4.85546875" style="1" customWidth="1"/>
    <col min="12" max="13" width="9.140625" style="1"/>
    <col min="14" max="14" width="10.5703125" style="1" customWidth="1"/>
    <col min="15" max="15" width="30" style="1" customWidth="1"/>
    <col min="16" max="16" width="15.5703125" style="1" customWidth="1"/>
    <col min="17" max="17" width="13.140625" style="1" customWidth="1"/>
    <col min="18" max="16384" width="9.140625" style="1"/>
  </cols>
  <sheetData>
    <row r="1" spans="1:14">
      <c r="C1" s="2" t="s">
        <v>109</v>
      </c>
      <c r="D1" s="2"/>
    </row>
    <row r="3" spans="1:14">
      <c r="A3" s="3"/>
      <c r="B3" s="4"/>
      <c r="C3" s="5"/>
      <c r="D3" s="5"/>
      <c r="E3" s="5"/>
      <c r="F3" s="5"/>
      <c r="G3" s="5"/>
      <c r="H3" s="5"/>
      <c r="I3" s="5"/>
      <c r="J3" s="5"/>
      <c r="K3" s="6"/>
    </row>
    <row r="4" spans="1:14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126</v>
      </c>
      <c r="I4" s="9" t="s">
        <v>6</v>
      </c>
      <c r="J4" s="9" t="s">
        <v>7</v>
      </c>
      <c r="K4" s="11"/>
    </row>
    <row r="5" spans="1:14">
      <c r="A5" s="7"/>
      <c r="B5" s="12" t="s">
        <v>8</v>
      </c>
      <c r="C5" s="13" t="s">
        <v>9</v>
      </c>
      <c r="D5" s="13" t="s">
        <v>73</v>
      </c>
      <c r="E5" s="13" t="s">
        <v>93</v>
      </c>
      <c r="F5" s="13" t="s">
        <v>92</v>
      </c>
      <c r="G5" s="13" t="s">
        <v>124</v>
      </c>
      <c r="H5" s="13" t="s">
        <v>125</v>
      </c>
      <c r="I5" s="13" t="s">
        <v>10</v>
      </c>
      <c r="J5" s="13" t="s">
        <v>11</v>
      </c>
      <c r="K5" s="14"/>
    </row>
    <row r="6" spans="1:14">
      <c r="A6" s="15" t="s">
        <v>12</v>
      </c>
      <c r="B6" s="16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18</v>
      </c>
      <c r="I6" s="17" t="s">
        <v>19</v>
      </c>
      <c r="J6" s="17" t="s">
        <v>20</v>
      </c>
      <c r="K6" s="18" t="s">
        <v>21</v>
      </c>
    </row>
    <row r="7" spans="1:14">
      <c r="A7" s="19">
        <v>1</v>
      </c>
      <c r="B7" s="20" t="s">
        <v>248</v>
      </c>
      <c r="C7" s="9"/>
      <c r="D7" s="9"/>
      <c r="E7" s="9"/>
      <c r="F7" s="9"/>
      <c r="G7" s="9"/>
      <c r="H7" s="9"/>
      <c r="I7" s="9"/>
      <c r="J7" s="9"/>
      <c r="K7" s="10"/>
    </row>
    <row r="8" spans="1:14">
      <c r="A8" s="173" t="s">
        <v>159</v>
      </c>
      <c r="B8" s="8" t="s">
        <v>163</v>
      </c>
      <c r="C8" s="21">
        <f>SUM(D8:J8)</f>
        <v>0.99999999999999989</v>
      </c>
      <c r="D8" s="80">
        <f>D56/$C$56</f>
        <v>0.50109512407770074</v>
      </c>
      <c r="E8" s="80">
        <f t="shared" ref="E8:J8" si="0">E56/$C$56</f>
        <v>0.17971297976487985</v>
      </c>
      <c r="F8" s="80">
        <f t="shared" si="0"/>
        <v>0.22180370216665854</v>
      </c>
      <c r="G8" s="80">
        <f t="shared" si="0"/>
        <v>3.9269412196040278E-2</v>
      </c>
      <c r="H8" s="80">
        <f t="shared" si="0"/>
        <v>5.653530982619049E-4</v>
      </c>
      <c r="I8" s="80">
        <f t="shared" si="0"/>
        <v>2.7181060353885886E-2</v>
      </c>
      <c r="J8" s="80">
        <f t="shared" si="0"/>
        <v>3.0372368342572672E-2</v>
      </c>
      <c r="K8" s="22" t="s">
        <v>22</v>
      </c>
      <c r="L8" s="32">
        <f>'Incremental Exp'!S74</f>
        <v>0.83187734039962391</v>
      </c>
      <c r="M8" s="174"/>
    </row>
    <row r="9" spans="1:14" ht="15.75" thickBot="1">
      <c r="A9" s="19" t="s">
        <v>160</v>
      </c>
      <c r="B9" s="8" t="s">
        <v>164</v>
      </c>
      <c r="C9" s="21">
        <f>SUM(D9:J9)</f>
        <v>1</v>
      </c>
      <c r="D9" s="80">
        <f>D55/$C$55</f>
        <v>0.32978763032705743</v>
      </c>
      <c r="E9" s="80">
        <f t="shared" ref="E9:J9" si="1">E55/$C$55</f>
        <v>0.14885842127523063</v>
      </c>
      <c r="F9" s="80">
        <f t="shared" si="1"/>
        <v>0.32793623187603582</v>
      </c>
      <c r="G9" s="80">
        <f t="shared" si="1"/>
        <v>0.12363692088377626</v>
      </c>
      <c r="H9" s="80">
        <f t="shared" si="1"/>
        <v>5.0228990858702763E-2</v>
      </c>
      <c r="I9" s="80">
        <f t="shared" si="1"/>
        <v>1.8630971767244254E-2</v>
      </c>
      <c r="J9" s="80">
        <f t="shared" si="1"/>
        <v>9.2083301195284987E-4</v>
      </c>
      <c r="K9" s="22"/>
      <c r="L9" s="32">
        <f>'Incremental Exp'!S75</f>
        <v>0.16812265960037617</v>
      </c>
      <c r="M9" s="174"/>
      <c r="N9" s="174"/>
    </row>
    <row r="10" spans="1:14" ht="15.75" thickBot="1">
      <c r="A10" s="19">
        <v>3</v>
      </c>
      <c r="B10" s="8" t="s">
        <v>265</v>
      </c>
      <c r="C10" s="119">
        <v>4949638.4535891246</v>
      </c>
      <c r="D10" s="46">
        <f>($C$10*$L$9*D9)+($C$10*$L$8*D8)</f>
        <v>2337686.7840991747</v>
      </c>
      <c r="E10" s="46">
        <f t="shared" ref="E10:J10" si="2">($C$10*$L$9*E9)+($C$10*$L$8*E8)</f>
        <v>863838.76607259281</v>
      </c>
      <c r="F10" s="46">
        <f t="shared" si="2"/>
        <v>1186165.9338835755</v>
      </c>
      <c r="G10" s="46">
        <f t="shared" si="2"/>
        <v>264575.50967352983</v>
      </c>
      <c r="H10" s="46">
        <f t="shared" si="2"/>
        <v>44125.709858584654</v>
      </c>
      <c r="I10" s="46">
        <f t="shared" si="2"/>
        <v>127421.49626336287</v>
      </c>
      <c r="J10" s="46">
        <f t="shared" si="2"/>
        <v>125824.25373830379</v>
      </c>
      <c r="K10" s="11"/>
    </row>
    <row r="11" spans="1:14">
      <c r="A11" s="19">
        <f t="shared" ref="A11:A20" si="3">A10+1</f>
        <v>4</v>
      </c>
      <c r="B11" s="8" t="s">
        <v>23</v>
      </c>
      <c r="C11" s="23">
        <f>SUM(D11:J11)</f>
        <v>5686458087.4802418</v>
      </c>
      <c r="D11" s="23">
        <f>'kWh Forecast'!N22</f>
        <v>2491655249.8392444</v>
      </c>
      <c r="E11" s="23">
        <f>'kWh Forecast'!N23</f>
        <v>655641363.02780187</v>
      </c>
      <c r="F11" s="23">
        <f>'kWh Forecast'!N24</f>
        <v>1286937315.9104919</v>
      </c>
      <c r="G11" s="23">
        <f>'kWh Forecast'!N15</f>
        <v>613268259.27050006</v>
      </c>
      <c r="H11" s="23">
        <f>'kWh Forecast'!N19</f>
        <v>476510337</v>
      </c>
      <c r="I11" s="23">
        <f>'kWh Forecast'!N26</f>
        <v>146305718.57259846</v>
      </c>
      <c r="J11" s="23">
        <f>'kWh Forecast'!N27</f>
        <v>16139843.859604783</v>
      </c>
      <c r="K11" s="22" t="s">
        <v>24</v>
      </c>
    </row>
    <row r="12" spans="1:14">
      <c r="A12" s="19">
        <f t="shared" si="3"/>
        <v>5</v>
      </c>
      <c r="B12" s="8" t="s">
        <v>25</v>
      </c>
      <c r="C12" s="24"/>
      <c r="D12" s="72">
        <f t="shared" ref="D12:J12" si="4">D10/D11</f>
        <v>9.3820635268462469E-4</v>
      </c>
      <c r="E12" s="72">
        <f t="shared" si="4"/>
        <v>1.3175476941895787E-3</v>
      </c>
      <c r="F12" s="72">
        <f t="shared" si="4"/>
        <v>9.216967440596577E-4</v>
      </c>
      <c r="G12" s="72">
        <f t="shared" si="4"/>
        <v>4.3141888671729056E-4</v>
      </c>
      <c r="H12" s="72">
        <f t="shared" ref="H12" si="5">H10/H11</f>
        <v>9.2601789368075465E-5</v>
      </c>
      <c r="I12" s="72">
        <f t="shared" si="4"/>
        <v>8.7092628713712902E-4</v>
      </c>
      <c r="J12" s="72">
        <f t="shared" si="4"/>
        <v>7.7958780043231998E-3</v>
      </c>
      <c r="K12" s="11"/>
    </row>
    <row r="13" spans="1:14">
      <c r="A13" s="19">
        <f t="shared" si="3"/>
        <v>6</v>
      </c>
      <c r="B13" s="8" t="s">
        <v>26</v>
      </c>
      <c r="C13" s="25">
        <f>SUM(D13:J13)</f>
        <v>3209259.1140831243</v>
      </c>
      <c r="D13" s="25">
        <f>'kWh Forecast'!N52</f>
        <v>2741768</v>
      </c>
      <c r="E13" s="25">
        <f>'kWh Forecast'!N53</f>
        <v>415677.16440951795</v>
      </c>
      <c r="F13" s="25">
        <f>'kWh Forecast'!N54</f>
        <v>21200.700191240448</v>
      </c>
      <c r="G13" s="25">
        <f>'kWh Forecast'!N45</f>
        <v>264</v>
      </c>
      <c r="H13" s="25">
        <f>'kWh Forecast'!N49</f>
        <v>12</v>
      </c>
      <c r="I13" s="25">
        <f>'kWh Forecast'!N56</f>
        <v>30337.249482366205</v>
      </c>
      <c r="J13" s="25"/>
      <c r="K13" s="22"/>
    </row>
    <row r="14" spans="1:14">
      <c r="A14" s="19">
        <f t="shared" si="3"/>
        <v>7</v>
      </c>
      <c r="B14" s="8" t="s">
        <v>122</v>
      </c>
      <c r="C14" s="24"/>
      <c r="D14" s="47">
        <f t="shared" ref="D14:I14" si="6">(D11/D13)*D12</f>
        <v>0.85262020130776006</v>
      </c>
      <c r="E14" s="47">
        <f t="shared" si="6"/>
        <v>2.0781482362633561</v>
      </c>
      <c r="F14" s="47">
        <f t="shared" si="6"/>
        <v>55.949375406651285</v>
      </c>
      <c r="G14" s="47">
        <f t="shared" si="6"/>
        <v>1002.1799608845828</v>
      </c>
      <c r="H14" s="47">
        <f t="shared" si="6"/>
        <v>3677.1424882153879</v>
      </c>
      <c r="I14" s="47">
        <f t="shared" si="6"/>
        <v>4.2001664105187828</v>
      </c>
      <c r="J14" s="47"/>
      <c r="K14" s="11"/>
    </row>
    <row r="15" spans="1:14">
      <c r="A15" s="19">
        <f t="shared" si="3"/>
        <v>8</v>
      </c>
      <c r="B15" s="8" t="s">
        <v>123</v>
      </c>
      <c r="C15" s="24"/>
      <c r="D15" s="47">
        <f t="shared" ref="D15:I15" si="7">(D11/(D13/12))*D12</f>
        <v>10.231442415693122</v>
      </c>
      <c r="E15" s="47">
        <f t="shared" si="7"/>
        <v>24.937778835160273</v>
      </c>
      <c r="F15" s="47">
        <f t="shared" si="7"/>
        <v>671.39250487981542</v>
      </c>
      <c r="G15" s="47">
        <f t="shared" si="7"/>
        <v>12026.159530614992</v>
      </c>
      <c r="H15" s="47">
        <f t="shared" si="7"/>
        <v>44125.709858584654</v>
      </c>
      <c r="I15" s="47">
        <f t="shared" si="7"/>
        <v>50.401996926225394</v>
      </c>
      <c r="J15" s="47"/>
      <c r="K15" s="11"/>
    </row>
    <row r="16" spans="1:14">
      <c r="A16" s="19">
        <f t="shared" si="3"/>
        <v>9</v>
      </c>
      <c r="B16" s="8"/>
      <c r="C16" s="7"/>
      <c r="D16" s="24"/>
      <c r="E16" s="24"/>
      <c r="F16" s="24"/>
      <c r="G16" s="24"/>
      <c r="H16" s="24"/>
      <c r="I16" s="24"/>
      <c r="J16" s="24"/>
      <c r="K16" s="24"/>
    </row>
    <row r="17" spans="1:14">
      <c r="A17" s="19">
        <f t="shared" si="3"/>
        <v>10</v>
      </c>
      <c r="B17" s="8" t="s">
        <v>27</v>
      </c>
      <c r="C17" s="7"/>
      <c r="D17" s="26">
        <f>D12</f>
        <v>9.3820635268462469E-4</v>
      </c>
      <c r="E17" s="26">
        <f t="shared" ref="E17:J17" si="8">E12</f>
        <v>1.3175476941895787E-3</v>
      </c>
      <c r="F17" s="26">
        <f t="shared" si="8"/>
        <v>9.216967440596577E-4</v>
      </c>
      <c r="G17" s="26">
        <f t="shared" si="8"/>
        <v>4.3141888671729056E-4</v>
      </c>
      <c r="H17" s="26">
        <f t="shared" ref="H17" si="9">H12</f>
        <v>9.2601789368075465E-5</v>
      </c>
      <c r="I17" s="26">
        <f t="shared" si="8"/>
        <v>8.7092628713712902E-4</v>
      </c>
      <c r="J17" s="26">
        <f t="shared" si="8"/>
        <v>7.7958780043231998E-3</v>
      </c>
      <c r="K17" s="24"/>
    </row>
    <row r="18" spans="1:14">
      <c r="A18" s="19">
        <f t="shared" si="3"/>
        <v>11</v>
      </c>
      <c r="B18" s="8" t="s">
        <v>28</v>
      </c>
      <c r="C18" s="7"/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24"/>
    </row>
    <row r="19" spans="1:14">
      <c r="A19" s="19">
        <f t="shared" si="3"/>
        <v>12</v>
      </c>
      <c r="B19" s="8" t="s">
        <v>29</v>
      </c>
      <c r="C19" s="7"/>
      <c r="D19" s="26">
        <f t="shared" ref="D19:J19" si="10">D17-D18</f>
        <v>9.3820635268462469E-4</v>
      </c>
      <c r="E19" s="26">
        <f t="shared" si="10"/>
        <v>1.3175476941895787E-3</v>
      </c>
      <c r="F19" s="26">
        <f t="shared" si="10"/>
        <v>9.216967440596577E-4</v>
      </c>
      <c r="G19" s="26">
        <f t="shared" si="10"/>
        <v>4.3141888671729056E-4</v>
      </c>
      <c r="H19" s="26">
        <f t="shared" ref="H19" si="11">H17-H18</f>
        <v>9.2601789368075465E-5</v>
      </c>
      <c r="I19" s="26">
        <f t="shared" si="10"/>
        <v>8.7092628713712902E-4</v>
      </c>
      <c r="J19" s="26">
        <f t="shared" si="10"/>
        <v>7.7958780043231998E-3</v>
      </c>
      <c r="K19" s="24"/>
      <c r="N19" s="32"/>
    </row>
    <row r="20" spans="1:14">
      <c r="A20" s="44">
        <f t="shared" si="3"/>
        <v>13</v>
      </c>
      <c r="B20" s="45" t="s">
        <v>264</v>
      </c>
      <c r="C20" s="27">
        <f>SUM(D20:J20)</f>
        <v>4949638.4535891237</v>
      </c>
      <c r="D20" s="28">
        <f>D19*D11</f>
        <v>2337686.7840991747</v>
      </c>
      <c r="E20" s="28">
        <f t="shared" ref="E20:J20" si="12">E19*E11</f>
        <v>863838.76607259281</v>
      </c>
      <c r="F20" s="28">
        <f t="shared" si="12"/>
        <v>1186165.9338835755</v>
      </c>
      <c r="G20" s="28">
        <f t="shared" si="12"/>
        <v>264575.50967352983</v>
      </c>
      <c r="H20" s="28">
        <f t="shared" ref="H20" si="13">H19*H11</f>
        <v>44125.709858584654</v>
      </c>
      <c r="I20" s="28">
        <f t="shared" si="12"/>
        <v>127421.49626336287</v>
      </c>
      <c r="J20" s="28">
        <f t="shared" si="12"/>
        <v>125824.25373830379</v>
      </c>
      <c r="K20" s="29"/>
    </row>
    <row r="21" spans="1:14">
      <c r="A21" s="19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>
      <c r="A22" s="30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4">
      <c r="B23" s="8" t="s">
        <v>46</v>
      </c>
      <c r="C23" s="31">
        <f>SUM(D23:J23)</f>
        <v>556948000</v>
      </c>
      <c r="D23" s="100">
        <v>240022000</v>
      </c>
      <c r="E23" s="100">
        <v>87407000</v>
      </c>
      <c r="F23" s="100">
        <v>142809000</v>
      </c>
      <c r="G23" s="100">
        <v>41422000</v>
      </c>
      <c r="H23" s="100">
        <v>22445000</v>
      </c>
      <c r="I23" s="100">
        <v>15745000</v>
      </c>
      <c r="J23" s="100">
        <v>7098000</v>
      </c>
      <c r="K23" s="8"/>
    </row>
    <row r="24" spans="1:14">
      <c r="B24" s="8" t="s">
        <v>47</v>
      </c>
      <c r="C24" s="32">
        <f t="shared" ref="C24:J24" si="14">C20/C23</f>
        <v>8.8870746525512682E-3</v>
      </c>
      <c r="D24" s="32">
        <f t="shared" si="14"/>
        <v>9.7394688157717828E-3</v>
      </c>
      <c r="E24" s="32">
        <f t="shared" si="14"/>
        <v>9.8829472018556047E-3</v>
      </c>
      <c r="F24" s="32">
        <f t="shared" si="14"/>
        <v>8.3059606459227036E-3</v>
      </c>
      <c r="G24" s="32">
        <f t="shared" si="14"/>
        <v>6.3873185667889E-3</v>
      </c>
      <c r="H24" s="32">
        <f t="shared" si="14"/>
        <v>1.9659483118104099E-3</v>
      </c>
      <c r="I24" s="32">
        <f t="shared" si="14"/>
        <v>8.0928228811281595E-3</v>
      </c>
      <c r="J24" s="32">
        <f t="shared" si="14"/>
        <v>1.7726719320696502E-2</v>
      </c>
    </row>
    <row r="26" spans="1:14">
      <c r="B26" s="109" t="s">
        <v>104</v>
      </c>
      <c r="D26" s="33">
        <f>ROUND((ROUND(D17,5)-ROUND(D18,5))*932,2)</f>
        <v>0.88</v>
      </c>
    </row>
    <row r="27" spans="1:14">
      <c r="B27" s="1" t="s">
        <v>48</v>
      </c>
      <c r="D27" s="66">
        <f>D26/C44</f>
        <v>1.0344422240507817E-2</v>
      </c>
    </row>
    <row r="29" spans="1:14">
      <c r="D29" s="96"/>
      <c r="F29" s="34"/>
    </row>
    <row r="31" spans="1:14">
      <c r="B31" s="118" t="s">
        <v>110</v>
      </c>
      <c r="C31" s="41">
        <f ca="1">'Deferral Balance'!G14</f>
        <v>4732193.6686642272</v>
      </c>
      <c r="H31" s="60"/>
    </row>
    <row r="32" spans="1:14">
      <c r="B32" s="150" t="s">
        <v>144</v>
      </c>
      <c r="C32" s="41">
        <f ca="1">'Deferral Schedule'!R7</f>
        <v>0</v>
      </c>
      <c r="D32" s="34"/>
      <c r="H32" s="60"/>
    </row>
    <row r="33" spans="2:23">
      <c r="B33" s="150" t="s">
        <v>145</v>
      </c>
      <c r="C33" s="41">
        <f ca="1">SUM(C31:C32)</f>
        <v>4732193.6686642272</v>
      </c>
      <c r="H33" s="60"/>
    </row>
    <row r="34" spans="2:23">
      <c r="B34" s="118" t="s">
        <v>111</v>
      </c>
      <c r="C34" s="39">
        <f>'CF WA Elec'!E21</f>
        <v>0.95606855188236617</v>
      </c>
      <c r="F34" s="110"/>
    </row>
    <row r="35" spans="2:23" ht="15.75" thickBot="1">
      <c r="B35" s="118" t="s">
        <v>112</v>
      </c>
      <c r="C35" s="120">
        <f ca="1">(C31+C32)/C34</f>
        <v>4949638.4535891227</v>
      </c>
      <c r="D35" s="42"/>
      <c r="E35" s="118" t="s">
        <v>121</v>
      </c>
      <c r="F35" s="110"/>
      <c r="H35" s="33"/>
    </row>
    <row r="36" spans="2:23" ht="15.75" thickTop="1">
      <c r="B36" s="118"/>
      <c r="C36" s="149"/>
      <c r="E36" s="118"/>
      <c r="F36" s="110"/>
      <c r="H36" s="33"/>
    </row>
    <row r="37" spans="2:23">
      <c r="B37" s="118"/>
      <c r="C37" s="149"/>
      <c r="E37" s="118"/>
      <c r="F37" s="110"/>
      <c r="H37" s="33"/>
    </row>
    <row r="38" spans="2:23">
      <c r="B38" s="118"/>
      <c r="C38" s="149"/>
      <c r="E38" s="118"/>
      <c r="F38" s="110"/>
      <c r="H38" s="33"/>
    </row>
    <row r="39" spans="2:23">
      <c r="F39" s="110"/>
    </row>
    <row r="40" spans="2:23">
      <c r="B40" s="62" t="s">
        <v>58</v>
      </c>
      <c r="N40" s="75"/>
      <c r="O40" s="76"/>
      <c r="P40" s="76"/>
      <c r="Q40" s="75"/>
    </row>
    <row r="41" spans="2:23">
      <c r="B41" s="1" t="s">
        <v>59</v>
      </c>
      <c r="C41" s="33">
        <v>9</v>
      </c>
      <c r="N41" s="77"/>
      <c r="O41" s="78"/>
      <c r="P41" s="78"/>
      <c r="Q41" s="78"/>
    </row>
    <row r="42" spans="2:23">
      <c r="B42" s="1" t="s">
        <v>60</v>
      </c>
      <c r="C42" s="111">
        <v>7.9750000000000001E-2</v>
      </c>
      <c r="G42" s="8"/>
      <c r="H42" s="8"/>
      <c r="I42" s="8"/>
      <c r="J42" s="8"/>
      <c r="K42" s="8"/>
      <c r="L42" s="8"/>
      <c r="M42" s="8"/>
      <c r="N42" s="8"/>
      <c r="O42" s="61"/>
      <c r="P42" s="61"/>
      <c r="Q42" s="61"/>
      <c r="R42" s="8"/>
      <c r="S42" s="8"/>
      <c r="T42" s="8"/>
      <c r="U42" s="8"/>
      <c r="V42" s="8"/>
      <c r="W42" s="8"/>
    </row>
    <row r="43" spans="2:23">
      <c r="B43" s="1" t="s">
        <v>61</v>
      </c>
      <c r="C43" s="111">
        <v>9.2990000000000003E-2</v>
      </c>
      <c r="G43" s="8"/>
      <c r="H43" s="8"/>
      <c r="I43" s="8"/>
      <c r="J43" s="8"/>
      <c r="K43" s="8"/>
      <c r="L43" s="8"/>
      <c r="M43" s="8"/>
      <c r="N43" s="8"/>
      <c r="O43" s="61"/>
      <c r="P43" s="61"/>
      <c r="Q43" s="61"/>
      <c r="R43" s="8"/>
      <c r="S43" s="8"/>
      <c r="T43" s="8"/>
      <c r="U43" s="8"/>
      <c r="V43" s="8"/>
      <c r="W43" s="8"/>
    </row>
    <row r="44" spans="2:23">
      <c r="B44" s="109" t="s">
        <v>105</v>
      </c>
      <c r="C44" s="33">
        <f>C41+ROUND((800*C42),2)+ROUND(((932-800)*C43),2)</f>
        <v>85.07</v>
      </c>
      <c r="G44" s="8"/>
      <c r="H44" s="8"/>
      <c r="I44" s="8"/>
      <c r="J44" s="8"/>
      <c r="K44" s="8"/>
      <c r="L44" s="8"/>
      <c r="M44" s="8"/>
      <c r="N44" s="8"/>
      <c r="O44" s="61"/>
      <c r="P44" s="61"/>
      <c r="Q44" s="61"/>
      <c r="R44" s="8"/>
      <c r="S44" s="8"/>
      <c r="T44" s="8"/>
      <c r="U44" s="8"/>
      <c r="V44" s="8"/>
      <c r="W44" s="8"/>
    </row>
    <row r="45" spans="2:23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2:23">
      <c r="B46" s="93" t="s">
        <v>91</v>
      </c>
      <c r="C46" s="34">
        <f>D26</f>
        <v>0.88</v>
      </c>
      <c r="D46" s="32">
        <f>C46/C44</f>
        <v>1.0344422240507817E-2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>
      <c r="G47" s="8"/>
      <c r="H47" s="8"/>
      <c r="I47" s="8"/>
      <c r="J47" s="8"/>
      <c r="K47" s="8"/>
      <c r="L47" s="8"/>
      <c r="M47" s="8"/>
      <c r="N47" s="101"/>
      <c r="O47" s="102"/>
      <c r="P47" s="101"/>
      <c r="Q47" s="8"/>
      <c r="R47" s="8"/>
      <c r="S47" s="8"/>
      <c r="T47" s="8"/>
      <c r="U47" s="8"/>
      <c r="V47" s="8"/>
      <c r="W47" s="8"/>
    </row>
    <row r="48" spans="2:23">
      <c r="B48" s="1" t="s">
        <v>72</v>
      </c>
      <c r="C48" s="34">
        <f>SUM(C44:C47)</f>
        <v>85.949999999999989</v>
      </c>
      <c r="G48" s="8"/>
      <c r="H48" s="8"/>
      <c r="I48" s="8"/>
      <c r="J48" s="8"/>
      <c r="K48" s="8"/>
      <c r="L48" s="8"/>
      <c r="M48" s="8"/>
      <c r="N48" s="103"/>
      <c r="O48" s="8"/>
      <c r="P48" s="104"/>
      <c r="Q48" s="8"/>
      <c r="R48" s="8"/>
      <c r="S48" s="8"/>
      <c r="T48" s="8"/>
      <c r="U48" s="8"/>
      <c r="V48" s="8"/>
      <c r="W48" s="8"/>
    </row>
    <row r="49" spans="1:23">
      <c r="G49" s="8"/>
      <c r="H49" s="8"/>
      <c r="I49" s="8"/>
      <c r="J49" s="8"/>
      <c r="K49" s="8"/>
      <c r="L49" s="8"/>
      <c r="M49" s="8"/>
      <c r="N49" s="105"/>
      <c r="O49" s="8"/>
      <c r="P49" s="104"/>
      <c r="Q49" s="8"/>
      <c r="R49" s="8"/>
      <c r="S49" s="8"/>
      <c r="T49" s="8"/>
      <c r="U49" s="8"/>
      <c r="V49" s="8"/>
      <c r="W49" s="8"/>
    </row>
    <row r="50" spans="1:23">
      <c r="A50" s="199" t="s">
        <v>262</v>
      </c>
      <c r="G50" s="8"/>
      <c r="H50" s="8"/>
      <c r="I50" s="8"/>
      <c r="J50" s="8"/>
      <c r="K50" s="8"/>
      <c r="L50" s="8"/>
      <c r="M50" s="8"/>
      <c r="N50" s="105"/>
      <c r="O50" s="8"/>
      <c r="P50" s="104"/>
      <c r="Q50" s="8"/>
      <c r="R50" s="8"/>
      <c r="S50" s="8"/>
      <c r="T50" s="8"/>
      <c r="U50" s="8"/>
      <c r="V50" s="8"/>
      <c r="W50" s="8"/>
    </row>
    <row r="51" spans="1:23">
      <c r="A51" s="199" t="s">
        <v>263</v>
      </c>
      <c r="G51" s="8"/>
      <c r="H51" s="8"/>
      <c r="I51" s="8"/>
      <c r="J51" s="8"/>
      <c r="K51" s="8"/>
      <c r="L51" s="8"/>
      <c r="M51" s="8"/>
      <c r="N51" s="105"/>
      <c r="O51" s="8"/>
      <c r="P51" s="104"/>
      <c r="Q51" s="8"/>
      <c r="R51" s="8"/>
      <c r="S51" s="8"/>
      <c r="T51" s="8"/>
      <c r="U51" s="8"/>
      <c r="V51" s="8"/>
      <c r="W51" s="8"/>
    </row>
    <row r="52" spans="1:23">
      <c r="A52" s="198">
        <v>864</v>
      </c>
      <c r="C52" s="1" t="s">
        <v>0</v>
      </c>
      <c r="D52" s="1" t="s">
        <v>249</v>
      </c>
      <c r="E52" s="1" t="s">
        <v>250</v>
      </c>
      <c r="F52" s="1" t="s">
        <v>251</v>
      </c>
      <c r="G52" s="8" t="s">
        <v>252</v>
      </c>
      <c r="H52" s="8" t="s">
        <v>255</v>
      </c>
      <c r="I52" s="8" t="s">
        <v>253</v>
      </c>
      <c r="J52" s="8" t="s">
        <v>254</v>
      </c>
      <c r="K52" s="8"/>
      <c r="L52" s="8"/>
      <c r="M52" s="8"/>
      <c r="N52" s="105"/>
      <c r="O52" s="8"/>
      <c r="P52" s="104"/>
      <c r="Q52" s="8"/>
      <c r="R52" s="8"/>
      <c r="S52" s="8"/>
      <c r="T52" s="8"/>
      <c r="U52" s="8"/>
      <c r="V52" s="8"/>
      <c r="W52" s="8"/>
    </row>
    <row r="53" spans="1:23">
      <c r="A53" s="198">
        <v>865</v>
      </c>
      <c r="B53" s="1" t="s">
        <v>256</v>
      </c>
      <c r="G53" s="8"/>
      <c r="H53" s="8"/>
      <c r="I53" s="8"/>
      <c r="J53" s="8"/>
      <c r="K53" s="8"/>
      <c r="L53" s="8"/>
      <c r="M53" s="8"/>
      <c r="N53" s="105"/>
      <c r="O53" s="8"/>
      <c r="P53" s="104"/>
      <c r="Q53" s="8"/>
      <c r="R53" s="8"/>
      <c r="S53" s="8"/>
      <c r="T53" s="8"/>
      <c r="U53" s="8"/>
      <c r="V53" s="8"/>
      <c r="W53" s="8"/>
    </row>
    <row r="54" spans="1:23">
      <c r="A54" s="198">
        <v>866</v>
      </c>
      <c r="B54" s="1" t="s">
        <v>257</v>
      </c>
      <c r="C54" s="41">
        <v>218637087.59454724</v>
      </c>
      <c r="D54" s="41">
        <v>87734354.022161767</v>
      </c>
      <c r="E54" s="41">
        <v>26572308.650388483</v>
      </c>
      <c r="F54" s="41">
        <v>59211326.558528841</v>
      </c>
      <c r="G54" s="200">
        <v>24626652.621827424</v>
      </c>
      <c r="H54" s="200">
        <v>15083097.13266268</v>
      </c>
      <c r="I54" s="200">
        <v>4901876.8455568524</v>
      </c>
      <c r="J54" s="200">
        <v>507471.76342118828</v>
      </c>
      <c r="K54" s="8"/>
      <c r="L54" s="8"/>
      <c r="M54" s="8"/>
      <c r="N54" s="8"/>
      <c r="O54" s="106"/>
      <c r="P54" s="107"/>
      <c r="Q54" s="8"/>
      <c r="R54" s="8"/>
      <c r="S54" s="8"/>
      <c r="T54" s="8"/>
      <c r="U54" s="8"/>
      <c r="V54" s="8"/>
      <c r="W54" s="8"/>
    </row>
    <row r="55" spans="1:23">
      <c r="A55" s="198">
        <v>867</v>
      </c>
      <c r="B55" s="1" t="s">
        <v>258</v>
      </c>
      <c r="C55" s="41">
        <v>55451501.394450612</v>
      </c>
      <c r="D55" s="41">
        <v>18287219.24295339</v>
      </c>
      <c r="E55" s="41">
        <v>8254422.9549191678</v>
      </c>
      <c r="F55" s="41">
        <v>18184556.419164881</v>
      </c>
      <c r="G55" s="200">
        <v>6855852.8907922991</v>
      </c>
      <c r="H55" s="200">
        <v>2785272.9566432033</v>
      </c>
      <c r="I55" s="200">
        <v>1033115.3569313147</v>
      </c>
      <c r="J55" s="200">
        <v>51061.573046359612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>
      <c r="A56" s="198">
        <v>868</v>
      </c>
      <c r="B56" s="1" t="s">
        <v>259</v>
      </c>
      <c r="C56" s="41">
        <v>158375493.04687995</v>
      </c>
      <c r="D56" s="41">
        <v>79361187.339193329</v>
      </c>
      <c r="E56" s="41">
        <v>28462131.777186804</v>
      </c>
      <c r="F56" s="41">
        <v>35128270.690267861</v>
      </c>
      <c r="G56" s="200">
        <v>6219312.5182090402</v>
      </c>
      <c r="H56" s="200">
        <v>89538.075682810348</v>
      </c>
      <c r="I56" s="200">
        <v>4304813.8350836784</v>
      </c>
      <c r="J56" s="200">
        <v>4810238.8112563947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>
      <c r="A57" s="198">
        <v>869</v>
      </c>
      <c r="B57" s="1" t="s">
        <v>260</v>
      </c>
      <c r="C57" s="41">
        <v>111692917.96412227</v>
      </c>
      <c r="D57" s="41">
        <v>57900239.395691536</v>
      </c>
      <c r="E57" s="41">
        <v>15937136.617505532</v>
      </c>
      <c r="F57" s="41">
        <v>23165846.332038455</v>
      </c>
      <c r="G57" s="200">
        <v>7407181.9691712288</v>
      </c>
      <c r="H57" s="200">
        <v>3399091.8350113006</v>
      </c>
      <c r="I57" s="200">
        <v>2390193.9624281563</v>
      </c>
      <c r="J57" s="200">
        <v>1493227.8522760575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>
      <c r="A58" s="198">
        <v>870</v>
      </c>
      <c r="B58" s="1" t="s">
        <v>261</v>
      </c>
      <c r="C58" s="41">
        <v>544157000</v>
      </c>
      <c r="D58" s="41">
        <v>243283000.00000003</v>
      </c>
      <c r="E58" s="41">
        <v>79225999.999999985</v>
      </c>
      <c r="F58" s="41">
        <v>135690000.00000003</v>
      </c>
      <c r="G58" s="200">
        <v>45108999.999999985</v>
      </c>
      <c r="H58" s="200">
        <v>21356999.999999996</v>
      </c>
      <c r="I58" s="200">
        <v>12630000.000000002</v>
      </c>
      <c r="J58" s="200">
        <v>6862000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</sheetData>
  <pageMargins left="0.7" right="0.7" top="0.75" bottom="0.75" header="0.3" footer="0.3"/>
  <pageSetup scale="65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D6F1-08B1-445D-B3D7-1580071F55AB}">
  <dimension ref="A1:S78"/>
  <sheetViews>
    <sheetView topLeftCell="F7" workbookViewId="0">
      <selection activeCell="P84" sqref="P84"/>
    </sheetView>
  </sheetViews>
  <sheetFormatPr defaultColWidth="9.140625" defaultRowHeight="12.75"/>
  <cols>
    <col min="1" max="1" width="7" bestFit="1" customWidth="1"/>
    <col min="2" max="2" width="11.28515625" bestFit="1" customWidth="1"/>
    <col min="3" max="3" width="32.7109375" bestFit="1" customWidth="1"/>
    <col min="4" max="4" width="30.42578125" customWidth="1"/>
    <col min="5" max="5" width="31.42578125" bestFit="1" customWidth="1"/>
    <col min="6" max="6" width="28.140625" bestFit="1" customWidth="1"/>
    <col min="7" max="7" width="15.28515625" bestFit="1" customWidth="1"/>
    <col min="8" max="9" width="15" customWidth="1"/>
    <col min="10" max="10" width="16.42578125" bestFit="1" customWidth="1"/>
    <col min="11" max="17" width="16.42578125" customWidth="1"/>
    <col min="18" max="18" width="17.28515625" bestFit="1" customWidth="1"/>
  </cols>
  <sheetData>
    <row r="1" spans="1:18" ht="17.25" customHeight="1" thickBot="1">
      <c r="A1" s="217" t="s">
        <v>165</v>
      </c>
      <c r="B1" s="218"/>
      <c r="C1" s="218"/>
      <c r="D1" s="218"/>
      <c r="E1" s="218"/>
      <c r="F1" s="218"/>
      <c r="G1" s="175" t="s">
        <v>166</v>
      </c>
      <c r="H1" s="175" t="s">
        <v>167</v>
      </c>
      <c r="I1" s="175" t="s">
        <v>168</v>
      </c>
      <c r="J1" s="175" t="s">
        <v>169</v>
      </c>
      <c r="K1" s="175" t="s">
        <v>170</v>
      </c>
      <c r="L1" s="175" t="s">
        <v>171</v>
      </c>
      <c r="M1" s="175" t="s">
        <v>172</v>
      </c>
      <c r="N1" s="175" t="s">
        <v>173</v>
      </c>
      <c r="O1" s="175" t="s">
        <v>174</v>
      </c>
      <c r="P1" s="175" t="s">
        <v>175</v>
      </c>
      <c r="Q1" s="175" t="s">
        <v>176</v>
      </c>
      <c r="R1" s="176" t="s">
        <v>0</v>
      </c>
    </row>
    <row r="2" spans="1:18" ht="17.25" customHeight="1" thickBot="1">
      <c r="A2" s="219" t="s">
        <v>177</v>
      </c>
      <c r="B2" s="175" t="s">
        <v>178</v>
      </c>
      <c r="C2" s="175" t="s">
        <v>179</v>
      </c>
      <c r="D2" s="175" t="s">
        <v>180</v>
      </c>
      <c r="E2" s="175" t="s">
        <v>181</v>
      </c>
      <c r="F2" s="175" t="s">
        <v>182</v>
      </c>
      <c r="G2" s="177">
        <v>1840166.86</v>
      </c>
      <c r="H2" s="177">
        <v>-45418.47</v>
      </c>
      <c r="I2" s="177">
        <v>-94786.87</v>
      </c>
      <c r="J2" s="177">
        <v>758263.34</v>
      </c>
      <c r="K2" s="177">
        <v>49715.59</v>
      </c>
      <c r="L2" s="177">
        <v>608124.81999999995</v>
      </c>
      <c r="M2" s="177">
        <v>719481.23</v>
      </c>
      <c r="N2" s="177">
        <v>732824.35</v>
      </c>
      <c r="O2" s="177">
        <v>672874.21</v>
      </c>
      <c r="P2" s="177">
        <v>670099.88</v>
      </c>
      <c r="Q2" s="178"/>
      <c r="R2" s="179">
        <v>5911344.9400000004</v>
      </c>
    </row>
    <row r="3" spans="1:18" ht="17.25" customHeight="1" thickBot="1">
      <c r="A3" s="208"/>
      <c r="B3" s="207" t="s">
        <v>183</v>
      </c>
      <c r="C3" s="180" t="s">
        <v>184</v>
      </c>
      <c r="D3" s="180" t="s">
        <v>185</v>
      </c>
      <c r="E3" s="180" t="s">
        <v>186</v>
      </c>
      <c r="F3" s="180" t="s">
        <v>187</v>
      </c>
      <c r="G3" s="178"/>
      <c r="H3" s="178"/>
      <c r="I3" s="178"/>
      <c r="J3" s="178"/>
      <c r="K3" s="178"/>
      <c r="L3" s="181">
        <v>289170</v>
      </c>
      <c r="M3" s="178"/>
      <c r="N3" s="178"/>
      <c r="O3" s="178"/>
      <c r="P3" s="178"/>
      <c r="Q3" s="178"/>
      <c r="R3" s="182">
        <v>289170</v>
      </c>
    </row>
    <row r="4" spans="1:18" ht="17.25" customHeight="1" thickBot="1">
      <c r="A4" s="208"/>
      <c r="B4" s="208"/>
      <c r="C4" s="207" t="s">
        <v>188</v>
      </c>
      <c r="D4" s="207" t="s">
        <v>189</v>
      </c>
      <c r="E4" s="207" t="s">
        <v>186</v>
      </c>
      <c r="F4" s="180" t="s">
        <v>190</v>
      </c>
      <c r="G4" s="181">
        <v>0</v>
      </c>
      <c r="H4" s="178"/>
      <c r="I4" s="178"/>
      <c r="J4" s="177">
        <v>9468.33</v>
      </c>
      <c r="K4" s="177">
        <v>1020.52</v>
      </c>
      <c r="L4" s="178"/>
      <c r="M4" s="178"/>
      <c r="N4" s="178"/>
      <c r="O4" s="178"/>
      <c r="P4" s="178"/>
      <c r="Q4" s="178"/>
      <c r="R4" s="179">
        <v>10488.85</v>
      </c>
    </row>
    <row r="5" spans="1:18" ht="17.25" customHeight="1" thickBot="1">
      <c r="A5" s="208"/>
      <c r="B5" s="208"/>
      <c r="C5" s="208"/>
      <c r="D5" s="208"/>
      <c r="E5" s="208"/>
      <c r="F5" s="180" t="s">
        <v>187</v>
      </c>
      <c r="G5" s="177">
        <v>159000.71</v>
      </c>
      <c r="H5" s="177">
        <v>144375.88</v>
      </c>
      <c r="I5" s="177">
        <v>167216.51</v>
      </c>
      <c r="J5" s="177">
        <v>716575.61</v>
      </c>
      <c r="K5" s="177">
        <v>156283.56</v>
      </c>
      <c r="L5" s="177">
        <v>461868.92</v>
      </c>
      <c r="M5" s="177">
        <v>978974.54</v>
      </c>
      <c r="N5" s="177">
        <v>896016.81</v>
      </c>
      <c r="O5" s="177">
        <v>823980.52</v>
      </c>
      <c r="P5" s="177">
        <v>891738.14</v>
      </c>
      <c r="Q5" s="177">
        <v>913025.17</v>
      </c>
      <c r="R5" s="179">
        <v>6309056.3700000001</v>
      </c>
    </row>
    <row r="6" spans="1:18" ht="17.25" customHeight="1" thickBot="1">
      <c r="A6" s="208"/>
      <c r="B6" s="208"/>
      <c r="C6" s="208"/>
      <c r="D6" s="208"/>
      <c r="E6" s="209"/>
      <c r="F6" s="180" t="s">
        <v>191</v>
      </c>
      <c r="G6" s="181">
        <v>0</v>
      </c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82">
        <v>0</v>
      </c>
    </row>
    <row r="7" spans="1:18" ht="17.25" customHeight="1" thickBot="1">
      <c r="A7" s="208"/>
      <c r="B7" s="208"/>
      <c r="C7" s="208"/>
      <c r="D7" s="208"/>
      <c r="E7" s="180" t="s">
        <v>192</v>
      </c>
      <c r="F7" s="180" t="s">
        <v>193</v>
      </c>
      <c r="G7" s="178"/>
      <c r="H7" s="178"/>
      <c r="I7" s="178"/>
      <c r="J7" s="177">
        <v>1048.8699999999999</v>
      </c>
      <c r="K7" s="178"/>
      <c r="L7" s="178"/>
      <c r="M7" s="178"/>
      <c r="N7" s="178"/>
      <c r="O7" s="178"/>
      <c r="P7" s="178"/>
      <c r="Q7" s="178"/>
      <c r="R7" s="179">
        <v>1048.8699999999999</v>
      </c>
    </row>
    <row r="8" spans="1:18" ht="17.25" customHeight="1" thickBot="1">
      <c r="A8" s="208"/>
      <c r="B8" s="208"/>
      <c r="C8" s="208"/>
      <c r="D8" s="208"/>
      <c r="E8" s="207" t="s">
        <v>194</v>
      </c>
      <c r="F8" s="180" t="s">
        <v>195</v>
      </c>
      <c r="G8" s="178"/>
      <c r="H8" s="178"/>
      <c r="I8" s="178"/>
      <c r="J8" s="177">
        <v>73.42</v>
      </c>
      <c r="K8" s="178"/>
      <c r="L8" s="178"/>
      <c r="M8" s="178"/>
      <c r="N8" s="178"/>
      <c r="O8" s="178"/>
      <c r="P8" s="178"/>
      <c r="Q8" s="178"/>
      <c r="R8" s="179">
        <v>73.42</v>
      </c>
    </row>
    <row r="9" spans="1:18" ht="17.25" customHeight="1" thickBot="1">
      <c r="A9" s="208"/>
      <c r="B9" s="208"/>
      <c r="C9" s="208"/>
      <c r="D9" s="208"/>
      <c r="E9" s="209"/>
      <c r="F9" s="180" t="s">
        <v>196</v>
      </c>
      <c r="G9" s="178"/>
      <c r="H9" s="178"/>
      <c r="I9" s="178"/>
      <c r="J9" s="177">
        <v>31.47</v>
      </c>
      <c r="K9" s="178"/>
      <c r="L9" s="178"/>
      <c r="M9" s="178"/>
      <c r="N9" s="178"/>
      <c r="O9" s="178"/>
      <c r="P9" s="178"/>
      <c r="Q9" s="178"/>
      <c r="R9" s="179">
        <v>31.47</v>
      </c>
    </row>
    <row r="10" spans="1:18" ht="17.25" customHeight="1" thickBot="1">
      <c r="A10" s="208"/>
      <c r="B10" s="208"/>
      <c r="C10" s="208"/>
      <c r="D10" s="208"/>
      <c r="E10" s="207" t="s">
        <v>181</v>
      </c>
      <c r="F10" s="180" t="s">
        <v>197</v>
      </c>
      <c r="G10" s="178"/>
      <c r="H10" s="177">
        <v>149.19999999999999</v>
      </c>
      <c r="I10" s="177">
        <v>118.8</v>
      </c>
      <c r="J10" s="181">
        <v>30</v>
      </c>
      <c r="K10" s="177">
        <v>186.8</v>
      </c>
      <c r="L10" s="181">
        <v>72</v>
      </c>
      <c r="M10" s="178"/>
      <c r="N10" s="178"/>
      <c r="O10" s="178"/>
      <c r="P10" s="177">
        <v>141.19999999999999</v>
      </c>
      <c r="Q10" s="178"/>
      <c r="R10" s="182">
        <v>698</v>
      </c>
    </row>
    <row r="11" spans="1:18" ht="17.25" customHeight="1" thickBot="1">
      <c r="A11" s="208"/>
      <c r="B11" s="208"/>
      <c r="C11" s="209"/>
      <c r="D11" s="209"/>
      <c r="E11" s="209"/>
      <c r="F11" s="180" t="s">
        <v>198</v>
      </c>
      <c r="G11" s="178"/>
      <c r="H11" s="177">
        <v>7.85</v>
      </c>
      <c r="I11" s="177">
        <v>11.77</v>
      </c>
      <c r="J11" s="177">
        <v>10.19</v>
      </c>
      <c r="K11" s="177">
        <v>3.76</v>
      </c>
      <c r="L11" s="177">
        <v>17.39</v>
      </c>
      <c r="M11" s="178"/>
      <c r="N11" s="177">
        <v>3.43</v>
      </c>
      <c r="O11" s="178"/>
      <c r="P11" s="177">
        <v>10.08</v>
      </c>
      <c r="Q11" s="178"/>
      <c r="R11" s="179">
        <v>64.47</v>
      </c>
    </row>
    <row r="12" spans="1:18" ht="17.25" customHeight="1" thickBot="1">
      <c r="A12" s="208"/>
      <c r="B12" s="209"/>
      <c r="C12" s="180" t="s">
        <v>179</v>
      </c>
      <c r="D12" s="180" t="s">
        <v>180</v>
      </c>
      <c r="E12" s="180" t="s">
        <v>181</v>
      </c>
      <c r="F12" s="180" t="s">
        <v>182</v>
      </c>
      <c r="G12" s="177">
        <v>-1840166.86</v>
      </c>
      <c r="H12" s="177">
        <v>45418.47</v>
      </c>
      <c r="I12" s="177">
        <v>94786.87</v>
      </c>
      <c r="J12" s="177">
        <v>-758263.34</v>
      </c>
      <c r="K12" s="177">
        <v>-49715.59</v>
      </c>
      <c r="L12" s="177">
        <v>-608124.81999999995</v>
      </c>
      <c r="M12" s="177">
        <v>-719481.23</v>
      </c>
      <c r="N12" s="177">
        <v>-732824.35</v>
      </c>
      <c r="O12" s="177">
        <v>-672874.21</v>
      </c>
      <c r="P12" s="177">
        <v>-670099.88</v>
      </c>
      <c r="Q12" s="178"/>
      <c r="R12" s="179">
        <v>-5911344.9400000004</v>
      </c>
    </row>
    <row r="13" spans="1:18" ht="17.25" customHeight="1" thickBot="1">
      <c r="A13" s="209"/>
      <c r="B13" s="210" t="s">
        <v>0</v>
      </c>
      <c r="C13" s="211"/>
      <c r="D13" s="211"/>
      <c r="E13" s="211"/>
      <c r="F13" s="212"/>
      <c r="G13" s="183">
        <v>159000.71</v>
      </c>
      <c r="H13" s="183">
        <v>144532.93</v>
      </c>
      <c r="I13" s="183">
        <v>167347.07999999999</v>
      </c>
      <c r="J13" s="183">
        <v>727237.89</v>
      </c>
      <c r="K13" s="183">
        <v>157494.64000000001</v>
      </c>
      <c r="L13" s="183">
        <v>751128.31</v>
      </c>
      <c r="M13" s="183">
        <v>978974.54</v>
      </c>
      <c r="N13" s="183">
        <v>896020.24</v>
      </c>
      <c r="O13" s="183">
        <v>823980.52</v>
      </c>
      <c r="P13" s="183">
        <v>891889.42</v>
      </c>
      <c r="Q13" s="183">
        <v>913025.17</v>
      </c>
      <c r="R13" s="183">
        <v>6610631.4500000002</v>
      </c>
    </row>
    <row r="14" spans="1:18" ht="17.25" customHeight="1" thickBot="1">
      <c r="A14" s="207" t="s">
        <v>199</v>
      </c>
      <c r="B14" s="180" t="s">
        <v>178</v>
      </c>
      <c r="C14" s="180" t="s">
        <v>200</v>
      </c>
      <c r="D14" s="180" t="s">
        <v>201</v>
      </c>
      <c r="E14" s="180" t="s">
        <v>181</v>
      </c>
      <c r="F14" s="180" t="s">
        <v>182</v>
      </c>
      <c r="G14" s="177">
        <v>388702.22</v>
      </c>
      <c r="H14" s="177">
        <v>-15511.14</v>
      </c>
      <c r="I14" s="177">
        <v>583568.34</v>
      </c>
      <c r="J14" s="177">
        <v>829973.52</v>
      </c>
      <c r="K14" s="177">
        <v>410338.46</v>
      </c>
      <c r="L14" s="177">
        <v>720929.08</v>
      </c>
      <c r="M14" s="177">
        <v>613753.96</v>
      </c>
      <c r="N14" s="177">
        <v>297023.26</v>
      </c>
      <c r="O14" s="177">
        <v>180030.63</v>
      </c>
      <c r="P14" s="177">
        <v>49358.68</v>
      </c>
      <c r="Q14" s="178"/>
      <c r="R14" s="179">
        <v>4058167.01</v>
      </c>
    </row>
    <row r="15" spans="1:18" ht="17.25" customHeight="1" thickBot="1">
      <c r="A15" s="208"/>
      <c r="B15" s="207" t="s">
        <v>183</v>
      </c>
      <c r="C15" s="180" t="s">
        <v>202</v>
      </c>
      <c r="D15" s="180" t="s">
        <v>203</v>
      </c>
      <c r="E15" s="180" t="s">
        <v>186</v>
      </c>
      <c r="F15" s="180" t="s">
        <v>187</v>
      </c>
      <c r="G15" s="178"/>
      <c r="H15" s="178"/>
      <c r="I15" s="178"/>
      <c r="J15" s="178"/>
      <c r="K15" s="178"/>
      <c r="L15" s="181">
        <v>192780</v>
      </c>
      <c r="M15" s="178"/>
      <c r="N15" s="178"/>
      <c r="O15" s="178"/>
      <c r="P15" s="178"/>
      <c r="Q15" s="178"/>
      <c r="R15" s="182">
        <v>192780</v>
      </c>
    </row>
    <row r="16" spans="1:18" ht="17.25" customHeight="1" thickBot="1">
      <c r="A16" s="208"/>
      <c r="B16" s="208"/>
      <c r="C16" s="207" t="s">
        <v>204</v>
      </c>
      <c r="D16" s="207" t="s">
        <v>205</v>
      </c>
      <c r="E16" s="207" t="s">
        <v>186</v>
      </c>
      <c r="F16" s="180" t="s">
        <v>190</v>
      </c>
      <c r="G16" s="181">
        <v>0</v>
      </c>
      <c r="H16" s="178"/>
      <c r="I16" s="178"/>
      <c r="J16" s="177">
        <v>10987.26</v>
      </c>
      <c r="K16" s="178"/>
      <c r="L16" s="178"/>
      <c r="M16" s="178"/>
      <c r="N16" s="178"/>
      <c r="O16" s="178"/>
      <c r="P16" s="178"/>
      <c r="Q16" s="178"/>
      <c r="R16" s="179">
        <v>10987.26</v>
      </c>
    </row>
    <row r="17" spans="1:18" ht="17.25" customHeight="1" thickBot="1">
      <c r="A17" s="208"/>
      <c r="B17" s="208"/>
      <c r="C17" s="208"/>
      <c r="D17" s="208"/>
      <c r="E17" s="208"/>
      <c r="F17" s="180" t="s">
        <v>187</v>
      </c>
      <c r="G17" s="181">
        <v>399715</v>
      </c>
      <c r="H17" s="177">
        <v>73798.25</v>
      </c>
      <c r="I17" s="177">
        <v>711377.13</v>
      </c>
      <c r="J17" s="177">
        <v>789914.48</v>
      </c>
      <c r="K17" s="177">
        <v>451770.03</v>
      </c>
      <c r="L17" s="177">
        <v>588279.27</v>
      </c>
      <c r="M17" s="177">
        <v>741087.73</v>
      </c>
      <c r="N17" s="177">
        <v>374124.76</v>
      </c>
      <c r="O17" s="177">
        <v>250929.74</v>
      </c>
      <c r="P17" s="177">
        <v>152709.66</v>
      </c>
      <c r="Q17" s="177">
        <v>166397.67000000001</v>
      </c>
      <c r="R17" s="179">
        <v>4700103.72</v>
      </c>
    </row>
    <row r="18" spans="1:18" ht="17.25" customHeight="1" thickBot="1">
      <c r="A18" s="208"/>
      <c r="B18" s="208"/>
      <c r="C18" s="208"/>
      <c r="D18" s="208"/>
      <c r="E18" s="209"/>
      <c r="F18" s="180" t="s">
        <v>191</v>
      </c>
      <c r="G18" s="181">
        <v>0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2">
        <v>0</v>
      </c>
    </row>
    <row r="19" spans="1:18" ht="17.25" customHeight="1" thickBot="1">
      <c r="A19" s="208"/>
      <c r="B19" s="208"/>
      <c r="C19" s="208"/>
      <c r="D19" s="208"/>
      <c r="E19" s="180" t="s">
        <v>192</v>
      </c>
      <c r="F19" s="180" t="s">
        <v>193</v>
      </c>
      <c r="G19" s="178"/>
      <c r="H19" s="178"/>
      <c r="I19" s="178"/>
      <c r="J19" s="178"/>
      <c r="K19" s="178"/>
      <c r="L19" s="178"/>
      <c r="M19" s="178"/>
      <c r="N19" s="177">
        <v>132.74</v>
      </c>
      <c r="O19" s="178"/>
      <c r="P19" s="178"/>
      <c r="Q19" s="178"/>
      <c r="R19" s="179">
        <v>132.74</v>
      </c>
    </row>
    <row r="20" spans="1:18" ht="17.25" customHeight="1" thickBot="1">
      <c r="A20" s="208"/>
      <c r="B20" s="208"/>
      <c r="C20" s="208"/>
      <c r="D20" s="208"/>
      <c r="E20" s="207" t="s">
        <v>194</v>
      </c>
      <c r="F20" s="180" t="s">
        <v>195</v>
      </c>
      <c r="G20" s="178"/>
      <c r="H20" s="178"/>
      <c r="I20" s="178"/>
      <c r="J20" s="178"/>
      <c r="K20" s="178"/>
      <c r="L20" s="178"/>
      <c r="M20" s="178"/>
      <c r="N20" s="177">
        <v>11.15</v>
      </c>
      <c r="O20" s="178"/>
      <c r="P20" s="178"/>
      <c r="Q20" s="178"/>
      <c r="R20" s="179">
        <v>11.15</v>
      </c>
    </row>
    <row r="21" spans="1:18" ht="17.25" customHeight="1" thickBot="1">
      <c r="A21" s="208"/>
      <c r="B21" s="208"/>
      <c r="C21" s="208"/>
      <c r="D21" s="208"/>
      <c r="E21" s="209"/>
      <c r="F21" s="180" t="s">
        <v>196</v>
      </c>
      <c r="G21" s="178"/>
      <c r="H21" s="178"/>
      <c r="I21" s="178"/>
      <c r="J21" s="178"/>
      <c r="K21" s="178"/>
      <c r="L21" s="178"/>
      <c r="M21" s="178"/>
      <c r="N21" s="177">
        <v>4.78</v>
      </c>
      <c r="O21" s="178"/>
      <c r="P21" s="178"/>
      <c r="Q21" s="178"/>
      <c r="R21" s="179">
        <v>4.78</v>
      </c>
    </row>
    <row r="22" spans="1:18" ht="17.25" customHeight="1" thickBot="1">
      <c r="A22" s="208"/>
      <c r="B22" s="208"/>
      <c r="C22" s="208"/>
      <c r="D22" s="208"/>
      <c r="E22" s="207" t="s">
        <v>181</v>
      </c>
      <c r="F22" s="180" t="s">
        <v>197</v>
      </c>
      <c r="G22" s="181">
        <v>221</v>
      </c>
      <c r="H22" s="178"/>
      <c r="I22" s="178"/>
      <c r="J22" s="177">
        <v>130.80000000000001</v>
      </c>
      <c r="K22" s="178"/>
      <c r="L22" s="177">
        <v>170.4</v>
      </c>
      <c r="M22" s="177">
        <v>215.2</v>
      </c>
      <c r="N22" s="177">
        <v>14.8</v>
      </c>
      <c r="O22" s="177">
        <v>279.2</v>
      </c>
      <c r="P22" s="178"/>
      <c r="Q22" s="178"/>
      <c r="R22" s="179">
        <v>1031.4000000000001</v>
      </c>
    </row>
    <row r="23" spans="1:18" ht="17.25" customHeight="1" thickBot="1">
      <c r="A23" s="208"/>
      <c r="B23" s="208"/>
      <c r="C23" s="209"/>
      <c r="D23" s="209"/>
      <c r="E23" s="209"/>
      <c r="F23" s="180" t="s">
        <v>198</v>
      </c>
      <c r="G23" s="177">
        <v>1.05</v>
      </c>
      <c r="H23" s="177">
        <v>14.66</v>
      </c>
      <c r="I23" s="177">
        <v>0.38</v>
      </c>
      <c r="J23" s="178"/>
      <c r="K23" s="177">
        <v>17.88</v>
      </c>
      <c r="L23" s="177">
        <v>12.48</v>
      </c>
      <c r="M23" s="178"/>
      <c r="N23" s="178"/>
      <c r="O23" s="177">
        <v>28.28</v>
      </c>
      <c r="P23" s="177">
        <v>6.54</v>
      </c>
      <c r="Q23" s="178"/>
      <c r="R23" s="179">
        <v>81.27</v>
      </c>
    </row>
    <row r="24" spans="1:18" ht="17.25" customHeight="1" thickBot="1">
      <c r="A24" s="208"/>
      <c r="B24" s="209"/>
      <c r="C24" s="180" t="s">
        <v>200</v>
      </c>
      <c r="D24" s="180" t="s">
        <v>201</v>
      </c>
      <c r="E24" s="180" t="s">
        <v>181</v>
      </c>
      <c r="F24" s="180" t="s">
        <v>182</v>
      </c>
      <c r="G24" s="177">
        <v>-388702.22</v>
      </c>
      <c r="H24" s="177">
        <v>15511.14</v>
      </c>
      <c r="I24" s="177">
        <v>-583568.34</v>
      </c>
      <c r="J24" s="177">
        <v>-829973.52</v>
      </c>
      <c r="K24" s="177">
        <v>-410338.46</v>
      </c>
      <c r="L24" s="177">
        <v>-720929.08</v>
      </c>
      <c r="M24" s="177">
        <v>-613753.96</v>
      </c>
      <c r="N24" s="177">
        <v>-297023.26</v>
      </c>
      <c r="O24" s="177">
        <v>-180030.63</v>
      </c>
      <c r="P24" s="177">
        <v>-49358.68</v>
      </c>
      <c r="Q24" s="178"/>
      <c r="R24" s="179">
        <v>-4058167.01</v>
      </c>
    </row>
    <row r="25" spans="1:18" ht="17.25" customHeight="1" thickBot="1">
      <c r="A25" s="209"/>
      <c r="B25" s="210" t="s">
        <v>0</v>
      </c>
      <c r="C25" s="211"/>
      <c r="D25" s="211"/>
      <c r="E25" s="211"/>
      <c r="F25" s="212"/>
      <c r="G25" s="183">
        <v>399937.05</v>
      </c>
      <c r="H25" s="183">
        <v>73812.91</v>
      </c>
      <c r="I25" s="183">
        <v>711377.51</v>
      </c>
      <c r="J25" s="183">
        <v>801032.54</v>
      </c>
      <c r="K25" s="183">
        <v>451787.91</v>
      </c>
      <c r="L25" s="183">
        <v>781242.15</v>
      </c>
      <c r="M25" s="183">
        <v>741302.93</v>
      </c>
      <c r="N25" s="183">
        <v>374288.23</v>
      </c>
      <c r="O25" s="183">
        <v>251237.22</v>
      </c>
      <c r="P25" s="183">
        <v>152716.20000000001</v>
      </c>
      <c r="Q25" s="183">
        <v>166397.67000000001</v>
      </c>
      <c r="R25" s="183">
        <v>4905132.32</v>
      </c>
    </row>
    <row r="26" spans="1:18" ht="17.25" customHeight="1" thickBot="1">
      <c r="A26" s="207" t="s">
        <v>206</v>
      </c>
      <c r="B26" s="207" t="s">
        <v>183</v>
      </c>
      <c r="C26" s="207" t="s">
        <v>207</v>
      </c>
      <c r="D26" s="207" t="s">
        <v>208</v>
      </c>
      <c r="E26" s="207" t="s">
        <v>209</v>
      </c>
      <c r="F26" s="180" t="s">
        <v>210</v>
      </c>
      <c r="G26" s="178"/>
      <c r="H26" s="177">
        <v>179.2</v>
      </c>
      <c r="I26" s="178"/>
      <c r="J26" s="178"/>
      <c r="K26" s="178"/>
      <c r="L26" s="178"/>
      <c r="M26" s="178"/>
      <c r="N26" s="178"/>
      <c r="O26" s="178"/>
      <c r="P26" s="177">
        <v>82.49</v>
      </c>
      <c r="Q26" s="178"/>
      <c r="R26" s="179">
        <v>261.69</v>
      </c>
    </row>
    <row r="27" spans="1:18" ht="17.25" customHeight="1" thickBot="1">
      <c r="A27" s="208"/>
      <c r="B27" s="208"/>
      <c r="C27" s="208"/>
      <c r="D27" s="208"/>
      <c r="E27" s="209"/>
      <c r="F27" s="180" t="s">
        <v>211</v>
      </c>
      <c r="G27" s="178"/>
      <c r="H27" s="177">
        <v>16.38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9">
        <v>16.38</v>
      </c>
    </row>
    <row r="28" spans="1:18" ht="17.25" customHeight="1" thickBot="1">
      <c r="A28" s="208"/>
      <c r="B28" s="208"/>
      <c r="C28" s="209"/>
      <c r="D28" s="209"/>
      <c r="E28" s="180" t="s">
        <v>181</v>
      </c>
      <c r="F28" s="180" t="s">
        <v>212</v>
      </c>
      <c r="G28" s="178"/>
      <c r="H28" s="178"/>
      <c r="I28" s="178"/>
      <c r="J28" s="178"/>
      <c r="K28" s="178"/>
      <c r="L28" s="181">
        <v>199</v>
      </c>
      <c r="M28" s="178"/>
      <c r="N28" s="178"/>
      <c r="O28" s="178"/>
      <c r="P28" s="178"/>
      <c r="Q28" s="178"/>
      <c r="R28" s="182">
        <v>199</v>
      </c>
    </row>
    <row r="29" spans="1:18" ht="17.25" customHeight="1" thickBot="1">
      <c r="A29" s="208"/>
      <c r="B29" s="208"/>
      <c r="C29" s="207" t="s">
        <v>213</v>
      </c>
      <c r="D29" s="207" t="s">
        <v>214</v>
      </c>
      <c r="E29" s="207" t="s">
        <v>209</v>
      </c>
      <c r="F29" s="180" t="s">
        <v>215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7">
        <v>357.97</v>
      </c>
      <c r="Q29" s="178"/>
      <c r="R29" s="179">
        <v>357.97</v>
      </c>
    </row>
    <row r="30" spans="1:18" ht="17.25" customHeight="1" thickBot="1">
      <c r="A30" s="208"/>
      <c r="B30" s="208"/>
      <c r="C30" s="208"/>
      <c r="D30" s="208"/>
      <c r="E30" s="208"/>
      <c r="F30" s="180" t="s">
        <v>210</v>
      </c>
      <c r="G30" s="177">
        <v>201.6</v>
      </c>
      <c r="H30" s="178"/>
      <c r="I30" s="178"/>
      <c r="J30" s="178"/>
      <c r="K30" s="178"/>
      <c r="L30" s="178"/>
      <c r="M30" s="177">
        <v>231.08</v>
      </c>
      <c r="N30" s="178"/>
      <c r="O30" s="177">
        <v>701.42</v>
      </c>
      <c r="P30" s="177">
        <v>155.61000000000001</v>
      </c>
      <c r="Q30" s="178"/>
      <c r="R30" s="179">
        <v>1289.71</v>
      </c>
    </row>
    <row r="31" spans="1:18" ht="17.25" customHeight="1" thickBot="1">
      <c r="A31" s="208"/>
      <c r="B31" s="208"/>
      <c r="C31" s="208"/>
      <c r="D31" s="208"/>
      <c r="E31" s="208"/>
      <c r="F31" s="180" t="s">
        <v>211</v>
      </c>
      <c r="G31" s="178"/>
      <c r="H31" s="177">
        <v>106.83</v>
      </c>
      <c r="I31" s="178"/>
      <c r="J31" s="177">
        <v>227.95</v>
      </c>
      <c r="K31" s="178"/>
      <c r="L31" s="178"/>
      <c r="M31" s="177">
        <v>259.75</v>
      </c>
      <c r="N31" s="178"/>
      <c r="O31" s="177">
        <v>243.83</v>
      </c>
      <c r="P31" s="177">
        <v>559.11</v>
      </c>
      <c r="Q31" s="177">
        <v>224.62</v>
      </c>
      <c r="R31" s="179">
        <v>1622.09</v>
      </c>
    </row>
    <row r="32" spans="1:18" ht="17.25" customHeight="1" thickBot="1">
      <c r="A32" s="208"/>
      <c r="B32" s="208"/>
      <c r="C32" s="208"/>
      <c r="D32" s="208"/>
      <c r="E32" s="208"/>
      <c r="F32" s="180" t="s">
        <v>216</v>
      </c>
      <c r="G32" s="178"/>
      <c r="H32" s="178"/>
      <c r="I32" s="178"/>
      <c r="J32" s="178"/>
      <c r="K32" s="181">
        <v>199</v>
      </c>
      <c r="L32" s="178"/>
      <c r="M32" s="178"/>
      <c r="N32" s="178"/>
      <c r="O32" s="178"/>
      <c r="P32" s="178"/>
      <c r="Q32" s="178"/>
      <c r="R32" s="182">
        <v>199</v>
      </c>
    </row>
    <row r="33" spans="1:18" ht="17.25" customHeight="1" thickBot="1">
      <c r="A33" s="208"/>
      <c r="B33" s="208"/>
      <c r="C33" s="208"/>
      <c r="D33" s="208"/>
      <c r="E33" s="208"/>
      <c r="F33" s="180" t="s">
        <v>217</v>
      </c>
      <c r="G33" s="177">
        <v>100.31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7">
        <v>1653.2</v>
      </c>
      <c r="R33" s="179">
        <v>1753.51</v>
      </c>
    </row>
    <row r="34" spans="1:18" ht="17.25" customHeight="1" thickBot="1">
      <c r="A34" s="208"/>
      <c r="B34" s="208"/>
      <c r="C34" s="208"/>
      <c r="D34" s="208"/>
      <c r="E34" s="209"/>
      <c r="F34" s="180" t="s">
        <v>218</v>
      </c>
      <c r="G34" s="178"/>
      <c r="H34" s="178"/>
      <c r="I34" s="178"/>
      <c r="J34" s="178"/>
      <c r="K34" s="178"/>
      <c r="L34" s="178"/>
      <c r="M34" s="178"/>
      <c r="N34" s="178"/>
      <c r="O34" s="178"/>
      <c r="P34" s="177">
        <v>129.06</v>
      </c>
      <c r="Q34" s="178"/>
      <c r="R34" s="179">
        <v>129.06</v>
      </c>
    </row>
    <row r="35" spans="1:18" ht="17.25" customHeight="1" thickBot="1">
      <c r="A35" s="208"/>
      <c r="B35" s="208"/>
      <c r="C35" s="208"/>
      <c r="D35" s="208"/>
      <c r="E35" s="180" t="s">
        <v>194</v>
      </c>
      <c r="F35" s="180" t="s">
        <v>195</v>
      </c>
      <c r="G35" s="178"/>
      <c r="H35" s="178"/>
      <c r="I35" s="178"/>
      <c r="J35" s="178"/>
      <c r="K35" s="178"/>
      <c r="L35" s="177">
        <v>64.150000000000006</v>
      </c>
      <c r="M35" s="178"/>
      <c r="N35" s="178"/>
      <c r="O35" s="178"/>
      <c r="P35" s="178"/>
      <c r="Q35" s="177">
        <v>27.77</v>
      </c>
      <c r="R35" s="179">
        <v>91.92</v>
      </c>
    </row>
    <row r="36" spans="1:18" ht="17.25" customHeight="1" thickBot="1">
      <c r="A36" s="208"/>
      <c r="B36" s="208"/>
      <c r="C36" s="208"/>
      <c r="D36" s="208"/>
      <c r="E36" s="207" t="s">
        <v>181</v>
      </c>
      <c r="F36" s="180" t="s">
        <v>219</v>
      </c>
      <c r="G36" s="178"/>
      <c r="H36" s="178"/>
      <c r="I36" s="181">
        <v>50</v>
      </c>
      <c r="J36" s="178"/>
      <c r="K36" s="178"/>
      <c r="L36" s="178"/>
      <c r="M36" s="178"/>
      <c r="N36" s="178"/>
      <c r="O36" s="178"/>
      <c r="P36" s="178"/>
      <c r="Q36" s="177">
        <v>40.229999999999997</v>
      </c>
      <c r="R36" s="179">
        <v>90.23</v>
      </c>
    </row>
    <row r="37" spans="1:18" ht="17.25" customHeight="1" thickBot="1">
      <c r="A37" s="208"/>
      <c r="B37" s="208"/>
      <c r="C37" s="208"/>
      <c r="D37" s="208"/>
      <c r="E37" s="208"/>
      <c r="F37" s="180" t="s">
        <v>212</v>
      </c>
      <c r="G37" s="178"/>
      <c r="H37" s="178"/>
      <c r="I37" s="178"/>
      <c r="J37" s="178"/>
      <c r="K37" s="178"/>
      <c r="L37" s="181">
        <v>398</v>
      </c>
      <c r="M37" s="178"/>
      <c r="N37" s="178"/>
      <c r="O37" s="178"/>
      <c r="P37" s="178"/>
      <c r="Q37" s="178"/>
      <c r="R37" s="182">
        <v>398</v>
      </c>
    </row>
    <row r="38" spans="1:18" ht="17.25" customHeight="1" thickBot="1">
      <c r="A38" s="208"/>
      <c r="B38" s="208"/>
      <c r="C38" s="208"/>
      <c r="D38" s="208"/>
      <c r="E38" s="208"/>
      <c r="F38" s="180" t="s">
        <v>220</v>
      </c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81">
        <v>860</v>
      </c>
      <c r="R38" s="182">
        <v>860</v>
      </c>
    </row>
    <row r="39" spans="1:18" ht="17.25" customHeight="1" thickBot="1">
      <c r="A39" s="208"/>
      <c r="B39" s="208"/>
      <c r="C39" s="209"/>
      <c r="D39" s="209"/>
      <c r="E39" s="209"/>
      <c r="F39" s="180" t="s">
        <v>221</v>
      </c>
      <c r="G39" s="178"/>
      <c r="H39" s="178"/>
      <c r="I39" s="178"/>
      <c r="J39" s="178"/>
      <c r="K39" s="178"/>
      <c r="L39" s="177">
        <v>763.65</v>
      </c>
      <c r="M39" s="178"/>
      <c r="N39" s="178"/>
      <c r="O39" s="178"/>
      <c r="P39" s="178"/>
      <c r="Q39" s="177">
        <v>255.94</v>
      </c>
      <c r="R39" s="179">
        <v>1019.59</v>
      </c>
    </row>
    <row r="40" spans="1:18" ht="17.25" customHeight="1" thickBot="1">
      <c r="A40" s="208"/>
      <c r="B40" s="208"/>
      <c r="C40" s="207" t="s">
        <v>222</v>
      </c>
      <c r="D40" s="207" t="s">
        <v>223</v>
      </c>
      <c r="E40" s="180" t="s">
        <v>186</v>
      </c>
      <c r="F40" s="180" t="s">
        <v>187</v>
      </c>
      <c r="G40" s="178"/>
      <c r="H40" s="177">
        <v>72662.679999999993</v>
      </c>
      <c r="I40" s="178"/>
      <c r="J40" s="178"/>
      <c r="K40" s="178"/>
      <c r="L40" s="178"/>
      <c r="M40" s="178"/>
      <c r="N40" s="177">
        <v>96206.73</v>
      </c>
      <c r="O40" s="177">
        <v>104029.37</v>
      </c>
      <c r="P40" s="177">
        <v>2529.04</v>
      </c>
      <c r="Q40" s="178"/>
      <c r="R40" s="179">
        <v>275427.82</v>
      </c>
    </row>
    <row r="41" spans="1:18" ht="17.25" customHeight="1" thickBot="1">
      <c r="A41" s="208"/>
      <c r="B41" s="208"/>
      <c r="C41" s="208"/>
      <c r="D41" s="208"/>
      <c r="E41" s="180" t="s">
        <v>194</v>
      </c>
      <c r="F41" s="180" t="s">
        <v>195</v>
      </c>
      <c r="G41" s="178"/>
      <c r="H41" s="178"/>
      <c r="I41" s="178"/>
      <c r="J41" s="178"/>
      <c r="K41" s="178"/>
      <c r="L41" s="177">
        <v>31322.84</v>
      </c>
      <c r="M41" s="178"/>
      <c r="N41" s="178"/>
      <c r="O41" s="178"/>
      <c r="P41" s="178"/>
      <c r="Q41" s="178"/>
      <c r="R41" s="179">
        <v>31322.84</v>
      </c>
    </row>
    <row r="42" spans="1:18" ht="17.25" customHeight="1" thickBot="1">
      <c r="A42" s="208"/>
      <c r="B42" s="208"/>
      <c r="C42" s="208"/>
      <c r="D42" s="208"/>
      <c r="E42" s="207" t="s">
        <v>224</v>
      </c>
      <c r="F42" s="180" t="s">
        <v>225</v>
      </c>
      <c r="G42" s="177">
        <v>1362.6</v>
      </c>
      <c r="H42" s="178"/>
      <c r="I42" s="178"/>
      <c r="J42" s="177">
        <v>2725.2</v>
      </c>
      <c r="K42" s="177">
        <v>1362.6</v>
      </c>
      <c r="L42" s="177">
        <v>1122.1400000000001</v>
      </c>
      <c r="M42" s="177">
        <v>2484.7399999999998</v>
      </c>
      <c r="N42" s="178"/>
      <c r="O42" s="178"/>
      <c r="P42" s="177">
        <v>4109.7299999999996</v>
      </c>
      <c r="Q42" s="178"/>
      <c r="R42" s="179">
        <v>13167.01</v>
      </c>
    </row>
    <row r="43" spans="1:18" ht="17.25" customHeight="1" thickBot="1">
      <c r="A43" s="208"/>
      <c r="B43" s="208"/>
      <c r="C43" s="208"/>
      <c r="D43" s="208"/>
      <c r="E43" s="209"/>
      <c r="F43" s="180" t="s">
        <v>226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7">
        <v>108.86</v>
      </c>
      <c r="R43" s="179">
        <v>108.86</v>
      </c>
    </row>
    <row r="44" spans="1:18" ht="17.25" customHeight="1" thickBot="1">
      <c r="A44" s="208"/>
      <c r="B44" s="208"/>
      <c r="C44" s="209"/>
      <c r="D44" s="209"/>
      <c r="E44" s="180" t="s">
        <v>181</v>
      </c>
      <c r="F44" s="180" t="s">
        <v>227</v>
      </c>
      <c r="G44" s="178"/>
      <c r="H44" s="178"/>
      <c r="I44" s="178"/>
      <c r="J44" s="178"/>
      <c r="K44" s="181">
        <v>341250</v>
      </c>
      <c r="L44" s="177">
        <v>31640.95</v>
      </c>
      <c r="M44" s="178"/>
      <c r="N44" s="178"/>
      <c r="O44" s="178"/>
      <c r="P44" s="178"/>
      <c r="Q44" s="178"/>
      <c r="R44" s="179">
        <v>372890.95</v>
      </c>
    </row>
    <row r="45" spans="1:18" ht="17.25" customHeight="1" thickBot="1">
      <c r="A45" s="208"/>
      <c r="B45" s="208"/>
      <c r="C45" s="207" t="s">
        <v>228</v>
      </c>
      <c r="D45" s="207" t="s">
        <v>229</v>
      </c>
      <c r="E45" s="207" t="s">
        <v>186</v>
      </c>
      <c r="F45" s="180" t="s">
        <v>187</v>
      </c>
      <c r="G45" s="177">
        <v>-45000.74</v>
      </c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>
        <v>-45000.74</v>
      </c>
    </row>
    <row r="46" spans="1:18" ht="17.25" customHeight="1" thickBot="1">
      <c r="A46" s="208"/>
      <c r="B46" s="208"/>
      <c r="C46" s="208"/>
      <c r="D46" s="208"/>
      <c r="E46" s="209"/>
      <c r="F46" s="180" t="s">
        <v>191</v>
      </c>
      <c r="G46" s="177">
        <v>229983.05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9">
        <v>229983.05</v>
      </c>
    </row>
    <row r="47" spans="1:18" ht="17.25" customHeight="1" thickBot="1">
      <c r="A47" s="208"/>
      <c r="B47" s="208"/>
      <c r="C47" s="208"/>
      <c r="D47" s="208"/>
      <c r="E47" s="180" t="s">
        <v>192</v>
      </c>
      <c r="F47" s="180" t="s">
        <v>193</v>
      </c>
      <c r="G47" s="178"/>
      <c r="H47" s="178"/>
      <c r="I47" s="178"/>
      <c r="J47" s="178"/>
      <c r="K47" s="178"/>
      <c r="L47" s="178"/>
      <c r="M47" s="178"/>
      <c r="N47" s="177">
        <v>433.1</v>
      </c>
      <c r="O47" s="178"/>
      <c r="P47" s="178"/>
      <c r="Q47" s="178"/>
      <c r="R47" s="179">
        <v>433.1</v>
      </c>
    </row>
    <row r="48" spans="1:18" ht="17.25" customHeight="1" thickBot="1">
      <c r="A48" s="208"/>
      <c r="B48" s="208"/>
      <c r="C48" s="208"/>
      <c r="D48" s="208"/>
      <c r="E48" s="207" t="s">
        <v>194</v>
      </c>
      <c r="F48" s="180" t="s">
        <v>230</v>
      </c>
      <c r="G48" s="178"/>
      <c r="H48" s="178"/>
      <c r="I48" s="178"/>
      <c r="J48" s="178"/>
      <c r="K48" s="178"/>
      <c r="L48" s="178"/>
      <c r="M48" s="178"/>
      <c r="N48" s="177">
        <v>193.64</v>
      </c>
      <c r="O48" s="178"/>
      <c r="P48" s="178"/>
      <c r="Q48" s="178"/>
      <c r="R48" s="179">
        <v>193.64</v>
      </c>
    </row>
    <row r="49" spans="1:18" ht="17.25" customHeight="1" thickBot="1">
      <c r="A49" s="208"/>
      <c r="B49" s="208"/>
      <c r="C49" s="208"/>
      <c r="D49" s="208"/>
      <c r="E49" s="208"/>
      <c r="F49" s="180" t="s">
        <v>195</v>
      </c>
      <c r="G49" s="178"/>
      <c r="H49" s="178"/>
      <c r="I49" s="177">
        <v>183.47</v>
      </c>
      <c r="J49" s="178"/>
      <c r="K49" s="178"/>
      <c r="L49" s="178"/>
      <c r="M49" s="178"/>
      <c r="N49" s="177">
        <v>36.39</v>
      </c>
      <c r="O49" s="178"/>
      <c r="P49" s="178"/>
      <c r="Q49" s="178"/>
      <c r="R49" s="179">
        <v>219.86</v>
      </c>
    </row>
    <row r="50" spans="1:18" ht="17.25" customHeight="1" thickBot="1">
      <c r="A50" s="208"/>
      <c r="B50" s="208"/>
      <c r="C50" s="208"/>
      <c r="D50" s="208"/>
      <c r="E50" s="209"/>
      <c r="F50" s="180" t="s">
        <v>196</v>
      </c>
      <c r="G50" s="178"/>
      <c r="H50" s="178"/>
      <c r="I50" s="178"/>
      <c r="J50" s="178"/>
      <c r="K50" s="178"/>
      <c r="L50" s="178"/>
      <c r="M50" s="178"/>
      <c r="N50" s="177">
        <v>15.58</v>
      </c>
      <c r="O50" s="178"/>
      <c r="P50" s="178"/>
      <c r="Q50" s="178"/>
      <c r="R50" s="179">
        <v>15.58</v>
      </c>
    </row>
    <row r="51" spans="1:18" ht="17.25" customHeight="1" thickBot="1">
      <c r="A51" s="208"/>
      <c r="B51" s="208"/>
      <c r="C51" s="208"/>
      <c r="D51" s="208"/>
      <c r="E51" s="207" t="s">
        <v>231</v>
      </c>
      <c r="F51" s="180" t="s">
        <v>232</v>
      </c>
      <c r="G51" s="178"/>
      <c r="H51" s="178"/>
      <c r="I51" s="178"/>
      <c r="J51" s="178"/>
      <c r="K51" s="178"/>
      <c r="L51" s="178"/>
      <c r="M51" s="178"/>
      <c r="N51" s="177">
        <v>218.55</v>
      </c>
      <c r="O51" s="178"/>
      <c r="P51" s="178"/>
      <c r="Q51" s="178"/>
      <c r="R51" s="179">
        <v>218.55</v>
      </c>
    </row>
    <row r="52" spans="1:18" ht="17.25" customHeight="1" thickBot="1">
      <c r="A52" s="208"/>
      <c r="B52" s="208"/>
      <c r="C52" s="208"/>
      <c r="D52" s="208"/>
      <c r="E52" s="209"/>
      <c r="F52" s="180" t="s">
        <v>233</v>
      </c>
      <c r="G52" s="178"/>
      <c r="H52" s="178"/>
      <c r="I52" s="178"/>
      <c r="J52" s="178"/>
      <c r="K52" s="178"/>
      <c r="L52" s="178"/>
      <c r="M52" s="178"/>
      <c r="N52" s="177">
        <v>1954.35</v>
      </c>
      <c r="O52" s="178"/>
      <c r="P52" s="178"/>
      <c r="Q52" s="178"/>
      <c r="R52" s="179">
        <v>1954.35</v>
      </c>
    </row>
    <row r="53" spans="1:18" ht="17.25" customHeight="1" thickBot="1">
      <c r="A53" s="208"/>
      <c r="B53" s="208"/>
      <c r="C53" s="209"/>
      <c r="D53" s="209"/>
      <c r="E53" s="180" t="s">
        <v>181</v>
      </c>
      <c r="F53" s="180" t="s">
        <v>227</v>
      </c>
      <c r="G53" s="178"/>
      <c r="H53" s="178"/>
      <c r="I53" s="177">
        <v>2620.84</v>
      </c>
      <c r="J53" s="178"/>
      <c r="K53" s="178"/>
      <c r="L53" s="178"/>
      <c r="M53" s="178"/>
      <c r="N53" s="178"/>
      <c r="O53" s="178"/>
      <c r="P53" s="178"/>
      <c r="Q53" s="178"/>
      <c r="R53" s="179">
        <v>2620.84</v>
      </c>
    </row>
    <row r="54" spans="1:18" ht="17.25" customHeight="1" thickBot="1">
      <c r="A54" s="208"/>
      <c r="B54" s="208"/>
      <c r="C54" s="180" t="s">
        <v>234</v>
      </c>
      <c r="D54" s="180" t="s">
        <v>235</v>
      </c>
      <c r="E54" s="180" t="s">
        <v>186</v>
      </c>
      <c r="F54" s="180" t="s">
        <v>191</v>
      </c>
      <c r="G54" s="178"/>
      <c r="H54" s="178"/>
      <c r="I54" s="178"/>
      <c r="J54" s="177">
        <v>513136.76</v>
      </c>
      <c r="K54" s="177">
        <v>-37348.5</v>
      </c>
      <c r="L54" s="177">
        <v>131803.5</v>
      </c>
      <c r="M54" s="178"/>
      <c r="N54" s="178"/>
      <c r="O54" s="178"/>
      <c r="P54" s="178"/>
      <c r="Q54" s="178"/>
      <c r="R54" s="179">
        <v>607591.76</v>
      </c>
    </row>
    <row r="55" spans="1:18" ht="17.25" customHeight="1" thickBot="1">
      <c r="A55" s="208"/>
      <c r="B55" s="208"/>
      <c r="C55" s="207" t="s">
        <v>236</v>
      </c>
      <c r="D55" s="207" t="s">
        <v>237</v>
      </c>
      <c r="E55" s="207" t="s">
        <v>186</v>
      </c>
      <c r="F55" s="180" t="s">
        <v>187</v>
      </c>
      <c r="G55" s="177">
        <v>-45000.72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9">
        <v>-45000.72</v>
      </c>
    </row>
    <row r="56" spans="1:18" ht="17.25" customHeight="1" thickBot="1">
      <c r="A56" s="208"/>
      <c r="B56" s="208"/>
      <c r="C56" s="208"/>
      <c r="D56" s="208"/>
      <c r="E56" s="209"/>
      <c r="F56" s="180" t="s">
        <v>191</v>
      </c>
      <c r="G56" s="177">
        <v>153322.04999999999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9">
        <v>153322.04999999999</v>
      </c>
    </row>
    <row r="57" spans="1:18" ht="17.25" customHeight="1" thickBot="1">
      <c r="A57" s="208"/>
      <c r="B57" s="209"/>
      <c r="C57" s="209"/>
      <c r="D57" s="209"/>
      <c r="E57" s="180" t="s">
        <v>209</v>
      </c>
      <c r="F57" s="180" t="s">
        <v>217</v>
      </c>
      <c r="G57" s="178"/>
      <c r="H57" s="177">
        <v>114.48</v>
      </c>
      <c r="I57" s="178"/>
      <c r="J57" s="178"/>
      <c r="K57" s="178"/>
      <c r="L57" s="178"/>
      <c r="M57" s="178"/>
      <c r="N57" s="178"/>
      <c r="O57" s="178"/>
      <c r="P57" s="178"/>
      <c r="Q57" s="178"/>
      <c r="R57" s="179">
        <v>114.48</v>
      </c>
    </row>
    <row r="58" spans="1:18" ht="17.25" customHeight="1" thickBot="1">
      <c r="A58" s="209"/>
      <c r="B58" s="210" t="s">
        <v>0</v>
      </c>
      <c r="C58" s="211"/>
      <c r="D58" s="211"/>
      <c r="E58" s="211"/>
      <c r="F58" s="212"/>
      <c r="G58" s="183">
        <v>294968.15000000002</v>
      </c>
      <c r="H58" s="183">
        <v>73079.570000000007</v>
      </c>
      <c r="I58" s="183">
        <v>2854.31</v>
      </c>
      <c r="J58" s="183">
        <v>516089.91</v>
      </c>
      <c r="K58" s="183">
        <v>305463.09999999998</v>
      </c>
      <c r="L58" s="183">
        <v>197314.23</v>
      </c>
      <c r="M58" s="183">
        <v>2975.57</v>
      </c>
      <c r="N58" s="183">
        <v>99058.34</v>
      </c>
      <c r="O58" s="183">
        <v>104974.62</v>
      </c>
      <c r="P58" s="183">
        <v>7923.01</v>
      </c>
      <c r="Q58" s="183">
        <v>3170.62</v>
      </c>
      <c r="R58" s="183">
        <v>1607871.43</v>
      </c>
    </row>
    <row r="59" spans="1:18" ht="17.25" customHeight="1" thickBot="1">
      <c r="A59" s="213" t="s">
        <v>0</v>
      </c>
      <c r="B59" s="214"/>
      <c r="C59" s="214"/>
      <c r="D59" s="214"/>
      <c r="E59" s="214"/>
      <c r="F59" s="215"/>
      <c r="G59" s="179">
        <v>853905.91</v>
      </c>
      <c r="H59" s="179">
        <v>291425.40999999997</v>
      </c>
      <c r="I59" s="179">
        <v>881578.9</v>
      </c>
      <c r="J59" s="179">
        <v>2044360.34</v>
      </c>
      <c r="K59" s="179">
        <v>914745.65</v>
      </c>
      <c r="L59" s="179">
        <v>1729684.69</v>
      </c>
      <c r="M59" s="179">
        <v>1723253.04</v>
      </c>
      <c r="N59" s="179">
        <v>1369366.81</v>
      </c>
      <c r="O59" s="179">
        <v>1180192.3600000001</v>
      </c>
      <c r="P59" s="179">
        <v>1052528.6299999999</v>
      </c>
      <c r="Q59" s="179">
        <v>1082593.46</v>
      </c>
      <c r="R59" s="179">
        <v>13123635.199999999</v>
      </c>
    </row>
    <row r="61" spans="1:18" ht="12.75" customHeight="1">
      <c r="F61" t="s">
        <v>238</v>
      </c>
      <c r="G61" s="184">
        <f>ROUND(G58*'[4]PT Ratio with 2020 Data'!$E$35,2)</f>
        <v>101646.02</v>
      </c>
      <c r="H61" s="184">
        <f>ROUND(H58*'[4]PT Ratio with 2020 Data'!$E$35,2)</f>
        <v>25183.22</v>
      </c>
      <c r="I61" s="184">
        <f>ROUND(I58*'[4]PT Ratio with 2020 Data'!$E$35,2)</f>
        <v>983.6</v>
      </c>
      <c r="J61" s="184">
        <f>ROUND(J58*'[4]PT Ratio with 2020 Data'!$E$35,2)</f>
        <v>177844.58</v>
      </c>
      <c r="K61" s="184">
        <f>ROUND(K58*'[4]PT Ratio with 2021 Data'!$E$35,2)</f>
        <v>105293.13</v>
      </c>
      <c r="L61" s="184">
        <f>ROUND(L58*'[4]PT Ratio with 2021 Data'!$E$35,2)</f>
        <v>68014.22</v>
      </c>
      <c r="M61" s="184">
        <f>ROUND(M58*'[4]PT Ratio with 2021 Data'!$E$35,2)</f>
        <v>1025.68</v>
      </c>
      <c r="N61" s="184">
        <f>ROUND(N58*'[4]PT Ratio with 2021 Data'!$E$35,2)</f>
        <v>34145.410000000003</v>
      </c>
      <c r="O61" s="184">
        <f>ROUND(O58*'[4]PT Ratio with 2021 Data'!$E$35,2)</f>
        <v>36184.75</v>
      </c>
      <c r="P61" s="184">
        <f>ROUND(P58*'[4]PT Ratio with 2021 Data'!$E$35,2)</f>
        <v>2731.06</v>
      </c>
      <c r="Q61" s="184">
        <f>ROUND(Q58*'[4]PT Ratio with 2021 Data'!$E$35,2)</f>
        <v>1092.9100000000001</v>
      </c>
      <c r="R61" s="141">
        <f>SUM(G61:Q61)</f>
        <v>554144.58000000007</v>
      </c>
    </row>
    <row r="62" spans="1:18" ht="12.75" customHeight="1" thickBot="1">
      <c r="F62" t="s">
        <v>239</v>
      </c>
      <c r="G62" s="185">
        <f t="shared" ref="G62:P62" si="0">G25+G61</f>
        <v>501583.07</v>
      </c>
      <c r="H62" s="185">
        <f t="shared" si="0"/>
        <v>98996.13</v>
      </c>
      <c r="I62" s="185">
        <f t="shared" si="0"/>
        <v>712361.11</v>
      </c>
      <c r="J62" s="185">
        <f t="shared" si="0"/>
        <v>978877.12</v>
      </c>
      <c r="K62" s="185">
        <f t="shared" si="0"/>
        <v>557081.04</v>
      </c>
      <c r="L62" s="185">
        <f t="shared" si="0"/>
        <v>849256.37</v>
      </c>
      <c r="M62" s="185">
        <f t="shared" si="0"/>
        <v>742328.6100000001</v>
      </c>
      <c r="N62" s="186">
        <f t="shared" si="0"/>
        <v>408433.64</v>
      </c>
      <c r="O62" s="186">
        <f t="shared" si="0"/>
        <v>287421.96999999997</v>
      </c>
      <c r="P62" s="186">
        <f t="shared" si="0"/>
        <v>155447.26</v>
      </c>
      <c r="Q62" s="187">
        <f>Q25+Q61</f>
        <v>167490.58000000002</v>
      </c>
      <c r="R62" s="188">
        <f>SUM(G62:Q62)</f>
        <v>5459276.8999999994</v>
      </c>
    </row>
    <row r="63" spans="1:18" ht="12.75" customHeight="1" thickTop="1"/>
    <row r="64" spans="1:18" ht="12.75" customHeight="1">
      <c r="F64" t="s">
        <v>240</v>
      </c>
      <c r="G64" s="184">
        <v>0</v>
      </c>
      <c r="H64" s="189">
        <f>ROUND(H58*'[4]PT Ratio with 2020 Data'!$D$35,2)</f>
        <v>47896.35</v>
      </c>
      <c r="I64" s="189">
        <f>ROUND(I58*'[4]PT Ratio with 2020 Data'!$D$35,2)</f>
        <v>1870.71</v>
      </c>
      <c r="J64" s="189">
        <f>ROUND(J58*'[4]PT Ratio with 2020 Data'!$D$35,2)</f>
        <v>338245.33</v>
      </c>
      <c r="K64" s="189">
        <f>ROUND(K58*'[4]PT Ratio with 2021 Data'!$D$35,2)</f>
        <v>200169.97</v>
      </c>
      <c r="L64" s="189">
        <f>ROUND(L58*'[4]PT Ratio with 2021 Data'!$D$35,2)</f>
        <v>129300.01</v>
      </c>
      <c r="M64" s="189">
        <f>ROUND(M58*'[4]PT Ratio with 2021 Data'!$D$35,2)</f>
        <v>1949.89</v>
      </c>
      <c r="N64" s="189">
        <f>ROUND(N58*'[4]PT Ratio with 2021 Data'!$D$35,2)</f>
        <v>64912.93</v>
      </c>
      <c r="O64" s="189">
        <f>ROUND(O58*'[4]PT Ratio with 2021 Data'!$D$35,2)</f>
        <v>68789.87</v>
      </c>
      <c r="P64" s="189">
        <f>ROUND(P58*'[4]PT Ratio with 2021 Data'!$D$35,2)</f>
        <v>5191.95</v>
      </c>
      <c r="Q64" s="189">
        <f>ROUND(Q58*'[4]PT Ratio with 2021 Data'!$D$35,2)</f>
        <v>2077.71</v>
      </c>
      <c r="R64" s="141">
        <f>SUM(G64:Q64)</f>
        <v>860404.72</v>
      </c>
    </row>
    <row r="65" spans="1:19" ht="12.75" customHeight="1" thickBot="1">
      <c r="F65" t="s">
        <v>241</v>
      </c>
      <c r="G65" s="185">
        <v>0</v>
      </c>
      <c r="H65" s="188">
        <f t="shared" ref="H65:P65" si="1">H13+H64</f>
        <v>192429.28</v>
      </c>
      <c r="I65" s="188">
        <f>I13+I64</f>
        <v>169217.78999999998</v>
      </c>
      <c r="J65" s="188">
        <f t="shared" si="1"/>
        <v>1065483.22</v>
      </c>
      <c r="K65" s="188">
        <f t="shared" si="1"/>
        <v>357664.61</v>
      </c>
      <c r="L65" s="188">
        <f t="shared" si="1"/>
        <v>880428.32000000007</v>
      </c>
      <c r="M65" s="188">
        <f t="shared" si="1"/>
        <v>980924.43</v>
      </c>
      <c r="N65" s="188">
        <f t="shared" si="1"/>
        <v>960933.17</v>
      </c>
      <c r="O65" s="188">
        <f t="shared" si="1"/>
        <v>892770.39</v>
      </c>
      <c r="P65" s="188">
        <f t="shared" si="1"/>
        <v>897081.37</v>
      </c>
      <c r="Q65" s="190">
        <f>Q13+Q64</f>
        <v>915102.88</v>
      </c>
      <c r="R65" s="188">
        <f>SUM(G65:Q65)</f>
        <v>7312035.46</v>
      </c>
    </row>
    <row r="66" spans="1:19" ht="12.75" customHeight="1" thickTop="1"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41"/>
    </row>
    <row r="67" spans="1:19" ht="12.75" customHeight="1">
      <c r="F67" t="s">
        <v>242</v>
      </c>
      <c r="G67" s="191"/>
      <c r="H67" s="191">
        <f>H62+H65-H59</f>
        <v>0</v>
      </c>
      <c r="I67" s="191">
        <f t="shared" ref="I67:M67" si="2">I62+I65-I59</f>
        <v>0</v>
      </c>
      <c r="J67" s="191">
        <f t="shared" si="2"/>
        <v>0</v>
      </c>
      <c r="K67" s="191">
        <f t="shared" si="2"/>
        <v>0</v>
      </c>
      <c r="L67" s="191">
        <f t="shared" si="2"/>
        <v>0</v>
      </c>
      <c r="M67" s="191">
        <f t="shared" si="2"/>
        <v>0</v>
      </c>
      <c r="N67" s="191">
        <f>N62+N65-N59</f>
        <v>0</v>
      </c>
      <c r="O67" s="191">
        <f>O62+O65-O59</f>
        <v>0</v>
      </c>
      <c r="P67" s="191">
        <f>P62+P65-P59</f>
        <v>0</v>
      </c>
      <c r="Q67" s="191">
        <f>Q62+Q65-Q59</f>
        <v>0</v>
      </c>
      <c r="R67" s="191"/>
    </row>
    <row r="69" spans="1:19" ht="27" customHeight="1">
      <c r="A69" s="192" t="s">
        <v>243</v>
      </c>
      <c r="B69" s="216" t="s">
        <v>244</v>
      </c>
      <c r="C69" s="216"/>
      <c r="D69" s="216"/>
      <c r="E69" s="216"/>
      <c r="F69" s="216"/>
      <c r="G69" s="216"/>
      <c r="H69" s="216"/>
      <c r="I69" s="216"/>
      <c r="J69" s="216"/>
      <c r="K69" s="193"/>
      <c r="L69" s="193"/>
      <c r="M69" s="193"/>
      <c r="N69" s="193"/>
      <c r="O69" s="193"/>
      <c r="P69" s="193"/>
      <c r="Q69" s="193"/>
    </row>
    <row r="74" spans="1:19" ht="12.75" customHeight="1">
      <c r="E74" t="s">
        <v>161</v>
      </c>
      <c r="F74" t="s">
        <v>245</v>
      </c>
      <c r="G74" s="194"/>
      <c r="H74" s="194">
        <f>SUM(H3:H11,H29:H39)</f>
        <v>144639.76</v>
      </c>
      <c r="I74" s="194">
        <f t="shared" ref="I74:Q74" si="3">SUM(I3:I11,I29:I39)</f>
        <v>167397.07999999999</v>
      </c>
      <c r="J74" s="194">
        <f t="shared" si="3"/>
        <v>727465.83999999985</v>
      </c>
      <c r="K74" s="194">
        <f t="shared" si="3"/>
        <v>157693.63999999998</v>
      </c>
      <c r="L74" s="194">
        <f t="shared" si="3"/>
        <v>752354.11</v>
      </c>
      <c r="M74" s="194">
        <f t="shared" si="3"/>
        <v>979465.37</v>
      </c>
      <c r="N74" s="194">
        <f t="shared" si="3"/>
        <v>896020.24000000011</v>
      </c>
      <c r="O74" s="194">
        <f t="shared" si="3"/>
        <v>824925.77</v>
      </c>
      <c r="P74" s="194">
        <f t="shared" si="3"/>
        <v>893091.16999999993</v>
      </c>
      <c r="Q74" s="194">
        <f t="shared" si="3"/>
        <v>916086.92999999993</v>
      </c>
      <c r="R74" s="196">
        <f>SUM(H74:Q74)</f>
        <v>6459139.9100000001</v>
      </c>
      <c r="S74" s="195">
        <f>R74/R76</f>
        <v>0.83187734039962391</v>
      </c>
    </row>
    <row r="75" spans="1:19" ht="12.75" customHeight="1">
      <c r="E75" t="s">
        <v>162</v>
      </c>
      <c r="F75" t="s">
        <v>246</v>
      </c>
      <c r="G75" s="194"/>
      <c r="H75" s="194">
        <f>SUM(H26:H28,H40:H44,H45:H57)</f>
        <v>72972.739999999991</v>
      </c>
      <c r="I75" s="194">
        <f t="shared" ref="I75:Q75" si="4">SUM(I26:I28,I40:I44,I45:I57)</f>
        <v>2804.31</v>
      </c>
      <c r="J75" s="194">
        <f t="shared" si="4"/>
        <v>515861.96</v>
      </c>
      <c r="K75" s="194">
        <f t="shared" si="4"/>
        <v>305264.09999999998</v>
      </c>
      <c r="L75" s="194">
        <f>SUM(L26:L28,L40:L44,L45:L57)</f>
        <v>196088.43</v>
      </c>
      <c r="M75" s="194">
        <f t="shared" si="4"/>
        <v>2484.7399999999998</v>
      </c>
      <c r="N75" s="194">
        <f t="shared" si="4"/>
        <v>99058.340000000011</v>
      </c>
      <c r="O75" s="194">
        <f t="shared" si="4"/>
        <v>104029.37</v>
      </c>
      <c r="P75" s="194">
        <f t="shared" si="4"/>
        <v>6721.2599999999993</v>
      </c>
      <c r="Q75" s="194">
        <f t="shared" si="4"/>
        <v>108.86</v>
      </c>
      <c r="R75" s="196">
        <f>SUM(H75:Q75)</f>
        <v>1305394.1100000003</v>
      </c>
      <c r="S75" s="195">
        <f>R75/R76</f>
        <v>0.16812265960037617</v>
      </c>
    </row>
    <row r="76" spans="1:19" ht="12.75" customHeight="1">
      <c r="G76" s="194"/>
      <c r="H76" s="194">
        <f t="shared" ref="H76:Q76" si="5">SUM(H74:H75)</f>
        <v>217612.5</v>
      </c>
      <c r="I76" s="194">
        <f t="shared" si="5"/>
        <v>170201.38999999998</v>
      </c>
      <c r="J76" s="194">
        <f t="shared" si="5"/>
        <v>1243327.7999999998</v>
      </c>
      <c r="K76" s="194">
        <f t="shared" si="5"/>
        <v>462957.74</v>
      </c>
      <c r="L76" s="194">
        <f t="shared" si="5"/>
        <v>948442.54</v>
      </c>
      <c r="M76" s="194">
        <f t="shared" si="5"/>
        <v>981950.11</v>
      </c>
      <c r="N76" s="194">
        <f t="shared" si="5"/>
        <v>995078.58000000007</v>
      </c>
      <c r="O76" s="194">
        <f t="shared" si="5"/>
        <v>928955.14</v>
      </c>
      <c r="P76" s="194">
        <f t="shared" si="5"/>
        <v>899812.42999999993</v>
      </c>
      <c r="Q76" s="194">
        <f t="shared" si="5"/>
        <v>916195.78999999992</v>
      </c>
      <c r="R76" s="196">
        <f t="shared" ref="R76" si="6">SUM(H76:Q76)</f>
        <v>7764534.0199999996</v>
      </c>
    </row>
    <row r="78" spans="1:19" ht="12.75" customHeight="1">
      <c r="H78" s="197">
        <f>H59-H76</f>
        <v>73812.909999999974</v>
      </c>
      <c r="I78" s="197">
        <f t="shared" ref="I78:Q78" si="7">I59-I76</f>
        <v>711377.51</v>
      </c>
      <c r="J78" s="197">
        <f t="shared" si="7"/>
        <v>801032.54000000027</v>
      </c>
      <c r="K78" s="197">
        <f t="shared" si="7"/>
        <v>451787.91000000003</v>
      </c>
      <c r="L78" s="197">
        <f t="shared" si="7"/>
        <v>781242.14999999991</v>
      </c>
      <c r="M78" s="197">
        <f t="shared" si="7"/>
        <v>741302.93</v>
      </c>
      <c r="N78" s="197">
        <f t="shared" si="7"/>
        <v>374288.23</v>
      </c>
      <c r="O78" s="197">
        <f t="shared" si="7"/>
        <v>251237.22000000009</v>
      </c>
      <c r="P78" s="197">
        <f t="shared" si="7"/>
        <v>152716.19999999995</v>
      </c>
      <c r="Q78" s="197">
        <f t="shared" si="7"/>
        <v>166397.67000000004</v>
      </c>
      <c r="R78" s="197">
        <f>SUM(H59:Q59)-R76</f>
        <v>4505195.2699999996</v>
      </c>
      <c r="S78" t="s">
        <v>247</v>
      </c>
    </row>
  </sheetData>
  <mergeCells count="40">
    <mergeCell ref="A1:F1"/>
    <mergeCell ref="A2:A13"/>
    <mergeCell ref="B3:B12"/>
    <mergeCell ref="C4:C11"/>
    <mergeCell ref="D4:D11"/>
    <mergeCell ref="E4:E6"/>
    <mergeCell ref="E8:E9"/>
    <mergeCell ref="E10:E11"/>
    <mergeCell ref="B13:F13"/>
    <mergeCell ref="A14:A25"/>
    <mergeCell ref="B15:B24"/>
    <mergeCell ref="C16:C23"/>
    <mergeCell ref="D16:D23"/>
    <mergeCell ref="E16:E18"/>
    <mergeCell ref="E20:E21"/>
    <mergeCell ref="E22:E23"/>
    <mergeCell ref="B25:F25"/>
    <mergeCell ref="B69:J69"/>
    <mergeCell ref="D40:D44"/>
    <mergeCell ref="E42:E43"/>
    <mergeCell ref="C45:C53"/>
    <mergeCell ref="D45:D53"/>
    <mergeCell ref="E45:E46"/>
    <mergeCell ref="E48:E50"/>
    <mergeCell ref="E51:E52"/>
    <mergeCell ref="B26:B57"/>
    <mergeCell ref="C26:C28"/>
    <mergeCell ref="D26:D28"/>
    <mergeCell ref="E26:E27"/>
    <mergeCell ref="C29:C39"/>
    <mergeCell ref="D29:D39"/>
    <mergeCell ref="E29:E34"/>
    <mergeCell ref="E36:E39"/>
    <mergeCell ref="C55:C57"/>
    <mergeCell ref="D55:D57"/>
    <mergeCell ref="E55:E56"/>
    <mergeCell ref="B58:F58"/>
    <mergeCell ref="A59:F59"/>
    <mergeCell ref="A26:A58"/>
    <mergeCell ref="C40:C44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31"/>
  <sheetViews>
    <sheetView workbookViewId="0">
      <selection activeCell="F31" sqref="F31"/>
    </sheetView>
  </sheetViews>
  <sheetFormatPr defaultColWidth="9.140625" defaultRowHeight="15"/>
  <cols>
    <col min="1" max="1" width="9.140625" style="1"/>
    <col min="2" max="2" width="17.85546875" style="1" customWidth="1"/>
    <col min="3" max="3" width="10.28515625" style="1" customWidth="1"/>
    <col min="4" max="4" width="12.85546875" style="1" bestFit="1" customWidth="1"/>
    <col min="5" max="6" width="14" style="1" bestFit="1" customWidth="1"/>
    <col min="7" max="7" width="12.85546875" style="1" bestFit="1" customWidth="1"/>
    <col min="8" max="8" width="10.85546875" style="1" customWidth="1"/>
    <col min="9" max="9" width="13.7109375" style="1" customWidth="1"/>
    <col min="10" max="17" width="10.85546875" style="1" customWidth="1"/>
    <col min="18" max="16384" width="9.140625" style="1"/>
  </cols>
  <sheetData>
    <row r="1" spans="1:22" ht="45">
      <c r="A1" s="134"/>
      <c r="B1" s="135" t="s">
        <v>119</v>
      </c>
      <c r="C1" s="135" t="s">
        <v>116</v>
      </c>
      <c r="D1" s="135" t="s">
        <v>120</v>
      </c>
      <c r="E1" s="135" t="s">
        <v>117</v>
      </c>
      <c r="F1" s="135" t="s">
        <v>118</v>
      </c>
      <c r="G1" s="135" t="s">
        <v>110</v>
      </c>
      <c r="H1" s="125"/>
      <c r="I1" s="12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136">
        <v>44470</v>
      </c>
      <c r="B2" s="137">
        <v>42996238.936683007</v>
      </c>
      <c r="C2" s="138">
        <f>B2/$B$14</f>
        <v>7.7549982687864311E-2</v>
      </c>
      <c r="D2" s="139">
        <f>C2*$D$14</f>
        <v>237690.69693830411</v>
      </c>
      <c r="E2" s="140">
        <v>192429.28</v>
      </c>
      <c r="F2" s="140">
        <v>-45418.47</v>
      </c>
      <c r="G2" s="141">
        <f t="shared" ref="G2:G6" ca="1" si="0">IF(A2&lt;(TODAY()-15),E2-D2," ")</f>
        <v>-45261.416938304115</v>
      </c>
      <c r="H2" s="8"/>
      <c r="I2" s="151">
        <f>E2-D2</f>
        <v>-45261.416938304115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136">
        <v>44501</v>
      </c>
      <c r="B3" s="137">
        <v>47763131.363777854</v>
      </c>
      <c r="C3" s="138">
        <f t="shared" ref="C3:C13" si="1">B3/$B$14</f>
        <v>8.6147767850899212E-2</v>
      </c>
      <c r="D3" s="139">
        <f t="shared" ref="D3:D13" si="2">C3*$D$14</f>
        <v>264042.90846300608</v>
      </c>
      <c r="E3" s="140">
        <v>169217.78999999998</v>
      </c>
      <c r="F3" s="140">
        <v>-94786.87</v>
      </c>
      <c r="G3" s="141">
        <f t="shared" ca="1" si="0"/>
        <v>-94825.118463006103</v>
      </c>
      <c r="H3" s="8"/>
      <c r="I3" s="151">
        <f t="shared" ref="I3:I11" si="3">E3-D3</f>
        <v>-94825.118463006103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136">
        <v>44531</v>
      </c>
      <c r="B4" s="137">
        <v>55594972.139649197</v>
      </c>
      <c r="C4" s="138">
        <f t="shared" si="1"/>
        <v>0.10027363401043331</v>
      </c>
      <c r="D4" s="139">
        <f t="shared" si="2"/>
        <v>307338.68824197806</v>
      </c>
      <c r="E4" s="140">
        <v>1065483.22</v>
      </c>
      <c r="F4" s="140">
        <v>758263.34</v>
      </c>
      <c r="G4" s="140">
        <f t="shared" ca="1" si="0"/>
        <v>758144.53175802191</v>
      </c>
      <c r="H4" s="124"/>
      <c r="I4" s="151">
        <f t="shared" si="3"/>
        <v>758144.53175802191</v>
      </c>
      <c r="J4" s="124"/>
      <c r="K4" s="124"/>
      <c r="L4" s="124"/>
      <c r="M4" s="124"/>
      <c r="N4" s="124"/>
      <c r="O4" s="124"/>
      <c r="P4" s="124"/>
      <c r="Q4" s="124"/>
      <c r="R4" s="8"/>
      <c r="S4" s="8"/>
      <c r="T4" s="8"/>
      <c r="U4" s="8"/>
      <c r="V4" s="8"/>
    </row>
    <row r="5" spans="1:22">
      <c r="A5" s="136">
        <v>44562</v>
      </c>
      <c r="B5" s="137">
        <v>55671585.418146282</v>
      </c>
      <c r="C5" s="138">
        <f t="shared" si="1"/>
        <v>0.10041181722291985</v>
      </c>
      <c r="D5" s="139">
        <f t="shared" si="2"/>
        <v>307762.21978824935</v>
      </c>
      <c r="E5" s="140">
        <v>357664.61</v>
      </c>
      <c r="F5" s="140">
        <v>49715.59</v>
      </c>
      <c r="G5" s="140">
        <f t="shared" ca="1" si="0"/>
        <v>49902.390211750637</v>
      </c>
      <c r="H5" s="8"/>
      <c r="I5" s="151">
        <f t="shared" si="3"/>
        <v>49902.390211750637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>
      <c r="A6" s="136">
        <v>44593</v>
      </c>
      <c r="B6" s="137">
        <v>49278167.582732916</v>
      </c>
      <c r="C6" s="138">
        <f t="shared" si="1"/>
        <v>8.8880356455322773E-2</v>
      </c>
      <c r="D6" s="139">
        <f t="shared" si="2"/>
        <v>272418.29253556428</v>
      </c>
      <c r="E6" s="140">
        <v>880428.32000000007</v>
      </c>
      <c r="F6" s="140">
        <v>608124.81999999995</v>
      </c>
      <c r="G6" s="140">
        <f t="shared" ca="1" si="0"/>
        <v>608010.02746443579</v>
      </c>
      <c r="H6" s="123"/>
      <c r="I6" s="151">
        <f t="shared" si="3"/>
        <v>608010.02746443579</v>
      </c>
      <c r="J6" s="123"/>
      <c r="K6" s="123"/>
      <c r="L6" s="123"/>
      <c r="M6" s="123"/>
      <c r="N6" s="123"/>
      <c r="O6" s="123"/>
      <c r="P6" s="123"/>
      <c r="Q6" s="123"/>
      <c r="R6" s="8"/>
      <c r="S6" s="8"/>
      <c r="T6" s="8"/>
      <c r="U6" s="8"/>
      <c r="V6" s="8"/>
    </row>
    <row r="7" spans="1:22">
      <c r="A7" s="136">
        <v>44621</v>
      </c>
      <c r="B7" s="137">
        <v>47305565.386084735</v>
      </c>
      <c r="C7" s="138">
        <f t="shared" si="1"/>
        <v>8.5322480929852201E-2</v>
      </c>
      <c r="D7" s="139">
        <f t="shared" si="2"/>
        <v>261513.40404999699</v>
      </c>
      <c r="E7" s="140">
        <v>980924.43</v>
      </c>
      <c r="F7" s="142">
        <v>719481.23</v>
      </c>
      <c r="G7" s="140">
        <f ca="1">IF(A7&lt;(TODAY()-15),E7-D7," ")</f>
        <v>719411.02595000307</v>
      </c>
      <c r="H7" s="123"/>
      <c r="I7" s="151">
        <f t="shared" si="3"/>
        <v>719411.02595000307</v>
      </c>
      <c r="J7" s="123"/>
      <c r="K7" s="123"/>
      <c r="L7" s="123"/>
      <c r="M7" s="123"/>
      <c r="N7" s="123"/>
      <c r="O7" s="123"/>
      <c r="P7" s="123"/>
      <c r="Q7" s="123"/>
      <c r="R7" s="8"/>
      <c r="S7" s="8"/>
      <c r="T7" s="8"/>
      <c r="U7" s="8"/>
      <c r="V7" s="8"/>
    </row>
    <row r="8" spans="1:22">
      <c r="A8" s="136">
        <v>44652</v>
      </c>
      <c r="B8" s="137">
        <v>41263283.333110519</v>
      </c>
      <c r="C8" s="138">
        <f t="shared" si="1"/>
        <v>7.4424344716278248E-2</v>
      </c>
      <c r="D8" s="139">
        <f t="shared" si="2"/>
        <v>228110.61655539283</v>
      </c>
      <c r="E8" s="140">
        <v>960933.17</v>
      </c>
      <c r="F8" s="142">
        <v>732824.35</v>
      </c>
      <c r="G8" s="140">
        <f ca="1">IF(A8&lt;(TODAY()-15),E8-D8," ")</f>
        <v>732822.55344460718</v>
      </c>
      <c r="H8" s="123"/>
      <c r="I8" s="151">
        <f t="shared" si="3"/>
        <v>732822.55344460718</v>
      </c>
      <c r="J8" s="123"/>
      <c r="K8" s="123"/>
      <c r="L8" s="123"/>
      <c r="M8" s="123"/>
      <c r="N8" s="123"/>
      <c r="O8" s="123"/>
      <c r="P8" s="123"/>
      <c r="Q8" s="123"/>
      <c r="R8" s="8"/>
      <c r="S8" s="8"/>
      <c r="T8" s="8"/>
      <c r="U8" s="8"/>
      <c r="V8" s="8"/>
    </row>
    <row r="9" spans="1:22">
      <c r="A9" s="136">
        <v>44682</v>
      </c>
      <c r="B9" s="137">
        <v>39777362.490171306</v>
      </c>
      <c r="C9" s="138">
        <f t="shared" si="1"/>
        <v>7.1744269935431315E-2</v>
      </c>
      <c r="D9" s="139">
        <f t="shared" si="2"/>
        <v>219896.18735209698</v>
      </c>
      <c r="E9" s="140">
        <v>892770.39</v>
      </c>
      <c r="F9" s="142">
        <v>672874.21</v>
      </c>
      <c r="G9" s="140">
        <f t="shared" ref="G9:G10" ca="1" si="4">IF(A9&lt;(TODAY()-15),E9-D9," ")</f>
        <v>672874.202647903</v>
      </c>
      <c r="H9" s="8"/>
      <c r="I9" s="151">
        <f t="shared" si="3"/>
        <v>672874.202647903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>
      <c r="A10" s="136">
        <v>44713</v>
      </c>
      <c r="B10" s="137">
        <v>41031668.178748809</v>
      </c>
      <c r="C10" s="138">
        <f t="shared" si="1"/>
        <v>7.4006593032521703E-2</v>
      </c>
      <c r="D10" s="139">
        <f t="shared" si="2"/>
        <v>226830.20764467903</v>
      </c>
      <c r="E10" s="140">
        <v>897081.37</v>
      </c>
      <c r="F10" s="142">
        <v>670099.88</v>
      </c>
      <c r="G10" s="140">
        <f t="shared" ca="1" si="4"/>
        <v>670251.16235532099</v>
      </c>
      <c r="H10" s="8"/>
      <c r="I10" s="151">
        <f t="shared" si="3"/>
        <v>670251.16235532099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>
      <c r="A11" s="136">
        <v>44743</v>
      </c>
      <c r="B11" s="137">
        <v>45989609.32593248</v>
      </c>
      <c r="C11" s="138">
        <f t="shared" si="1"/>
        <v>8.2948962403427556E-2</v>
      </c>
      <c r="D11" s="139">
        <f t="shared" si="2"/>
        <v>254238.56976650545</v>
      </c>
      <c r="E11" s="140">
        <v>915102.88</v>
      </c>
      <c r="F11" s="143"/>
      <c r="G11" s="140">
        <f ca="1">IF(A11&lt;(TODAY()-15),E11-D11," ")</f>
        <v>660864.3102334945</v>
      </c>
      <c r="H11" s="125"/>
      <c r="I11" s="151">
        <f t="shared" si="3"/>
        <v>660864.3102334945</v>
      </c>
      <c r="J11" s="125"/>
      <c r="K11" s="125"/>
      <c r="L11" s="125"/>
      <c r="M11" s="125"/>
      <c r="N11" s="125"/>
      <c r="O11" s="125"/>
      <c r="P11" s="125"/>
      <c r="Q11" s="125"/>
      <c r="R11" s="8"/>
      <c r="S11" s="8"/>
      <c r="T11" s="8"/>
      <c r="U11" s="8"/>
      <c r="V11" s="8"/>
    </row>
    <row r="12" spans="1:22">
      <c r="A12" s="136">
        <v>44774</v>
      </c>
      <c r="B12" s="137">
        <v>46784832.784823753</v>
      </c>
      <c r="C12" s="138">
        <f t="shared" si="1"/>
        <v>8.4383263798040647E-2</v>
      </c>
      <c r="D12" s="139">
        <f t="shared" si="2"/>
        <v>258634.70354099458</v>
      </c>
      <c r="E12" s="143"/>
      <c r="F12" s="143"/>
      <c r="G12" s="14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136">
        <v>44805</v>
      </c>
      <c r="B13" s="137">
        <v>40976188.28380768</v>
      </c>
      <c r="C13" s="138">
        <f t="shared" si="1"/>
        <v>7.3906526957008806E-2</v>
      </c>
      <c r="D13" s="139">
        <f t="shared" si="2"/>
        <v>226523.505123232</v>
      </c>
      <c r="E13" s="143"/>
      <c r="F13" s="143"/>
      <c r="G13" s="14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thickBot="1">
      <c r="A14" s="144" t="s">
        <v>0</v>
      </c>
      <c r="B14" s="145">
        <f>SUM(B2:B13)</f>
        <v>554432605.22366858</v>
      </c>
      <c r="C14" s="146">
        <f t="shared" ref="C14" si="5">SUM(C2:C13)</f>
        <v>0.99999999999999989</v>
      </c>
      <c r="D14" s="145">
        <v>3065000</v>
      </c>
      <c r="E14" s="147">
        <f>SUM(E2:E13)</f>
        <v>7312035.46</v>
      </c>
      <c r="F14" s="147">
        <f>SUM(F2:F13)</f>
        <v>4071178.0799999996</v>
      </c>
      <c r="G14" s="148">
        <f ca="1">SUM(G2:G13)</f>
        <v>4732193.6686642272</v>
      </c>
      <c r="H14" s="8"/>
      <c r="I14" s="8"/>
      <c r="J14" s="12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Top="1">
      <c r="A15" s="8"/>
      <c r="B15" s="8"/>
      <c r="C15" s="106"/>
      <c r="D15" s="106"/>
      <c r="E15" s="121"/>
      <c r="F15" s="126"/>
      <c r="G15" s="8"/>
      <c r="H15" s="128"/>
      <c r="I15" s="8"/>
      <c r="J15" s="1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>
      <c r="A16" s="8"/>
      <c r="B16" s="106"/>
      <c r="C16" s="106"/>
      <c r="D16" s="106"/>
      <c r="E16" s="121"/>
      <c r="F16" s="8"/>
      <c r="G16" s="8"/>
      <c r="H16" s="8"/>
      <c r="I16" s="8"/>
      <c r="J16" s="12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>
      <c r="A17" s="8"/>
      <c r="B17" s="106"/>
      <c r="C17" s="106"/>
      <c r="D17" s="106"/>
      <c r="E17" s="121"/>
      <c r="F17" s="126"/>
      <c r="G17" s="8"/>
      <c r="H17" s="8"/>
      <c r="I17" s="8"/>
      <c r="J17" s="12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>
      <c r="A18" s="8"/>
      <c r="B18" s="106"/>
      <c r="C18" s="106"/>
      <c r="D18" s="106"/>
      <c r="E18" s="121"/>
      <c r="F18" s="8"/>
      <c r="G18" s="8"/>
      <c r="H18" s="8"/>
      <c r="I18" s="8"/>
      <c r="J18" s="12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>
      <c r="A19" s="8"/>
      <c r="B19" s="106"/>
      <c r="C19" s="106"/>
      <c r="D19" s="106"/>
      <c r="E19" s="121"/>
      <c r="F19" s="126"/>
      <c r="G19" s="8"/>
      <c r="H19" s="8"/>
      <c r="I19" s="8"/>
      <c r="J19" s="12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>
      <c r="A20" s="8"/>
      <c r="B20" s="106"/>
      <c r="C20" s="106"/>
      <c r="D20" s="106"/>
      <c r="E20" s="12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>
      <c r="A21" s="8"/>
      <c r="B21" s="106"/>
      <c r="C21" s="106"/>
      <c r="D21" s="106"/>
      <c r="E21" s="121"/>
      <c r="F21" s="12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>
      <c r="A22" s="8"/>
      <c r="B22" s="106"/>
      <c r="C22" s="106"/>
      <c r="D22" s="106"/>
      <c r="E22" s="12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>
      <c r="A23" s="8"/>
      <c r="B23" s="8"/>
      <c r="C23" s="8"/>
      <c r="D23" s="71"/>
      <c r="E23" s="12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>
      <c r="A25" s="8"/>
      <c r="B25" s="106"/>
      <c r="C25" s="106"/>
      <c r="D25" s="106"/>
      <c r="E25" s="121"/>
      <c r="F25" s="8"/>
      <c r="G25" s="13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>
      <c r="A26" s="8"/>
      <c r="B26" s="13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>
      <c r="A27" s="8"/>
      <c r="B27" s="8"/>
      <c r="C27" s="132"/>
      <c r="D27" s="8"/>
      <c r="E27" s="13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>
      <c r="A28" s="8"/>
      <c r="B28" s="8"/>
      <c r="C28" s="13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7.25">
      <c r="A29" s="8"/>
      <c r="B29" s="122"/>
      <c r="C29" s="13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H31" s="2"/>
    </row>
  </sheetData>
  <pageMargins left="0.7" right="0.7" top="0.75" bottom="0.75" header="0.3" footer="0.3"/>
  <pageSetup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DC8C-1084-4AD5-984B-39301C4BDA47}">
  <dimension ref="B4:R46"/>
  <sheetViews>
    <sheetView zoomScale="85" zoomScaleNormal="85" workbookViewId="0">
      <selection activeCell="Q9" sqref="Q9"/>
    </sheetView>
  </sheetViews>
  <sheetFormatPr defaultColWidth="9.140625" defaultRowHeight="15.75"/>
  <cols>
    <col min="1" max="1" width="9.140625" style="152"/>
    <col min="2" max="2" width="41.28515625" style="152" bestFit="1" customWidth="1"/>
    <col min="3" max="3" width="10.5703125" style="152" bestFit="1" customWidth="1"/>
    <col min="4" max="4" width="14.140625" style="152" bestFit="1" customWidth="1"/>
    <col min="5" max="5" width="10.42578125" style="152" bestFit="1" customWidth="1"/>
    <col min="6" max="6" width="15.5703125" style="152" bestFit="1" customWidth="1"/>
    <col min="7" max="7" width="15.42578125" style="152" bestFit="1" customWidth="1"/>
    <col min="8" max="8" width="14.140625" style="152" bestFit="1" customWidth="1"/>
    <col min="9" max="9" width="14.28515625" style="152" bestFit="1" customWidth="1"/>
    <col min="10" max="14" width="13.7109375" style="152" bestFit="1" customWidth="1"/>
    <col min="15" max="15" width="12.28515625" style="152" bestFit="1" customWidth="1"/>
    <col min="16" max="16" width="12.85546875" style="152" bestFit="1" customWidth="1"/>
    <col min="17" max="17" width="14.140625" style="152" bestFit="1" customWidth="1"/>
    <col min="18" max="18" width="13.7109375" style="152" bestFit="1" customWidth="1"/>
    <col min="19" max="16384" width="9.140625" style="152"/>
  </cols>
  <sheetData>
    <row r="4" spans="2:18">
      <c r="D4" s="152">
        <v>2022</v>
      </c>
      <c r="H4" s="152">
        <v>2023</v>
      </c>
    </row>
    <row r="5" spans="2:18">
      <c r="B5" s="153"/>
      <c r="C5" s="153"/>
      <c r="D5" s="153" t="s">
        <v>137</v>
      </c>
      <c r="F5" s="153" t="s">
        <v>141</v>
      </c>
      <c r="G5" s="153" t="s">
        <v>142</v>
      </c>
      <c r="H5" s="153" t="s">
        <v>131</v>
      </c>
      <c r="I5" s="153" t="s">
        <v>132</v>
      </c>
      <c r="J5" s="153" t="s">
        <v>133</v>
      </c>
      <c r="K5" s="153" t="s">
        <v>134</v>
      </c>
      <c r="L5" s="153" t="s">
        <v>135</v>
      </c>
      <c r="M5" s="153" t="s">
        <v>136</v>
      </c>
      <c r="N5" s="153" t="s">
        <v>137</v>
      </c>
      <c r="O5" s="153" t="s">
        <v>138</v>
      </c>
      <c r="P5" s="153" t="s">
        <v>139</v>
      </c>
      <c r="Q5" s="153" t="s">
        <v>140</v>
      </c>
      <c r="R5" s="152" t="s">
        <v>0</v>
      </c>
    </row>
    <row r="6" spans="2:18">
      <c r="B6" s="152" t="s">
        <v>148</v>
      </c>
      <c r="C6" s="154"/>
      <c r="D6" s="154">
        <f>-'[5]Revenue By Month'!H44</f>
        <v>0</v>
      </c>
      <c r="E6" s="155"/>
      <c r="F6" s="154">
        <f>'Forecasted Revenue'!H43</f>
        <v>401048.20795597095</v>
      </c>
      <c r="G6" s="154">
        <f>'Forecasted Revenue'!I43</f>
        <v>470348.4838774309</v>
      </c>
      <c r="H6" s="154">
        <f>'Forecasted Revenue'!J43</f>
        <v>479914.89739780128</v>
      </c>
      <c r="I6" s="154">
        <f>'Forecasted Revenue'!K43</f>
        <v>433722.22982364474</v>
      </c>
      <c r="J6" s="154">
        <f>'Forecasted Revenue'!L43</f>
        <v>402393.60423188569</v>
      </c>
      <c r="K6" s="154">
        <f>'Forecasted Revenue'!M43</f>
        <v>352917.49677569536</v>
      </c>
      <c r="L6" s="154">
        <f>'Forecasted Revenue'!N43</f>
        <v>342850.238568442</v>
      </c>
      <c r="M6" s="154">
        <f>'Forecasted Revenue'!O43</f>
        <v>351221.02405490784</v>
      </c>
      <c r="N6" s="154">
        <f>'Forecasted Revenue'!P43</f>
        <v>392677.05552694487</v>
      </c>
      <c r="O6" s="154">
        <f>'Forecasted Revenue'!Q43</f>
        <v>400497.05268093164</v>
      </c>
      <c r="P6" s="154">
        <f>'Forecasted Revenue'!R43</f>
        <v>342915.97361124138</v>
      </c>
      <c r="Q6" s="154">
        <f>'Forecasted Revenue'!S43</f>
        <v>361687.40415933193</v>
      </c>
      <c r="R6" s="156">
        <f>SUM(F6:Q6)</f>
        <v>4732193.6686642282</v>
      </c>
    </row>
    <row r="7" spans="2:18">
      <c r="B7" s="152" t="s">
        <v>149</v>
      </c>
      <c r="C7" s="157"/>
      <c r="D7" s="157"/>
      <c r="E7" s="158"/>
      <c r="F7" s="158">
        <f ca="1">(D9-(0.5*F6))*$F$16</f>
        <v>0</v>
      </c>
      <c r="G7" s="158">
        <f ca="1">(F9-(0.5*G6))*$F$16</f>
        <v>0</v>
      </c>
      <c r="H7" s="158">
        <f t="shared" ref="H7:Q7" ca="1" si="0">(G9-(0.5*H6))*$F$16</f>
        <v>0</v>
      </c>
      <c r="I7" s="158">
        <f t="shared" ca="1" si="0"/>
        <v>0</v>
      </c>
      <c r="J7" s="158">
        <f t="shared" ca="1" si="0"/>
        <v>0</v>
      </c>
      <c r="K7" s="158">
        <f t="shared" ca="1" si="0"/>
        <v>0</v>
      </c>
      <c r="L7" s="158">
        <f t="shared" ca="1" si="0"/>
        <v>0</v>
      </c>
      <c r="M7" s="158">
        <f t="shared" ca="1" si="0"/>
        <v>0</v>
      </c>
      <c r="N7" s="158">
        <f t="shared" ca="1" si="0"/>
        <v>0</v>
      </c>
      <c r="O7" s="158">
        <f t="shared" ca="1" si="0"/>
        <v>0</v>
      </c>
      <c r="P7" s="158">
        <f ca="1">(O9-(0.5*P6))*$F$16</f>
        <v>0</v>
      </c>
      <c r="Q7" s="158">
        <f t="shared" ca="1" si="0"/>
        <v>0</v>
      </c>
      <c r="R7" s="156">
        <f ca="1">SUM(F7:Q7)</f>
        <v>0</v>
      </c>
    </row>
    <row r="8" spans="2:18">
      <c r="B8" s="152" t="s">
        <v>143</v>
      </c>
      <c r="C8" s="157"/>
      <c r="D8" s="157">
        <f>D6+D7</f>
        <v>0</v>
      </c>
      <c r="E8" s="158"/>
      <c r="F8" s="157">
        <f ca="1">F6-F7</f>
        <v>401048.20795597095</v>
      </c>
      <c r="G8" s="157">
        <f t="shared" ref="G8:Q8" ca="1" si="1">G6-G7</f>
        <v>470348.4838774309</v>
      </c>
      <c r="H8" s="157">
        <f t="shared" ca="1" si="1"/>
        <v>479914.89739780128</v>
      </c>
      <c r="I8" s="157">
        <f t="shared" ca="1" si="1"/>
        <v>433722.22982364474</v>
      </c>
      <c r="J8" s="157">
        <f t="shared" ca="1" si="1"/>
        <v>402393.60423188569</v>
      </c>
      <c r="K8" s="157">
        <f t="shared" ca="1" si="1"/>
        <v>352917.49677569536</v>
      </c>
      <c r="L8" s="157">
        <f t="shared" ca="1" si="1"/>
        <v>342850.238568442</v>
      </c>
      <c r="M8" s="157">
        <f t="shared" ca="1" si="1"/>
        <v>351221.02405490784</v>
      </c>
      <c r="N8" s="157">
        <f t="shared" ca="1" si="1"/>
        <v>392677.05552694487</v>
      </c>
      <c r="O8" s="157">
        <f t="shared" ca="1" si="1"/>
        <v>400497.05268093164</v>
      </c>
      <c r="P8" s="157">
        <f t="shared" ca="1" si="1"/>
        <v>342915.97361124138</v>
      </c>
      <c r="Q8" s="157">
        <f t="shared" ca="1" si="1"/>
        <v>361687.40415933193</v>
      </c>
    </row>
    <row r="9" spans="2:18">
      <c r="B9" s="152" t="s">
        <v>146</v>
      </c>
      <c r="C9" s="159"/>
      <c r="D9" s="159">
        <f ca="1">'Deferral Balance'!G14</f>
        <v>4732193.6686642272</v>
      </c>
      <c r="E9" s="155"/>
      <c r="F9" s="154">
        <f ca="1">D9-F8</f>
        <v>4331145.4607082559</v>
      </c>
      <c r="G9" s="154">
        <f t="shared" ref="G9:Q9" ca="1" si="2">F9-G8</f>
        <v>3860796.9768308252</v>
      </c>
      <c r="H9" s="154">
        <f t="shared" ca="1" si="2"/>
        <v>3380882.0794330239</v>
      </c>
      <c r="I9" s="154">
        <f t="shared" ca="1" si="2"/>
        <v>2947159.8496093792</v>
      </c>
      <c r="J9" s="154">
        <f t="shared" ca="1" si="2"/>
        <v>2544766.2453774936</v>
      </c>
      <c r="K9" s="154">
        <f t="shared" ca="1" si="2"/>
        <v>2191848.748601798</v>
      </c>
      <c r="L9" s="154">
        <f t="shared" ca="1" si="2"/>
        <v>1848998.510033356</v>
      </c>
      <c r="M9" s="154">
        <f t="shared" ca="1" si="2"/>
        <v>1497777.4859784483</v>
      </c>
      <c r="N9" s="154">
        <f t="shared" ca="1" si="2"/>
        <v>1105100.4304515035</v>
      </c>
      <c r="O9" s="154">
        <f t="shared" ca="1" si="2"/>
        <v>704603.37777057185</v>
      </c>
      <c r="P9" s="154">
        <f t="shared" ca="1" si="2"/>
        <v>361687.40415933047</v>
      </c>
      <c r="Q9" s="154">
        <f t="shared" ca="1" si="2"/>
        <v>-1.4551915228366852E-9</v>
      </c>
    </row>
    <row r="15" spans="2:18" ht="39">
      <c r="C15" s="203" t="s">
        <v>268</v>
      </c>
      <c r="D15" s="203" t="s">
        <v>147</v>
      </c>
      <c r="E15" s="203" t="s">
        <v>269</v>
      </c>
      <c r="F15" s="203" t="s">
        <v>270</v>
      </c>
    </row>
    <row r="16" spans="2:18">
      <c r="B16" s="152" t="s">
        <v>267</v>
      </c>
      <c r="C16" s="205">
        <v>0</v>
      </c>
      <c r="D16" s="206">
        <f>C16/12</f>
        <v>0</v>
      </c>
      <c r="E16" s="204">
        <v>0.21</v>
      </c>
      <c r="F16" s="202">
        <f>D16*(1-E16)</f>
        <v>0</v>
      </c>
      <c r="G16" s="152" t="s">
        <v>266</v>
      </c>
      <c r="R16" s="201"/>
    </row>
    <row r="17" spans="3:10">
      <c r="C17" s="160"/>
      <c r="D17" s="161"/>
    </row>
    <row r="19" spans="3:10">
      <c r="F19" s="152" t="s">
        <v>154</v>
      </c>
      <c r="G19" s="157">
        <f ca="1">D9</f>
        <v>4732193.6686642272</v>
      </c>
    </row>
    <row r="20" spans="3:10">
      <c r="F20" s="152" t="s">
        <v>57</v>
      </c>
      <c r="G20" s="162">
        <f ca="1">SUM(F7:Q7)</f>
        <v>0</v>
      </c>
    </row>
    <row r="21" spans="3:10">
      <c r="F21" s="152" t="s">
        <v>151</v>
      </c>
      <c r="G21" s="157">
        <f ca="1">SUM(G19:G20)</f>
        <v>4732193.6686642272</v>
      </c>
    </row>
    <row r="22" spans="3:10">
      <c r="G22" s="157"/>
    </row>
    <row r="23" spans="3:10">
      <c r="F23" s="152" t="s">
        <v>150</v>
      </c>
      <c r="G23" s="163">
        <f>'CF WA Elec'!E21</f>
        <v>0.95606855188236617</v>
      </c>
    </row>
    <row r="24" spans="3:10">
      <c r="F24" s="152" t="s">
        <v>152</v>
      </c>
      <c r="G24" s="157">
        <f ca="1">G21/G23</f>
        <v>4949638.4535891227</v>
      </c>
    </row>
    <row r="30" spans="3:10" ht="31.5">
      <c r="F30" s="164" t="s">
        <v>12</v>
      </c>
      <c r="G30" s="164" t="s">
        <v>155</v>
      </c>
      <c r="H30" s="164" t="s">
        <v>156</v>
      </c>
      <c r="I30" s="164" t="s">
        <v>157</v>
      </c>
      <c r="J30" s="164" t="s">
        <v>106</v>
      </c>
    </row>
    <row r="31" spans="3:10">
      <c r="F31" s="165">
        <v>1</v>
      </c>
      <c r="G31" s="164"/>
      <c r="H31" s="166"/>
      <c r="I31" s="167">
        <f>C16*(1-E16)</f>
        <v>0</v>
      </c>
      <c r="J31" s="164"/>
    </row>
    <row r="32" spans="3:10">
      <c r="F32" s="165">
        <v>2</v>
      </c>
      <c r="G32" s="168"/>
      <c r="H32" s="169">
        <v>4732194</v>
      </c>
      <c r="I32" s="169"/>
    </row>
    <row r="33" spans="6:10">
      <c r="F33" s="165">
        <v>3</v>
      </c>
      <c r="G33" s="170">
        <v>44866</v>
      </c>
      <c r="H33" s="169">
        <f>H32+I33-J33</f>
        <v>4331145.7920440286</v>
      </c>
      <c r="I33" s="169">
        <f>(H32-(J33*0.5))*($I$31/12)</f>
        <v>0</v>
      </c>
      <c r="J33" s="171">
        <f>'Forecasted Revenue'!H43</f>
        <v>401048.20795597095</v>
      </c>
    </row>
    <row r="34" spans="6:10">
      <c r="F34" s="165">
        <v>4</v>
      </c>
      <c r="G34" s="170">
        <f t="shared" ref="G34:G44" si="3">G33+31</f>
        <v>44897</v>
      </c>
      <c r="H34" s="169">
        <f t="shared" ref="H34:H44" si="4">H33+I34-J34</f>
        <v>3860797.308166598</v>
      </c>
      <c r="I34" s="169">
        <f t="shared" ref="I34:I44" si="5">(H33-J34*0.5)*($I$31/12)</f>
        <v>0</v>
      </c>
      <c r="J34" s="171">
        <f>'Forecasted Revenue'!I43</f>
        <v>470348.4838774309</v>
      </c>
    </row>
    <row r="35" spans="6:10">
      <c r="F35" s="165">
        <v>5</v>
      </c>
      <c r="G35" s="170">
        <f t="shared" si="3"/>
        <v>44928</v>
      </c>
      <c r="H35" s="169">
        <f t="shared" si="4"/>
        <v>3380882.4107687967</v>
      </c>
      <c r="I35" s="169">
        <f t="shared" si="5"/>
        <v>0</v>
      </c>
      <c r="J35" s="171">
        <f>'Forecasted Revenue'!J43</f>
        <v>479914.89739780128</v>
      </c>
    </row>
    <row r="36" spans="6:10">
      <c r="F36" s="165">
        <v>6</v>
      </c>
      <c r="G36" s="170">
        <f t="shared" si="3"/>
        <v>44959</v>
      </c>
      <c r="H36" s="169">
        <f t="shared" si="4"/>
        <v>2947160.180945152</v>
      </c>
      <c r="I36" s="169">
        <f t="shared" si="5"/>
        <v>0</v>
      </c>
      <c r="J36" s="171">
        <f>'Forecasted Revenue'!K43</f>
        <v>433722.22982364474</v>
      </c>
    </row>
    <row r="37" spans="6:10">
      <c r="F37" s="165">
        <v>7</v>
      </c>
      <c r="G37" s="170">
        <f t="shared" si="3"/>
        <v>44990</v>
      </c>
      <c r="H37" s="169">
        <f t="shared" si="4"/>
        <v>2544766.5767132663</v>
      </c>
      <c r="I37" s="169">
        <f t="shared" si="5"/>
        <v>0</v>
      </c>
      <c r="J37" s="171">
        <f>'Forecasted Revenue'!L43</f>
        <v>402393.60423188569</v>
      </c>
    </row>
    <row r="38" spans="6:10">
      <c r="F38" s="165">
        <v>8</v>
      </c>
      <c r="G38" s="170">
        <f t="shared" si="3"/>
        <v>45021</v>
      </c>
      <c r="H38" s="169">
        <f t="shared" si="4"/>
        <v>2191849.0799375707</v>
      </c>
      <c r="I38" s="169">
        <f t="shared" si="5"/>
        <v>0</v>
      </c>
      <c r="J38" s="171">
        <f>'Forecasted Revenue'!M43</f>
        <v>352917.49677569536</v>
      </c>
    </row>
    <row r="39" spans="6:10">
      <c r="F39" s="165">
        <v>9</v>
      </c>
      <c r="G39" s="170">
        <f t="shared" si="3"/>
        <v>45052</v>
      </c>
      <c r="H39" s="169">
        <f t="shared" si="4"/>
        <v>1848998.8413691288</v>
      </c>
      <c r="I39" s="169">
        <f t="shared" si="5"/>
        <v>0</v>
      </c>
      <c r="J39" s="171">
        <f>'Forecasted Revenue'!N43</f>
        <v>342850.238568442</v>
      </c>
    </row>
    <row r="40" spans="6:10">
      <c r="F40" s="165">
        <v>10</v>
      </c>
      <c r="G40" s="170">
        <f t="shared" si="3"/>
        <v>45083</v>
      </c>
      <c r="H40" s="169">
        <f t="shared" si="4"/>
        <v>1497777.8173142211</v>
      </c>
      <c r="I40" s="169">
        <f t="shared" si="5"/>
        <v>0</v>
      </c>
      <c r="J40" s="171">
        <f>'Forecasted Revenue'!O43</f>
        <v>351221.02405490784</v>
      </c>
    </row>
    <row r="41" spans="6:10">
      <c r="F41" s="165">
        <v>11</v>
      </c>
      <c r="G41" s="170">
        <f t="shared" si="3"/>
        <v>45114</v>
      </c>
      <c r="H41" s="169">
        <f t="shared" si="4"/>
        <v>1105100.7617872762</v>
      </c>
      <c r="I41" s="169">
        <f t="shared" si="5"/>
        <v>0</v>
      </c>
      <c r="J41" s="171">
        <f>'Forecasted Revenue'!P43</f>
        <v>392677.05552694487</v>
      </c>
    </row>
    <row r="42" spans="6:10">
      <c r="F42" s="165">
        <v>12</v>
      </c>
      <c r="G42" s="170">
        <f t="shared" si="3"/>
        <v>45145</v>
      </c>
      <c r="H42" s="169">
        <f t="shared" si="4"/>
        <v>704603.70910634461</v>
      </c>
      <c r="I42" s="169">
        <f t="shared" si="5"/>
        <v>0</v>
      </c>
      <c r="J42" s="171">
        <f>'Forecasted Revenue'!Q43</f>
        <v>400497.05268093164</v>
      </c>
    </row>
    <row r="43" spans="6:10">
      <c r="F43" s="165">
        <v>13</v>
      </c>
      <c r="G43" s="170">
        <f t="shared" si="3"/>
        <v>45176</v>
      </c>
      <c r="H43" s="169">
        <f t="shared" si="4"/>
        <v>361687.73549510323</v>
      </c>
      <c r="I43" s="169">
        <f t="shared" si="5"/>
        <v>0</v>
      </c>
      <c r="J43" s="171">
        <f>'Forecasted Revenue'!R43</f>
        <v>342915.97361124138</v>
      </c>
    </row>
    <row r="44" spans="6:10">
      <c r="F44" s="165">
        <v>14</v>
      </c>
      <c r="G44" s="170">
        <f t="shared" si="3"/>
        <v>45207</v>
      </c>
      <c r="H44" s="169">
        <f t="shared" si="4"/>
        <v>0.3313357713050209</v>
      </c>
      <c r="I44" s="169">
        <f t="shared" si="5"/>
        <v>0</v>
      </c>
      <c r="J44" s="171">
        <f>'Forecasted Revenue'!S43</f>
        <v>361687.40415933193</v>
      </c>
    </row>
    <row r="46" spans="6:10">
      <c r="F46" s="165">
        <v>15</v>
      </c>
      <c r="G46" s="152" t="s">
        <v>158</v>
      </c>
      <c r="I46" s="169">
        <f>SUM(I33:I45)</f>
        <v>0</v>
      </c>
      <c r="J46" s="172">
        <f>SUM(J33:J45)</f>
        <v>4732193.6686642282</v>
      </c>
    </row>
  </sheetData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7"/>
  <sheetViews>
    <sheetView topLeftCell="E1" workbookViewId="0">
      <selection activeCell="H5" sqref="H5"/>
    </sheetView>
  </sheetViews>
  <sheetFormatPr defaultColWidth="9.140625" defaultRowHeight="15"/>
  <cols>
    <col min="1" max="1" width="8.28515625" style="1" customWidth="1"/>
    <col min="2" max="2" width="28" style="1" customWidth="1"/>
    <col min="3" max="3" width="8.5703125" style="1" bestFit="1" customWidth="1"/>
    <col min="4" max="7" width="13.42578125" style="1" bestFit="1" customWidth="1"/>
    <col min="8" max="8" width="14.28515625" style="1" bestFit="1" customWidth="1"/>
    <col min="9" max="19" width="13.42578125" style="1" bestFit="1" customWidth="1"/>
    <col min="20" max="20" width="14.28515625" style="1" bestFit="1" customWidth="1"/>
    <col min="21" max="21" width="12.5703125" style="1" bestFit="1" customWidth="1"/>
    <col min="22" max="16384" width="9.140625" style="1"/>
  </cols>
  <sheetData>
    <row r="1" spans="1:20">
      <c r="A1" s="35" t="s">
        <v>64</v>
      </c>
      <c r="B1" s="35"/>
    </row>
    <row r="4" spans="1:20">
      <c r="A4" s="1" t="s">
        <v>49</v>
      </c>
      <c r="D4" s="36">
        <v>44743</v>
      </c>
      <c r="E4" s="36">
        <v>44774</v>
      </c>
      <c r="F4" s="36">
        <v>44805</v>
      </c>
      <c r="G4" s="36">
        <v>44835</v>
      </c>
      <c r="H4" s="36">
        <v>44866</v>
      </c>
      <c r="I4" s="36">
        <v>44896</v>
      </c>
      <c r="J4" s="36">
        <v>44927</v>
      </c>
      <c r="K4" s="36">
        <v>44958</v>
      </c>
      <c r="L4" s="36">
        <v>44986</v>
      </c>
      <c r="M4" s="36">
        <v>45017</v>
      </c>
      <c r="N4" s="36">
        <v>45047</v>
      </c>
      <c r="O4" s="36">
        <v>45078</v>
      </c>
      <c r="P4" s="36">
        <v>45108</v>
      </c>
      <c r="Q4" s="36">
        <v>45139</v>
      </c>
      <c r="R4" s="36">
        <v>45170</v>
      </c>
      <c r="S4" s="36">
        <v>45200</v>
      </c>
    </row>
    <row r="5" spans="1:20">
      <c r="B5" s="1" t="s">
        <v>75</v>
      </c>
      <c r="D5" s="37"/>
      <c r="E5" s="37"/>
      <c r="F5" s="37"/>
      <c r="G5" s="37"/>
      <c r="H5" s="37">
        <f>'kWh Forecast'!B22</f>
        <v>217463786.67155209</v>
      </c>
      <c r="I5" s="37">
        <f>'kWh Forecast'!C22</f>
        <v>287921503.13631356</v>
      </c>
      <c r="J5" s="37">
        <f>'kWh Forecast'!D22</f>
        <v>300304233.73021126</v>
      </c>
      <c r="K5" s="37">
        <f>'kWh Forecast'!E22</f>
        <v>255194351.70349714</v>
      </c>
      <c r="L5" s="37">
        <f>'kWh Forecast'!F22</f>
        <v>227414109.65478867</v>
      </c>
      <c r="M5" s="37">
        <f>'kWh Forecast'!G22</f>
        <v>186016360.46884647</v>
      </c>
      <c r="N5" s="37">
        <f>'kWh Forecast'!H22</f>
        <v>164511215.57915097</v>
      </c>
      <c r="O5" s="37">
        <f>'kWh Forecast'!I22</f>
        <v>157446230.1485391</v>
      </c>
      <c r="P5" s="37">
        <f>'kWh Forecast'!J22</f>
        <v>179835876.84807548</v>
      </c>
      <c r="Q5" s="37">
        <f>'kWh Forecast'!K22</f>
        <v>192980697.52485031</v>
      </c>
      <c r="R5" s="37">
        <f>'kWh Forecast'!L22</f>
        <v>155161183.79721302</v>
      </c>
      <c r="S5" s="37">
        <f>'kWh Forecast'!M22</f>
        <v>167405700.57620633</v>
      </c>
      <c r="T5" s="37">
        <f>SUM(D5:S5)</f>
        <v>2491655249.8392444</v>
      </c>
    </row>
    <row r="6" spans="1:20">
      <c r="B6" s="1" t="s">
        <v>51</v>
      </c>
      <c r="D6" s="37"/>
      <c r="E6" s="37"/>
      <c r="F6" s="37"/>
      <c r="G6" s="37"/>
      <c r="H6" s="37">
        <f>'kWh Forecast'!B23</f>
        <v>57020951.9230083</v>
      </c>
      <c r="I6" s="37">
        <f>'kWh Forecast'!C23</f>
        <v>62917654.71788419</v>
      </c>
      <c r="J6" s="37">
        <f>'kWh Forecast'!D23</f>
        <v>62203756.374390587</v>
      </c>
      <c r="K6" s="37">
        <f>'kWh Forecast'!E23</f>
        <v>59095509.831088856</v>
      </c>
      <c r="L6" s="37">
        <f>'kWh Forecast'!F23</f>
        <v>56104940.150711745</v>
      </c>
      <c r="M6" s="37">
        <f>'kWh Forecast'!G23</f>
        <v>48843088.482745692</v>
      </c>
      <c r="N6" s="37">
        <f>'kWh Forecast'!H23</f>
        <v>47541266.181251757</v>
      </c>
      <c r="O6" s="37">
        <f>'kWh Forecast'!I23</f>
        <v>48805562.904173225</v>
      </c>
      <c r="P6" s="37">
        <f>'kWh Forecast'!J23</f>
        <v>56748832.645954207</v>
      </c>
      <c r="Q6" s="37">
        <f>'kWh Forecast'!K23</f>
        <v>55566861.983451463</v>
      </c>
      <c r="R6" s="37">
        <f>'kWh Forecast'!L23</f>
        <v>49077245.148773901</v>
      </c>
      <c r="S6" s="37">
        <f>'kWh Forecast'!M23</f>
        <v>51715692.684368037</v>
      </c>
      <c r="T6" s="37">
        <f t="shared" ref="T6:T11" si="0">SUM(D6:S6)</f>
        <v>655641363.02780187</v>
      </c>
    </row>
    <row r="7" spans="1:20">
      <c r="B7" s="1" t="s">
        <v>52</v>
      </c>
      <c r="D7" s="37"/>
      <c r="E7" s="37"/>
      <c r="F7" s="37"/>
      <c r="G7" s="37"/>
      <c r="H7" s="37">
        <f>'kWh Forecast'!B24</f>
        <v>112088470.75342761</v>
      </c>
      <c r="I7" s="37">
        <f>'kWh Forecast'!C24</f>
        <v>107983744.3925029</v>
      </c>
      <c r="J7" s="37">
        <f>'kWh Forecast'!D24</f>
        <v>105709014.70776288</v>
      </c>
      <c r="K7" s="37">
        <f>'kWh Forecast'!E24</f>
        <v>106439051.20812815</v>
      </c>
      <c r="L7" s="37">
        <f>'kWh Forecast'!F24</f>
        <v>101796684.5563792</v>
      </c>
      <c r="M7" s="37">
        <f>'kWh Forecast'!G24</f>
        <v>97756671.619540364</v>
      </c>
      <c r="N7" s="37">
        <f>'kWh Forecast'!H24</f>
        <v>102694475.30866499</v>
      </c>
      <c r="O7" s="37">
        <f>'kWh Forecast'!I24</f>
        <v>109091419.10123043</v>
      </c>
      <c r="P7" s="37">
        <f>'kWh Forecast'!J24</f>
        <v>117970583.75301084</v>
      </c>
      <c r="Q7" s="37">
        <f>'kWh Forecast'!K24</f>
        <v>110179621.79351042</v>
      </c>
      <c r="R7" s="37">
        <f>'kWh Forecast'!L24</f>
        <v>100144039.74634148</v>
      </c>
      <c r="S7" s="37">
        <f>'kWh Forecast'!M24</f>
        <v>115083538.96999258</v>
      </c>
      <c r="T7" s="37">
        <f t="shared" si="0"/>
        <v>1286937315.9104919</v>
      </c>
    </row>
    <row r="8" spans="1:20">
      <c r="B8" s="1" t="s">
        <v>53</v>
      </c>
      <c r="D8" s="37"/>
      <c r="E8" s="37"/>
      <c r="F8" s="37"/>
      <c r="G8" s="37"/>
      <c r="H8" s="37">
        <f>'kWh Forecast'!B15</f>
        <v>47277779.530400008</v>
      </c>
      <c r="I8" s="37">
        <f>'kWh Forecast'!C15</f>
        <v>51489575.968199998</v>
      </c>
      <c r="J8" s="37">
        <f>'kWh Forecast'!D15</f>
        <v>53148223.699700013</v>
      </c>
      <c r="K8" s="37">
        <f>'kWh Forecast'!E15</f>
        <v>48906828.509000003</v>
      </c>
      <c r="L8" s="37">
        <f>'kWh Forecast'!F15</f>
        <v>51503533.545699999</v>
      </c>
      <c r="M8" s="37">
        <f>'kWh Forecast'!G15</f>
        <v>48641124.690499991</v>
      </c>
      <c r="N8" s="37">
        <f>'kWh Forecast'!H15</f>
        <v>50976839.8759</v>
      </c>
      <c r="O8" s="37">
        <f>'kWh Forecast'!I15</f>
        <v>52312126.080500014</v>
      </c>
      <c r="P8" s="37">
        <f>'kWh Forecast'!J15</f>
        <v>50985566.764699996</v>
      </c>
      <c r="Q8" s="37">
        <f>'kWh Forecast'!K15</f>
        <v>56132715.200800002</v>
      </c>
      <c r="R8" s="37">
        <f>'kWh Forecast'!L15</f>
        <v>51619603.601199999</v>
      </c>
      <c r="S8" s="37">
        <f>'kWh Forecast'!M15</f>
        <v>50274341.803900018</v>
      </c>
      <c r="T8" s="37">
        <f t="shared" si="0"/>
        <v>613268259.27050006</v>
      </c>
    </row>
    <row r="9" spans="1:20">
      <c r="B9" s="150" t="s">
        <v>153</v>
      </c>
      <c r="D9" s="37"/>
      <c r="E9" s="37"/>
      <c r="F9" s="37"/>
      <c r="G9" s="37"/>
      <c r="H9" s="37">
        <f>'kWh Forecast'!B19</f>
        <v>40211210</v>
      </c>
      <c r="I9" s="37">
        <f>'kWh Forecast'!C19</f>
        <v>39052300</v>
      </c>
      <c r="J9" s="37">
        <f>'kWh Forecast'!D19</f>
        <v>41221630</v>
      </c>
      <c r="K9" s="37">
        <f>'kWh Forecast'!E19</f>
        <v>35973165</v>
      </c>
      <c r="L9" s="37">
        <f>'kWh Forecast'!F19</f>
        <v>36961258</v>
      </c>
      <c r="M9" s="37">
        <f>'kWh Forecast'!G19</f>
        <v>43044229</v>
      </c>
      <c r="N9" s="37">
        <f>'kWh Forecast'!H19</f>
        <v>38710099</v>
      </c>
      <c r="O9" s="37">
        <f>'kWh Forecast'!I19</f>
        <v>40252308</v>
      </c>
      <c r="P9" s="37">
        <f>'kWh Forecast'!J19</f>
        <v>39301046</v>
      </c>
      <c r="Q9" s="37">
        <f>'kWh Forecast'!K19</f>
        <v>42179866</v>
      </c>
      <c r="R9" s="37">
        <f>'kWh Forecast'!L19</f>
        <v>38993334</v>
      </c>
      <c r="S9" s="37">
        <f>'kWh Forecast'!M19</f>
        <v>40609892</v>
      </c>
      <c r="T9" s="37">
        <f t="shared" si="0"/>
        <v>476510337</v>
      </c>
    </row>
    <row r="10" spans="1:20">
      <c r="B10" s="1" t="s">
        <v>54</v>
      </c>
      <c r="D10" s="37"/>
      <c r="E10" s="37"/>
      <c r="F10" s="37"/>
      <c r="G10" s="37"/>
      <c r="H10" s="37">
        <f>'kWh Forecast'!B26</f>
        <v>2681729.1008061757</v>
      </c>
      <c r="I10" s="37">
        <f>'kWh Forecast'!C26</f>
        <v>3164948.0724813836</v>
      </c>
      <c r="J10" s="37">
        <f>'kWh Forecast'!D26</f>
        <v>4059538.0436295695</v>
      </c>
      <c r="K10" s="37">
        <f>'kWh Forecast'!E26</f>
        <v>4227667.3685336048</v>
      </c>
      <c r="L10" s="37">
        <f>'kWh Forecast'!F26</f>
        <v>4031201.5768928379</v>
      </c>
      <c r="M10" s="37">
        <f>'kWh Forecast'!G26</f>
        <v>5576404.2848237315</v>
      </c>
      <c r="N10" s="37">
        <f>'kWh Forecast'!H26</f>
        <v>12636302.004623083</v>
      </c>
      <c r="O10" s="37">
        <f>'kWh Forecast'!I26</f>
        <v>20770070.762279786</v>
      </c>
      <c r="P10" s="37">
        <f>'kWh Forecast'!J26</f>
        <v>25586915.626846272</v>
      </c>
      <c r="Q10" s="37">
        <f>'kWh Forecast'!K26</f>
        <v>28074202.195257422</v>
      </c>
      <c r="R10" s="37">
        <f>'kWh Forecast'!L26</f>
        <v>22613235.939242315</v>
      </c>
      <c r="S10" s="37">
        <f>'kWh Forecast'!M26</f>
        <v>12883503.59718227</v>
      </c>
      <c r="T10" s="37">
        <f t="shared" si="0"/>
        <v>146305718.57259846</v>
      </c>
    </row>
    <row r="11" spans="1:20">
      <c r="B11" s="1" t="s">
        <v>55</v>
      </c>
      <c r="D11" s="37"/>
      <c r="E11" s="37"/>
      <c r="F11" s="37"/>
      <c r="G11" s="37"/>
      <c r="H11" s="37">
        <f>'kWh Forecast'!B27</f>
        <v>1353966.8657090797</v>
      </c>
      <c r="I11" s="37">
        <f>'kWh Forecast'!C27</f>
        <v>1387869.3700815029</v>
      </c>
      <c r="J11" s="37">
        <f>'kWh Forecast'!D27</f>
        <v>1353243.7689603779</v>
      </c>
      <c r="K11" s="37">
        <f>'kWh Forecast'!E27</f>
        <v>1301799.9532029093</v>
      </c>
      <c r="L11" s="37">
        <f>'kWh Forecast'!F27</f>
        <v>1362579.9289348186</v>
      </c>
      <c r="M11" s="37">
        <f>'kWh Forecast'!G27</f>
        <v>1325052.3887890396</v>
      </c>
      <c r="N11" s="37">
        <f>'kWh Forecast'!H27</f>
        <v>1332170.9229202326</v>
      </c>
      <c r="O11" s="37">
        <f>'kWh Forecast'!I27</f>
        <v>1334637.9482702252</v>
      </c>
      <c r="P11" s="37">
        <f>'kWh Forecast'!J27</f>
        <v>1356517.7438841905</v>
      </c>
      <c r="Q11" s="37">
        <f>'kWh Forecast'!K27</f>
        <v>1347740.7167172872</v>
      </c>
      <c r="R11" s="37">
        <f>'kWh Forecast'!L27</f>
        <v>1354659.0749586485</v>
      </c>
      <c r="S11" s="37">
        <f>'kWh Forecast'!M27</f>
        <v>1329605.1771764709</v>
      </c>
      <c r="T11" s="37">
        <f t="shared" si="0"/>
        <v>16139843.859604783</v>
      </c>
    </row>
    <row r="12" spans="1:20">
      <c r="A12" s="1" t="s">
        <v>56</v>
      </c>
      <c r="D12" s="38">
        <f>SUM(D5:D11)</f>
        <v>0</v>
      </c>
      <c r="E12" s="38">
        <f>SUM(E5:E11)</f>
        <v>0</v>
      </c>
      <c r="F12" s="38">
        <f>SUM(F5:F11)</f>
        <v>0</v>
      </c>
      <c r="G12" s="38">
        <f t="shared" ref="G12:S12" si="1">SUM(G5:G11)</f>
        <v>0</v>
      </c>
      <c r="H12" s="38">
        <f t="shared" si="1"/>
        <v>478097894.84490329</v>
      </c>
      <c r="I12" s="38">
        <f t="shared" si="1"/>
        <v>553917595.65746355</v>
      </c>
      <c r="J12" s="38">
        <f t="shared" si="1"/>
        <v>567999640.32465458</v>
      </c>
      <c r="K12" s="38">
        <f t="shared" si="1"/>
        <v>511138373.57345068</v>
      </c>
      <c r="L12" s="38">
        <f t="shared" si="1"/>
        <v>479174307.41340727</v>
      </c>
      <c r="M12" s="38">
        <f t="shared" si="1"/>
        <v>431202930.93524534</v>
      </c>
      <c r="N12" s="38">
        <f t="shared" si="1"/>
        <v>418402368.87251103</v>
      </c>
      <c r="O12" s="38">
        <f t="shared" si="1"/>
        <v>430012354.94499278</v>
      </c>
      <c r="P12" s="38">
        <f t="shared" si="1"/>
        <v>471785339.38247097</v>
      </c>
      <c r="Q12" s="38">
        <f t="shared" si="1"/>
        <v>486461705.4145869</v>
      </c>
      <c r="R12" s="38">
        <f t="shared" si="1"/>
        <v>418963301.3077293</v>
      </c>
      <c r="S12" s="38">
        <f t="shared" si="1"/>
        <v>439302274.80882573</v>
      </c>
      <c r="T12" s="37">
        <f>SUM(T5:T11)</f>
        <v>5686458087.4802418</v>
      </c>
    </row>
    <row r="13" spans="1:20">
      <c r="D13" s="37"/>
      <c r="E13" s="37"/>
      <c r="F13" s="37"/>
      <c r="G13" s="37"/>
      <c r="H13" s="37">
        <f>H12-'kWh Forecast'!B28</f>
        <v>0</v>
      </c>
      <c r="I13" s="37">
        <f>I12-'kWh Forecast'!C28</f>
        <v>0</v>
      </c>
      <c r="J13" s="37">
        <f>J12-'kWh Forecast'!D28</f>
        <v>0</v>
      </c>
      <c r="K13" s="37">
        <f>K12-'kWh Forecast'!E28</f>
        <v>0</v>
      </c>
      <c r="L13" s="37">
        <f>L12-'kWh Forecast'!F28</f>
        <v>0</v>
      </c>
      <c r="M13" s="37">
        <f>M12-'kWh Forecast'!G28</f>
        <v>0</v>
      </c>
      <c r="N13" s="37">
        <f>N12-'kWh Forecast'!H28</f>
        <v>0</v>
      </c>
      <c r="O13" s="37">
        <f>O12-'kWh Forecast'!I28</f>
        <v>0</v>
      </c>
      <c r="P13" s="37">
        <f>P12-'kWh Forecast'!J28</f>
        <v>0</v>
      </c>
      <c r="Q13" s="37">
        <f>Q12-'kWh Forecast'!K28</f>
        <v>0</v>
      </c>
      <c r="R13" s="37">
        <f>R12-'kWh Forecast'!L28</f>
        <v>0</v>
      </c>
      <c r="S13" s="37">
        <f>S12-'kWh Forecast'!M28</f>
        <v>0</v>
      </c>
    </row>
    <row r="15" spans="1:20">
      <c r="A15" s="118" t="s">
        <v>113</v>
      </c>
      <c r="D15" s="220" t="s">
        <v>87</v>
      </c>
      <c r="E15" s="221"/>
      <c r="F15" s="221"/>
      <c r="G15" s="222"/>
      <c r="H15" s="220" t="s">
        <v>88</v>
      </c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2"/>
    </row>
    <row r="16" spans="1:20">
      <c r="B16" s="1" t="s">
        <v>75</v>
      </c>
      <c r="D16" s="39">
        <f>'Rate Design'!$D$18</f>
        <v>0</v>
      </c>
      <c r="E16" s="39">
        <f>'Rate Design'!$D$18</f>
        <v>0</v>
      </c>
      <c r="F16" s="39">
        <f>'Rate Design'!$D$18</f>
        <v>0</v>
      </c>
      <c r="G16" s="39">
        <f>'Rate Design'!$D$18</f>
        <v>0</v>
      </c>
      <c r="H16" s="39">
        <f>'Rate Design'!$D$17</f>
        <v>9.3820635268462469E-4</v>
      </c>
      <c r="I16" s="39">
        <f>'Rate Design'!$D$17</f>
        <v>9.3820635268462469E-4</v>
      </c>
      <c r="J16" s="39">
        <f>'Rate Design'!$D$17</f>
        <v>9.3820635268462469E-4</v>
      </c>
      <c r="K16" s="39">
        <f>'Rate Design'!$D$17</f>
        <v>9.3820635268462469E-4</v>
      </c>
      <c r="L16" s="39">
        <f>'Rate Design'!$D$17</f>
        <v>9.3820635268462469E-4</v>
      </c>
      <c r="M16" s="39">
        <f>'Rate Design'!$D$17</f>
        <v>9.3820635268462469E-4</v>
      </c>
      <c r="N16" s="39">
        <f>'Rate Design'!$D$17</f>
        <v>9.3820635268462469E-4</v>
      </c>
      <c r="O16" s="39">
        <f>'Rate Design'!$D$17</f>
        <v>9.3820635268462469E-4</v>
      </c>
      <c r="P16" s="39">
        <f>'Rate Design'!$D$17</f>
        <v>9.3820635268462469E-4</v>
      </c>
      <c r="Q16" s="39">
        <f>'Rate Design'!$D$17</f>
        <v>9.3820635268462469E-4</v>
      </c>
      <c r="R16" s="39">
        <f>'Rate Design'!$D$17</f>
        <v>9.3820635268462469E-4</v>
      </c>
      <c r="S16" s="39">
        <f>'Rate Design'!$D$17</f>
        <v>9.3820635268462469E-4</v>
      </c>
    </row>
    <row r="17" spans="1:19">
      <c r="B17" s="1" t="s">
        <v>51</v>
      </c>
      <c r="D17" s="39">
        <f>'Rate Design'!$E$18</f>
        <v>0</v>
      </c>
      <c r="E17" s="39">
        <f>'Rate Design'!$E$18</f>
        <v>0</v>
      </c>
      <c r="F17" s="39">
        <f>'Rate Design'!$E$18</f>
        <v>0</v>
      </c>
      <c r="G17" s="39">
        <f>'Rate Design'!$E$18</f>
        <v>0</v>
      </c>
      <c r="H17" s="39">
        <f>'Rate Design'!$E$17</f>
        <v>1.3175476941895787E-3</v>
      </c>
      <c r="I17" s="39">
        <f>'Rate Design'!$E$17</f>
        <v>1.3175476941895787E-3</v>
      </c>
      <c r="J17" s="39">
        <f>'Rate Design'!$E$17</f>
        <v>1.3175476941895787E-3</v>
      </c>
      <c r="K17" s="39">
        <f>'Rate Design'!$E$17</f>
        <v>1.3175476941895787E-3</v>
      </c>
      <c r="L17" s="39">
        <f>'Rate Design'!$E$17</f>
        <v>1.3175476941895787E-3</v>
      </c>
      <c r="M17" s="39">
        <f>'Rate Design'!$E$17</f>
        <v>1.3175476941895787E-3</v>
      </c>
      <c r="N17" s="39">
        <f>'Rate Design'!$E$17</f>
        <v>1.3175476941895787E-3</v>
      </c>
      <c r="O17" s="39">
        <f>'Rate Design'!$E$17</f>
        <v>1.3175476941895787E-3</v>
      </c>
      <c r="P17" s="39">
        <f>'Rate Design'!$E$17</f>
        <v>1.3175476941895787E-3</v>
      </c>
      <c r="Q17" s="39">
        <f>'Rate Design'!$E$17</f>
        <v>1.3175476941895787E-3</v>
      </c>
      <c r="R17" s="39">
        <f>'Rate Design'!$E$17</f>
        <v>1.3175476941895787E-3</v>
      </c>
      <c r="S17" s="39">
        <f>'Rate Design'!$E$17</f>
        <v>1.3175476941895787E-3</v>
      </c>
    </row>
    <row r="18" spans="1:19">
      <c r="B18" s="1" t="s">
        <v>52</v>
      </c>
      <c r="D18" s="39">
        <f>'Rate Design'!$F$18</f>
        <v>0</v>
      </c>
      <c r="E18" s="39">
        <f>'Rate Design'!$F$18</f>
        <v>0</v>
      </c>
      <c r="F18" s="39">
        <f>'Rate Design'!$F$18</f>
        <v>0</v>
      </c>
      <c r="G18" s="39">
        <f>'Rate Design'!$F$18</f>
        <v>0</v>
      </c>
      <c r="H18" s="39">
        <f>'Rate Design'!$F$17</f>
        <v>9.216967440596577E-4</v>
      </c>
      <c r="I18" s="39">
        <f>'Rate Design'!$F$17</f>
        <v>9.216967440596577E-4</v>
      </c>
      <c r="J18" s="39">
        <f>'Rate Design'!$F$17</f>
        <v>9.216967440596577E-4</v>
      </c>
      <c r="K18" s="39">
        <f>'Rate Design'!$F$17</f>
        <v>9.216967440596577E-4</v>
      </c>
      <c r="L18" s="39">
        <f>'Rate Design'!$F$17</f>
        <v>9.216967440596577E-4</v>
      </c>
      <c r="M18" s="39">
        <f>'Rate Design'!$F$17</f>
        <v>9.216967440596577E-4</v>
      </c>
      <c r="N18" s="39">
        <f>'Rate Design'!$F$17</f>
        <v>9.216967440596577E-4</v>
      </c>
      <c r="O18" s="39">
        <f>'Rate Design'!$F$17</f>
        <v>9.216967440596577E-4</v>
      </c>
      <c r="P18" s="39">
        <f>'Rate Design'!$F$17</f>
        <v>9.216967440596577E-4</v>
      </c>
      <c r="Q18" s="39">
        <f>'Rate Design'!$F$17</f>
        <v>9.216967440596577E-4</v>
      </c>
      <c r="R18" s="39">
        <f>'Rate Design'!$F$17</f>
        <v>9.216967440596577E-4</v>
      </c>
      <c r="S18" s="39">
        <f>'Rate Design'!$F$17</f>
        <v>9.216967440596577E-4</v>
      </c>
    </row>
    <row r="19" spans="1:19">
      <c r="B19" s="1" t="s">
        <v>53</v>
      </c>
      <c r="D19" s="39">
        <f>'Rate Design'!$G$18</f>
        <v>0</v>
      </c>
      <c r="E19" s="39">
        <f>'Rate Design'!$G$18</f>
        <v>0</v>
      </c>
      <c r="F19" s="39">
        <f>'Rate Design'!$G$18</f>
        <v>0</v>
      </c>
      <c r="G19" s="39">
        <f>'Rate Design'!$G$18</f>
        <v>0</v>
      </c>
      <c r="H19" s="39">
        <f>'Rate Design'!$G$17</f>
        <v>4.3141888671729056E-4</v>
      </c>
      <c r="I19" s="39">
        <f>'Rate Design'!$G$17</f>
        <v>4.3141888671729056E-4</v>
      </c>
      <c r="J19" s="39">
        <f>'Rate Design'!$G$17</f>
        <v>4.3141888671729056E-4</v>
      </c>
      <c r="K19" s="39">
        <f>'Rate Design'!$G$17</f>
        <v>4.3141888671729056E-4</v>
      </c>
      <c r="L19" s="39">
        <f>'Rate Design'!$G$17</f>
        <v>4.3141888671729056E-4</v>
      </c>
      <c r="M19" s="39">
        <f>'Rate Design'!$G$17</f>
        <v>4.3141888671729056E-4</v>
      </c>
      <c r="N19" s="39">
        <f>'Rate Design'!$G$17</f>
        <v>4.3141888671729056E-4</v>
      </c>
      <c r="O19" s="39">
        <f>'Rate Design'!$G$17</f>
        <v>4.3141888671729056E-4</v>
      </c>
      <c r="P19" s="39">
        <f>'Rate Design'!$G$17</f>
        <v>4.3141888671729056E-4</v>
      </c>
      <c r="Q19" s="39">
        <f>'Rate Design'!$G$17</f>
        <v>4.3141888671729056E-4</v>
      </c>
      <c r="R19" s="39">
        <f>'Rate Design'!$G$17</f>
        <v>4.3141888671729056E-4</v>
      </c>
      <c r="S19" s="39">
        <f>'Rate Design'!$G$17</f>
        <v>4.3141888671729056E-4</v>
      </c>
    </row>
    <row r="20" spans="1:19">
      <c r="B20" s="150" t="s">
        <v>153</v>
      </c>
      <c r="D20" s="39">
        <f>'Rate Design'!$G$18</f>
        <v>0</v>
      </c>
      <c r="E20" s="39">
        <f>'Rate Design'!$G$18</f>
        <v>0</v>
      </c>
      <c r="F20" s="39">
        <f>'Rate Design'!$G$18</f>
        <v>0</v>
      </c>
      <c r="G20" s="39">
        <f>'Rate Design'!$G$18</f>
        <v>0</v>
      </c>
      <c r="H20" s="39">
        <f>'Rate Design'!$H$12</f>
        <v>9.2601789368075465E-5</v>
      </c>
      <c r="I20" s="39">
        <f>'Rate Design'!$H$12</f>
        <v>9.2601789368075465E-5</v>
      </c>
      <c r="J20" s="39">
        <f>'Rate Design'!$H$12</f>
        <v>9.2601789368075465E-5</v>
      </c>
      <c r="K20" s="39">
        <f>'Rate Design'!$H$12</f>
        <v>9.2601789368075465E-5</v>
      </c>
      <c r="L20" s="39">
        <f>'Rate Design'!$H$12</f>
        <v>9.2601789368075465E-5</v>
      </c>
      <c r="M20" s="39">
        <f>'Rate Design'!$H$12</f>
        <v>9.2601789368075465E-5</v>
      </c>
      <c r="N20" s="39">
        <f>'Rate Design'!$H$12</f>
        <v>9.2601789368075465E-5</v>
      </c>
      <c r="O20" s="39">
        <f>'Rate Design'!$H$12</f>
        <v>9.2601789368075465E-5</v>
      </c>
      <c r="P20" s="39">
        <f>'Rate Design'!$H$12</f>
        <v>9.2601789368075465E-5</v>
      </c>
      <c r="Q20" s="39">
        <f>'Rate Design'!$H$12</f>
        <v>9.2601789368075465E-5</v>
      </c>
      <c r="R20" s="39">
        <f>'Rate Design'!$H$12</f>
        <v>9.2601789368075465E-5</v>
      </c>
      <c r="S20" s="39">
        <f>'Rate Design'!$H$12</f>
        <v>9.2601789368075465E-5</v>
      </c>
    </row>
    <row r="21" spans="1:19">
      <c r="B21" s="1" t="s">
        <v>54</v>
      </c>
      <c r="D21" s="39">
        <f>'Rate Design'!$I$18</f>
        <v>0</v>
      </c>
      <c r="E21" s="39">
        <f>'Rate Design'!$I$18</f>
        <v>0</v>
      </c>
      <c r="F21" s="39">
        <f>'Rate Design'!$I$18</f>
        <v>0</v>
      </c>
      <c r="G21" s="39">
        <f>'Rate Design'!$I$18</f>
        <v>0</v>
      </c>
      <c r="H21" s="39">
        <f>'Rate Design'!$I$17</f>
        <v>8.7092628713712902E-4</v>
      </c>
      <c r="I21" s="39">
        <f>'Rate Design'!$I$17</f>
        <v>8.7092628713712902E-4</v>
      </c>
      <c r="J21" s="39">
        <f>'Rate Design'!$I$17</f>
        <v>8.7092628713712902E-4</v>
      </c>
      <c r="K21" s="39">
        <f>'Rate Design'!$I$17</f>
        <v>8.7092628713712902E-4</v>
      </c>
      <c r="L21" s="39">
        <f>'Rate Design'!$I$17</f>
        <v>8.7092628713712902E-4</v>
      </c>
      <c r="M21" s="39">
        <f>'Rate Design'!$I$17</f>
        <v>8.7092628713712902E-4</v>
      </c>
      <c r="N21" s="39">
        <f>'Rate Design'!$I$17</f>
        <v>8.7092628713712902E-4</v>
      </c>
      <c r="O21" s="39">
        <f>'Rate Design'!$I$17</f>
        <v>8.7092628713712902E-4</v>
      </c>
      <c r="P21" s="39">
        <f>'Rate Design'!$I$17</f>
        <v>8.7092628713712902E-4</v>
      </c>
      <c r="Q21" s="39">
        <f>'Rate Design'!$I$17</f>
        <v>8.7092628713712902E-4</v>
      </c>
      <c r="R21" s="39">
        <f>'Rate Design'!$I$17</f>
        <v>8.7092628713712902E-4</v>
      </c>
      <c r="S21" s="39">
        <f>'Rate Design'!$I$17</f>
        <v>8.7092628713712902E-4</v>
      </c>
    </row>
    <row r="22" spans="1:19">
      <c r="B22" s="1" t="s">
        <v>55</v>
      </c>
      <c r="D22" s="39">
        <f>'Rate Design'!$J$18</f>
        <v>0</v>
      </c>
      <c r="E22" s="39">
        <f>'Rate Design'!$J$18</f>
        <v>0</v>
      </c>
      <c r="F22" s="39">
        <f>'Rate Design'!$J$18</f>
        <v>0</v>
      </c>
      <c r="G22" s="39">
        <f>'Rate Design'!$J$18</f>
        <v>0</v>
      </c>
      <c r="H22" s="39">
        <f>'Rate Design'!$J$17</f>
        <v>7.7958780043231998E-3</v>
      </c>
      <c r="I22" s="39">
        <f>'Rate Design'!$J$17</f>
        <v>7.7958780043231998E-3</v>
      </c>
      <c r="J22" s="39">
        <f>'Rate Design'!$J$17</f>
        <v>7.7958780043231998E-3</v>
      </c>
      <c r="K22" s="39">
        <f>'Rate Design'!$J$17</f>
        <v>7.7958780043231998E-3</v>
      </c>
      <c r="L22" s="39">
        <f>'Rate Design'!$J$17</f>
        <v>7.7958780043231998E-3</v>
      </c>
      <c r="M22" s="39">
        <f>'Rate Design'!$J$17</f>
        <v>7.7958780043231998E-3</v>
      </c>
      <c r="N22" s="39">
        <f>'Rate Design'!$J$17</f>
        <v>7.7958780043231998E-3</v>
      </c>
      <c r="O22" s="39">
        <f>'Rate Design'!$J$17</f>
        <v>7.7958780043231998E-3</v>
      </c>
      <c r="P22" s="39">
        <f>'Rate Design'!$J$17</f>
        <v>7.7958780043231998E-3</v>
      </c>
      <c r="Q22" s="39">
        <f>'Rate Design'!$J$17</f>
        <v>7.7958780043231998E-3</v>
      </c>
      <c r="R22" s="39">
        <f>'Rate Design'!$J$17</f>
        <v>7.7958780043231998E-3</v>
      </c>
      <c r="S22" s="39">
        <f>'Rate Design'!$J$17</f>
        <v>7.7958780043231998E-3</v>
      </c>
    </row>
    <row r="23" spans="1:19"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5" spans="1:19">
      <c r="A25" s="118" t="s">
        <v>114</v>
      </c>
      <c r="D25" s="36">
        <f>D4</f>
        <v>44743</v>
      </c>
      <c r="E25" s="36">
        <f t="shared" ref="E25:S25" si="2">E4</f>
        <v>44774</v>
      </c>
      <c r="F25" s="36">
        <f t="shared" si="2"/>
        <v>44805</v>
      </c>
      <c r="G25" s="36">
        <f t="shared" si="2"/>
        <v>44835</v>
      </c>
      <c r="H25" s="36">
        <f t="shared" si="2"/>
        <v>44866</v>
      </c>
      <c r="I25" s="36">
        <f t="shared" si="2"/>
        <v>44896</v>
      </c>
      <c r="J25" s="36">
        <f t="shared" si="2"/>
        <v>44927</v>
      </c>
      <c r="K25" s="36">
        <f t="shared" si="2"/>
        <v>44958</v>
      </c>
      <c r="L25" s="36">
        <f t="shared" si="2"/>
        <v>44986</v>
      </c>
      <c r="M25" s="36">
        <f t="shared" si="2"/>
        <v>45017</v>
      </c>
      <c r="N25" s="36">
        <f t="shared" si="2"/>
        <v>45047</v>
      </c>
      <c r="O25" s="36">
        <f t="shared" si="2"/>
        <v>45078</v>
      </c>
      <c r="P25" s="36">
        <f t="shared" si="2"/>
        <v>45108</v>
      </c>
      <c r="Q25" s="36">
        <f t="shared" si="2"/>
        <v>45139</v>
      </c>
      <c r="R25" s="36">
        <f t="shared" si="2"/>
        <v>45170</v>
      </c>
      <c r="S25" s="36">
        <f t="shared" si="2"/>
        <v>45200</v>
      </c>
    </row>
    <row r="26" spans="1:19">
      <c r="B26" s="1" t="s">
        <v>50</v>
      </c>
      <c r="D26" s="41">
        <f t="shared" ref="D26:S26" si="3">D5*D16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204025.90613410418</v>
      </c>
      <c r="I26" s="41">
        <f t="shared" si="3"/>
        <v>270129.78331699548</v>
      </c>
      <c r="J26" s="41">
        <f t="shared" si="3"/>
        <v>281747.33982377255</v>
      </c>
      <c r="K26" s="41">
        <f t="shared" si="3"/>
        <v>239424.9619374554</v>
      </c>
      <c r="L26" s="41">
        <f t="shared" si="3"/>
        <v>213361.36236824057</v>
      </c>
      <c r="M26" s="41">
        <f t="shared" si="3"/>
        <v>174521.73109514485</v>
      </c>
      <c r="N26" s="41">
        <f t="shared" si="3"/>
        <v>154345.46754422924</v>
      </c>
      <c r="O26" s="41">
        <f t="shared" si="3"/>
        <v>147717.05333160487</v>
      </c>
      <c r="P26" s="41">
        <f t="shared" si="3"/>
        <v>168723.16209947423</v>
      </c>
      <c r="Q26" s="41">
        <f t="shared" si="3"/>
        <v>181055.71636332458</v>
      </c>
      <c r="R26" s="41">
        <f t="shared" si="3"/>
        <v>145573.20832861192</v>
      </c>
      <c r="S26" s="41">
        <f t="shared" si="3"/>
        <v>157061.09175621692</v>
      </c>
    </row>
    <row r="27" spans="1:19">
      <c r="B27" s="1" t="s">
        <v>51</v>
      </c>
      <c r="D27" s="41">
        <f t="shared" ref="D27:S27" si="4">D6*D17</f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41">
        <f t="shared" si="4"/>
        <v>75127.823726654417</v>
      </c>
      <c r="I27" s="41">
        <f t="shared" si="4"/>
        <v>82897.01089736438</v>
      </c>
      <c r="J27" s="41">
        <f t="shared" si="4"/>
        <v>81956.415781008633</v>
      </c>
      <c r="K27" s="41">
        <f t="shared" si="4"/>
        <v>77861.152714908705</v>
      </c>
      <c r="L27" s="41">
        <f t="shared" si="4"/>
        <v>73920.93452821458</v>
      </c>
      <c r="M27" s="41">
        <f t="shared" si="4"/>
        <v>64353.098607539156</v>
      </c>
      <c r="N27" s="41">
        <f t="shared" si="4"/>
        <v>62637.885635961247</v>
      </c>
      <c r="O27" s="41">
        <f t="shared" si="4"/>
        <v>64303.656868017875</v>
      </c>
      <c r="P27" s="41">
        <f t="shared" si="4"/>
        <v>74769.29360062725</v>
      </c>
      <c r="Q27" s="41">
        <f t="shared" si="4"/>
        <v>73211.990879647041</v>
      </c>
      <c r="R27" s="41">
        <f t="shared" si="4"/>
        <v>64661.611182943743</v>
      </c>
      <c r="S27" s="41">
        <f t="shared" si="4"/>
        <v>68137.891649705969</v>
      </c>
    </row>
    <row r="28" spans="1:19">
      <c r="B28" s="1" t="s">
        <v>52</v>
      </c>
      <c r="D28" s="41">
        <f t="shared" ref="D28:S28" si="5">D7*D18</f>
        <v>0</v>
      </c>
      <c r="E28" s="41">
        <f t="shared" si="5"/>
        <v>0</v>
      </c>
      <c r="F28" s="41">
        <f t="shared" si="5"/>
        <v>0</v>
      </c>
      <c r="G28" s="41">
        <f t="shared" si="5"/>
        <v>0</v>
      </c>
      <c r="H28" s="41">
        <f t="shared" si="5"/>
        <v>103311.57854006039</v>
      </c>
      <c r="I28" s="41">
        <f t="shared" si="5"/>
        <v>99528.26561794024</v>
      </c>
      <c r="J28" s="41">
        <f t="shared" si="5"/>
        <v>97431.654673899509</v>
      </c>
      <c r="K28" s="41">
        <f t="shared" si="5"/>
        <v>98104.526939330899</v>
      </c>
      <c r="L28" s="41">
        <f t="shared" si="5"/>
        <v>93825.672711682753</v>
      </c>
      <c r="M28" s="41">
        <f t="shared" si="5"/>
        <v>90102.005941839496</v>
      </c>
      <c r="N28" s="41">
        <f t="shared" si="5"/>
        <v>94653.163524911433</v>
      </c>
      <c r="O28" s="41">
        <f t="shared" si="5"/>
        <v>100549.20579045164</v>
      </c>
      <c r="P28" s="41">
        <f t="shared" si="5"/>
        <v>108733.10293996724</v>
      </c>
      <c r="Q28" s="41">
        <f t="shared" si="5"/>
        <v>101552.19866880306</v>
      </c>
      <c r="R28" s="41">
        <f t="shared" si="5"/>
        <v>92302.435371183892</v>
      </c>
      <c r="S28" s="41">
        <f t="shared" si="5"/>
        <v>106072.12316350489</v>
      </c>
    </row>
    <row r="29" spans="1:19">
      <c r="B29" s="1" t="s">
        <v>53</v>
      </c>
      <c r="D29" s="41">
        <f t="shared" ref="D29:S29" si="6">D8*D19</f>
        <v>0</v>
      </c>
      <c r="E29" s="41">
        <f t="shared" si="6"/>
        <v>0</v>
      </c>
      <c r="F29" s="41">
        <f t="shared" si="6"/>
        <v>0</v>
      </c>
      <c r="G29" s="41">
        <f t="shared" si="6"/>
        <v>0</v>
      </c>
      <c r="H29" s="41">
        <f t="shared" si="6"/>
        <v>20396.52701147068</v>
      </c>
      <c r="I29" s="41">
        <f t="shared" si="6"/>
        <v>22213.575541746202</v>
      </c>
      <c r="J29" s="41">
        <f t="shared" si="6"/>
        <v>22929.147499526098</v>
      </c>
      <c r="K29" s="41">
        <f t="shared" si="6"/>
        <v>21099.32950822623</v>
      </c>
      <c r="L29" s="41">
        <f t="shared" si="6"/>
        <v>22219.597104292523</v>
      </c>
      <c r="M29" s="41">
        <f t="shared" si="6"/>
        <v>20984.699862652422</v>
      </c>
      <c r="N29" s="41">
        <f t="shared" si="6"/>
        <v>21992.371507626362</v>
      </c>
      <c r="O29" s="41">
        <f t="shared" si="6"/>
        <v>22568.439195463856</v>
      </c>
      <c r="P29" s="41">
        <f t="shared" si="6"/>
        <v>21996.136452276962</v>
      </c>
      <c r="Q29" s="41">
        <f t="shared" si="6"/>
        <v>24216.713500347869</v>
      </c>
      <c r="R29" s="41">
        <f t="shared" si="6"/>
        <v>22269.671918417545</v>
      </c>
      <c r="S29" s="41">
        <f t="shared" si="6"/>
        <v>21689.300571483087</v>
      </c>
    </row>
    <row r="30" spans="1:19">
      <c r="B30" s="150" t="s">
        <v>153</v>
      </c>
      <c r="D30" s="41"/>
      <c r="E30" s="41"/>
      <c r="F30" s="41"/>
      <c r="G30" s="41"/>
      <c r="H30" s="41">
        <f>H9*H20</f>
        <v>3723.62999865545</v>
      </c>
      <c r="I30" s="41">
        <f t="shared" ref="I30:S30" si="7">I9*I20</f>
        <v>3616.3128589388934</v>
      </c>
      <c r="J30" s="41">
        <f t="shared" si="7"/>
        <v>3817.1966986687407</v>
      </c>
      <c r="K30" s="41">
        <f t="shared" si="7"/>
        <v>3331.1794482330242</v>
      </c>
      <c r="L30" s="41">
        <f t="shared" si="7"/>
        <v>3422.6786280950942</v>
      </c>
      <c r="M30" s="41">
        <f t="shared" si="7"/>
        <v>3985.9726273692054</v>
      </c>
      <c r="N30" s="41">
        <f t="shared" si="7"/>
        <v>3584.6244340153485</v>
      </c>
      <c r="O30" s="41">
        <f t="shared" si="7"/>
        <v>3727.4357469948991</v>
      </c>
      <c r="P30" s="41">
        <f t="shared" si="7"/>
        <v>3639.347183637045</v>
      </c>
      <c r="Q30" s="41">
        <f t="shared" si="7"/>
        <v>3905.9310669056476</v>
      </c>
      <c r="R30" s="41">
        <f t="shared" si="7"/>
        <v>3610.8525018270157</v>
      </c>
      <c r="S30" s="41">
        <f t="shared" si="7"/>
        <v>3760.5486652442928</v>
      </c>
    </row>
    <row r="31" spans="1:19">
      <c r="B31" s="1" t="s">
        <v>54</v>
      </c>
      <c r="D31" s="41">
        <f>D10*D21</f>
        <v>0</v>
      </c>
      <c r="E31" s="41">
        <f>E10*E21</f>
        <v>0</v>
      </c>
      <c r="F31" s="41">
        <f>F10*F21</f>
        <v>0</v>
      </c>
      <c r="G31" s="41">
        <f>G10*G21</f>
        <v>0</v>
      </c>
      <c r="H31" s="41">
        <f>H10*H21</f>
        <v>2335.588368872714</v>
      </c>
      <c r="I31" s="41">
        <f t="shared" ref="I31:S31" si="8">I10*I21</f>
        <v>2756.4364737480246</v>
      </c>
      <c r="J31" s="41">
        <f t="shared" si="8"/>
        <v>3535.5583958302254</v>
      </c>
      <c r="K31" s="41">
        <f t="shared" si="8"/>
        <v>3681.9866445277689</v>
      </c>
      <c r="L31" s="41">
        <f t="shared" si="8"/>
        <v>3510.8794220646191</v>
      </c>
      <c r="M31" s="41">
        <f t="shared" si="8"/>
        <v>4856.6370793571095</v>
      </c>
      <c r="N31" s="41">
        <f t="shared" si="8"/>
        <v>11005.287588029843</v>
      </c>
      <c r="O31" s="41">
        <f t="shared" si="8"/>
        <v>18089.200612567773</v>
      </c>
      <c r="P31" s="41">
        <f t="shared" si="8"/>
        <v>22284.317426180209</v>
      </c>
      <c r="Q31" s="41">
        <f t="shared" si="8"/>
        <v>24450.560682252584</v>
      </c>
      <c r="R31" s="41">
        <f t="shared" si="8"/>
        <v>19694.461616720197</v>
      </c>
      <c r="S31" s="41">
        <f t="shared" si="8"/>
        <v>11220.5819532118</v>
      </c>
    </row>
    <row r="32" spans="1:19">
      <c r="B32" s="1" t="s">
        <v>55</v>
      </c>
      <c r="D32" s="41">
        <f>D11*D22</f>
        <v>0</v>
      </c>
      <c r="E32" s="41">
        <f t="shared" ref="E32:S32" si="9">E11*E22</f>
        <v>0</v>
      </c>
      <c r="F32" s="41">
        <f t="shared" si="9"/>
        <v>0</v>
      </c>
      <c r="G32" s="41">
        <f t="shared" si="9"/>
        <v>0</v>
      </c>
      <c r="H32" s="41">
        <f t="shared" si="9"/>
        <v>10555.360506963838</v>
      </c>
      <c r="I32" s="41">
        <f t="shared" si="9"/>
        <v>10819.660295092284</v>
      </c>
      <c r="J32" s="41">
        <f t="shared" si="9"/>
        <v>10549.723332925636</v>
      </c>
      <c r="K32" s="41">
        <f t="shared" si="9"/>
        <v>10148.673621203532</v>
      </c>
      <c r="L32" s="41">
        <f t="shared" si="9"/>
        <v>10622.506897115221</v>
      </c>
      <c r="M32" s="41">
        <f t="shared" si="9"/>
        <v>10329.946772336387</v>
      </c>
      <c r="N32" s="41">
        <f t="shared" si="9"/>
        <v>10385.441995992778</v>
      </c>
      <c r="O32" s="41">
        <f t="shared" si="9"/>
        <v>10404.674624654894</v>
      </c>
      <c r="P32" s="41">
        <f t="shared" si="9"/>
        <v>10575.246842020892</v>
      </c>
      <c r="Q32" s="41">
        <f t="shared" si="9"/>
        <v>10506.822208987083</v>
      </c>
      <c r="R32" s="41">
        <f t="shared" si="9"/>
        <v>10560.756885826941</v>
      </c>
      <c r="S32" s="41">
        <f t="shared" si="9"/>
        <v>10365.439755184299</v>
      </c>
    </row>
    <row r="33" spans="1:21">
      <c r="B33" s="1" t="s">
        <v>0</v>
      </c>
      <c r="D33" s="41">
        <f t="shared" ref="D33:S33" si="10">SUM(D26:D32)</f>
        <v>0</v>
      </c>
      <c r="E33" s="41">
        <f t="shared" si="10"/>
        <v>0</v>
      </c>
      <c r="F33" s="41">
        <f t="shared" si="10"/>
        <v>0</v>
      </c>
      <c r="G33" s="41">
        <f t="shared" si="10"/>
        <v>0</v>
      </c>
      <c r="H33" s="41">
        <f>SUM(H26:H32)</f>
        <v>419476.41428678168</v>
      </c>
      <c r="I33" s="41">
        <f t="shared" si="10"/>
        <v>491961.04500182543</v>
      </c>
      <c r="J33" s="41">
        <f t="shared" si="10"/>
        <v>501967.03620563145</v>
      </c>
      <c r="K33" s="41">
        <f t="shared" si="10"/>
        <v>453651.81081388559</v>
      </c>
      <c r="L33" s="41">
        <f t="shared" si="10"/>
        <v>420883.63165970537</v>
      </c>
      <c r="M33" s="41">
        <f t="shared" si="10"/>
        <v>369134.09198623861</v>
      </c>
      <c r="N33" s="41">
        <f t="shared" si="10"/>
        <v>358604.24223076634</v>
      </c>
      <c r="O33" s="41">
        <f t="shared" si="10"/>
        <v>367359.6661697558</v>
      </c>
      <c r="P33" s="41">
        <f t="shared" si="10"/>
        <v>410720.60654418386</v>
      </c>
      <c r="Q33" s="41">
        <f t="shared" si="10"/>
        <v>418899.93337026791</v>
      </c>
      <c r="R33" s="41">
        <f t="shared" si="10"/>
        <v>358672.99780553125</v>
      </c>
      <c r="S33" s="41">
        <f t="shared" si="10"/>
        <v>378306.97751455125</v>
      </c>
      <c r="U33" s="42">
        <f>SUM(H33:S33)</f>
        <v>4949638.4535891237</v>
      </c>
    </row>
    <row r="34" spans="1:21">
      <c r="B34" s="91"/>
      <c r="C34" s="83"/>
      <c r="D34" s="91"/>
    </row>
    <row r="35" spans="1:21" ht="36" customHeight="1">
      <c r="A35" s="118" t="s">
        <v>115</v>
      </c>
      <c r="B35" s="74"/>
      <c r="C35" s="83">
        <f>'CF WA Elec'!E21</f>
        <v>0.95606855188236617</v>
      </c>
      <c r="D35" s="36">
        <f>D4</f>
        <v>44743</v>
      </c>
      <c r="E35" s="36">
        <f t="shared" ref="E35:R35" si="11">E4</f>
        <v>44774</v>
      </c>
      <c r="F35" s="36">
        <f t="shared" si="11"/>
        <v>44805</v>
      </c>
      <c r="G35" s="36">
        <f t="shared" si="11"/>
        <v>44835</v>
      </c>
      <c r="H35" s="36">
        <f t="shared" si="11"/>
        <v>44866</v>
      </c>
      <c r="I35" s="36">
        <f t="shared" si="11"/>
        <v>44896</v>
      </c>
      <c r="J35" s="36">
        <f t="shared" si="11"/>
        <v>44927</v>
      </c>
      <c r="K35" s="36">
        <f t="shared" si="11"/>
        <v>44958</v>
      </c>
      <c r="L35" s="36">
        <f t="shared" si="11"/>
        <v>44986</v>
      </c>
      <c r="M35" s="36">
        <f t="shared" si="11"/>
        <v>45017</v>
      </c>
      <c r="N35" s="36">
        <f t="shared" si="11"/>
        <v>45047</v>
      </c>
      <c r="O35" s="36">
        <f t="shared" si="11"/>
        <v>45078</v>
      </c>
      <c r="P35" s="36">
        <f t="shared" si="11"/>
        <v>45108</v>
      </c>
      <c r="Q35" s="36">
        <f t="shared" si="11"/>
        <v>45139</v>
      </c>
      <c r="R35" s="36">
        <f t="shared" si="11"/>
        <v>45170</v>
      </c>
      <c r="S35" s="36">
        <f>S4</f>
        <v>45200</v>
      </c>
    </row>
    <row r="36" spans="1:21">
      <c r="B36" s="1" t="s">
        <v>50</v>
      </c>
      <c r="D36" s="41">
        <f t="shared" ref="D36:S36" si="12">D26*$C$35</f>
        <v>0</v>
      </c>
      <c r="E36" s="41">
        <f t="shared" si="12"/>
        <v>0</v>
      </c>
      <c r="F36" s="41">
        <f t="shared" si="12"/>
        <v>0</v>
      </c>
      <c r="G36" s="41">
        <f t="shared" si="12"/>
        <v>0</v>
      </c>
      <c r="H36" s="41">
        <f t="shared" si="12"/>
        <v>195062.75262412056</v>
      </c>
      <c r="I36" s="41">
        <f t="shared" si="12"/>
        <v>258262.59075617723</v>
      </c>
      <c r="J36" s="41">
        <f t="shared" si="12"/>
        <v>269369.77118202316</v>
      </c>
      <c r="K36" s="41">
        <f t="shared" si="12"/>
        <v>228906.67664403364</v>
      </c>
      <c r="L36" s="41">
        <f t="shared" si="12"/>
        <v>203988.08874705253</v>
      </c>
      <c r="M36" s="41">
        <f t="shared" si="12"/>
        <v>166854.73872013885</v>
      </c>
      <c r="N36" s="41">
        <f t="shared" si="12"/>
        <v>147564.84764461798</v>
      </c>
      <c r="O36" s="41">
        <f t="shared" si="12"/>
        <v>141227.62926707772</v>
      </c>
      <c r="P36" s="41">
        <f t="shared" si="12"/>
        <v>161310.90925745806</v>
      </c>
      <c r="Q36" s="41">
        <f t="shared" si="12"/>
        <v>173101.67655350815</v>
      </c>
      <c r="R36" s="41">
        <f t="shared" si="12"/>
        <v>139177.966479606</v>
      </c>
      <c r="S36" s="41">
        <f t="shared" si="12"/>
        <v>150161.17055242974</v>
      </c>
    </row>
    <row r="37" spans="1:21">
      <c r="B37" s="1" t="s">
        <v>51</v>
      </c>
      <c r="D37" s="41">
        <f t="shared" ref="D37" si="13">D27*$C$35</f>
        <v>0</v>
      </c>
      <c r="E37" s="41">
        <f t="shared" ref="E37:S37" si="14">E27*$C$35</f>
        <v>0</v>
      </c>
      <c r="F37" s="41">
        <f t="shared" si="14"/>
        <v>0</v>
      </c>
      <c r="G37" s="41">
        <f t="shared" si="14"/>
        <v>0</v>
      </c>
      <c r="H37" s="41">
        <f t="shared" si="14"/>
        <v>71827.349636416155</v>
      </c>
      <c r="I37" s="41">
        <f t="shared" si="14"/>
        <v>79255.225164019896</v>
      </c>
      <c r="J37" s="41">
        <f t="shared" si="14"/>
        <v>78355.951753218033</v>
      </c>
      <c r="K37" s="41">
        <f t="shared" si="14"/>
        <v>74440.599524034522</v>
      </c>
      <c r="L37" s="41">
        <f t="shared" si="14"/>
        <v>70673.480828181317</v>
      </c>
      <c r="M37" s="41">
        <f t="shared" si="14"/>
        <v>61525.973794853075</v>
      </c>
      <c r="N37" s="41">
        <f t="shared" si="14"/>
        <v>59886.112612946737</v>
      </c>
      <c r="O37" s="41">
        <f t="shared" si="14"/>
        <v>61478.70410254642</v>
      </c>
      <c r="P37" s="41">
        <f t="shared" si="14"/>
        <v>71484.570258019157</v>
      </c>
      <c r="Q37" s="41">
        <f t="shared" si="14"/>
        <v>69995.682100729144</v>
      </c>
      <c r="R37" s="41">
        <f t="shared" si="14"/>
        <v>61820.93296605764</v>
      </c>
      <c r="S37" s="41">
        <f t="shared" si="14"/>
        <v>65144.495397851955</v>
      </c>
    </row>
    <row r="38" spans="1:21">
      <c r="B38" s="1" t="s">
        <v>52</v>
      </c>
      <c r="D38" s="41">
        <f t="shared" ref="D38" si="15">D28*$C$35</f>
        <v>0</v>
      </c>
      <c r="E38" s="41">
        <f t="shared" ref="E38:S38" si="16">E28*$C$35</f>
        <v>0</v>
      </c>
      <c r="F38" s="41">
        <f t="shared" si="16"/>
        <v>0</v>
      </c>
      <c r="G38" s="41">
        <f t="shared" si="16"/>
        <v>0</v>
      </c>
      <c r="H38" s="41">
        <f t="shared" si="16"/>
        <v>98772.95128747687</v>
      </c>
      <c r="I38" s="41">
        <f t="shared" si="16"/>
        <v>95155.844780707615</v>
      </c>
      <c r="J38" s="41">
        <f t="shared" si="16"/>
        <v>93151.340991577876</v>
      </c>
      <c r="K38" s="41">
        <f t="shared" si="16"/>
        <v>93794.653003990679</v>
      </c>
      <c r="L38" s="41">
        <f t="shared" si="16"/>
        <v>89703.775038847365</v>
      </c>
      <c r="M38" s="41">
        <f t="shared" si="16"/>
        <v>86143.694342510833</v>
      </c>
      <c r="N38" s="41">
        <f t="shared" si="16"/>
        <v>90494.912982346883</v>
      </c>
      <c r="O38" s="41">
        <f t="shared" si="16"/>
        <v>96131.933572999129</v>
      </c>
      <c r="P38" s="41">
        <f t="shared" si="16"/>
        <v>103956.30026949073</v>
      </c>
      <c r="Q38" s="41">
        <f t="shared" si="16"/>
        <v>97090.863521752894</v>
      </c>
      <c r="R38" s="41">
        <f t="shared" si="16"/>
        <v>88247.455720543483</v>
      </c>
      <c r="S38" s="41">
        <f t="shared" si="16"/>
        <v>101412.22118802011</v>
      </c>
    </row>
    <row r="39" spans="1:21">
      <c r="B39" s="1" t="s">
        <v>53</v>
      </c>
      <c r="D39" s="41">
        <f t="shared" ref="D39" si="17">D29*$C$35</f>
        <v>0</v>
      </c>
      <c r="E39" s="41">
        <f t="shared" ref="E39:S39" si="18">E29*$C$35</f>
        <v>0</v>
      </c>
      <c r="F39" s="41">
        <f t="shared" si="18"/>
        <v>0</v>
      </c>
      <c r="G39" s="41">
        <f t="shared" si="18"/>
        <v>0</v>
      </c>
      <c r="H39" s="41">
        <f t="shared" si="18"/>
        <v>19500.478043286337</v>
      </c>
      <c r="I39" s="41">
        <f t="shared" si="18"/>
        <v>21237.701000326841</v>
      </c>
      <c r="J39" s="41">
        <f t="shared" si="18"/>
        <v>21921.836845769092</v>
      </c>
      <c r="K39" s="41">
        <f t="shared" si="18"/>
        <v>20172.405408618728</v>
      </c>
      <c r="L39" s="41">
        <f t="shared" si="18"/>
        <v>21243.458026910568</v>
      </c>
      <c r="M39" s="41">
        <f t="shared" si="18"/>
        <v>20062.811609372191</v>
      </c>
      <c r="N39" s="41">
        <f t="shared" si="18"/>
        <v>21026.214779755344</v>
      </c>
      <c r="O39" s="41">
        <f t="shared" si="18"/>
        <v>21576.974979852363</v>
      </c>
      <c r="P39" s="41">
        <f t="shared" si="18"/>
        <v>21029.814324935363</v>
      </c>
      <c r="Q39" s="41">
        <f t="shared" si="18"/>
        <v>23152.838207627734</v>
      </c>
      <c r="R39" s="41">
        <f t="shared" si="18"/>
        <v>21291.332981936859</v>
      </c>
      <c r="S39" s="41">
        <f t="shared" si="18"/>
        <v>20736.458188719211</v>
      </c>
    </row>
    <row r="40" spans="1:21">
      <c r="B40" s="150" t="s">
        <v>153</v>
      </c>
      <c r="D40" s="41"/>
      <c r="E40" s="41"/>
      <c r="F40" s="41"/>
      <c r="G40" s="41"/>
      <c r="H40" s="41">
        <f>H30*$C$35</f>
        <v>3560.0455405602534</v>
      </c>
      <c r="I40" s="41">
        <f t="shared" ref="I40:S40" si="19">I30*$C$35</f>
        <v>3457.4429981992876</v>
      </c>
      <c r="J40" s="41">
        <f t="shared" si="19"/>
        <v>3649.5017199463718</v>
      </c>
      <c r="K40" s="41">
        <f t="shared" si="19"/>
        <v>3184.8359111324471</v>
      </c>
      <c r="L40" s="41">
        <f t="shared" si="19"/>
        <v>3272.3153995216003</v>
      </c>
      <c r="M40" s="41">
        <f t="shared" si="19"/>
        <v>3810.8630776916266</v>
      </c>
      <c r="N40" s="41">
        <f t="shared" si="19"/>
        <v>3427.1466916712006</v>
      </c>
      <c r="O40" s="41">
        <f t="shared" si="19"/>
        <v>3563.684096863979</v>
      </c>
      <c r="P40" s="41">
        <f t="shared" si="19"/>
        <v>3479.4653916570373</v>
      </c>
      <c r="Q40" s="41">
        <f t="shared" si="19"/>
        <v>3734.3378588888281</v>
      </c>
      <c r="R40" s="41">
        <f t="shared" si="19"/>
        <v>3452.2225224825738</v>
      </c>
      <c r="S40" s="41">
        <f t="shared" si="19"/>
        <v>3595.3423166632761</v>
      </c>
    </row>
    <row r="41" spans="1:21">
      <c r="B41" s="1" t="s">
        <v>54</v>
      </c>
      <c r="D41" s="41">
        <f t="shared" ref="D41" si="20">D31*$C$35</f>
        <v>0</v>
      </c>
      <c r="E41" s="41">
        <f t="shared" ref="E41:G42" si="21">E31*$C$35</f>
        <v>0</v>
      </c>
      <c r="F41" s="41">
        <f t="shared" si="21"/>
        <v>0</v>
      </c>
      <c r="G41" s="41">
        <f t="shared" si="21"/>
        <v>0</v>
      </c>
      <c r="H41" s="41">
        <f>H31*$C$35</f>
        <v>2232.9825896214334</v>
      </c>
      <c r="I41" s="41">
        <f t="shared" ref="I41:S41" si="22">I31*$C$35</f>
        <v>2635.3422278120097</v>
      </c>
      <c r="J41" s="41">
        <f t="shared" si="22"/>
        <v>3380.236195596945</v>
      </c>
      <c r="K41" s="41">
        <f t="shared" si="22"/>
        <v>3520.2316392838766</v>
      </c>
      <c r="L41" s="41">
        <f t="shared" si="22"/>
        <v>3356.6414048869192</v>
      </c>
      <c r="M41" s="41">
        <f t="shared" si="22"/>
        <v>4643.2779794791559</v>
      </c>
      <c r="N41" s="41">
        <f t="shared" si="22"/>
        <v>10521.809367336671</v>
      </c>
      <c r="O41" s="41">
        <f t="shared" si="22"/>
        <v>17294.515834367281</v>
      </c>
      <c r="P41" s="41">
        <f t="shared" si="22"/>
        <v>21305.335091335088</v>
      </c>
      <c r="Q41" s="41">
        <f t="shared" si="22"/>
        <v>23376.412144193146</v>
      </c>
      <c r="R41" s="41">
        <f t="shared" si="22"/>
        <v>18829.255398000521</v>
      </c>
      <c r="S41" s="41">
        <f t="shared" si="22"/>
        <v>10727.645539284618</v>
      </c>
    </row>
    <row r="42" spans="1:21">
      <c r="B42" s="62" t="s">
        <v>55</v>
      </c>
      <c r="D42" s="43">
        <f t="shared" ref="D42" si="23">D32*$C$35</f>
        <v>0</v>
      </c>
      <c r="E42" s="43">
        <f t="shared" si="21"/>
        <v>0</v>
      </c>
      <c r="F42" s="43">
        <f t="shared" si="21"/>
        <v>0</v>
      </c>
      <c r="G42" s="43">
        <f t="shared" si="21"/>
        <v>0</v>
      </c>
      <c r="H42" s="43">
        <f>H32*$C$35</f>
        <v>10091.648234489236</v>
      </c>
      <c r="I42" s="43">
        <f t="shared" ref="I42:S42" si="24">I32*$C$35</f>
        <v>10344.336950188015</v>
      </c>
      <c r="J42" s="43">
        <f t="shared" si="24"/>
        <v>10086.258709669823</v>
      </c>
      <c r="K42" s="43">
        <f t="shared" si="24"/>
        <v>9702.8276925508308</v>
      </c>
      <c r="L42" s="43">
        <f t="shared" si="24"/>
        <v>10155.844786485397</v>
      </c>
      <c r="M42" s="43">
        <f t="shared" si="24"/>
        <v>9876.1372516495721</v>
      </c>
      <c r="N42" s="43">
        <f t="shared" si="24"/>
        <v>9929.1944897671256</v>
      </c>
      <c r="O42" s="43">
        <f t="shared" si="24"/>
        <v>9947.5822012010067</v>
      </c>
      <c r="P42" s="43">
        <f t="shared" si="24"/>
        <v>10110.66093404948</v>
      </c>
      <c r="Q42" s="43">
        <f t="shared" si="24"/>
        <v>10045.242294231764</v>
      </c>
      <c r="R42" s="43">
        <f t="shared" si="24"/>
        <v>10096.80754261429</v>
      </c>
      <c r="S42" s="43">
        <f t="shared" si="24"/>
        <v>9910.070976362962</v>
      </c>
    </row>
    <row r="43" spans="1:21">
      <c r="B43" s="1" t="s">
        <v>0</v>
      </c>
      <c r="C43" s="33"/>
      <c r="D43" s="42">
        <f>SUM(D36:D42)</f>
        <v>0</v>
      </c>
      <c r="E43" s="42">
        <f>SUM(E36:E42)</f>
        <v>0</v>
      </c>
      <c r="F43" s="42">
        <f>SUM(F36:F42)</f>
        <v>0</v>
      </c>
      <c r="G43" s="42">
        <f t="shared" ref="G43:S43" si="25">SUM(G36:G42)</f>
        <v>0</v>
      </c>
      <c r="H43" s="42">
        <f t="shared" si="25"/>
        <v>401048.20795597095</v>
      </c>
      <c r="I43" s="42">
        <f t="shared" si="25"/>
        <v>470348.4838774309</v>
      </c>
      <c r="J43" s="42">
        <f t="shared" si="25"/>
        <v>479914.89739780128</v>
      </c>
      <c r="K43" s="42">
        <f t="shared" si="25"/>
        <v>433722.22982364474</v>
      </c>
      <c r="L43" s="42">
        <f t="shared" si="25"/>
        <v>402393.60423188569</v>
      </c>
      <c r="M43" s="42">
        <f t="shared" si="25"/>
        <v>352917.49677569536</v>
      </c>
      <c r="N43" s="42">
        <f t="shared" si="25"/>
        <v>342850.238568442</v>
      </c>
      <c r="O43" s="42">
        <f t="shared" si="25"/>
        <v>351221.02405490784</v>
      </c>
      <c r="P43" s="42">
        <f t="shared" si="25"/>
        <v>392677.05552694487</v>
      </c>
      <c r="Q43" s="42">
        <f t="shared" si="25"/>
        <v>400497.05268093164</v>
      </c>
      <c r="R43" s="42">
        <f t="shared" si="25"/>
        <v>342915.97361124138</v>
      </c>
      <c r="S43" s="42">
        <f t="shared" si="25"/>
        <v>361687.40415933193</v>
      </c>
      <c r="U43" s="42">
        <f>SUM(H43:S43)</f>
        <v>4732193.6686642282</v>
      </c>
    </row>
    <row r="44" spans="1:21">
      <c r="C44" s="60"/>
    </row>
    <row r="45" spans="1:21">
      <c r="C45" s="6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U45" s="42">
        <f>U33-U43</f>
        <v>217444.7849248955</v>
      </c>
    </row>
    <row r="47" spans="1:21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</sheetData>
  <mergeCells count="2">
    <mergeCell ref="D15:G15"/>
    <mergeCell ref="H15:S15"/>
  </mergeCells>
  <phoneticPr fontId="47" type="noConversion"/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106"/>
  <sheetViews>
    <sheetView workbookViewId="0">
      <selection activeCell="K33" sqref="K33"/>
    </sheetView>
  </sheetViews>
  <sheetFormatPr defaultColWidth="9.140625" defaultRowHeight="15"/>
  <cols>
    <col min="1" max="1" width="16.5703125" style="48" customWidth="1"/>
    <col min="2" max="2" width="19" style="48" bestFit="1" customWidth="1"/>
    <col min="3" max="4" width="15.140625" style="48" bestFit="1" customWidth="1"/>
    <col min="5" max="5" width="15" style="48" customWidth="1"/>
    <col min="6" max="9" width="12.5703125" style="48" bestFit="1" customWidth="1"/>
    <col min="10" max="12" width="14.28515625" style="48" customWidth="1"/>
    <col min="13" max="13" width="12.5703125" style="48" bestFit="1" customWidth="1"/>
    <col min="14" max="14" width="15.5703125" style="48" customWidth="1"/>
    <col min="15" max="15" width="9.28515625" style="48" bestFit="1" customWidth="1"/>
    <col min="16" max="16" width="14.5703125" style="48" customWidth="1"/>
    <col min="17" max="16384" width="9.140625" style="48"/>
  </cols>
  <sheetData>
    <row r="1" spans="1:16">
      <c r="A1" s="108" t="s">
        <v>103</v>
      </c>
    </row>
    <row r="3" spans="1:16">
      <c r="A3" s="2" t="s">
        <v>40</v>
      </c>
    </row>
    <row r="4" spans="1:16">
      <c r="A4" s="48" t="s">
        <v>62</v>
      </c>
    </row>
    <row r="6" spans="1:16">
      <c r="B6" s="49">
        <v>44866</v>
      </c>
      <c r="C6" s="49">
        <v>44896</v>
      </c>
      <c r="D6" s="49">
        <v>44927</v>
      </c>
      <c r="E6" s="49">
        <v>44958</v>
      </c>
      <c r="F6" s="49">
        <v>44986</v>
      </c>
      <c r="G6" s="49">
        <v>45017</v>
      </c>
      <c r="H6" s="49">
        <v>45047</v>
      </c>
      <c r="I6" s="49">
        <v>45078</v>
      </c>
      <c r="J6" s="49">
        <v>45108</v>
      </c>
      <c r="K6" s="49">
        <v>45139</v>
      </c>
      <c r="L6" s="49">
        <v>45170</v>
      </c>
      <c r="M6" s="49">
        <v>45200</v>
      </c>
      <c r="N6" s="50" t="s">
        <v>0</v>
      </c>
    </row>
    <row r="7" spans="1:16">
      <c r="A7" s="51" t="s">
        <v>30</v>
      </c>
      <c r="B7" s="70">
        <v>216567113.52341771</v>
      </c>
      <c r="C7" s="70">
        <v>286708456.98212832</v>
      </c>
      <c r="D7" s="70">
        <v>299010450.1324392</v>
      </c>
      <c r="E7" s="70">
        <v>254093356.36022097</v>
      </c>
      <c r="F7" s="70">
        <v>226428814.84164748</v>
      </c>
      <c r="G7" s="70">
        <v>185239896.32761896</v>
      </c>
      <c r="H7" s="70">
        <v>163889897.53447032</v>
      </c>
      <c r="I7" s="70">
        <v>156914502.72454315</v>
      </c>
      <c r="J7" s="70">
        <v>179253808.89218888</v>
      </c>
      <c r="K7" s="70">
        <v>192369257.287844</v>
      </c>
      <c r="L7" s="70">
        <v>154642164.91947299</v>
      </c>
      <c r="M7" s="70">
        <v>166736712.80603051</v>
      </c>
      <c r="N7" s="53">
        <f>SUM(B7:M7)</f>
        <v>2481854432.3320227</v>
      </c>
      <c r="P7" s="67"/>
    </row>
    <row r="8" spans="1:16">
      <c r="A8" s="51" t="s">
        <v>96</v>
      </c>
      <c r="B8" s="70">
        <v>896673.14813438896</v>
      </c>
      <c r="C8" s="70">
        <v>1213046.1541852204</v>
      </c>
      <c r="D8" s="70">
        <v>1293783.597772066</v>
      </c>
      <c r="E8" s="70">
        <v>1100995.3432761827</v>
      </c>
      <c r="F8" s="70">
        <v>985294.81314120814</v>
      </c>
      <c r="G8" s="70">
        <v>776464.14122751309</v>
      </c>
      <c r="H8" s="70">
        <v>621318.04468064569</v>
      </c>
      <c r="I8" s="70">
        <v>531727.42399593629</v>
      </c>
      <c r="J8" s="70">
        <v>582067.95588661591</v>
      </c>
      <c r="K8" s="70">
        <v>611440.23700631573</v>
      </c>
      <c r="L8" s="70">
        <v>519018.87774003221</v>
      </c>
      <c r="M8" s="70">
        <v>668987.77017580473</v>
      </c>
      <c r="N8" s="53">
        <f t="shared" ref="N8:N19" si="0">SUM(B8:M8)</f>
        <v>9800817.5072219316</v>
      </c>
      <c r="P8" s="67"/>
    </row>
    <row r="9" spans="1:16">
      <c r="A9" s="51" t="s">
        <v>31</v>
      </c>
      <c r="B9" s="70">
        <v>51329572.717824452</v>
      </c>
      <c r="C9" s="70">
        <v>55665637.580714099</v>
      </c>
      <c r="D9" s="70">
        <v>54859337.172243193</v>
      </c>
      <c r="E9" s="70">
        <v>52027397.947545961</v>
      </c>
      <c r="F9" s="70">
        <v>49743805.750632517</v>
      </c>
      <c r="G9" s="70">
        <v>43825115.027792588</v>
      </c>
      <c r="H9" s="70">
        <v>43140096.687550172</v>
      </c>
      <c r="I9" s="70">
        <v>44411582.137921073</v>
      </c>
      <c r="J9" s="70">
        <v>52200255.26338923</v>
      </c>
      <c r="K9" s="70">
        <v>51345746.340237975</v>
      </c>
      <c r="L9" s="70">
        <v>44965896.088146172</v>
      </c>
      <c r="M9" s="70">
        <v>46807166.782318629</v>
      </c>
      <c r="N9" s="53">
        <f t="shared" si="0"/>
        <v>590321609.49631608</v>
      </c>
      <c r="P9" s="67"/>
    </row>
    <row r="10" spans="1:16">
      <c r="A10" s="51" t="s">
        <v>32</v>
      </c>
      <c r="B10" s="70">
        <v>5682102.9739726707</v>
      </c>
      <c r="C10" s="70">
        <v>7242789.280820556</v>
      </c>
      <c r="D10" s="70">
        <v>7335107.6689099642</v>
      </c>
      <c r="E10" s="70">
        <v>7058764.1407481264</v>
      </c>
      <c r="F10" s="70">
        <v>6351782.092313936</v>
      </c>
      <c r="G10" s="70">
        <v>5008642.6200040197</v>
      </c>
      <c r="H10" s="70">
        <v>4391871.350357485</v>
      </c>
      <c r="I10" s="70">
        <v>4384682.5516623417</v>
      </c>
      <c r="J10" s="70">
        <v>4539276.3541032895</v>
      </c>
      <c r="K10" s="70">
        <v>4211811.5746768694</v>
      </c>
      <c r="L10" s="70">
        <v>4102039.927887714</v>
      </c>
      <c r="M10" s="70">
        <v>4899209.4149420541</v>
      </c>
      <c r="N10" s="53">
        <f t="shared" si="0"/>
        <v>65208079.950399034</v>
      </c>
      <c r="P10" s="67"/>
    </row>
    <row r="11" spans="1:16">
      <c r="A11" s="51" t="s">
        <v>99</v>
      </c>
      <c r="B11" s="70">
        <v>9276.2312111777246</v>
      </c>
      <c r="C11" s="70">
        <v>9227.8563495361523</v>
      </c>
      <c r="D11" s="70">
        <v>9311.5332374271875</v>
      </c>
      <c r="E11" s="70">
        <v>9347.7427947660653</v>
      </c>
      <c r="F11" s="70">
        <v>9352.3077652885422</v>
      </c>
      <c r="G11" s="70">
        <v>9330.8349490865785</v>
      </c>
      <c r="H11" s="70">
        <v>9298.1433440952496</v>
      </c>
      <c r="I11" s="70">
        <v>9298.2145898128019</v>
      </c>
      <c r="J11" s="70">
        <v>9301.028461687185</v>
      </c>
      <c r="K11" s="70">
        <v>9304.0685366174439</v>
      </c>
      <c r="L11" s="70">
        <v>9309.1327400102637</v>
      </c>
      <c r="M11" s="70">
        <v>9316.4871073515169</v>
      </c>
      <c r="N11" s="53">
        <f t="shared" si="0"/>
        <v>111673.58108685672</v>
      </c>
      <c r="P11" s="67"/>
    </row>
    <row r="12" spans="1:16">
      <c r="A12" s="51" t="s">
        <v>33</v>
      </c>
      <c r="B12" s="70">
        <v>109506017.92211826</v>
      </c>
      <c r="C12" s="70">
        <v>104901958.85822362</v>
      </c>
      <c r="D12" s="70">
        <v>102479845.63271108</v>
      </c>
      <c r="E12" s="70">
        <v>103228482.28314789</v>
      </c>
      <c r="F12" s="70">
        <v>98992734.904409751</v>
      </c>
      <c r="G12" s="70">
        <v>95511525.126098812</v>
      </c>
      <c r="H12" s="70">
        <v>100613112.57113162</v>
      </c>
      <c r="I12" s="70">
        <v>106948778.06288268</v>
      </c>
      <c r="J12" s="70">
        <v>115576804.71008979</v>
      </c>
      <c r="K12" s="70">
        <v>107821613.29281491</v>
      </c>
      <c r="L12" s="70">
        <v>98047844.012632042</v>
      </c>
      <c r="M12" s="70">
        <v>112689553.95996824</v>
      </c>
      <c r="N12" s="53">
        <f t="shared" si="0"/>
        <v>1256318271.3362288</v>
      </c>
      <c r="P12" s="67"/>
    </row>
    <row r="13" spans="1:16">
      <c r="A13" s="51" t="s">
        <v>34</v>
      </c>
      <c r="B13" s="70">
        <v>2573915.1288471231</v>
      </c>
      <c r="C13" s="70">
        <v>3073515.8843075065</v>
      </c>
      <c r="D13" s="70">
        <v>3220126.8942742357</v>
      </c>
      <c r="E13" s="70">
        <v>3201505.2986666416</v>
      </c>
      <c r="F13" s="70">
        <v>2794846.1849622987</v>
      </c>
      <c r="G13" s="70">
        <v>2236058.8761072569</v>
      </c>
      <c r="H13" s="70">
        <v>2072295.578758921</v>
      </c>
      <c r="I13" s="70">
        <v>2133538.7665766948</v>
      </c>
      <c r="J13" s="70">
        <v>2384658.115143897</v>
      </c>
      <c r="K13" s="70">
        <v>2348932.7218739134</v>
      </c>
      <c r="L13" s="70">
        <v>2087259.8064498352</v>
      </c>
      <c r="M13" s="70">
        <v>2384997.2377162278</v>
      </c>
      <c r="N13" s="53">
        <f t="shared" si="0"/>
        <v>30511650.493684553</v>
      </c>
      <c r="P13" s="67"/>
    </row>
    <row r="14" spans="1:16">
      <c r="A14" s="51" t="s">
        <v>98</v>
      </c>
      <c r="B14" s="70">
        <v>8537.7024622204808</v>
      </c>
      <c r="C14" s="70">
        <v>8269.6499717778606</v>
      </c>
      <c r="D14" s="70">
        <v>9042.1807775716588</v>
      </c>
      <c r="E14" s="70">
        <v>9063.626313626115</v>
      </c>
      <c r="F14" s="70">
        <v>9103.4670071431265</v>
      </c>
      <c r="G14" s="70">
        <v>9087.6173342898455</v>
      </c>
      <c r="H14" s="70">
        <v>9067.1587744464305</v>
      </c>
      <c r="I14" s="70">
        <v>9102.2717710635025</v>
      </c>
      <c r="J14" s="70">
        <v>9120.9277771625621</v>
      </c>
      <c r="K14" s="70">
        <v>9075.7788216002918</v>
      </c>
      <c r="L14" s="70">
        <v>8935.9272596074625</v>
      </c>
      <c r="M14" s="70">
        <v>8987.7723081121967</v>
      </c>
      <c r="N14" s="53">
        <f t="shared" si="0"/>
        <v>107394.08057862154</v>
      </c>
      <c r="P14" s="67"/>
    </row>
    <row r="15" spans="1:16">
      <c r="A15" s="51" t="s">
        <v>35</v>
      </c>
      <c r="B15" s="70">
        <v>47277779.530400008</v>
      </c>
      <c r="C15" s="70">
        <v>51489575.968199998</v>
      </c>
      <c r="D15" s="70">
        <v>53148223.699700013</v>
      </c>
      <c r="E15" s="70">
        <v>48906828.509000003</v>
      </c>
      <c r="F15" s="70">
        <v>51503533.545699999</v>
      </c>
      <c r="G15" s="70">
        <v>48641124.690499991</v>
      </c>
      <c r="H15" s="70">
        <v>50976839.8759</v>
      </c>
      <c r="I15" s="70">
        <v>52312126.080500014</v>
      </c>
      <c r="J15" s="70">
        <v>50985566.764699996</v>
      </c>
      <c r="K15" s="70">
        <v>56132715.200800002</v>
      </c>
      <c r="L15" s="70">
        <v>51619603.601199999</v>
      </c>
      <c r="M15" s="70">
        <v>50274341.803900018</v>
      </c>
      <c r="N15" s="53">
        <f t="shared" si="0"/>
        <v>613268259.27050006</v>
      </c>
      <c r="P15" s="67"/>
    </row>
    <row r="16" spans="1:16">
      <c r="A16" s="51" t="s">
        <v>36</v>
      </c>
      <c r="B16" s="68">
        <v>2441178.2246225094</v>
      </c>
      <c r="C16" s="68">
        <v>2877452.2684795642</v>
      </c>
      <c r="D16" s="68">
        <v>3716934.4990751026</v>
      </c>
      <c r="E16" s="68">
        <v>3929773.7636232069</v>
      </c>
      <c r="F16" s="68">
        <v>3746642.0601357054</v>
      </c>
      <c r="G16" s="68">
        <v>5211132.1822066605</v>
      </c>
      <c r="H16" s="68">
        <v>11910950.328383069</v>
      </c>
      <c r="I16" s="68">
        <v>19701275.852479272</v>
      </c>
      <c r="J16" s="68">
        <v>23659671.392010901</v>
      </c>
      <c r="K16" s="68">
        <v>26310703.07455606</v>
      </c>
      <c r="L16" s="68">
        <v>21478950.936136365</v>
      </c>
      <c r="M16" s="68">
        <v>12351701.436956752</v>
      </c>
      <c r="N16" s="53">
        <f t="shared" si="0"/>
        <v>137336366.01866519</v>
      </c>
      <c r="P16" s="67"/>
    </row>
    <row r="17" spans="1:16">
      <c r="A17" s="51" t="s">
        <v>37</v>
      </c>
      <c r="B17" s="68">
        <v>240550.87618366629</v>
      </c>
      <c r="C17" s="68">
        <v>287495.80400181917</v>
      </c>
      <c r="D17" s="68">
        <v>342603.54455446667</v>
      </c>
      <c r="E17" s="68">
        <v>297893.60491039779</v>
      </c>
      <c r="F17" s="68">
        <v>284559.51675713249</v>
      </c>
      <c r="G17" s="68">
        <v>365272.1026170713</v>
      </c>
      <c r="H17" s="68">
        <v>725351.67624001461</v>
      </c>
      <c r="I17" s="68">
        <v>1068794.9098005155</v>
      </c>
      <c r="J17" s="68">
        <v>1927244.2348353723</v>
      </c>
      <c r="K17" s="68">
        <v>1763499.1207013626</v>
      </c>
      <c r="L17" s="68">
        <v>1134285.0031059498</v>
      </c>
      <c r="M17" s="68">
        <v>531802.1602255184</v>
      </c>
      <c r="N17" s="53">
        <f t="shared" si="0"/>
        <v>8969352.553933287</v>
      </c>
      <c r="P17" s="67"/>
    </row>
    <row r="18" spans="1:16">
      <c r="A18" s="51" t="s">
        <v>38</v>
      </c>
      <c r="B18" s="68">
        <v>1353966.8657090797</v>
      </c>
      <c r="C18" s="68">
        <v>1387869.3700815029</v>
      </c>
      <c r="D18" s="68">
        <v>1353243.7689603779</v>
      </c>
      <c r="E18" s="68">
        <v>1301799.9532029093</v>
      </c>
      <c r="F18" s="68">
        <v>1362579.9289348186</v>
      </c>
      <c r="G18" s="68">
        <v>1325052.3887890396</v>
      </c>
      <c r="H18" s="68">
        <v>1332170.9229202326</v>
      </c>
      <c r="I18" s="68">
        <v>1334637.9482702252</v>
      </c>
      <c r="J18" s="68">
        <v>1356517.7438841905</v>
      </c>
      <c r="K18" s="68">
        <v>1347740.7167172872</v>
      </c>
      <c r="L18" s="68">
        <v>1354659.0749586485</v>
      </c>
      <c r="M18" s="68">
        <v>1329605.1771764709</v>
      </c>
      <c r="N18" s="53">
        <f t="shared" si="0"/>
        <v>16139843.859604783</v>
      </c>
      <c r="P18" s="67"/>
    </row>
    <row r="19" spans="1:16">
      <c r="A19" s="51" t="s">
        <v>97</v>
      </c>
      <c r="B19" s="68">
        <v>40211210</v>
      </c>
      <c r="C19" s="68">
        <v>39052300</v>
      </c>
      <c r="D19" s="68">
        <v>41221630</v>
      </c>
      <c r="E19" s="68">
        <v>35973165</v>
      </c>
      <c r="F19" s="68">
        <v>36961258</v>
      </c>
      <c r="G19" s="68">
        <v>43044229</v>
      </c>
      <c r="H19" s="68">
        <v>38710099</v>
      </c>
      <c r="I19" s="68">
        <v>40252308</v>
      </c>
      <c r="J19" s="68">
        <v>39301046</v>
      </c>
      <c r="K19" s="68">
        <v>42179866</v>
      </c>
      <c r="L19" s="68">
        <v>38993334</v>
      </c>
      <c r="M19" s="68">
        <v>40609892</v>
      </c>
      <c r="N19" s="53">
        <f t="shared" si="0"/>
        <v>476510337</v>
      </c>
      <c r="P19" s="67"/>
    </row>
    <row r="20" spans="1:16">
      <c r="A20" s="51" t="s">
        <v>0</v>
      </c>
      <c r="B20" s="53">
        <f t="shared" ref="B20:M20" si="1">SUM(B7:B19)</f>
        <v>478097894.84490317</v>
      </c>
      <c r="C20" s="53">
        <f t="shared" si="1"/>
        <v>553917595.65746355</v>
      </c>
      <c r="D20" s="53">
        <f t="shared" si="1"/>
        <v>567999640.32465458</v>
      </c>
      <c r="E20" s="53">
        <f t="shared" si="1"/>
        <v>511138373.57345062</v>
      </c>
      <c r="F20" s="53">
        <f t="shared" si="1"/>
        <v>479174307.41340733</v>
      </c>
      <c r="G20" s="53">
        <f t="shared" si="1"/>
        <v>431202930.93524534</v>
      </c>
      <c r="H20" s="53">
        <f t="shared" si="1"/>
        <v>418402368.87251109</v>
      </c>
      <c r="I20" s="53">
        <f t="shared" si="1"/>
        <v>430012354.94499278</v>
      </c>
      <c r="J20" s="53">
        <f t="shared" si="1"/>
        <v>471785339.38247108</v>
      </c>
      <c r="K20" s="53">
        <f t="shared" si="1"/>
        <v>486461705.41458696</v>
      </c>
      <c r="L20" s="53">
        <f t="shared" si="1"/>
        <v>418963301.30772936</v>
      </c>
      <c r="M20" s="53">
        <f t="shared" si="1"/>
        <v>439302274.80882573</v>
      </c>
      <c r="N20" s="53">
        <f>SUM(N7:N19)</f>
        <v>5686458087.4802418</v>
      </c>
    </row>
    <row r="21" spans="1:16">
      <c r="A21" s="8"/>
      <c r="B21" s="8"/>
      <c r="F21" s="8"/>
      <c r="N21" s="52"/>
    </row>
    <row r="22" spans="1:16">
      <c r="A22" s="51" t="s">
        <v>74</v>
      </c>
      <c r="B22" s="53">
        <f>B7+B8</f>
        <v>217463786.67155209</v>
      </c>
      <c r="C22" s="53">
        <f t="shared" ref="C22:M22" si="2">C7+C8</f>
        <v>287921503.13631356</v>
      </c>
      <c r="D22" s="53">
        <f t="shared" si="2"/>
        <v>300304233.73021126</v>
      </c>
      <c r="E22" s="53">
        <f t="shared" si="2"/>
        <v>255194351.70349714</v>
      </c>
      <c r="F22" s="53">
        <f t="shared" si="2"/>
        <v>227414109.65478867</v>
      </c>
      <c r="G22" s="53">
        <f t="shared" si="2"/>
        <v>186016360.46884647</v>
      </c>
      <c r="H22" s="53">
        <f t="shared" si="2"/>
        <v>164511215.57915097</v>
      </c>
      <c r="I22" s="53">
        <f t="shared" si="2"/>
        <v>157446230.1485391</v>
      </c>
      <c r="J22" s="53">
        <f t="shared" si="2"/>
        <v>179835876.84807548</v>
      </c>
      <c r="K22" s="53">
        <f t="shared" si="2"/>
        <v>192980697.52485031</v>
      </c>
      <c r="L22" s="53">
        <f t="shared" si="2"/>
        <v>155161183.79721302</v>
      </c>
      <c r="M22" s="53">
        <f t="shared" si="2"/>
        <v>167405700.57620633</v>
      </c>
      <c r="N22" s="52">
        <f>SUM(B22:M22)</f>
        <v>2491655249.8392444</v>
      </c>
      <c r="O22" s="54"/>
    </row>
    <row r="23" spans="1:16">
      <c r="A23" s="51" t="s">
        <v>100</v>
      </c>
      <c r="B23" s="53">
        <f>B9+B10+B11</f>
        <v>57020951.9230083</v>
      </c>
      <c r="C23" s="53">
        <f t="shared" ref="C23:M23" si="3">C9+C10+C11</f>
        <v>62917654.71788419</v>
      </c>
      <c r="D23" s="53">
        <f t="shared" si="3"/>
        <v>62203756.374390587</v>
      </c>
      <c r="E23" s="53">
        <f t="shared" si="3"/>
        <v>59095509.831088856</v>
      </c>
      <c r="F23" s="53">
        <f t="shared" si="3"/>
        <v>56104940.150711745</v>
      </c>
      <c r="G23" s="53">
        <f t="shared" si="3"/>
        <v>48843088.482745692</v>
      </c>
      <c r="H23" s="53">
        <f t="shared" si="3"/>
        <v>47541266.181251757</v>
      </c>
      <c r="I23" s="53">
        <f t="shared" si="3"/>
        <v>48805562.904173225</v>
      </c>
      <c r="J23" s="53">
        <f t="shared" si="3"/>
        <v>56748832.645954207</v>
      </c>
      <c r="K23" s="53">
        <f t="shared" si="3"/>
        <v>55566861.983451463</v>
      </c>
      <c r="L23" s="53">
        <f t="shared" si="3"/>
        <v>49077245.148773901</v>
      </c>
      <c r="M23" s="53">
        <f t="shared" si="3"/>
        <v>51715692.684368037</v>
      </c>
      <c r="N23" s="52">
        <f t="shared" ref="N23:N27" si="4">SUM(B23:M23)</f>
        <v>655641363.02780187</v>
      </c>
    </row>
    <row r="24" spans="1:16">
      <c r="A24" s="51" t="s">
        <v>102</v>
      </c>
      <c r="B24" s="53">
        <f>B12+B13+B14</f>
        <v>112088470.75342761</v>
      </c>
      <c r="C24" s="53">
        <f t="shared" ref="C24:M24" si="5">C12+C13+C14</f>
        <v>107983744.3925029</v>
      </c>
      <c r="D24" s="53">
        <f t="shared" si="5"/>
        <v>105709014.70776288</v>
      </c>
      <c r="E24" s="53">
        <f t="shared" si="5"/>
        <v>106439051.20812815</v>
      </c>
      <c r="F24" s="53">
        <f t="shared" si="5"/>
        <v>101796684.5563792</v>
      </c>
      <c r="G24" s="53">
        <f t="shared" si="5"/>
        <v>97756671.619540364</v>
      </c>
      <c r="H24" s="53">
        <f t="shared" si="5"/>
        <v>102694475.30866499</v>
      </c>
      <c r="I24" s="53">
        <f t="shared" si="5"/>
        <v>109091419.10123043</v>
      </c>
      <c r="J24" s="53">
        <f t="shared" si="5"/>
        <v>117970583.75301084</v>
      </c>
      <c r="K24" s="53">
        <f t="shared" si="5"/>
        <v>110179621.79351042</v>
      </c>
      <c r="L24" s="53">
        <f t="shared" si="5"/>
        <v>100144039.74634148</v>
      </c>
      <c r="M24" s="53">
        <f t="shared" si="5"/>
        <v>115083538.96999258</v>
      </c>
      <c r="N24" s="52">
        <f t="shared" si="4"/>
        <v>1286937315.9104919</v>
      </c>
    </row>
    <row r="25" spans="1:16">
      <c r="A25" s="51" t="s">
        <v>101</v>
      </c>
      <c r="B25" s="53">
        <f>B15+B19</f>
        <v>87488989.530400008</v>
      </c>
      <c r="C25" s="53">
        <f t="shared" ref="C25:M25" si="6">C15+C19</f>
        <v>90541875.968199998</v>
      </c>
      <c r="D25" s="53">
        <f t="shared" si="6"/>
        <v>94369853.699700013</v>
      </c>
      <c r="E25" s="53">
        <f t="shared" si="6"/>
        <v>84879993.509000003</v>
      </c>
      <c r="F25" s="53">
        <f t="shared" si="6"/>
        <v>88464791.545699999</v>
      </c>
      <c r="G25" s="53">
        <f t="shared" si="6"/>
        <v>91685353.690499991</v>
      </c>
      <c r="H25" s="53">
        <f t="shared" si="6"/>
        <v>89686938.8759</v>
      </c>
      <c r="I25" s="53">
        <f t="shared" si="6"/>
        <v>92564434.080500007</v>
      </c>
      <c r="J25" s="53">
        <f t="shared" si="6"/>
        <v>90286612.764699996</v>
      </c>
      <c r="K25" s="53">
        <f t="shared" si="6"/>
        <v>98312581.200800002</v>
      </c>
      <c r="L25" s="53">
        <f t="shared" si="6"/>
        <v>90612937.601199999</v>
      </c>
      <c r="M25" s="53">
        <f t="shared" si="6"/>
        <v>90884233.803900018</v>
      </c>
      <c r="N25" s="52">
        <f t="shared" si="4"/>
        <v>1089778596.2705002</v>
      </c>
    </row>
    <row r="26" spans="1:16">
      <c r="A26" s="51" t="s">
        <v>39</v>
      </c>
      <c r="B26" s="53">
        <f>B16+B17</f>
        <v>2681729.1008061757</v>
      </c>
      <c r="C26" s="53">
        <f t="shared" ref="C26:M26" si="7">C16+C17</f>
        <v>3164948.0724813836</v>
      </c>
      <c r="D26" s="53">
        <f t="shared" si="7"/>
        <v>4059538.0436295695</v>
      </c>
      <c r="E26" s="53">
        <f t="shared" si="7"/>
        <v>4227667.3685336048</v>
      </c>
      <c r="F26" s="53">
        <f t="shared" si="7"/>
        <v>4031201.5768928379</v>
      </c>
      <c r="G26" s="53">
        <f t="shared" si="7"/>
        <v>5576404.2848237315</v>
      </c>
      <c r="H26" s="53">
        <f t="shared" si="7"/>
        <v>12636302.004623083</v>
      </c>
      <c r="I26" s="53">
        <f t="shared" si="7"/>
        <v>20770070.762279786</v>
      </c>
      <c r="J26" s="53">
        <f t="shared" si="7"/>
        <v>25586915.626846272</v>
      </c>
      <c r="K26" s="53">
        <f t="shared" si="7"/>
        <v>28074202.195257422</v>
      </c>
      <c r="L26" s="53">
        <f t="shared" si="7"/>
        <v>22613235.939242315</v>
      </c>
      <c r="M26" s="53">
        <f t="shared" si="7"/>
        <v>12883503.59718227</v>
      </c>
      <c r="N26" s="52">
        <f t="shared" si="4"/>
        <v>146305718.57259846</v>
      </c>
    </row>
    <row r="27" spans="1:16">
      <c r="A27" s="51" t="s">
        <v>38</v>
      </c>
      <c r="B27" s="53">
        <f>B18</f>
        <v>1353966.8657090797</v>
      </c>
      <c r="C27" s="53">
        <f t="shared" ref="C27:M27" si="8">C18</f>
        <v>1387869.3700815029</v>
      </c>
      <c r="D27" s="53">
        <f t="shared" si="8"/>
        <v>1353243.7689603779</v>
      </c>
      <c r="E27" s="53">
        <f t="shared" si="8"/>
        <v>1301799.9532029093</v>
      </c>
      <c r="F27" s="53">
        <f t="shared" si="8"/>
        <v>1362579.9289348186</v>
      </c>
      <c r="G27" s="53">
        <f t="shared" si="8"/>
        <v>1325052.3887890396</v>
      </c>
      <c r="H27" s="53">
        <f t="shared" si="8"/>
        <v>1332170.9229202326</v>
      </c>
      <c r="I27" s="53">
        <f t="shared" si="8"/>
        <v>1334637.9482702252</v>
      </c>
      <c r="J27" s="53">
        <f t="shared" si="8"/>
        <v>1356517.7438841905</v>
      </c>
      <c r="K27" s="53">
        <f t="shared" si="8"/>
        <v>1347740.7167172872</v>
      </c>
      <c r="L27" s="53">
        <f t="shared" si="8"/>
        <v>1354659.0749586485</v>
      </c>
      <c r="M27" s="53">
        <f t="shared" si="8"/>
        <v>1329605.1771764709</v>
      </c>
      <c r="N27" s="52">
        <f t="shared" si="4"/>
        <v>16139843.859604783</v>
      </c>
    </row>
    <row r="28" spans="1:16">
      <c r="A28" s="51" t="s">
        <v>0</v>
      </c>
      <c r="B28" s="53">
        <f>SUM(B22:B27)</f>
        <v>478097894.84490329</v>
      </c>
      <c r="C28" s="52">
        <f>SUM(C22:C27)</f>
        <v>553917595.65746355</v>
      </c>
      <c r="D28" s="52">
        <f>SUM(D22:D27)</f>
        <v>567999640.3246547</v>
      </c>
      <c r="E28" s="52">
        <f>SUM(E22:E27)</f>
        <v>511138373.57345068</v>
      </c>
      <c r="F28" s="53">
        <f>SUM(F22:F27)</f>
        <v>479174307.41340727</v>
      </c>
      <c r="G28" s="52">
        <f t="shared" ref="G28:N28" si="9">SUM(G22:G27)</f>
        <v>431202930.93524534</v>
      </c>
      <c r="H28" s="52">
        <f t="shared" si="9"/>
        <v>418402368.87251103</v>
      </c>
      <c r="I28" s="52">
        <f t="shared" si="9"/>
        <v>430012354.94499278</v>
      </c>
      <c r="J28" s="52">
        <f t="shared" si="9"/>
        <v>471785339.38247097</v>
      </c>
      <c r="K28" s="52">
        <f t="shared" si="9"/>
        <v>486461705.4145869</v>
      </c>
      <c r="L28" s="52">
        <f t="shared" si="9"/>
        <v>418963301.3077293</v>
      </c>
      <c r="M28" s="52">
        <f t="shared" si="9"/>
        <v>439302274.80882573</v>
      </c>
      <c r="N28" s="52">
        <f t="shared" si="9"/>
        <v>5686458087.4802418</v>
      </c>
    </row>
    <row r="29" spans="1:16">
      <c r="A29" s="8"/>
      <c r="B29" s="8"/>
      <c r="F29" s="8"/>
      <c r="N29" s="52">
        <f>SUM(B29:M29)</f>
        <v>0</v>
      </c>
    </row>
    <row r="30" spans="1:16">
      <c r="A30" s="51" t="s">
        <v>71</v>
      </c>
      <c r="B30" s="52">
        <f>SUM(B7:B19)-SUM(B22:B27)</f>
        <v>0</v>
      </c>
      <c r="C30" s="52">
        <f>SUM(C7:C19)-SUM(C22:C27)</f>
        <v>0</v>
      </c>
      <c r="D30" s="52">
        <f t="shared" ref="D30:M30" si="10">SUM(D7:D19)-SUM(D22:D27)</f>
        <v>0</v>
      </c>
      <c r="E30" s="52">
        <f t="shared" si="10"/>
        <v>0</v>
      </c>
      <c r="F30" s="52">
        <f t="shared" si="10"/>
        <v>0</v>
      </c>
      <c r="G30" s="52">
        <f t="shared" si="10"/>
        <v>0</v>
      </c>
      <c r="H30" s="52">
        <f t="shared" si="10"/>
        <v>0</v>
      </c>
      <c r="I30" s="52">
        <f t="shared" si="10"/>
        <v>0</v>
      </c>
      <c r="J30" s="52">
        <f t="shared" si="10"/>
        <v>0</v>
      </c>
      <c r="K30" s="52">
        <f t="shared" si="10"/>
        <v>0</v>
      </c>
      <c r="L30" s="52">
        <f t="shared" si="10"/>
        <v>0</v>
      </c>
      <c r="M30" s="52">
        <f t="shared" si="10"/>
        <v>0</v>
      </c>
      <c r="N30" s="52">
        <f>SUM(N7:N19)-SUM(N22:N27)</f>
        <v>0</v>
      </c>
    </row>
    <row r="33" spans="1:17">
      <c r="A33" s="2" t="s">
        <v>41</v>
      </c>
    </row>
    <row r="34" spans="1:17">
      <c r="A34" s="48" t="s">
        <v>63</v>
      </c>
      <c r="F34" s="64"/>
    </row>
    <row r="36" spans="1:17">
      <c r="B36" s="49">
        <f t="shared" ref="B36:M36" si="11">B6</f>
        <v>44866</v>
      </c>
      <c r="C36" s="49">
        <f t="shared" si="11"/>
        <v>44896</v>
      </c>
      <c r="D36" s="49">
        <f t="shared" si="11"/>
        <v>44927</v>
      </c>
      <c r="E36" s="49">
        <f t="shared" si="11"/>
        <v>44958</v>
      </c>
      <c r="F36" s="49">
        <f t="shared" si="11"/>
        <v>44986</v>
      </c>
      <c r="G36" s="49">
        <f t="shared" si="11"/>
        <v>45017</v>
      </c>
      <c r="H36" s="49">
        <f t="shared" si="11"/>
        <v>45047</v>
      </c>
      <c r="I36" s="49">
        <f t="shared" si="11"/>
        <v>45078</v>
      </c>
      <c r="J36" s="49">
        <f t="shared" si="11"/>
        <v>45108</v>
      </c>
      <c r="K36" s="49">
        <f t="shared" si="11"/>
        <v>45139</v>
      </c>
      <c r="L36" s="49">
        <f t="shared" si="11"/>
        <v>45170</v>
      </c>
      <c r="M36" s="49">
        <f t="shared" si="11"/>
        <v>45200</v>
      </c>
      <c r="N36" s="50" t="s">
        <v>0</v>
      </c>
    </row>
    <row r="37" spans="1:17">
      <c r="A37" s="51" t="s">
        <v>30</v>
      </c>
      <c r="B37" s="70">
        <v>227056</v>
      </c>
      <c r="C37" s="70">
        <v>227511</v>
      </c>
      <c r="D37" s="70">
        <v>227805</v>
      </c>
      <c r="E37" s="70">
        <v>227797</v>
      </c>
      <c r="F37" s="70">
        <v>227745</v>
      </c>
      <c r="G37" s="70">
        <v>227726</v>
      </c>
      <c r="H37" s="70">
        <v>227438</v>
      </c>
      <c r="I37" s="70">
        <v>227108</v>
      </c>
      <c r="J37" s="70">
        <v>227478</v>
      </c>
      <c r="K37" s="70">
        <v>227639</v>
      </c>
      <c r="L37" s="70">
        <v>228290</v>
      </c>
      <c r="M37" s="70">
        <v>228851</v>
      </c>
      <c r="N37" s="53">
        <f>SUM(B37:M37)</f>
        <v>2732444</v>
      </c>
      <c r="P37" s="67"/>
      <c r="Q37" s="69"/>
    </row>
    <row r="38" spans="1:17">
      <c r="A38" s="51" t="s">
        <v>96</v>
      </c>
      <c r="B38" s="70">
        <v>733</v>
      </c>
      <c r="C38" s="70">
        <v>741</v>
      </c>
      <c r="D38" s="70">
        <v>749</v>
      </c>
      <c r="E38" s="70">
        <v>757</v>
      </c>
      <c r="F38" s="70">
        <v>765</v>
      </c>
      <c r="G38" s="70">
        <v>773</v>
      </c>
      <c r="H38" s="70">
        <v>781</v>
      </c>
      <c r="I38" s="70">
        <v>789</v>
      </c>
      <c r="J38" s="70">
        <v>797</v>
      </c>
      <c r="K38" s="70">
        <v>805</v>
      </c>
      <c r="L38" s="70">
        <v>813</v>
      </c>
      <c r="M38" s="70">
        <v>821</v>
      </c>
      <c r="N38" s="53">
        <f t="shared" ref="N38:N49" si="12">SUM(B38:M38)</f>
        <v>9324</v>
      </c>
      <c r="P38" s="67"/>
      <c r="Q38" s="69"/>
    </row>
    <row r="39" spans="1:17">
      <c r="A39" s="51" t="s">
        <v>31</v>
      </c>
      <c r="B39" s="70">
        <v>23914.796846273195</v>
      </c>
      <c r="C39" s="70">
        <v>23966.819700281692</v>
      </c>
      <c r="D39" s="70">
        <v>24011.772482118762</v>
      </c>
      <c r="E39" s="70">
        <v>24023.770088449255</v>
      </c>
      <c r="F39" s="70">
        <v>24028.787105719948</v>
      </c>
      <c r="G39" s="70">
        <v>24042.788404068393</v>
      </c>
      <c r="H39" s="70">
        <v>24032.789104485208</v>
      </c>
      <c r="I39" s="70">
        <v>24087.78781418721</v>
      </c>
      <c r="J39" s="70">
        <v>24071.782499838129</v>
      </c>
      <c r="K39" s="70">
        <v>24108.784169458024</v>
      </c>
      <c r="L39" s="70">
        <v>24116.786516292821</v>
      </c>
      <c r="M39" s="70">
        <v>24175.786418054966</v>
      </c>
      <c r="N39" s="53">
        <f t="shared" si="12"/>
        <v>288582.45114922756</v>
      </c>
      <c r="P39" s="67"/>
      <c r="Q39" s="69"/>
    </row>
    <row r="40" spans="1:17">
      <c r="A40" s="51" t="s">
        <v>32</v>
      </c>
      <c r="B40" s="70">
        <v>10471</v>
      </c>
      <c r="C40" s="70">
        <v>10543</v>
      </c>
      <c r="D40" s="70">
        <v>10524</v>
      </c>
      <c r="E40" s="70">
        <v>10546</v>
      </c>
      <c r="F40" s="70">
        <v>10577</v>
      </c>
      <c r="G40" s="70">
        <v>10560</v>
      </c>
      <c r="H40" s="70">
        <v>10591</v>
      </c>
      <c r="I40" s="70">
        <v>10602</v>
      </c>
      <c r="J40" s="70">
        <v>10647</v>
      </c>
      <c r="K40" s="70">
        <v>10639</v>
      </c>
      <c r="L40" s="70">
        <v>10642</v>
      </c>
      <c r="M40" s="70">
        <v>10717</v>
      </c>
      <c r="N40" s="53">
        <f t="shared" si="12"/>
        <v>127059</v>
      </c>
      <c r="P40" s="67"/>
      <c r="Q40" s="69"/>
    </row>
    <row r="41" spans="1:17">
      <c r="A41" s="51" t="s">
        <v>99</v>
      </c>
      <c r="B41" s="70">
        <v>2.9608977830803362</v>
      </c>
      <c r="C41" s="70">
        <v>2.9565530923114851</v>
      </c>
      <c r="D41" s="70">
        <v>2.9764170161485644</v>
      </c>
      <c r="E41" s="70">
        <v>2.9888858478468263</v>
      </c>
      <c r="F41" s="70">
        <v>2.9920709999700299</v>
      </c>
      <c r="G41" s="70">
        <v>2.9837554964187989</v>
      </c>
      <c r="H41" s="70">
        <v>2.9736899920787754</v>
      </c>
      <c r="I41" s="70">
        <v>2.9739339374357989</v>
      </c>
      <c r="J41" s="70">
        <v>2.974556907784768</v>
      </c>
      <c r="K41" s="70">
        <v>2.9756401192305981</v>
      </c>
      <c r="L41" s="70">
        <v>2.9772781565806272</v>
      </c>
      <c r="M41" s="70">
        <v>2.9795809414994205</v>
      </c>
      <c r="N41" s="53">
        <f t="shared" si="12"/>
        <v>35.713260290386025</v>
      </c>
      <c r="P41" s="67"/>
      <c r="Q41" s="69"/>
    </row>
    <row r="42" spans="1:17">
      <c r="A42" s="51" t="s">
        <v>33</v>
      </c>
      <c r="B42" s="70">
        <v>1712.077705909632</v>
      </c>
      <c r="C42" s="70">
        <v>1718.1021314021013</v>
      </c>
      <c r="D42" s="70">
        <v>1721.3352590189436</v>
      </c>
      <c r="E42" s="70">
        <v>1726.1067528260774</v>
      </c>
      <c r="F42" s="70">
        <v>1723.6583544504726</v>
      </c>
      <c r="G42" s="70">
        <v>1720.854271025049</v>
      </c>
      <c r="H42" s="70">
        <v>1719.3747392894822</v>
      </c>
      <c r="I42" s="70">
        <v>1719.6521712158692</v>
      </c>
      <c r="J42" s="70">
        <v>1719.017732496033</v>
      </c>
      <c r="K42" s="70">
        <v>1718.5828666894461</v>
      </c>
      <c r="L42" s="70">
        <v>1717.4839924672067</v>
      </c>
      <c r="M42" s="70">
        <v>1721.5536824948053</v>
      </c>
      <c r="N42" s="53">
        <f t="shared" si="12"/>
        <v>20637.79965928512</v>
      </c>
      <c r="P42" s="67"/>
      <c r="Q42" s="69"/>
    </row>
    <row r="43" spans="1:17">
      <c r="A43" s="51" t="s">
        <v>34</v>
      </c>
      <c r="B43" s="70">
        <v>44.260886805380814</v>
      </c>
      <c r="C43" s="70">
        <v>44.365960705829224</v>
      </c>
      <c r="D43" s="70">
        <v>44.396457431314992</v>
      </c>
      <c r="E43" s="70">
        <v>44.387828883924577</v>
      </c>
      <c r="F43" s="70">
        <v>44.336814624251623</v>
      </c>
      <c r="G43" s="70">
        <v>44.278076954050363</v>
      </c>
      <c r="H43" s="70">
        <v>44.248877348369383</v>
      </c>
      <c r="I43" s="70">
        <v>44.254546718449554</v>
      </c>
      <c r="J43" s="70">
        <v>44.259432668623845</v>
      </c>
      <c r="K43" s="70">
        <v>44.270309702726841</v>
      </c>
      <c r="L43" s="70">
        <v>44.281197960092669</v>
      </c>
      <c r="M43" s="70">
        <v>44.292023776306088</v>
      </c>
      <c r="N43" s="53">
        <f t="shared" si="12"/>
        <v>531.63241357931997</v>
      </c>
      <c r="P43" s="67"/>
      <c r="Q43" s="69"/>
    </row>
    <row r="44" spans="1:17">
      <c r="A44" s="51" t="s">
        <v>98</v>
      </c>
      <c r="B44" s="70">
        <v>2.457177186</v>
      </c>
      <c r="C44" s="70">
        <v>2.4028949046000001</v>
      </c>
      <c r="D44" s="70">
        <v>2.64318439506</v>
      </c>
      <c r="E44" s="70">
        <v>2.6475028345660001</v>
      </c>
      <c r="F44" s="70">
        <v>2.6462531180226003</v>
      </c>
      <c r="G44" s="70">
        <v>2.6482784298248601</v>
      </c>
      <c r="H44" s="70">
        <v>2.6442462728073464</v>
      </c>
      <c r="I44" s="70">
        <v>2.6529249000880806</v>
      </c>
      <c r="J44" s="70">
        <v>2.6568967900968889</v>
      </c>
      <c r="K44" s="70">
        <v>2.6451338091065777</v>
      </c>
      <c r="L44" s="70">
        <v>2.6044492640172354</v>
      </c>
      <c r="M44" s="70">
        <v>2.6191764718189594</v>
      </c>
      <c r="N44" s="53">
        <f t="shared" si="12"/>
        <v>31.268118376008552</v>
      </c>
      <c r="P44" s="67"/>
      <c r="Q44" s="69"/>
    </row>
    <row r="45" spans="1:17">
      <c r="A45" s="51" t="s">
        <v>35</v>
      </c>
      <c r="B45" s="70">
        <v>22</v>
      </c>
      <c r="C45" s="70">
        <v>22</v>
      </c>
      <c r="D45" s="70">
        <v>22</v>
      </c>
      <c r="E45" s="70">
        <v>22</v>
      </c>
      <c r="F45" s="70">
        <v>22</v>
      </c>
      <c r="G45" s="70">
        <v>22</v>
      </c>
      <c r="H45" s="70">
        <v>22</v>
      </c>
      <c r="I45" s="70">
        <v>22</v>
      </c>
      <c r="J45" s="70">
        <v>22</v>
      </c>
      <c r="K45" s="70">
        <v>22</v>
      </c>
      <c r="L45" s="70">
        <v>22</v>
      </c>
      <c r="M45" s="70">
        <v>22</v>
      </c>
      <c r="N45" s="53">
        <f t="shared" si="12"/>
        <v>264</v>
      </c>
      <c r="P45" s="67"/>
      <c r="Q45" s="69"/>
    </row>
    <row r="46" spans="1:17">
      <c r="A46" s="51" t="s">
        <v>36</v>
      </c>
      <c r="B46" s="68">
        <v>1268.6551144234782</v>
      </c>
      <c r="C46" s="68">
        <v>1274.5796072921012</v>
      </c>
      <c r="D46" s="68">
        <v>1279.5420412331098</v>
      </c>
      <c r="E46" s="68">
        <v>1269.5416446692025</v>
      </c>
      <c r="F46" s="68">
        <v>1283.4089150583025</v>
      </c>
      <c r="G46" s="68">
        <v>1274.3187079798276</v>
      </c>
      <c r="H46" s="68">
        <v>1272.4211003114801</v>
      </c>
      <c r="I46" s="68">
        <v>1284.6253107541033</v>
      </c>
      <c r="J46" s="68">
        <v>1276.5518659905563</v>
      </c>
      <c r="K46" s="68">
        <v>1285.9206761917371</v>
      </c>
      <c r="L46" s="68">
        <v>1278.7386695792911</v>
      </c>
      <c r="M46" s="68">
        <v>1283.7154530023281</v>
      </c>
      <c r="N46" s="53">
        <f t="shared" si="12"/>
        <v>15332.019106485517</v>
      </c>
      <c r="P46" s="67"/>
      <c r="Q46" s="69"/>
    </row>
    <row r="47" spans="1:17">
      <c r="A47" s="51" t="s">
        <v>37</v>
      </c>
      <c r="B47" s="68">
        <v>1250.6368617521466</v>
      </c>
      <c r="C47" s="68">
        <v>1250.5232668981589</v>
      </c>
      <c r="D47" s="68">
        <v>1250.4002058063388</v>
      </c>
      <c r="E47" s="68">
        <v>1250.4057785124228</v>
      </c>
      <c r="F47" s="68">
        <v>1250.8284822773467</v>
      </c>
      <c r="G47" s="68">
        <v>1250.3165039486071</v>
      </c>
      <c r="H47" s="68">
        <v>1250.3801092159292</v>
      </c>
      <c r="I47" s="68">
        <v>1250.4173951948287</v>
      </c>
      <c r="J47" s="68">
        <v>1250.2915891895452</v>
      </c>
      <c r="K47" s="68">
        <v>1250.2738613834172</v>
      </c>
      <c r="L47" s="68">
        <v>1250.3205984624515</v>
      </c>
      <c r="M47" s="68">
        <v>1250.4357232394955</v>
      </c>
      <c r="N47" s="53">
        <f t="shared" si="12"/>
        <v>15005.230375880687</v>
      </c>
      <c r="P47" s="67"/>
      <c r="Q47" s="69"/>
    </row>
    <row r="48" spans="1:17">
      <c r="A48" s="51" t="s">
        <v>38</v>
      </c>
      <c r="B48" s="68">
        <v>499.32333333333344</v>
      </c>
      <c r="C48" s="68">
        <v>500.43333333333345</v>
      </c>
      <c r="D48" s="68">
        <v>501.54333333333346</v>
      </c>
      <c r="E48" s="68">
        <v>502.65333333333348</v>
      </c>
      <c r="F48" s="68">
        <v>503.76333333333349</v>
      </c>
      <c r="G48" s="68">
        <v>504.87333333333351</v>
      </c>
      <c r="H48" s="68">
        <v>505.98333333333352</v>
      </c>
      <c r="I48" s="68">
        <v>507.09333333333353</v>
      </c>
      <c r="J48" s="68">
        <v>508.20333333333355</v>
      </c>
      <c r="K48" s="68">
        <v>509.31333333333356</v>
      </c>
      <c r="L48" s="68">
        <v>510.42333333333357</v>
      </c>
      <c r="M48" s="68">
        <v>511.53333333333359</v>
      </c>
      <c r="N48" s="53">
        <f t="shared" si="12"/>
        <v>6065.1400000000021</v>
      </c>
      <c r="P48" s="67"/>
      <c r="Q48" s="69"/>
    </row>
    <row r="49" spans="1:17">
      <c r="A49" s="51" t="s">
        <v>97</v>
      </c>
      <c r="B49" s="68">
        <v>1</v>
      </c>
      <c r="C49" s="68">
        <v>1</v>
      </c>
      <c r="D49" s="68">
        <v>1</v>
      </c>
      <c r="E49" s="68">
        <v>1</v>
      </c>
      <c r="F49" s="68">
        <v>1</v>
      </c>
      <c r="G49" s="68">
        <v>1</v>
      </c>
      <c r="H49" s="68">
        <v>1</v>
      </c>
      <c r="I49" s="68">
        <v>1</v>
      </c>
      <c r="J49" s="68">
        <v>1</v>
      </c>
      <c r="K49" s="68">
        <v>1</v>
      </c>
      <c r="L49" s="68">
        <v>1</v>
      </c>
      <c r="M49" s="68">
        <v>1</v>
      </c>
      <c r="N49" s="53">
        <f t="shared" si="12"/>
        <v>12</v>
      </c>
      <c r="P49" s="67"/>
      <c r="Q49" s="69"/>
    </row>
    <row r="50" spans="1:17">
      <c r="A50" s="51" t="s">
        <v>0</v>
      </c>
      <c r="B50" s="53">
        <f>SUM(B37:B49)</f>
        <v>266978.16882346617</v>
      </c>
      <c r="C50" s="53">
        <f t="shared" ref="C50:M50" si="13">SUM(C37:C49)</f>
        <v>267578.18344791018</v>
      </c>
      <c r="D50" s="53">
        <f t="shared" si="13"/>
        <v>267915.60938035301</v>
      </c>
      <c r="E50" s="53">
        <f t="shared" si="13"/>
        <v>267945.50181535661</v>
      </c>
      <c r="F50" s="53">
        <f t="shared" si="13"/>
        <v>267950.42132958159</v>
      </c>
      <c r="G50" s="53">
        <f t="shared" si="13"/>
        <v>267925.06133123551</v>
      </c>
      <c r="H50" s="53">
        <f t="shared" si="13"/>
        <v>267663.81520024867</v>
      </c>
      <c r="I50" s="53">
        <f t="shared" si="13"/>
        <v>267421.45743024128</v>
      </c>
      <c r="J50" s="53">
        <f t="shared" si="13"/>
        <v>267820.73790721409</v>
      </c>
      <c r="K50" s="53">
        <f t="shared" si="13"/>
        <v>268028.76599068707</v>
      </c>
      <c r="L50" s="53">
        <f t="shared" si="13"/>
        <v>268691.61603551579</v>
      </c>
      <c r="M50" s="53">
        <f t="shared" si="13"/>
        <v>269404.91539131454</v>
      </c>
      <c r="N50" s="53">
        <f>SUM(N37:N49)</f>
        <v>3215324.2540831245</v>
      </c>
    </row>
    <row r="51" spans="1:17">
      <c r="A51" s="8"/>
      <c r="N51" s="52"/>
    </row>
    <row r="52" spans="1:17">
      <c r="A52" s="51" t="s">
        <v>74</v>
      </c>
      <c r="B52" s="53">
        <f>B37+B38</f>
        <v>227789</v>
      </c>
      <c r="C52" s="53">
        <f t="shared" ref="C52:M52" si="14">C37+C38</f>
        <v>228252</v>
      </c>
      <c r="D52" s="53">
        <f t="shared" si="14"/>
        <v>228554</v>
      </c>
      <c r="E52" s="53">
        <f t="shared" si="14"/>
        <v>228554</v>
      </c>
      <c r="F52" s="53">
        <f t="shared" si="14"/>
        <v>228510</v>
      </c>
      <c r="G52" s="53">
        <f t="shared" si="14"/>
        <v>228499</v>
      </c>
      <c r="H52" s="53">
        <f t="shared" si="14"/>
        <v>228219</v>
      </c>
      <c r="I52" s="53">
        <f t="shared" si="14"/>
        <v>227897</v>
      </c>
      <c r="J52" s="53">
        <f t="shared" si="14"/>
        <v>228275</v>
      </c>
      <c r="K52" s="53">
        <f t="shared" si="14"/>
        <v>228444</v>
      </c>
      <c r="L52" s="53">
        <f t="shared" si="14"/>
        <v>229103</v>
      </c>
      <c r="M52" s="53">
        <f t="shared" si="14"/>
        <v>229672</v>
      </c>
      <c r="N52" s="52">
        <f>SUM(B52:M52)</f>
        <v>2741768</v>
      </c>
    </row>
    <row r="53" spans="1:17">
      <c r="A53" s="51" t="s">
        <v>100</v>
      </c>
      <c r="B53" s="53">
        <f>B39+B40+B41</f>
        <v>34388.757744056275</v>
      </c>
      <c r="C53" s="53">
        <f t="shared" ref="C53:M53" si="15">C39+C40+C41</f>
        <v>34512.776253374002</v>
      </c>
      <c r="D53" s="53">
        <f t="shared" si="15"/>
        <v>34538.748899134909</v>
      </c>
      <c r="E53" s="53">
        <f t="shared" si="15"/>
        <v>34572.758974297096</v>
      </c>
      <c r="F53" s="53">
        <f t="shared" si="15"/>
        <v>34608.779176719923</v>
      </c>
      <c r="G53" s="53">
        <f t="shared" si="15"/>
        <v>34605.772159564811</v>
      </c>
      <c r="H53" s="53">
        <f t="shared" si="15"/>
        <v>34626.762794477283</v>
      </c>
      <c r="I53" s="53">
        <f t="shared" si="15"/>
        <v>34692.761748124642</v>
      </c>
      <c r="J53" s="53">
        <f t="shared" si="15"/>
        <v>34721.757056745912</v>
      </c>
      <c r="K53" s="53">
        <f t="shared" si="15"/>
        <v>34750.759809577256</v>
      </c>
      <c r="L53" s="53">
        <f t="shared" si="15"/>
        <v>34761.763794449398</v>
      </c>
      <c r="M53" s="53">
        <f t="shared" si="15"/>
        <v>34895.765998996467</v>
      </c>
      <c r="N53" s="52">
        <f t="shared" ref="N53:N57" si="16">SUM(B53:M53)</f>
        <v>415677.16440951795</v>
      </c>
    </row>
    <row r="54" spans="1:17">
      <c r="A54" s="51" t="s">
        <v>102</v>
      </c>
      <c r="B54" s="53">
        <f>B42+B43+B44</f>
        <v>1758.7957699010128</v>
      </c>
      <c r="C54" s="53">
        <f t="shared" ref="C54:M54" si="17">C42+C43+C44</f>
        <v>1764.8709870125306</v>
      </c>
      <c r="D54" s="53">
        <f t="shared" si="17"/>
        <v>1768.3749008453185</v>
      </c>
      <c r="E54" s="53">
        <f t="shared" si="17"/>
        <v>1773.142084544568</v>
      </c>
      <c r="F54" s="53">
        <f t="shared" si="17"/>
        <v>1770.6414221927469</v>
      </c>
      <c r="G54" s="53">
        <f t="shared" si="17"/>
        <v>1767.7806264089243</v>
      </c>
      <c r="H54" s="53">
        <f t="shared" si="17"/>
        <v>1766.267862910659</v>
      </c>
      <c r="I54" s="53">
        <f t="shared" si="17"/>
        <v>1766.5596428344068</v>
      </c>
      <c r="J54" s="53">
        <f t="shared" si="17"/>
        <v>1765.9340619547536</v>
      </c>
      <c r="K54" s="53">
        <f t="shared" si="17"/>
        <v>1765.4983102012793</v>
      </c>
      <c r="L54" s="53">
        <f t="shared" si="17"/>
        <v>1764.3696396913165</v>
      </c>
      <c r="M54" s="53">
        <f t="shared" si="17"/>
        <v>1768.4648827429303</v>
      </c>
      <c r="N54" s="52">
        <f t="shared" si="16"/>
        <v>21200.700191240448</v>
      </c>
    </row>
    <row r="55" spans="1:17">
      <c r="A55" s="51" t="s">
        <v>101</v>
      </c>
      <c r="B55" s="53">
        <f>B45+B49</f>
        <v>23</v>
      </c>
      <c r="C55" s="53">
        <f t="shared" ref="C55:M55" si="18">C45+C49</f>
        <v>23</v>
      </c>
      <c r="D55" s="53">
        <f t="shared" si="18"/>
        <v>23</v>
      </c>
      <c r="E55" s="53">
        <f t="shared" si="18"/>
        <v>23</v>
      </c>
      <c r="F55" s="53">
        <f t="shared" si="18"/>
        <v>23</v>
      </c>
      <c r="G55" s="53">
        <f t="shared" si="18"/>
        <v>23</v>
      </c>
      <c r="H55" s="53">
        <f t="shared" si="18"/>
        <v>23</v>
      </c>
      <c r="I55" s="53">
        <f t="shared" si="18"/>
        <v>23</v>
      </c>
      <c r="J55" s="53">
        <f t="shared" si="18"/>
        <v>23</v>
      </c>
      <c r="K55" s="53">
        <f t="shared" si="18"/>
        <v>23</v>
      </c>
      <c r="L55" s="53">
        <f t="shared" si="18"/>
        <v>23</v>
      </c>
      <c r="M55" s="53">
        <f t="shared" si="18"/>
        <v>23</v>
      </c>
      <c r="N55" s="52">
        <f t="shared" si="16"/>
        <v>276</v>
      </c>
    </row>
    <row r="56" spans="1:17">
      <c r="A56" s="51" t="s">
        <v>39</v>
      </c>
      <c r="B56" s="53">
        <f>B46+B47</f>
        <v>2519.2919761756248</v>
      </c>
      <c r="C56" s="53">
        <f t="shared" ref="C56:M56" si="19">C46+C47</f>
        <v>2525.1028741902601</v>
      </c>
      <c r="D56" s="53">
        <f t="shared" si="19"/>
        <v>2529.9422470394484</v>
      </c>
      <c r="E56" s="53">
        <f t="shared" si="19"/>
        <v>2519.9474231816253</v>
      </c>
      <c r="F56" s="53">
        <f t="shared" si="19"/>
        <v>2534.2373973356489</v>
      </c>
      <c r="G56" s="53">
        <f t="shared" si="19"/>
        <v>2524.6352119284347</v>
      </c>
      <c r="H56" s="53">
        <f t="shared" si="19"/>
        <v>2522.8012095274094</v>
      </c>
      <c r="I56" s="53">
        <f t="shared" si="19"/>
        <v>2535.0427059489321</v>
      </c>
      <c r="J56" s="53">
        <f t="shared" si="19"/>
        <v>2526.8434551801015</v>
      </c>
      <c r="K56" s="53">
        <f t="shared" si="19"/>
        <v>2536.1945375751543</v>
      </c>
      <c r="L56" s="53">
        <f t="shared" si="19"/>
        <v>2529.0592680417426</v>
      </c>
      <c r="M56" s="53">
        <f t="shared" si="19"/>
        <v>2534.1511762418236</v>
      </c>
      <c r="N56" s="52">
        <f t="shared" si="16"/>
        <v>30337.249482366205</v>
      </c>
    </row>
    <row r="57" spans="1:17">
      <c r="A57" s="51" t="s">
        <v>38</v>
      </c>
      <c r="B57" s="53">
        <f>B48</f>
        <v>499.32333333333344</v>
      </c>
      <c r="C57" s="53">
        <f t="shared" ref="C57:M57" si="20">C48</f>
        <v>500.43333333333345</v>
      </c>
      <c r="D57" s="53">
        <f t="shared" si="20"/>
        <v>501.54333333333346</v>
      </c>
      <c r="E57" s="53">
        <f t="shared" si="20"/>
        <v>502.65333333333348</v>
      </c>
      <c r="F57" s="53">
        <f t="shared" si="20"/>
        <v>503.76333333333349</v>
      </c>
      <c r="G57" s="53">
        <f t="shared" si="20"/>
        <v>504.87333333333351</v>
      </c>
      <c r="H57" s="53">
        <f t="shared" si="20"/>
        <v>505.98333333333352</v>
      </c>
      <c r="I57" s="53">
        <f t="shared" si="20"/>
        <v>507.09333333333353</v>
      </c>
      <c r="J57" s="53">
        <f t="shared" si="20"/>
        <v>508.20333333333355</v>
      </c>
      <c r="K57" s="53">
        <f t="shared" si="20"/>
        <v>509.31333333333356</v>
      </c>
      <c r="L57" s="53">
        <f t="shared" si="20"/>
        <v>510.42333333333357</v>
      </c>
      <c r="M57" s="53">
        <f t="shared" si="20"/>
        <v>511.53333333333359</v>
      </c>
      <c r="N57" s="52">
        <f t="shared" si="16"/>
        <v>6065.1400000000021</v>
      </c>
    </row>
    <row r="58" spans="1:17">
      <c r="A58" s="51" t="s">
        <v>0</v>
      </c>
      <c r="B58" s="52">
        <f>SUM(B52:B57)</f>
        <v>266978.16882346623</v>
      </c>
      <c r="C58" s="52">
        <f>SUM(C52:C57)</f>
        <v>267578.18344791012</v>
      </c>
      <c r="D58" s="52">
        <f>SUM(D52:D57)</f>
        <v>267915.60938035307</v>
      </c>
      <c r="E58" s="52">
        <f>SUM(E52:E57)</f>
        <v>267945.50181535661</v>
      </c>
      <c r="F58" s="52">
        <f t="shared" ref="F58:N58" si="21">SUM(F52:F57)</f>
        <v>267950.42132958164</v>
      </c>
      <c r="G58" s="52">
        <f t="shared" si="21"/>
        <v>267925.06133123557</v>
      </c>
      <c r="H58" s="52">
        <f t="shared" si="21"/>
        <v>267663.81520024867</v>
      </c>
      <c r="I58" s="52">
        <f t="shared" si="21"/>
        <v>267421.45743024128</v>
      </c>
      <c r="J58" s="52">
        <f t="shared" si="21"/>
        <v>267820.73790721409</v>
      </c>
      <c r="K58" s="52">
        <f t="shared" si="21"/>
        <v>268028.76599068707</v>
      </c>
      <c r="L58" s="52">
        <f t="shared" si="21"/>
        <v>268691.61603551579</v>
      </c>
      <c r="M58" s="52">
        <f t="shared" si="21"/>
        <v>269404.91539131448</v>
      </c>
      <c r="N58" s="52">
        <f t="shared" si="21"/>
        <v>3215324.2540831245</v>
      </c>
    </row>
    <row r="59" spans="1:17">
      <c r="N59" s="52">
        <f>SUM(B59:M59)</f>
        <v>0</v>
      </c>
    </row>
    <row r="60" spans="1:17">
      <c r="A60" s="51" t="s">
        <v>71</v>
      </c>
      <c r="B60" s="52">
        <f>SUM(B37:B49)-SUM(B52:B57)</f>
        <v>0</v>
      </c>
      <c r="C60" s="52">
        <f t="shared" ref="C60:M60" si="22">SUM(C37:C49)-SUM(C52:C57)</f>
        <v>0</v>
      </c>
      <c r="D60" s="52">
        <f t="shared" si="22"/>
        <v>0</v>
      </c>
      <c r="E60" s="52">
        <f t="shared" si="22"/>
        <v>0</v>
      </c>
      <c r="F60" s="52">
        <f t="shared" si="22"/>
        <v>0</v>
      </c>
      <c r="G60" s="52">
        <f t="shared" si="22"/>
        <v>0</v>
      </c>
      <c r="H60" s="52">
        <f t="shared" si="22"/>
        <v>0</v>
      </c>
      <c r="I60" s="52">
        <f t="shared" si="22"/>
        <v>0</v>
      </c>
      <c r="J60" s="52">
        <f t="shared" si="22"/>
        <v>0</v>
      </c>
      <c r="K60" s="52">
        <f t="shared" si="22"/>
        <v>0</v>
      </c>
      <c r="L60" s="52">
        <f t="shared" si="22"/>
        <v>0</v>
      </c>
      <c r="M60" s="52">
        <f t="shared" si="22"/>
        <v>0</v>
      </c>
      <c r="N60" s="52">
        <f>SUM(B60:M60)</f>
        <v>0</v>
      </c>
    </row>
    <row r="62" spans="1:17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7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7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2:13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2:13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2:13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2:13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2:13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2:13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2:13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2:13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2:13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2:13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2:13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2:13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2:13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2:13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2:13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2:13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2:13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2:13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2:1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2:13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2:13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2:13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2:13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2:13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2:13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2:13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2:13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2:13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8" spans="2:1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2:1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2:1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9"/>
  <sheetViews>
    <sheetView workbookViewId="0">
      <selection activeCell="C9" sqref="C9"/>
    </sheetView>
  </sheetViews>
  <sheetFormatPr defaultRowHeight="15"/>
  <cols>
    <col min="1" max="1" width="30.85546875" style="57" customWidth="1"/>
    <col min="2" max="2" width="9.140625" style="57" customWidth="1"/>
    <col min="3" max="3" width="9.7109375" style="57" customWidth="1"/>
    <col min="4" max="4" width="15.140625" style="57" customWidth="1"/>
    <col min="5" max="5" width="11.85546875" style="57" bestFit="1" customWidth="1"/>
    <col min="6" max="8" width="9.140625" style="57"/>
    <col min="9" max="9" width="9.42578125" style="57" customWidth="1"/>
    <col min="10" max="255" width="9.140625" style="57"/>
    <col min="256" max="256" width="30.85546875" style="57" customWidth="1"/>
    <col min="257" max="257" width="9.140625" style="57" customWidth="1"/>
    <col min="258" max="258" width="9.7109375" style="57" customWidth="1"/>
    <col min="259" max="259" width="15.140625" style="57" customWidth="1"/>
    <col min="260" max="260" width="12" style="57" customWidth="1"/>
    <col min="261" max="264" width="9.140625" style="57"/>
    <col min="265" max="265" width="9.42578125" style="57" customWidth="1"/>
    <col min="266" max="511" width="9.140625" style="57"/>
    <col min="512" max="512" width="30.85546875" style="57" customWidth="1"/>
    <col min="513" max="513" width="9.140625" style="57" customWidth="1"/>
    <col min="514" max="514" width="9.7109375" style="57" customWidth="1"/>
    <col min="515" max="515" width="15.140625" style="57" customWidth="1"/>
    <col min="516" max="516" width="12" style="57" customWidth="1"/>
    <col min="517" max="520" width="9.140625" style="57"/>
    <col min="521" max="521" width="9.42578125" style="57" customWidth="1"/>
    <col min="522" max="767" width="9.140625" style="57"/>
    <col min="768" max="768" width="30.85546875" style="57" customWidth="1"/>
    <col min="769" max="769" width="9.140625" style="57" customWidth="1"/>
    <col min="770" max="770" width="9.7109375" style="57" customWidth="1"/>
    <col min="771" max="771" width="15.140625" style="57" customWidth="1"/>
    <col min="772" max="772" width="12" style="57" customWidth="1"/>
    <col min="773" max="776" width="9.140625" style="57"/>
    <col min="777" max="777" width="9.42578125" style="57" customWidth="1"/>
    <col min="778" max="1023" width="9.140625" style="57"/>
    <col min="1024" max="1024" width="30.85546875" style="57" customWidth="1"/>
    <col min="1025" max="1025" width="9.140625" style="57" customWidth="1"/>
    <col min="1026" max="1026" width="9.7109375" style="57" customWidth="1"/>
    <col min="1027" max="1027" width="15.140625" style="57" customWidth="1"/>
    <col min="1028" max="1028" width="12" style="57" customWidth="1"/>
    <col min="1029" max="1032" width="9.140625" style="57"/>
    <col min="1033" max="1033" width="9.42578125" style="57" customWidth="1"/>
    <col min="1034" max="1279" width="9.140625" style="57"/>
    <col min="1280" max="1280" width="30.85546875" style="57" customWidth="1"/>
    <col min="1281" max="1281" width="9.140625" style="57" customWidth="1"/>
    <col min="1282" max="1282" width="9.7109375" style="57" customWidth="1"/>
    <col min="1283" max="1283" width="15.140625" style="57" customWidth="1"/>
    <col min="1284" max="1284" width="12" style="57" customWidth="1"/>
    <col min="1285" max="1288" width="9.140625" style="57"/>
    <col min="1289" max="1289" width="9.42578125" style="57" customWidth="1"/>
    <col min="1290" max="1535" width="9.140625" style="57"/>
    <col min="1536" max="1536" width="30.85546875" style="57" customWidth="1"/>
    <col min="1537" max="1537" width="9.140625" style="57" customWidth="1"/>
    <col min="1538" max="1538" width="9.7109375" style="57" customWidth="1"/>
    <col min="1539" max="1539" width="15.140625" style="57" customWidth="1"/>
    <col min="1540" max="1540" width="12" style="57" customWidth="1"/>
    <col min="1541" max="1544" width="9.140625" style="57"/>
    <col min="1545" max="1545" width="9.42578125" style="57" customWidth="1"/>
    <col min="1546" max="1791" width="9.140625" style="57"/>
    <col min="1792" max="1792" width="30.85546875" style="57" customWidth="1"/>
    <col min="1793" max="1793" width="9.140625" style="57" customWidth="1"/>
    <col min="1794" max="1794" width="9.7109375" style="57" customWidth="1"/>
    <col min="1795" max="1795" width="15.140625" style="57" customWidth="1"/>
    <col min="1796" max="1796" width="12" style="57" customWidth="1"/>
    <col min="1797" max="1800" width="9.140625" style="57"/>
    <col min="1801" max="1801" width="9.42578125" style="57" customWidth="1"/>
    <col min="1802" max="2047" width="9.140625" style="57"/>
    <col min="2048" max="2048" width="30.85546875" style="57" customWidth="1"/>
    <col min="2049" max="2049" width="9.140625" style="57" customWidth="1"/>
    <col min="2050" max="2050" width="9.7109375" style="57" customWidth="1"/>
    <col min="2051" max="2051" width="15.140625" style="57" customWidth="1"/>
    <col min="2052" max="2052" width="12" style="57" customWidth="1"/>
    <col min="2053" max="2056" width="9.140625" style="57"/>
    <col min="2057" max="2057" width="9.42578125" style="57" customWidth="1"/>
    <col min="2058" max="2303" width="9.140625" style="57"/>
    <col min="2304" max="2304" width="30.85546875" style="57" customWidth="1"/>
    <col min="2305" max="2305" width="9.140625" style="57" customWidth="1"/>
    <col min="2306" max="2306" width="9.7109375" style="57" customWidth="1"/>
    <col min="2307" max="2307" width="15.140625" style="57" customWidth="1"/>
    <col min="2308" max="2308" width="12" style="57" customWidth="1"/>
    <col min="2309" max="2312" width="9.140625" style="57"/>
    <col min="2313" max="2313" width="9.42578125" style="57" customWidth="1"/>
    <col min="2314" max="2559" width="9.140625" style="57"/>
    <col min="2560" max="2560" width="30.85546875" style="57" customWidth="1"/>
    <col min="2561" max="2561" width="9.140625" style="57" customWidth="1"/>
    <col min="2562" max="2562" width="9.7109375" style="57" customWidth="1"/>
    <col min="2563" max="2563" width="15.140625" style="57" customWidth="1"/>
    <col min="2564" max="2564" width="12" style="57" customWidth="1"/>
    <col min="2565" max="2568" width="9.140625" style="57"/>
    <col min="2569" max="2569" width="9.42578125" style="57" customWidth="1"/>
    <col min="2570" max="2815" width="9.140625" style="57"/>
    <col min="2816" max="2816" width="30.85546875" style="57" customWidth="1"/>
    <col min="2817" max="2817" width="9.140625" style="57" customWidth="1"/>
    <col min="2818" max="2818" width="9.7109375" style="57" customWidth="1"/>
    <col min="2819" max="2819" width="15.140625" style="57" customWidth="1"/>
    <col min="2820" max="2820" width="12" style="57" customWidth="1"/>
    <col min="2821" max="2824" width="9.140625" style="57"/>
    <col min="2825" max="2825" width="9.42578125" style="57" customWidth="1"/>
    <col min="2826" max="3071" width="9.140625" style="57"/>
    <col min="3072" max="3072" width="30.85546875" style="57" customWidth="1"/>
    <col min="3073" max="3073" width="9.140625" style="57" customWidth="1"/>
    <col min="3074" max="3074" width="9.7109375" style="57" customWidth="1"/>
    <col min="3075" max="3075" width="15.140625" style="57" customWidth="1"/>
    <col min="3076" max="3076" width="12" style="57" customWidth="1"/>
    <col min="3077" max="3080" width="9.140625" style="57"/>
    <col min="3081" max="3081" width="9.42578125" style="57" customWidth="1"/>
    <col min="3082" max="3327" width="9.140625" style="57"/>
    <col min="3328" max="3328" width="30.85546875" style="57" customWidth="1"/>
    <col min="3329" max="3329" width="9.140625" style="57" customWidth="1"/>
    <col min="3330" max="3330" width="9.7109375" style="57" customWidth="1"/>
    <col min="3331" max="3331" width="15.140625" style="57" customWidth="1"/>
    <col min="3332" max="3332" width="12" style="57" customWidth="1"/>
    <col min="3333" max="3336" width="9.140625" style="57"/>
    <col min="3337" max="3337" width="9.42578125" style="57" customWidth="1"/>
    <col min="3338" max="3583" width="9.140625" style="57"/>
    <col min="3584" max="3584" width="30.85546875" style="57" customWidth="1"/>
    <col min="3585" max="3585" width="9.140625" style="57" customWidth="1"/>
    <col min="3586" max="3586" width="9.7109375" style="57" customWidth="1"/>
    <col min="3587" max="3587" width="15.140625" style="57" customWidth="1"/>
    <col min="3588" max="3588" width="12" style="57" customWidth="1"/>
    <col min="3589" max="3592" width="9.140625" style="57"/>
    <col min="3593" max="3593" width="9.42578125" style="57" customWidth="1"/>
    <col min="3594" max="3839" width="9.140625" style="57"/>
    <col min="3840" max="3840" width="30.85546875" style="57" customWidth="1"/>
    <col min="3841" max="3841" width="9.140625" style="57" customWidth="1"/>
    <col min="3842" max="3842" width="9.7109375" style="57" customWidth="1"/>
    <col min="3843" max="3843" width="15.140625" style="57" customWidth="1"/>
    <col min="3844" max="3844" width="12" style="57" customWidth="1"/>
    <col min="3845" max="3848" width="9.140625" style="57"/>
    <col min="3849" max="3849" width="9.42578125" style="57" customWidth="1"/>
    <col min="3850" max="4095" width="9.140625" style="57"/>
    <col min="4096" max="4096" width="30.85546875" style="57" customWidth="1"/>
    <col min="4097" max="4097" width="9.140625" style="57" customWidth="1"/>
    <col min="4098" max="4098" width="9.7109375" style="57" customWidth="1"/>
    <col min="4099" max="4099" width="15.140625" style="57" customWidth="1"/>
    <col min="4100" max="4100" width="12" style="57" customWidth="1"/>
    <col min="4101" max="4104" width="9.140625" style="57"/>
    <col min="4105" max="4105" width="9.42578125" style="57" customWidth="1"/>
    <col min="4106" max="4351" width="9.140625" style="57"/>
    <col min="4352" max="4352" width="30.85546875" style="57" customWidth="1"/>
    <col min="4353" max="4353" width="9.140625" style="57" customWidth="1"/>
    <col min="4354" max="4354" width="9.7109375" style="57" customWidth="1"/>
    <col min="4355" max="4355" width="15.140625" style="57" customWidth="1"/>
    <col min="4356" max="4356" width="12" style="57" customWidth="1"/>
    <col min="4357" max="4360" width="9.140625" style="57"/>
    <col min="4361" max="4361" width="9.42578125" style="57" customWidth="1"/>
    <col min="4362" max="4607" width="9.140625" style="57"/>
    <col min="4608" max="4608" width="30.85546875" style="57" customWidth="1"/>
    <col min="4609" max="4609" width="9.140625" style="57" customWidth="1"/>
    <col min="4610" max="4610" width="9.7109375" style="57" customWidth="1"/>
    <col min="4611" max="4611" width="15.140625" style="57" customWidth="1"/>
    <col min="4612" max="4612" width="12" style="57" customWidth="1"/>
    <col min="4613" max="4616" width="9.140625" style="57"/>
    <col min="4617" max="4617" width="9.42578125" style="57" customWidth="1"/>
    <col min="4618" max="4863" width="9.140625" style="57"/>
    <col min="4864" max="4864" width="30.85546875" style="57" customWidth="1"/>
    <col min="4865" max="4865" width="9.140625" style="57" customWidth="1"/>
    <col min="4866" max="4866" width="9.7109375" style="57" customWidth="1"/>
    <col min="4867" max="4867" width="15.140625" style="57" customWidth="1"/>
    <col min="4868" max="4868" width="12" style="57" customWidth="1"/>
    <col min="4869" max="4872" width="9.140625" style="57"/>
    <col min="4873" max="4873" width="9.42578125" style="57" customWidth="1"/>
    <col min="4874" max="5119" width="9.140625" style="57"/>
    <col min="5120" max="5120" width="30.85546875" style="57" customWidth="1"/>
    <col min="5121" max="5121" width="9.140625" style="57" customWidth="1"/>
    <col min="5122" max="5122" width="9.7109375" style="57" customWidth="1"/>
    <col min="5123" max="5123" width="15.140625" style="57" customWidth="1"/>
    <col min="5124" max="5124" width="12" style="57" customWidth="1"/>
    <col min="5125" max="5128" width="9.140625" style="57"/>
    <col min="5129" max="5129" width="9.42578125" style="57" customWidth="1"/>
    <col min="5130" max="5375" width="9.140625" style="57"/>
    <col min="5376" max="5376" width="30.85546875" style="57" customWidth="1"/>
    <col min="5377" max="5377" width="9.140625" style="57" customWidth="1"/>
    <col min="5378" max="5378" width="9.7109375" style="57" customWidth="1"/>
    <col min="5379" max="5379" width="15.140625" style="57" customWidth="1"/>
    <col min="5380" max="5380" width="12" style="57" customWidth="1"/>
    <col min="5381" max="5384" width="9.140625" style="57"/>
    <col min="5385" max="5385" width="9.42578125" style="57" customWidth="1"/>
    <col min="5386" max="5631" width="9.140625" style="57"/>
    <col min="5632" max="5632" width="30.85546875" style="57" customWidth="1"/>
    <col min="5633" max="5633" width="9.140625" style="57" customWidth="1"/>
    <col min="5634" max="5634" width="9.7109375" style="57" customWidth="1"/>
    <col min="5635" max="5635" width="15.140625" style="57" customWidth="1"/>
    <col min="5636" max="5636" width="12" style="57" customWidth="1"/>
    <col min="5637" max="5640" width="9.140625" style="57"/>
    <col min="5641" max="5641" width="9.42578125" style="57" customWidth="1"/>
    <col min="5642" max="5887" width="9.140625" style="57"/>
    <col min="5888" max="5888" width="30.85546875" style="57" customWidth="1"/>
    <col min="5889" max="5889" width="9.140625" style="57" customWidth="1"/>
    <col min="5890" max="5890" width="9.7109375" style="57" customWidth="1"/>
    <col min="5891" max="5891" width="15.140625" style="57" customWidth="1"/>
    <col min="5892" max="5892" width="12" style="57" customWidth="1"/>
    <col min="5893" max="5896" width="9.140625" style="57"/>
    <col min="5897" max="5897" width="9.42578125" style="57" customWidth="1"/>
    <col min="5898" max="6143" width="9.140625" style="57"/>
    <col min="6144" max="6144" width="30.85546875" style="57" customWidth="1"/>
    <col min="6145" max="6145" width="9.140625" style="57" customWidth="1"/>
    <col min="6146" max="6146" width="9.7109375" style="57" customWidth="1"/>
    <col min="6147" max="6147" width="15.140625" style="57" customWidth="1"/>
    <col min="6148" max="6148" width="12" style="57" customWidth="1"/>
    <col min="6149" max="6152" width="9.140625" style="57"/>
    <col min="6153" max="6153" width="9.42578125" style="57" customWidth="1"/>
    <col min="6154" max="6399" width="9.140625" style="57"/>
    <col min="6400" max="6400" width="30.85546875" style="57" customWidth="1"/>
    <col min="6401" max="6401" width="9.140625" style="57" customWidth="1"/>
    <col min="6402" max="6402" width="9.7109375" style="57" customWidth="1"/>
    <col min="6403" max="6403" width="15.140625" style="57" customWidth="1"/>
    <col min="6404" max="6404" width="12" style="57" customWidth="1"/>
    <col min="6405" max="6408" width="9.140625" style="57"/>
    <col min="6409" max="6409" width="9.42578125" style="57" customWidth="1"/>
    <col min="6410" max="6655" width="9.140625" style="57"/>
    <col min="6656" max="6656" width="30.85546875" style="57" customWidth="1"/>
    <col min="6657" max="6657" width="9.140625" style="57" customWidth="1"/>
    <col min="6658" max="6658" width="9.7109375" style="57" customWidth="1"/>
    <col min="6659" max="6659" width="15.140625" style="57" customWidth="1"/>
    <col min="6660" max="6660" width="12" style="57" customWidth="1"/>
    <col min="6661" max="6664" width="9.140625" style="57"/>
    <col min="6665" max="6665" width="9.42578125" style="57" customWidth="1"/>
    <col min="6666" max="6911" width="9.140625" style="57"/>
    <col min="6912" max="6912" width="30.85546875" style="57" customWidth="1"/>
    <col min="6913" max="6913" width="9.140625" style="57" customWidth="1"/>
    <col min="6914" max="6914" width="9.7109375" style="57" customWidth="1"/>
    <col min="6915" max="6915" width="15.140625" style="57" customWidth="1"/>
    <col min="6916" max="6916" width="12" style="57" customWidth="1"/>
    <col min="6917" max="6920" width="9.140625" style="57"/>
    <col min="6921" max="6921" width="9.42578125" style="57" customWidth="1"/>
    <col min="6922" max="7167" width="9.140625" style="57"/>
    <col min="7168" max="7168" width="30.85546875" style="57" customWidth="1"/>
    <col min="7169" max="7169" width="9.140625" style="57" customWidth="1"/>
    <col min="7170" max="7170" width="9.7109375" style="57" customWidth="1"/>
    <col min="7171" max="7171" width="15.140625" style="57" customWidth="1"/>
    <col min="7172" max="7172" width="12" style="57" customWidth="1"/>
    <col min="7173" max="7176" width="9.140625" style="57"/>
    <col min="7177" max="7177" width="9.42578125" style="57" customWidth="1"/>
    <col min="7178" max="7423" width="9.140625" style="57"/>
    <col min="7424" max="7424" width="30.85546875" style="57" customWidth="1"/>
    <col min="7425" max="7425" width="9.140625" style="57" customWidth="1"/>
    <col min="7426" max="7426" width="9.7109375" style="57" customWidth="1"/>
    <col min="7427" max="7427" width="15.140625" style="57" customWidth="1"/>
    <col min="7428" max="7428" width="12" style="57" customWidth="1"/>
    <col min="7429" max="7432" width="9.140625" style="57"/>
    <col min="7433" max="7433" width="9.42578125" style="57" customWidth="1"/>
    <col min="7434" max="7679" width="9.140625" style="57"/>
    <col min="7680" max="7680" width="30.85546875" style="57" customWidth="1"/>
    <col min="7681" max="7681" width="9.140625" style="57" customWidth="1"/>
    <col min="7682" max="7682" width="9.7109375" style="57" customWidth="1"/>
    <col min="7683" max="7683" width="15.140625" style="57" customWidth="1"/>
    <col min="7684" max="7684" width="12" style="57" customWidth="1"/>
    <col min="7685" max="7688" width="9.140625" style="57"/>
    <col min="7689" max="7689" width="9.42578125" style="57" customWidth="1"/>
    <col min="7690" max="7935" width="9.140625" style="57"/>
    <col min="7936" max="7936" width="30.85546875" style="57" customWidth="1"/>
    <col min="7937" max="7937" width="9.140625" style="57" customWidth="1"/>
    <col min="7938" max="7938" width="9.7109375" style="57" customWidth="1"/>
    <col min="7939" max="7939" width="15.140625" style="57" customWidth="1"/>
    <col min="7940" max="7940" width="12" style="57" customWidth="1"/>
    <col min="7941" max="7944" width="9.140625" style="57"/>
    <col min="7945" max="7945" width="9.42578125" style="57" customWidth="1"/>
    <col min="7946" max="8191" width="9.140625" style="57"/>
    <col min="8192" max="8192" width="30.85546875" style="57" customWidth="1"/>
    <col min="8193" max="8193" width="9.140625" style="57" customWidth="1"/>
    <col min="8194" max="8194" width="9.7109375" style="57" customWidth="1"/>
    <col min="8195" max="8195" width="15.140625" style="57" customWidth="1"/>
    <col min="8196" max="8196" width="12" style="57" customWidth="1"/>
    <col min="8197" max="8200" width="9.140625" style="57"/>
    <col min="8201" max="8201" width="9.42578125" style="57" customWidth="1"/>
    <col min="8202" max="8447" width="9.140625" style="57"/>
    <col min="8448" max="8448" width="30.85546875" style="57" customWidth="1"/>
    <col min="8449" max="8449" width="9.140625" style="57" customWidth="1"/>
    <col min="8450" max="8450" width="9.7109375" style="57" customWidth="1"/>
    <col min="8451" max="8451" width="15.140625" style="57" customWidth="1"/>
    <col min="8452" max="8452" width="12" style="57" customWidth="1"/>
    <col min="8453" max="8456" width="9.140625" style="57"/>
    <col min="8457" max="8457" width="9.42578125" style="57" customWidth="1"/>
    <col min="8458" max="8703" width="9.140625" style="57"/>
    <col min="8704" max="8704" width="30.85546875" style="57" customWidth="1"/>
    <col min="8705" max="8705" width="9.140625" style="57" customWidth="1"/>
    <col min="8706" max="8706" width="9.7109375" style="57" customWidth="1"/>
    <col min="8707" max="8707" width="15.140625" style="57" customWidth="1"/>
    <col min="8708" max="8708" width="12" style="57" customWidth="1"/>
    <col min="8709" max="8712" width="9.140625" style="57"/>
    <col min="8713" max="8713" width="9.42578125" style="57" customWidth="1"/>
    <col min="8714" max="8959" width="9.140625" style="57"/>
    <col min="8960" max="8960" width="30.85546875" style="57" customWidth="1"/>
    <col min="8961" max="8961" width="9.140625" style="57" customWidth="1"/>
    <col min="8962" max="8962" width="9.7109375" style="57" customWidth="1"/>
    <col min="8963" max="8963" width="15.140625" style="57" customWidth="1"/>
    <col min="8964" max="8964" width="12" style="57" customWidth="1"/>
    <col min="8965" max="8968" width="9.140625" style="57"/>
    <col min="8969" max="8969" width="9.42578125" style="57" customWidth="1"/>
    <col min="8970" max="9215" width="9.140625" style="57"/>
    <col min="9216" max="9216" width="30.85546875" style="57" customWidth="1"/>
    <col min="9217" max="9217" width="9.140625" style="57" customWidth="1"/>
    <col min="9218" max="9218" width="9.7109375" style="57" customWidth="1"/>
    <col min="9219" max="9219" width="15.140625" style="57" customWidth="1"/>
    <col min="9220" max="9220" width="12" style="57" customWidth="1"/>
    <col min="9221" max="9224" width="9.140625" style="57"/>
    <col min="9225" max="9225" width="9.42578125" style="57" customWidth="1"/>
    <col min="9226" max="9471" width="9.140625" style="57"/>
    <col min="9472" max="9472" width="30.85546875" style="57" customWidth="1"/>
    <col min="9473" max="9473" width="9.140625" style="57" customWidth="1"/>
    <col min="9474" max="9474" width="9.7109375" style="57" customWidth="1"/>
    <col min="9475" max="9475" width="15.140625" style="57" customWidth="1"/>
    <col min="9476" max="9476" width="12" style="57" customWidth="1"/>
    <col min="9477" max="9480" width="9.140625" style="57"/>
    <col min="9481" max="9481" width="9.42578125" style="57" customWidth="1"/>
    <col min="9482" max="9727" width="9.140625" style="57"/>
    <col min="9728" max="9728" width="30.85546875" style="57" customWidth="1"/>
    <col min="9729" max="9729" width="9.140625" style="57" customWidth="1"/>
    <col min="9730" max="9730" width="9.7109375" style="57" customWidth="1"/>
    <col min="9731" max="9731" width="15.140625" style="57" customWidth="1"/>
    <col min="9732" max="9732" width="12" style="57" customWidth="1"/>
    <col min="9733" max="9736" width="9.140625" style="57"/>
    <col min="9737" max="9737" width="9.42578125" style="57" customWidth="1"/>
    <col min="9738" max="9983" width="9.140625" style="57"/>
    <col min="9984" max="9984" width="30.85546875" style="57" customWidth="1"/>
    <col min="9985" max="9985" width="9.140625" style="57" customWidth="1"/>
    <col min="9986" max="9986" width="9.7109375" style="57" customWidth="1"/>
    <col min="9987" max="9987" width="15.140625" style="57" customWidth="1"/>
    <col min="9988" max="9988" width="12" style="57" customWidth="1"/>
    <col min="9989" max="9992" width="9.140625" style="57"/>
    <col min="9993" max="9993" width="9.42578125" style="57" customWidth="1"/>
    <col min="9994" max="10239" width="9.140625" style="57"/>
    <col min="10240" max="10240" width="30.85546875" style="57" customWidth="1"/>
    <col min="10241" max="10241" width="9.140625" style="57" customWidth="1"/>
    <col min="10242" max="10242" width="9.7109375" style="57" customWidth="1"/>
    <col min="10243" max="10243" width="15.140625" style="57" customWidth="1"/>
    <col min="10244" max="10244" width="12" style="57" customWidth="1"/>
    <col min="10245" max="10248" width="9.140625" style="57"/>
    <col min="10249" max="10249" width="9.42578125" style="57" customWidth="1"/>
    <col min="10250" max="10495" width="9.140625" style="57"/>
    <col min="10496" max="10496" width="30.85546875" style="57" customWidth="1"/>
    <col min="10497" max="10497" width="9.140625" style="57" customWidth="1"/>
    <col min="10498" max="10498" width="9.7109375" style="57" customWidth="1"/>
    <col min="10499" max="10499" width="15.140625" style="57" customWidth="1"/>
    <col min="10500" max="10500" width="12" style="57" customWidth="1"/>
    <col min="10501" max="10504" width="9.140625" style="57"/>
    <col min="10505" max="10505" width="9.42578125" style="57" customWidth="1"/>
    <col min="10506" max="10751" width="9.140625" style="57"/>
    <col min="10752" max="10752" width="30.85546875" style="57" customWidth="1"/>
    <col min="10753" max="10753" width="9.140625" style="57" customWidth="1"/>
    <col min="10754" max="10754" width="9.7109375" style="57" customWidth="1"/>
    <col min="10755" max="10755" width="15.140625" style="57" customWidth="1"/>
    <col min="10756" max="10756" width="12" style="57" customWidth="1"/>
    <col min="10757" max="10760" width="9.140625" style="57"/>
    <col min="10761" max="10761" width="9.42578125" style="57" customWidth="1"/>
    <col min="10762" max="11007" width="9.140625" style="57"/>
    <col min="11008" max="11008" width="30.85546875" style="57" customWidth="1"/>
    <col min="11009" max="11009" width="9.140625" style="57" customWidth="1"/>
    <col min="11010" max="11010" width="9.7109375" style="57" customWidth="1"/>
    <col min="11011" max="11011" width="15.140625" style="57" customWidth="1"/>
    <col min="11012" max="11012" width="12" style="57" customWidth="1"/>
    <col min="11013" max="11016" width="9.140625" style="57"/>
    <col min="11017" max="11017" width="9.42578125" style="57" customWidth="1"/>
    <col min="11018" max="11263" width="9.140625" style="57"/>
    <col min="11264" max="11264" width="30.85546875" style="57" customWidth="1"/>
    <col min="11265" max="11265" width="9.140625" style="57" customWidth="1"/>
    <col min="11266" max="11266" width="9.7109375" style="57" customWidth="1"/>
    <col min="11267" max="11267" width="15.140625" style="57" customWidth="1"/>
    <col min="11268" max="11268" width="12" style="57" customWidth="1"/>
    <col min="11269" max="11272" width="9.140625" style="57"/>
    <col min="11273" max="11273" width="9.42578125" style="57" customWidth="1"/>
    <col min="11274" max="11519" width="9.140625" style="57"/>
    <col min="11520" max="11520" width="30.85546875" style="57" customWidth="1"/>
    <col min="11521" max="11521" width="9.140625" style="57" customWidth="1"/>
    <col min="11522" max="11522" width="9.7109375" style="57" customWidth="1"/>
    <col min="11523" max="11523" width="15.140625" style="57" customWidth="1"/>
    <col min="11524" max="11524" width="12" style="57" customWidth="1"/>
    <col min="11525" max="11528" width="9.140625" style="57"/>
    <col min="11529" max="11529" width="9.42578125" style="57" customWidth="1"/>
    <col min="11530" max="11775" width="9.140625" style="57"/>
    <col min="11776" max="11776" width="30.85546875" style="57" customWidth="1"/>
    <col min="11777" max="11777" width="9.140625" style="57" customWidth="1"/>
    <col min="11778" max="11778" width="9.7109375" style="57" customWidth="1"/>
    <col min="11779" max="11779" width="15.140625" style="57" customWidth="1"/>
    <col min="11780" max="11780" width="12" style="57" customWidth="1"/>
    <col min="11781" max="11784" width="9.140625" style="57"/>
    <col min="11785" max="11785" width="9.42578125" style="57" customWidth="1"/>
    <col min="11786" max="12031" width="9.140625" style="57"/>
    <col min="12032" max="12032" width="30.85546875" style="57" customWidth="1"/>
    <col min="12033" max="12033" width="9.140625" style="57" customWidth="1"/>
    <col min="12034" max="12034" width="9.7109375" style="57" customWidth="1"/>
    <col min="12035" max="12035" width="15.140625" style="57" customWidth="1"/>
    <col min="12036" max="12036" width="12" style="57" customWidth="1"/>
    <col min="12037" max="12040" width="9.140625" style="57"/>
    <col min="12041" max="12041" width="9.42578125" style="57" customWidth="1"/>
    <col min="12042" max="12287" width="9.140625" style="57"/>
    <col min="12288" max="12288" width="30.85546875" style="57" customWidth="1"/>
    <col min="12289" max="12289" width="9.140625" style="57" customWidth="1"/>
    <col min="12290" max="12290" width="9.7109375" style="57" customWidth="1"/>
    <col min="12291" max="12291" width="15.140625" style="57" customWidth="1"/>
    <col min="12292" max="12292" width="12" style="57" customWidth="1"/>
    <col min="12293" max="12296" width="9.140625" style="57"/>
    <col min="12297" max="12297" width="9.42578125" style="57" customWidth="1"/>
    <col min="12298" max="12543" width="9.140625" style="57"/>
    <col min="12544" max="12544" width="30.85546875" style="57" customWidth="1"/>
    <col min="12545" max="12545" width="9.140625" style="57" customWidth="1"/>
    <col min="12546" max="12546" width="9.7109375" style="57" customWidth="1"/>
    <col min="12547" max="12547" width="15.140625" style="57" customWidth="1"/>
    <col min="12548" max="12548" width="12" style="57" customWidth="1"/>
    <col min="12549" max="12552" width="9.140625" style="57"/>
    <col min="12553" max="12553" width="9.42578125" style="57" customWidth="1"/>
    <col min="12554" max="12799" width="9.140625" style="57"/>
    <col min="12800" max="12800" width="30.85546875" style="57" customWidth="1"/>
    <col min="12801" max="12801" width="9.140625" style="57" customWidth="1"/>
    <col min="12802" max="12802" width="9.7109375" style="57" customWidth="1"/>
    <col min="12803" max="12803" width="15.140625" style="57" customWidth="1"/>
    <col min="12804" max="12804" width="12" style="57" customWidth="1"/>
    <col min="12805" max="12808" width="9.140625" style="57"/>
    <col min="12809" max="12809" width="9.42578125" style="57" customWidth="1"/>
    <col min="12810" max="13055" width="9.140625" style="57"/>
    <col min="13056" max="13056" width="30.85546875" style="57" customWidth="1"/>
    <col min="13057" max="13057" width="9.140625" style="57" customWidth="1"/>
    <col min="13058" max="13058" width="9.7109375" style="57" customWidth="1"/>
    <col min="13059" max="13059" width="15.140625" style="57" customWidth="1"/>
    <col min="13060" max="13060" width="12" style="57" customWidth="1"/>
    <col min="13061" max="13064" width="9.140625" style="57"/>
    <col min="13065" max="13065" width="9.42578125" style="57" customWidth="1"/>
    <col min="13066" max="13311" width="9.140625" style="57"/>
    <col min="13312" max="13312" width="30.85546875" style="57" customWidth="1"/>
    <col min="13313" max="13313" width="9.140625" style="57" customWidth="1"/>
    <col min="13314" max="13314" width="9.7109375" style="57" customWidth="1"/>
    <col min="13315" max="13315" width="15.140625" style="57" customWidth="1"/>
    <col min="13316" max="13316" width="12" style="57" customWidth="1"/>
    <col min="13317" max="13320" width="9.140625" style="57"/>
    <col min="13321" max="13321" width="9.42578125" style="57" customWidth="1"/>
    <col min="13322" max="13567" width="9.140625" style="57"/>
    <col min="13568" max="13568" width="30.85546875" style="57" customWidth="1"/>
    <col min="13569" max="13569" width="9.140625" style="57" customWidth="1"/>
    <col min="13570" max="13570" width="9.7109375" style="57" customWidth="1"/>
    <col min="13571" max="13571" width="15.140625" style="57" customWidth="1"/>
    <col min="13572" max="13572" width="12" style="57" customWidth="1"/>
    <col min="13573" max="13576" width="9.140625" style="57"/>
    <col min="13577" max="13577" width="9.42578125" style="57" customWidth="1"/>
    <col min="13578" max="13823" width="9.140625" style="57"/>
    <col min="13824" max="13824" width="30.85546875" style="57" customWidth="1"/>
    <col min="13825" max="13825" width="9.140625" style="57" customWidth="1"/>
    <col min="13826" max="13826" width="9.7109375" style="57" customWidth="1"/>
    <col min="13827" max="13827" width="15.140625" style="57" customWidth="1"/>
    <col min="13828" max="13828" width="12" style="57" customWidth="1"/>
    <col min="13829" max="13832" width="9.140625" style="57"/>
    <col min="13833" max="13833" width="9.42578125" style="57" customWidth="1"/>
    <col min="13834" max="14079" width="9.140625" style="57"/>
    <col min="14080" max="14080" width="30.85546875" style="57" customWidth="1"/>
    <col min="14081" max="14081" width="9.140625" style="57" customWidth="1"/>
    <col min="14082" max="14082" width="9.7109375" style="57" customWidth="1"/>
    <col min="14083" max="14083" width="15.140625" style="57" customWidth="1"/>
    <col min="14084" max="14084" width="12" style="57" customWidth="1"/>
    <col min="14085" max="14088" width="9.140625" style="57"/>
    <col min="14089" max="14089" width="9.42578125" style="57" customWidth="1"/>
    <col min="14090" max="14335" width="9.140625" style="57"/>
    <col min="14336" max="14336" width="30.85546875" style="57" customWidth="1"/>
    <col min="14337" max="14337" width="9.140625" style="57" customWidth="1"/>
    <col min="14338" max="14338" width="9.7109375" style="57" customWidth="1"/>
    <col min="14339" max="14339" width="15.140625" style="57" customWidth="1"/>
    <col min="14340" max="14340" width="12" style="57" customWidth="1"/>
    <col min="14341" max="14344" width="9.140625" style="57"/>
    <col min="14345" max="14345" width="9.42578125" style="57" customWidth="1"/>
    <col min="14346" max="14591" width="9.140625" style="57"/>
    <col min="14592" max="14592" width="30.85546875" style="57" customWidth="1"/>
    <col min="14593" max="14593" width="9.140625" style="57" customWidth="1"/>
    <col min="14594" max="14594" width="9.7109375" style="57" customWidth="1"/>
    <col min="14595" max="14595" width="15.140625" style="57" customWidth="1"/>
    <col min="14596" max="14596" width="12" style="57" customWidth="1"/>
    <col min="14597" max="14600" width="9.140625" style="57"/>
    <col min="14601" max="14601" width="9.42578125" style="57" customWidth="1"/>
    <col min="14602" max="14847" width="9.140625" style="57"/>
    <col min="14848" max="14848" width="30.85546875" style="57" customWidth="1"/>
    <col min="14849" max="14849" width="9.140625" style="57" customWidth="1"/>
    <col min="14850" max="14850" width="9.7109375" style="57" customWidth="1"/>
    <col min="14851" max="14851" width="15.140625" style="57" customWidth="1"/>
    <col min="14852" max="14852" width="12" style="57" customWidth="1"/>
    <col min="14853" max="14856" width="9.140625" style="57"/>
    <col min="14857" max="14857" width="9.42578125" style="57" customWidth="1"/>
    <col min="14858" max="15103" width="9.140625" style="57"/>
    <col min="15104" max="15104" width="30.85546875" style="57" customWidth="1"/>
    <col min="15105" max="15105" width="9.140625" style="57" customWidth="1"/>
    <col min="15106" max="15106" width="9.7109375" style="57" customWidth="1"/>
    <col min="15107" max="15107" width="15.140625" style="57" customWidth="1"/>
    <col min="15108" max="15108" width="12" style="57" customWidth="1"/>
    <col min="15109" max="15112" width="9.140625" style="57"/>
    <col min="15113" max="15113" width="9.42578125" style="57" customWidth="1"/>
    <col min="15114" max="15359" width="9.140625" style="57"/>
    <col min="15360" max="15360" width="30.85546875" style="57" customWidth="1"/>
    <col min="15361" max="15361" width="9.140625" style="57" customWidth="1"/>
    <col min="15362" max="15362" width="9.7109375" style="57" customWidth="1"/>
    <col min="15363" max="15363" width="15.140625" style="57" customWidth="1"/>
    <col min="15364" max="15364" width="12" style="57" customWidth="1"/>
    <col min="15365" max="15368" width="9.140625" style="57"/>
    <col min="15369" max="15369" width="9.42578125" style="57" customWidth="1"/>
    <col min="15370" max="15615" width="9.140625" style="57"/>
    <col min="15616" max="15616" width="30.85546875" style="57" customWidth="1"/>
    <col min="15617" max="15617" width="9.140625" style="57" customWidth="1"/>
    <col min="15618" max="15618" width="9.7109375" style="57" customWidth="1"/>
    <col min="15619" max="15619" width="15.140625" style="57" customWidth="1"/>
    <col min="15620" max="15620" width="12" style="57" customWidth="1"/>
    <col min="15621" max="15624" width="9.140625" style="57"/>
    <col min="15625" max="15625" width="9.42578125" style="57" customWidth="1"/>
    <col min="15626" max="15871" width="9.140625" style="57"/>
    <col min="15872" max="15872" width="30.85546875" style="57" customWidth="1"/>
    <col min="15873" max="15873" width="9.140625" style="57" customWidth="1"/>
    <col min="15874" max="15874" width="9.7109375" style="57" customWidth="1"/>
    <col min="15875" max="15875" width="15.140625" style="57" customWidth="1"/>
    <col min="15876" max="15876" width="12" style="57" customWidth="1"/>
    <col min="15877" max="15880" width="9.140625" style="57"/>
    <col min="15881" max="15881" width="9.42578125" style="57" customWidth="1"/>
    <col min="15882" max="16127" width="9.140625" style="57"/>
    <col min="16128" max="16128" width="30.85546875" style="57" customWidth="1"/>
    <col min="16129" max="16129" width="9.140625" style="57" customWidth="1"/>
    <col min="16130" max="16130" width="9.7109375" style="57" customWidth="1"/>
    <col min="16131" max="16131" width="15.140625" style="57" customWidth="1"/>
    <col min="16132" max="16132" width="12" style="57" customWidth="1"/>
    <col min="16133" max="16136" width="9.140625" style="57"/>
    <col min="16137" max="16137" width="9.42578125" style="57" customWidth="1"/>
    <col min="16138" max="16384" width="9.140625" style="57"/>
  </cols>
  <sheetData>
    <row r="1" spans="1:5" s="55" customFormat="1">
      <c r="A1" s="85" t="str">
        <f>[6]SharedInputs!B4</f>
        <v>AVISTA UTILITIES</v>
      </c>
      <c r="B1" s="85"/>
      <c r="C1" s="85"/>
      <c r="D1" s="85"/>
      <c r="E1" s="85"/>
    </row>
    <row r="2" spans="1:5" s="55" customFormat="1">
      <c r="A2" s="85" t="s">
        <v>65</v>
      </c>
      <c r="B2" s="85"/>
      <c r="C2" s="85"/>
      <c r="D2" s="85"/>
    </row>
    <row r="3" spans="1:5" s="55" customFormat="1">
      <c r="A3" s="85" t="s">
        <v>94</v>
      </c>
      <c r="B3" s="85"/>
      <c r="C3" s="85"/>
      <c r="D3" s="85"/>
      <c r="E3" s="97"/>
    </row>
    <row r="4" spans="1:5" s="55" customFormat="1">
      <c r="A4" s="85"/>
      <c r="B4" s="85"/>
      <c r="C4" s="85"/>
      <c r="D4" s="85"/>
      <c r="E4" s="97"/>
    </row>
    <row r="5" spans="1:5" s="55" customFormat="1">
      <c r="A5" s="85"/>
      <c r="B5" s="85"/>
      <c r="C5" s="85"/>
      <c r="D5" s="85"/>
      <c r="E5" s="85" t="s">
        <v>89</v>
      </c>
    </row>
    <row r="6" spans="1:5">
      <c r="A6" s="85"/>
      <c r="B6" s="56"/>
      <c r="C6" s="56"/>
      <c r="E6" s="85" t="s">
        <v>95</v>
      </c>
    </row>
    <row r="7" spans="1:5">
      <c r="A7" s="56"/>
      <c r="B7" s="56"/>
      <c r="C7" s="56"/>
      <c r="E7" s="56"/>
    </row>
    <row r="8" spans="1:5">
      <c r="A8" s="56" t="s">
        <v>66</v>
      </c>
      <c r="B8" s="56"/>
      <c r="C8" s="56"/>
      <c r="E8" s="56">
        <v>1</v>
      </c>
    </row>
    <row r="9" spans="1:5">
      <c r="A9" s="56"/>
      <c r="B9" s="56"/>
      <c r="C9" s="56"/>
      <c r="E9" s="56"/>
    </row>
    <row r="10" spans="1:5">
      <c r="A10" s="56" t="s">
        <v>43</v>
      </c>
      <c r="B10" s="56"/>
      <c r="C10" s="56"/>
      <c r="E10" s="56"/>
    </row>
    <row r="11" spans="1:5">
      <c r="A11" s="56"/>
      <c r="B11" s="56"/>
      <c r="C11" s="56"/>
      <c r="E11" s="56"/>
    </row>
    <row r="12" spans="1:5">
      <c r="A12" s="56" t="s">
        <v>67</v>
      </c>
      <c r="B12" s="56"/>
      <c r="C12" s="56"/>
      <c r="E12" s="56">
        <v>3.3262885794710221E-3</v>
      </c>
    </row>
    <row r="13" spans="1:5">
      <c r="A13" s="56"/>
      <c r="B13" s="56"/>
      <c r="C13" s="56"/>
      <c r="E13" s="56"/>
    </row>
    <row r="14" spans="1:5">
      <c r="A14" s="56" t="s">
        <v>68</v>
      </c>
      <c r="B14" s="56"/>
      <c r="C14" s="56"/>
      <c r="E14" s="56">
        <v>2E-3</v>
      </c>
    </row>
    <row r="15" spans="1:5">
      <c r="A15" s="56"/>
      <c r="B15" s="56"/>
      <c r="C15" s="56"/>
      <c r="E15" s="56"/>
    </row>
    <row r="16" spans="1:5">
      <c r="A16" s="56" t="s">
        <v>69</v>
      </c>
      <c r="B16" s="56"/>
      <c r="C16" s="56"/>
      <c r="E16" s="56">
        <v>3.8605159538162764E-2</v>
      </c>
    </row>
    <row r="17" spans="1:10">
      <c r="A17" s="56"/>
      <c r="B17" s="56"/>
      <c r="C17" s="56"/>
      <c r="E17" s="56"/>
    </row>
    <row r="18" spans="1:10">
      <c r="A18" s="56"/>
      <c r="B18" s="56"/>
      <c r="C18" s="56"/>
    </row>
    <row r="19" spans="1:10">
      <c r="A19" s="56" t="s">
        <v>44</v>
      </c>
      <c r="B19" s="56"/>
      <c r="C19" s="56"/>
      <c r="E19" s="98">
        <f>SUM(E11:E17)</f>
        <v>4.393144811763379E-2</v>
      </c>
      <c r="J19" s="58"/>
    </row>
    <row r="20" spans="1:10" ht="15.75" thickBot="1">
      <c r="A20" s="56"/>
      <c r="B20" s="56"/>
      <c r="C20" s="56"/>
    </row>
    <row r="21" spans="1:10" ht="16.5" thickTop="1" thickBot="1">
      <c r="A21" s="56" t="s">
        <v>45</v>
      </c>
      <c r="B21" s="56"/>
      <c r="C21" s="56"/>
      <c r="E21" s="84">
        <f>E8-E19</f>
        <v>0.95606855188236617</v>
      </c>
    </row>
    <row r="22" spans="1:10" ht="15.75" thickTop="1">
      <c r="A22" s="56"/>
      <c r="B22" s="56"/>
      <c r="C22" s="56"/>
      <c r="E22" s="56"/>
    </row>
    <row r="23" spans="1:10">
      <c r="A23" s="56" t="s">
        <v>70</v>
      </c>
      <c r="B23" s="79">
        <v>0.21</v>
      </c>
      <c r="C23" s="99"/>
      <c r="E23" s="56">
        <v>0.20077439589529689</v>
      </c>
    </row>
    <row r="24" spans="1:10">
      <c r="A24" s="56"/>
      <c r="B24" s="56"/>
      <c r="C24" s="56"/>
      <c r="E24" s="56"/>
    </row>
    <row r="25" spans="1:10">
      <c r="A25" s="56" t="s">
        <v>42</v>
      </c>
      <c r="B25" s="56"/>
      <c r="C25" s="56"/>
      <c r="E25" s="98">
        <f>E21-E23</f>
        <v>0.75529415598706928</v>
      </c>
    </row>
    <row r="26" spans="1:10">
      <c r="A26" s="56"/>
      <c r="B26" s="56"/>
      <c r="C26" s="56"/>
      <c r="E26" s="56"/>
    </row>
    <row r="27" spans="1:10">
      <c r="A27" s="56"/>
      <c r="B27" s="56"/>
      <c r="C27" s="56"/>
      <c r="E27" s="56"/>
    </row>
    <row r="28" spans="1:10">
      <c r="A28" s="56"/>
      <c r="B28" s="56"/>
      <c r="C28" s="56"/>
      <c r="D28" s="56"/>
      <c r="E28" s="56"/>
    </row>
    <row r="33" spans="2:6">
      <c r="F33" s="65"/>
    </row>
    <row r="41" spans="2:6">
      <c r="B41" s="63"/>
    </row>
    <row r="42" spans="2:6">
      <c r="C42" s="59"/>
    </row>
    <row r="43" spans="2:6">
      <c r="C43" s="61"/>
    </row>
    <row r="44" spans="2:6">
      <c r="C44" s="61"/>
    </row>
    <row r="49" spans="2:2">
      <c r="B49" s="57" t="s">
        <v>72</v>
      </c>
    </row>
  </sheetData>
  <pageMargins left="0.7" right="0.7" top="0.75" bottom="0.75" header="0.3" footer="0.3"/>
  <pageSetup scale="95"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2:E27"/>
  <sheetViews>
    <sheetView workbookViewId="0">
      <selection activeCell="B17" sqref="B17:D26"/>
    </sheetView>
  </sheetViews>
  <sheetFormatPr defaultColWidth="9.140625" defaultRowHeight="12.75"/>
  <cols>
    <col min="1" max="1" width="9.140625" style="81"/>
    <col min="2" max="2" width="11.140625" style="81" bestFit="1" customWidth="1"/>
    <col min="3" max="3" width="26.28515625" style="81" bestFit="1" customWidth="1"/>
    <col min="4" max="4" width="20.85546875" style="81" bestFit="1" customWidth="1"/>
    <col min="5" max="5" width="12.42578125" style="81" customWidth="1"/>
    <col min="6" max="16384" width="9.140625" style="81"/>
  </cols>
  <sheetData>
    <row r="12" spans="5:5">
      <c r="E12" s="82"/>
    </row>
    <row r="17" spans="2:4">
      <c r="B17" s="223" t="s">
        <v>127</v>
      </c>
      <c r="C17" s="223"/>
      <c r="D17" s="223"/>
    </row>
    <row r="18" spans="2:4">
      <c r="B18" s="114" t="s">
        <v>76</v>
      </c>
      <c r="C18" s="112" t="s">
        <v>79</v>
      </c>
      <c r="D18" s="113" t="s">
        <v>90</v>
      </c>
    </row>
    <row r="19" spans="2:4">
      <c r="B19" s="86" t="s">
        <v>77</v>
      </c>
      <c r="C19" s="87" t="s">
        <v>80</v>
      </c>
      <c r="D19" s="95">
        <f>'Rate Design'!D24</f>
        <v>9.7394688157717828E-3</v>
      </c>
    </row>
    <row r="20" spans="2:4">
      <c r="B20" s="86" t="s">
        <v>107</v>
      </c>
      <c r="C20" s="87" t="s">
        <v>81</v>
      </c>
      <c r="D20" s="95">
        <f>'Rate Design'!E24</f>
        <v>9.8829472018556047E-3</v>
      </c>
    </row>
    <row r="21" spans="2:4">
      <c r="B21" s="86" t="s">
        <v>108</v>
      </c>
      <c r="C21" s="87" t="s">
        <v>82</v>
      </c>
      <c r="D21" s="95">
        <f>'Rate Design'!F24</f>
        <v>8.3059606459227036E-3</v>
      </c>
    </row>
    <row r="22" spans="2:4">
      <c r="B22" s="86" t="s">
        <v>130</v>
      </c>
      <c r="C22" s="87" t="s">
        <v>84</v>
      </c>
      <c r="D22" s="95">
        <f>'Rate Design'!G24</f>
        <v>6.3873185667889E-3</v>
      </c>
    </row>
    <row r="23" spans="2:4">
      <c r="B23" s="86" t="s">
        <v>128</v>
      </c>
      <c r="C23" s="87" t="s">
        <v>129</v>
      </c>
      <c r="D23" s="95">
        <f>'Rate Design'!H24</f>
        <v>1.9659483118104099E-3</v>
      </c>
    </row>
    <row r="24" spans="2:4">
      <c r="B24" s="86" t="s">
        <v>78</v>
      </c>
      <c r="C24" s="87" t="s">
        <v>83</v>
      </c>
      <c r="D24" s="95">
        <f>'Rate Design'!I24</f>
        <v>8.0928228811281595E-3</v>
      </c>
    </row>
    <row r="25" spans="2:4">
      <c r="B25" s="88" t="s">
        <v>85</v>
      </c>
      <c r="C25" s="87" t="s">
        <v>55</v>
      </c>
      <c r="D25" s="95">
        <f>'Rate Design'!J24</f>
        <v>1.7726719320696502E-2</v>
      </c>
    </row>
    <row r="26" spans="2:4">
      <c r="B26" s="89"/>
      <c r="C26" s="90" t="s">
        <v>86</v>
      </c>
      <c r="D26" s="94">
        <f>'Rate Design'!C24</f>
        <v>8.8870746525512682E-3</v>
      </c>
    </row>
    <row r="27" spans="2:4">
      <c r="B27" s="116"/>
      <c r="C27" s="115"/>
      <c r="D27" s="117"/>
    </row>
  </sheetData>
  <mergeCells count="1">
    <mergeCell ref="B17:D17"/>
  </mergeCells>
  <pageMargins left="0.7" right="0.7" top="0.75" bottom="0.75" header="0.3" footer="0.3"/>
  <pageSetup orientation="portrait" r:id="rId1"/>
  <customProperties>
    <customPr name="xxe4aPID" r:id="rId2"/>
  </customProperties>
  <ignoredErrors>
    <ignoredError sqref="B20" twoDigitTextYear="1"/>
    <ignoredError sqref="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4DA3106E9E3849887F4269213DA098" ma:contentTypeVersion="20" ma:contentTypeDescription="" ma:contentTypeScope="" ma:versionID="466f80d0be79df909661b52d96800d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2022-09-02T07:00:00+00:00</OpenedDate>
    <SignificantOrder xmlns="dc463f71-b30c-4ab2-9473-d307f9d35888">false</SignificantOrder>
    <Date1 xmlns="dc463f71-b30c-4ab2-9473-d307f9d35888">2022-11-09T08:00:00+00:00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8CA3BC7D-B8DC-4C81-9342-13379AFF821D}"/>
</file>

<file path=customXml/itemProps3.xml><?xml version="1.0" encoding="utf-8"?>
<ds:datastoreItem xmlns:ds="http://schemas.openxmlformats.org/officeDocument/2006/customXml" ds:itemID="{D22A8BD7-B54A-4F70-ACEE-A8237C688076}"/>
</file>

<file path=customXml/itemProps4.xml><?xml version="1.0" encoding="utf-8"?>
<ds:datastoreItem xmlns:ds="http://schemas.openxmlformats.org/officeDocument/2006/customXml" ds:itemID="{E714AAD4-E1B8-4057-9C54-AD95495B7C9C}"/>
</file>

<file path=customXml/itemProps5.xml><?xml version="1.0" encoding="utf-8"?>
<ds:datastoreItem xmlns:ds="http://schemas.openxmlformats.org/officeDocument/2006/customXml" ds:itemID="{C40C5B18-8970-43CB-8AA5-4C5037EE6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Rate Design</vt:lpstr>
      <vt:lpstr>Incremental Exp</vt:lpstr>
      <vt:lpstr>Deferral Balance</vt:lpstr>
      <vt:lpstr>Deferral Schedule</vt:lpstr>
      <vt:lpstr>Forecasted Revenue</vt:lpstr>
      <vt:lpstr>kWh Forecast</vt:lpstr>
      <vt:lpstr>CF WA Elec</vt:lpstr>
      <vt:lpstr>Tables for Cust Notice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Miller, Joe</cp:lastModifiedBy>
  <cp:lastPrinted>2022-11-08T19:42:35Z</cp:lastPrinted>
  <dcterms:created xsi:type="dcterms:W3CDTF">2016-02-09T19:01:57Z</dcterms:created>
  <dcterms:modified xsi:type="dcterms:W3CDTF">2022-11-09T18:08:55Z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0x0101006E56B4D1795A2E4DB2F0B01679ED314A00B64DA3106E9E3849887F4269213DA098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