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2021\2021 WA Sch 75-175 Decoupling Rate Adj\Electric Workpapers\"/>
    </mc:Choice>
  </mc:AlternateContent>
  <xr:revisionPtr revIDLastSave="0" documentId="13_ncr:1_{635D1A17-764D-407D-96A8-249F21A569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F Power Supply Adjustments" sheetId="1" r:id="rId1"/>
    <sheet name="Monthly Authorized" sheetId="4" r:id="rId2"/>
    <sheet name="12.2020 Actual" sheetId="3" r:id="rId3"/>
  </sheets>
  <definedNames>
    <definedName name="_xlnm.Print_Area" localSheetId="2">'12.2020 Actual'!$A$1:$N$101</definedName>
    <definedName name="_xlnm.Print_Area" localSheetId="1">'Monthly Authorized'!$A$1:$O$60</definedName>
    <definedName name="_xlnm.Print_Area" localSheetId="0">'PF Power Supply Adjustments'!$A$1:$T$55</definedName>
    <definedName name="_xlnm.Print_Titles" localSheetId="2">'12.2020 Actual'!$1:$7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1" l="1"/>
  <c r="K52" i="1" l="1"/>
  <c r="K51" i="1" s="1"/>
  <c r="D18" i="1" l="1"/>
  <c r="D16" i="1"/>
  <c r="V67" i="3" l="1"/>
  <c r="S94" i="3" l="1"/>
  <c r="F41" i="3" l="1"/>
  <c r="D41" i="3" s="1"/>
  <c r="F40" i="3"/>
  <c r="D40" i="3" s="1"/>
  <c r="H91" i="3"/>
  <c r="I91" i="3"/>
  <c r="J91" i="3"/>
  <c r="K91" i="3"/>
  <c r="L91" i="3"/>
  <c r="M91" i="3"/>
  <c r="N91" i="3"/>
  <c r="O91" i="3"/>
  <c r="P91" i="3"/>
  <c r="Q91" i="3"/>
  <c r="R91" i="3"/>
  <c r="G91" i="3"/>
  <c r="F90" i="3"/>
  <c r="D90" i="3" s="1"/>
  <c r="F64" i="3"/>
  <c r="F65" i="3"/>
  <c r="F66" i="3"/>
  <c r="S58" i="3"/>
  <c r="V58" i="3" s="1"/>
  <c r="F45" i="3"/>
  <c r="F46" i="3"/>
  <c r="F47" i="3"/>
  <c r="F48" i="3"/>
  <c r="F91" i="3" l="1"/>
  <c r="S50" i="3" l="1"/>
  <c r="F49" i="3"/>
  <c r="S27" i="3"/>
  <c r="S28" i="3"/>
  <c r="S44" i="3"/>
  <c r="S43" i="3"/>
  <c r="H39" i="3"/>
  <c r="I39" i="3"/>
  <c r="J39" i="3"/>
  <c r="K39" i="3"/>
  <c r="L39" i="3"/>
  <c r="M39" i="3"/>
  <c r="N39" i="3"/>
  <c r="O39" i="3"/>
  <c r="P39" i="3"/>
  <c r="Q39" i="3"/>
  <c r="R39" i="3"/>
  <c r="G39" i="3"/>
  <c r="F31" i="3"/>
  <c r="F29" i="3"/>
  <c r="D29" i="3" s="1"/>
  <c r="F30" i="3"/>
  <c r="F32" i="3"/>
  <c r="F39" i="3" l="1"/>
  <c r="D39" i="3" s="1"/>
  <c r="F38" i="3" l="1"/>
  <c r="D38" i="3" s="1"/>
  <c r="F17" i="1" l="1"/>
  <c r="K55" i="1" l="1"/>
  <c r="K57" i="1" s="1"/>
  <c r="G92" i="3" l="1"/>
  <c r="G42" i="3" l="1"/>
  <c r="AD50" i="1" l="1"/>
  <c r="X25" i="1" l="1"/>
  <c r="X27" i="1"/>
  <c r="X30" i="1"/>
  <c r="X31" i="1"/>
  <c r="X15" i="1"/>
  <c r="X17" i="1"/>
  <c r="X18" i="1"/>
  <c r="F16" i="1" l="1"/>
  <c r="X29" i="1" l="1"/>
  <c r="X14" i="1"/>
  <c r="I92" i="3" l="1"/>
  <c r="J92" i="3"/>
  <c r="K92" i="3"/>
  <c r="M92" i="3"/>
  <c r="N92" i="3"/>
  <c r="O92" i="3"/>
  <c r="R92" i="3"/>
  <c r="H92" i="3"/>
  <c r="L92" i="3"/>
  <c r="P92" i="3"/>
  <c r="Q92" i="3"/>
  <c r="F89" i="3"/>
  <c r="D89" i="3" s="1"/>
  <c r="F88" i="3"/>
  <c r="D88" i="3" s="1"/>
  <c r="F87" i="3"/>
  <c r="D87" i="3" s="1"/>
  <c r="F86" i="3"/>
  <c r="D86" i="3" s="1"/>
  <c r="F85" i="3"/>
  <c r="D85" i="3" s="1"/>
  <c r="F84" i="3"/>
  <c r="D84" i="3" s="1"/>
  <c r="F93" i="3"/>
  <c r="H42" i="3"/>
  <c r="I42" i="3"/>
  <c r="J42" i="3"/>
  <c r="K42" i="3"/>
  <c r="L42" i="3"/>
  <c r="M42" i="3"/>
  <c r="N42" i="3"/>
  <c r="O42" i="3"/>
  <c r="P42" i="3"/>
  <c r="Q42" i="3"/>
  <c r="R42" i="3"/>
  <c r="F33" i="3"/>
  <c r="F34" i="3"/>
  <c r="F35" i="3"/>
  <c r="F37" i="3"/>
  <c r="D91" i="3" l="1"/>
  <c r="F70" i="3"/>
  <c r="F95" i="3"/>
  <c r="F83" i="3"/>
  <c r="D83" i="3" s="1"/>
  <c r="G67" i="3"/>
  <c r="H67" i="3"/>
  <c r="I67" i="3"/>
  <c r="J67" i="3"/>
  <c r="K67" i="3"/>
  <c r="L67" i="3"/>
  <c r="M67" i="3"/>
  <c r="N67" i="3"/>
  <c r="O67" i="3"/>
  <c r="P67" i="3"/>
  <c r="Q67" i="3"/>
  <c r="R67" i="3"/>
  <c r="D66" i="3"/>
  <c r="D65" i="3"/>
  <c r="D64" i="3"/>
  <c r="G58" i="3"/>
  <c r="H58" i="3"/>
  <c r="I58" i="3"/>
  <c r="J58" i="3"/>
  <c r="K58" i="3"/>
  <c r="L58" i="3"/>
  <c r="M58" i="3"/>
  <c r="N58" i="3"/>
  <c r="O58" i="3"/>
  <c r="P58" i="3"/>
  <c r="Q58" i="3"/>
  <c r="R58" i="3"/>
  <c r="G49" i="3"/>
  <c r="H49" i="3"/>
  <c r="I49" i="3"/>
  <c r="J49" i="3"/>
  <c r="K49" i="3"/>
  <c r="L49" i="3"/>
  <c r="M49" i="3"/>
  <c r="N49" i="3"/>
  <c r="O49" i="3"/>
  <c r="P49" i="3"/>
  <c r="Q49" i="3"/>
  <c r="R49" i="3"/>
  <c r="F56" i="3"/>
  <c r="D56" i="3" s="1"/>
  <c r="F57" i="3"/>
  <c r="D57" i="3" s="1"/>
  <c r="F55" i="3"/>
  <c r="D55" i="3" s="1"/>
  <c r="F54" i="3"/>
  <c r="D54" i="3" s="1"/>
  <c r="F53" i="3"/>
  <c r="D53" i="3" s="1"/>
  <c r="F52" i="3"/>
  <c r="D52" i="3" s="1"/>
  <c r="D48" i="3"/>
  <c r="D47" i="3"/>
  <c r="D46" i="3"/>
  <c r="D45" i="3"/>
  <c r="D30" i="3"/>
  <c r="D31" i="3"/>
  <c r="D32" i="3"/>
  <c r="G80" i="3"/>
  <c r="H80" i="3"/>
  <c r="I80" i="3"/>
  <c r="J80" i="3"/>
  <c r="K80" i="3"/>
  <c r="L80" i="3"/>
  <c r="M80" i="3"/>
  <c r="N80" i="3"/>
  <c r="O80" i="3"/>
  <c r="P80" i="3"/>
  <c r="Q80" i="3"/>
  <c r="R80" i="3"/>
  <c r="F79" i="3"/>
  <c r="D79" i="3" s="1"/>
  <c r="F78" i="3"/>
  <c r="D78" i="3" s="1"/>
  <c r="F77" i="3"/>
  <c r="D77" i="3" s="1"/>
  <c r="F76" i="3"/>
  <c r="D76" i="3" s="1"/>
  <c r="F75" i="3"/>
  <c r="D75" i="3" s="1"/>
  <c r="G26" i="3"/>
  <c r="H26" i="3"/>
  <c r="I26" i="3"/>
  <c r="J26" i="3"/>
  <c r="K26" i="3"/>
  <c r="L26" i="3"/>
  <c r="M26" i="3"/>
  <c r="N26" i="3"/>
  <c r="O26" i="3"/>
  <c r="P26" i="3"/>
  <c r="Q26" i="3"/>
  <c r="R26" i="3"/>
  <c r="F15" i="3"/>
  <c r="D15" i="3" s="1"/>
  <c r="F14" i="3"/>
  <c r="D14" i="3" s="1"/>
  <c r="F13" i="3"/>
  <c r="D13" i="3" s="1"/>
  <c r="F12" i="3"/>
  <c r="D12" i="3" s="1"/>
  <c r="F11" i="3"/>
  <c r="D11" i="3" s="1"/>
  <c r="F10" i="3"/>
  <c r="D10" i="3" s="1"/>
  <c r="F9" i="3"/>
  <c r="D9" i="3" s="1"/>
  <c r="F17" i="3"/>
  <c r="D17" i="3" s="1"/>
  <c r="F18" i="3"/>
  <c r="D18" i="3" s="1"/>
  <c r="F19" i="3"/>
  <c r="D19" i="3" s="1"/>
  <c r="F20" i="3"/>
  <c r="D20" i="3" s="1"/>
  <c r="F21" i="3"/>
  <c r="D21" i="3" s="1"/>
  <c r="F22" i="3"/>
  <c r="D22" i="3" s="1"/>
  <c r="F23" i="3"/>
  <c r="D23" i="3" s="1"/>
  <c r="F24" i="3"/>
  <c r="D24" i="3" s="1"/>
  <c r="F25" i="3"/>
  <c r="D25" i="3" s="1"/>
  <c r="F16" i="3"/>
  <c r="D16" i="3" s="1"/>
  <c r="D42" i="3" l="1"/>
  <c r="D92" i="3"/>
  <c r="D26" i="3"/>
  <c r="S26" i="3" s="1"/>
  <c r="S30" i="3" s="1"/>
  <c r="V30" i="3" s="1"/>
  <c r="F92" i="3"/>
  <c r="F67" i="3"/>
  <c r="F42" i="3"/>
  <c r="F58" i="3"/>
  <c r="F80" i="3"/>
  <c r="F26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M32" i="1" s="1"/>
  <c r="B30" i="4"/>
  <c r="M16" i="1" s="1"/>
  <c r="B28" i="4"/>
  <c r="M34" i="1" s="1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M13" i="1" s="1"/>
  <c r="B22" i="4"/>
  <c r="M26" i="1" s="1"/>
  <c r="B20" i="4"/>
  <c r="M24" i="1" s="1"/>
  <c r="B18" i="4"/>
  <c r="M28" i="1" s="1"/>
  <c r="X13" i="1" l="1"/>
  <c r="AB13" i="1" s="1"/>
  <c r="B38" i="4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M54" i="1" s="1"/>
  <c r="C40" i="4"/>
  <c r="X32" i="1" l="1"/>
  <c r="X16" i="1" l="1"/>
  <c r="X26" i="1"/>
  <c r="M53" i="1"/>
  <c r="M55" i="1" s="1"/>
  <c r="M33" i="1" s="1"/>
  <c r="X28" i="1"/>
  <c r="X34" i="1"/>
  <c r="X24" i="1"/>
  <c r="M38" i="1" l="1"/>
  <c r="X33" i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S42" i="3"/>
  <c r="S45" i="3" s="1"/>
  <c r="V45" i="3" s="1"/>
  <c r="D49" i="3"/>
  <c r="S49" i="3" s="1"/>
  <c r="S51" i="3" s="1"/>
  <c r="V51" i="3" s="1"/>
  <c r="D58" i="3"/>
  <c r="D26" i="1" s="1"/>
  <c r="D67" i="3"/>
  <c r="D34" i="1" s="1"/>
  <c r="D80" i="3"/>
  <c r="D98" i="3" s="1"/>
  <c r="F98" i="3" s="1"/>
  <c r="S80" i="3" l="1"/>
  <c r="S82" i="3" s="1"/>
  <c r="V82" i="3" s="1"/>
  <c r="S92" i="3"/>
  <c r="S96" i="3" s="1"/>
  <c r="V96" i="3" s="1"/>
  <c r="A26" i="3"/>
  <c r="A29" i="3" s="1"/>
  <c r="A30" i="3" s="1"/>
  <c r="A31" i="3" s="1"/>
  <c r="A32" i="3" s="1"/>
  <c r="A39" i="3" s="1"/>
  <c r="D32" i="1"/>
  <c r="D72" i="3"/>
  <c r="D100" i="3" s="1"/>
  <c r="D105" i="3" s="1"/>
  <c r="D13" i="1"/>
  <c r="F13" i="1" s="1"/>
  <c r="D28" i="1"/>
  <c r="D19" i="1"/>
  <c r="D24" i="1"/>
  <c r="AR29" i="1"/>
  <c r="AR18" i="1"/>
  <c r="A40" i="3" l="1"/>
  <c r="A41" i="3" s="1"/>
  <c r="A42" i="3" s="1"/>
  <c r="A45" i="3" s="1"/>
  <c r="A46" i="3" s="1"/>
  <c r="A47" i="3" s="1"/>
  <c r="A48" i="3" s="1"/>
  <c r="A49" i="3" s="1"/>
  <c r="A52" i="3" s="1"/>
  <c r="A53" i="3" s="1"/>
  <c r="A54" i="3" s="1"/>
  <c r="A55" i="3" s="1"/>
  <c r="A56" i="3" s="1"/>
  <c r="A57" i="3" s="1"/>
  <c r="A58" i="3" s="1"/>
  <c r="T92" i="3"/>
  <c r="Q13" i="1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64" i="3" l="1"/>
  <c r="A65" i="3"/>
  <c r="A66" i="3" s="1"/>
  <c r="AM36" i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A67" i="3" l="1"/>
  <c r="A70" i="3" s="1"/>
  <c r="A72" i="3" s="1"/>
  <c r="A75" i="3" s="1"/>
  <c r="A76" i="3" s="1"/>
  <c r="A77" i="3" s="1"/>
  <c r="A78" i="3" s="1"/>
  <c r="A79" i="3" s="1"/>
  <c r="AM38" i="1"/>
  <c r="A80" i="3" l="1"/>
  <c r="A83" i="3" s="1"/>
  <c r="A38" i="3" s="1"/>
  <c r="A91" i="3" s="1"/>
  <c r="A92" i="3" s="1"/>
  <c r="A95" i="3" s="1"/>
  <c r="A98" i="3" s="1"/>
  <c r="A100" i="3" s="1"/>
  <c r="AK20" i="1"/>
  <c r="AI21" i="1"/>
  <c r="AK17" i="1"/>
  <c r="Z14" i="1"/>
  <c r="Z20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S13" i="1" s="1"/>
  <c r="X19" i="1" l="1"/>
  <c r="X21" i="1" s="1"/>
  <c r="M21" i="1"/>
  <c r="M40" i="1" s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F19" i="1"/>
  <c r="F21" i="1" s="1"/>
  <c r="D21" i="1"/>
  <c r="S26" i="1"/>
  <c r="AQ34" i="1" l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D106" i="3" s="1"/>
  <c r="D107" i="3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gzhkw6</author>
  </authors>
  <commentList>
    <comment ref="D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annette brandon</author>
  </authors>
  <commentList>
    <comment ref="D3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</t>
        </r>
      </text>
    </comment>
    <comment ref="F4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F43" authorId="0" shapeId="0" xr:uid="{534CF183-7C54-4A74-891B-BBC05A53B9CE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557 broker fees + net resource optiization (both natural gas fuel purchases and 557170 + 557395)
</t>
        </r>
      </text>
    </comment>
    <comment ref="S51" authorId="0" shapeId="0" xr:uid="{E08A06A1-5A62-4F12-AE17-8C7D8A47973B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Adjusted for rounding $1</t>
        </r>
      </text>
    </comment>
    <comment ref="G7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8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ID  PCA Paige Acct 456016 (Clearwater)</t>
        </r>
      </text>
    </comment>
    <comment ref="G9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S93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S94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S95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S96" authorId="0" shapeId="0" xr:uid="{50D6BECD-ABE6-488D-9507-0377F367D0B1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adjusted $1 for rounding</t>
        </r>
      </text>
    </comment>
  </commentList>
</comments>
</file>

<file path=xl/sharedStrings.xml><?xml version="1.0" encoding="utf-8"?>
<sst xmlns="http://schemas.openxmlformats.org/spreadsheetml/2006/main" count="392" uniqueCount="236">
  <si>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</si>
  <si>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</si>
  <si>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</si>
  <si>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</si>
  <si>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</si>
  <si>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</si>
  <si>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</si>
  <si>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</si>
  <si>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</si>
  <si>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</si>
  <si>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</si>
  <si>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</si>
  <si>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</si>
  <si>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</si>
  <si>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</si>
  <si>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</si>
  <si>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</si>
  <si>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</si>
  <si>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</si>
  <si>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</si>
  <si>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</si>
  <si>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</si>
  <si>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</si>
  <si>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</si>
  <si>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</si>
  <si>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</si>
  <si>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</si>
  <si>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</si>
  <si>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</si>
  <si>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</si>
  <si>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</si>
  <si>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</si>
  <si>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</si>
  <si>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</si>
  <si>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</si>
  <si>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</si>
  <si>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</si>
  <si>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</si>
  <si>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</si>
  <si>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</si>
  <si>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</si>
  <si>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</si>
  <si>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</si>
  <si>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</si>
  <si>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</si>
  <si>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</si>
  <si>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</si>
  <si>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</si>
  <si>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</si>
  <si>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</si>
  <si>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</si>
  <si>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</si>
  <si>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</si>
  <si>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</si>
  <si>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</si>
  <si>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</si>
  <si>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</si>
  <si>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</si>
  <si>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</si>
  <si>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</si>
  <si>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</si>
  <si>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456 OTHER ELECTRIC REVENUE</t>
  </si>
  <si>
    <t>Total Account 447</t>
  </si>
  <si>
    <t>447 SALES FOR RESALE</t>
  </si>
  <si>
    <t>TOTAL EXPENSE</t>
  </si>
  <si>
    <t>Headwater Benefits Payments</t>
  </si>
  <si>
    <t>536 WATER FOR POWER</t>
  </si>
  <si>
    <t>Total Account 565</t>
  </si>
  <si>
    <t>565 TRANSMISSION OF ELECTRICITY BY OTHERS</t>
  </si>
  <si>
    <t>Total Account 547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</si>
  <si>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</si>
  <si>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</si>
  <si>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</si>
  <si>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</si>
  <si>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</si>
  <si>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</si>
  <si>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</si>
  <si>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</si>
  <si>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</si>
  <si>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557 OTHER EXPENSES</t>
  </si>
  <si>
    <t>Total Account 555</t>
  </si>
  <si>
    <t>Palouse Wind</t>
  </si>
  <si>
    <t>Small Power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</si>
  <si>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</si>
  <si>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</si>
  <si>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</si>
  <si>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</si>
  <si>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</si>
  <si>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</si>
  <si>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</si>
  <si>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</si>
  <si>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</si>
  <si>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</si>
  <si>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</si>
  <si>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</si>
  <si>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</si>
  <si>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</si>
  <si>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</si>
  <si>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</si>
  <si>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</si>
  <si>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</si>
  <si>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</si>
  <si>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</si>
  <si>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</si>
  <si>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</si>
  <si>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</si>
  <si>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</si>
  <si>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</si>
  <si>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</si>
  <si>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</si>
  <si>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</si>
  <si>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</si>
  <si>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</si>
  <si>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</si>
  <si>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</si>
  <si>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</si>
  <si>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</si>
  <si>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</si>
  <si>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</si>
  <si>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</si>
  <si>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</si>
  <si>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</si>
  <si>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</si>
  <si>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</si>
  <si>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</si>
  <si>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</si>
  <si>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</si>
  <si>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</si>
  <si>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</si>
  <si>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</si>
  <si>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</si>
  <si>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</si>
  <si>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</si>
  <si>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</si>
  <si>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</si>
  <si>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</si>
  <si>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</si>
  <si>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</si>
  <si>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Clearwater Power Company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</si>
  <si>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</si>
  <si>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</si>
  <si>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</si>
  <si>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</si>
  <si>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</si>
  <si>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</si>
  <si>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</si>
  <si>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</si>
  <si>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</si>
  <si>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</si>
  <si>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</si>
  <si>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</si>
  <si>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</si>
  <si>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</si>
  <si>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</si>
  <si>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</si>
  <si>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ties to Journal</t>
  </si>
  <si>
    <t>Clearwater - ID</t>
  </si>
  <si>
    <t>Solar Select 555040</t>
  </si>
  <si>
    <t>UE-170485 authorized</t>
  </si>
  <si>
    <t>Retail Revenue Adjustment rate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</si>
  <si>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</si>
  <si>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</si>
  <si>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</si>
  <si>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actual revenue with 2019 ERM allocation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</si>
  <si>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</si>
  <si>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</si>
  <si>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</si>
  <si>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</si>
  <si>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</si>
  <si>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t>Bonneville Power Admin. (WNP-3)1</t>
  </si>
  <si>
    <t>Inland Power &amp; Light - Deer Lake</t>
  </si>
  <si>
    <t>Stimson Lumber</t>
  </si>
  <si>
    <t>City of Spokane-Upriver</t>
  </si>
  <si>
    <t>City of Spokane - Waste-to-Energy</t>
  </si>
  <si>
    <t>Rathdrum Power, LLC (Lancaster PPA )</t>
  </si>
  <si>
    <t>Rattlesnake Flat, LLC</t>
  </si>
  <si>
    <t>WPM Ancillary Services</t>
  </si>
  <si>
    <t>Non-Mon. Accruals</t>
  </si>
  <si>
    <t>Solar Select 555710</t>
  </si>
  <si>
    <t>557172 ED AN</t>
  </si>
  <si>
    <t>557165 ED AN</t>
  </si>
  <si>
    <t>557018 ED AN</t>
  </si>
  <si>
    <t>ERM amount</t>
  </si>
  <si>
    <t>plus 555 Power Supply Group</t>
  </si>
  <si>
    <t>less def and amort</t>
  </si>
  <si>
    <t>ROO</t>
  </si>
  <si>
    <t>ERM Amount</t>
  </si>
  <si>
    <t>501200 not ERM acct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</si>
  <si>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</si>
  <si>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</si>
  <si>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</si>
  <si>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</si>
  <si>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</si>
  <si>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</si>
  <si>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565000 ED AN</t>
  </si>
  <si>
    <t>565312 ED AN</t>
  </si>
  <si>
    <t>565710 ED AN</t>
  </si>
  <si>
    <t>Short-Term Sales</t>
  </si>
  <si>
    <t>Nichols Pumping Index Sale</t>
  </si>
  <si>
    <t>Sovereign Power/Kaiser Load Following</t>
  </si>
  <si>
    <t>Pend Oreille DES</t>
  </si>
  <si>
    <t>Merchant Ancillary Services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</si>
  <si>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</si>
  <si>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</si>
  <si>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</si>
  <si>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</si>
  <si>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</si>
  <si>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</si>
  <si>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</si>
  <si>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>Misc. Power Exp. Actual-557160 ED AN</t>
  </si>
  <si>
    <t xml:space="preserve">Wind REC Exp Actual 557395 </t>
  </si>
  <si>
    <t>Non-WA EIA REC Sales 456016 ED AN</t>
  </si>
  <si>
    <t>557170 ED AN - ERM Journal</t>
  </si>
  <si>
    <t>557170 ED AN - REC Journal</t>
  </si>
  <si>
    <t>Monthly</t>
  </si>
  <si>
    <t>Reconcilation</t>
  </si>
  <si>
    <t xml:space="preserve">Note: </t>
  </si>
  <si>
    <t xml:space="preserve">The Company's 2019 General Rate Case (UE-190334) did not included a proposed adjustment to the Power Supply Base. </t>
  </si>
  <si>
    <t>As such, the Authorized in case UE-170485 remains in effect for 2020.</t>
  </si>
  <si>
    <t>Transmission Revenue total</t>
  </si>
  <si>
    <t>(ignore Resource Account Total and use ROO)</t>
  </si>
  <si>
    <t>Reconciliation</t>
  </si>
  <si>
    <t>Total Net Expense</t>
  </si>
  <si>
    <t>Total Net Expense from Adjustment Page</t>
  </si>
  <si>
    <t>ROO Transmission</t>
  </si>
  <si>
    <t>12.2020 Weather Normalized</t>
  </si>
  <si>
    <t>12.2020 Actual</t>
  </si>
  <si>
    <t>12.2020 Actual per books</t>
  </si>
  <si>
    <t>(total ties to Adjustment Page)</t>
  </si>
  <si>
    <r>
      <t xml:space="preserve">TOTAL </t>
    </r>
    <r>
      <rPr>
        <b/>
        <u/>
        <sz val="10"/>
        <rFont val="Geneva"/>
      </rPr>
      <t>NET</t>
    </r>
    <r>
      <rPr>
        <b/>
        <sz val="10"/>
        <rFont val="Geneva"/>
      </rPr>
      <t xml:space="preserve"> EXPENSE</t>
    </r>
  </si>
  <si>
    <t>12 ME 12.2020 Normalized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</si>
  <si>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65.54%.</t>
    </r>
  </si>
  <si>
    <t>Restated 12.2020</t>
  </si>
  <si>
    <t>12.31.2020 Historical Loads</t>
  </si>
  <si>
    <t>ERM 12.2020 Embedded Authorized</t>
  </si>
  <si>
    <t>2017 GRC Power Supply - 12.2016 Historical Loads with RRA for WA load change to match 2020 normalized revenue with 2020 actual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</si>
</sst>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color rgb="FF7030A0"/>
      <name val="Geneva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210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3" fontId="2" fillId="4" borderId="3" xfId="3" applyNumberFormat="1" applyFill="1" applyBorder="1" applyAlignment="1">
      <alignment horizontal="right"/>
    </xf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5" fontId="3" fillId="0" borderId="0" xfId="4" applyNumberFormat="1"/>
    <xf numFmtId="0" fontId="3" fillId="0" borderId="0" xfId="0" applyFont="1"/>
    <xf numFmtId="3" fontId="2" fillId="4" borderId="0" xfId="3" applyNumberFormat="1" applyFill="1"/>
    <xf numFmtId="0" fontId="2" fillId="0" borderId="0" xfId="3" applyAlignment="1">
      <alignment wrapText="1"/>
    </xf>
    <xf numFmtId="164" fontId="2" fillId="0" borderId="0" xfId="3" applyNumberFormat="1" applyFill="1" applyBorder="1"/>
    <xf numFmtId="3" fontId="2" fillId="4" borderId="1" xfId="3" applyNumberFormat="1" applyFill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164" fontId="2" fillId="0" borderId="2" xfId="1" applyNumberFormat="1" applyFont="1" applyFill="1" applyBorder="1"/>
    <xf numFmtId="0" fontId="24" fillId="0" borderId="0" xfId="3" applyFont="1" applyFill="1"/>
    <xf numFmtId="0" fontId="15" fillId="4" borderId="6" xfId="0" applyFont="1" applyFill="1" applyBorder="1" applyAlignment="1">
      <alignment horizontal="right"/>
    </xf>
    <xf numFmtId="0" fontId="15" fillId="4" borderId="1" xfId="0" applyFont="1" applyFill="1" applyBorder="1"/>
    <xf numFmtId="0" fontId="15" fillId="4" borderId="7" xfId="0" applyFont="1" applyFill="1" applyBorder="1"/>
    <xf numFmtId="0" fontId="15" fillId="4" borderId="8" xfId="0" applyFont="1" applyFill="1" applyBorder="1"/>
    <xf numFmtId="0" fontId="15" fillId="4" borderId="2" xfId="0" applyFont="1" applyFill="1" applyBorder="1"/>
    <xf numFmtId="0" fontId="15" fillId="4" borderId="9" xfId="0" applyFont="1" applyFill="1" applyBorder="1"/>
    <xf numFmtId="3" fontId="2" fillId="0" borderId="0" xfId="3" applyNumberFormat="1" applyFill="1" applyBorder="1"/>
    <xf numFmtId="3" fontId="2" fillId="0" borderId="2" xfId="3" applyNumberFormat="1" applyFill="1" applyBorder="1"/>
    <xf numFmtId="3" fontId="2" fillId="5" borderId="1" xfId="3" applyNumberFormat="1" applyFill="1" applyBorder="1" applyAlignment="1">
      <alignment horizontal="right"/>
    </xf>
    <xf numFmtId="166" fontId="2" fillId="5" borderId="0" xfId="3" applyNumberFormat="1" applyFill="1" applyBorder="1" applyAlignment="1">
      <alignment horizontal="right"/>
    </xf>
    <xf numFmtId="0" fontId="7" fillId="2" borderId="0" xfId="5" applyFont="1" applyFill="1" applyAlignment="1">
      <alignment horizontal="center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8" fillId="2" borderId="0" xfId="5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6" fillId="0" borderId="0" xfId="5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4" xfId="3" applyBorder="1" applyAlignment="1">
      <alignment horizontal="center"/>
    </xf>
    <xf numFmtId="0" fontId="2" fillId="0" borderId="3" xfId="3" applyBorder="1" applyAlignment="1">
      <alignment horizontal="center"/>
    </xf>
    <xf numFmtId="0" fontId="2" fillId="0" borderId="5" xfId="3" applyBorder="1" applyAlignment="1">
      <alignment horizontal="center"/>
    </xf>
    <xf numFmtId="3" fontId="0" fillId="0" borderId="0" xfId="0" applyNumberFormat="1"/>
  </cellXfs>
  <cellStyles count="8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3" xr:uid="{00000000-0005-0000-0000-000004000000}"/>
    <cellStyle name="Normal 2 3" xfId="5" xr:uid="{00000000-0005-0000-0000-000005000000}"/>
    <cellStyle name="Normal 8" xfId="7" xr:uid="{00000000-0005-0000-0000-000006000000}"/>
    <cellStyle name="Percent 2" xfId="6" xr:uid="{00000000-0005-0000-0000-000007000000}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92</xdr:row>
      <xdr:rowOff>85725</xdr:rowOff>
    </xdr:from>
    <xdr:to>
      <xdr:col>18</xdr:col>
      <xdr:colOff>361950</xdr:colOff>
      <xdr:row>106</xdr:row>
      <xdr:rowOff>47625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23F19B7-2BEF-447C-A757-1F17FB6154DC}"/>
            </a:ext>
          </a:extLst>
        </xdr:cNvPr>
        <xdr:cNvCxnSpPr/>
      </xdr:nvCxnSpPr>
      <xdr:spPr>
        <a:xfrm flipV="1">
          <a:off x="5534025" y="14744700"/>
          <a:ext cx="2238375" cy="2028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7"/>
  <sheetViews>
    <sheetView tabSelected="1" topLeftCell="S1" zoomScaleNormal="100" zoomScaleSheetLayoutView="85" workbookViewId="0">
      <selection activeCell="Z18" sqref="Z18"/>
    </sheetView>
  </sheetViews>
  <sheetFormatPr defaultRowHeight="15"/>
  <cols>
    <col min="1" max="1" width="34.7109375" customWidth="1"/>
    <col min="2" max="2" width="9.140625" customWidth="1"/>
    <col min="3" max="3" width="9.5703125" customWidth="1"/>
    <col min="4" max="4" width="12.285156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hidden="1" customWidth="1"/>
    <col min="43" max="43" width="12.28515625" customWidth="1"/>
    <col min="44" max="45" width="9.140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201" t="s">
        <v>0</v>
      </c>
      <c r="L1" s="201"/>
      <c r="M1" s="201"/>
      <c r="N1" s="201"/>
      <c r="O1" s="201"/>
      <c r="P1" s="2"/>
      <c r="Q1" s="1"/>
      <c r="R1" s="3"/>
      <c r="S1" s="1"/>
      <c r="T1" s="2"/>
      <c r="U1" s="202" t="s">
        <v>0</v>
      </c>
      <c r="V1" s="202"/>
      <c r="W1" s="202"/>
      <c r="X1" s="202"/>
      <c r="Y1" s="202"/>
      <c r="Z1" s="202"/>
      <c r="AA1" s="2"/>
      <c r="AB1" s="1"/>
      <c r="AC1" s="3"/>
      <c r="AD1" s="1"/>
      <c r="AE1" s="2"/>
      <c r="AF1" s="1"/>
      <c r="AG1" s="202" t="s">
        <v>0</v>
      </c>
      <c r="AH1" s="202"/>
      <c r="AI1" s="202"/>
      <c r="AJ1" s="202"/>
      <c r="AK1" s="202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202" t="s">
        <v>89</v>
      </c>
      <c r="L2" s="202"/>
      <c r="M2" s="202"/>
      <c r="N2" s="202"/>
      <c r="O2" s="202"/>
      <c r="P2" s="2"/>
      <c r="Q2" s="4"/>
      <c r="R2" s="3"/>
      <c r="S2" s="93"/>
      <c r="T2" s="2"/>
      <c r="U2" s="202" t="s">
        <v>142</v>
      </c>
      <c r="V2" s="202"/>
      <c r="W2" s="202"/>
      <c r="X2" s="202"/>
      <c r="Y2" s="202"/>
      <c r="Z2" s="202"/>
      <c r="AA2" s="2"/>
      <c r="AB2" s="4"/>
      <c r="AC2" s="3"/>
      <c r="AD2" s="92"/>
      <c r="AE2" s="2"/>
      <c r="AF2" s="8"/>
      <c r="AG2" s="201" t="s">
        <v>52</v>
      </c>
      <c r="AH2" s="201"/>
      <c r="AI2" s="201"/>
      <c r="AJ2" s="201"/>
      <c r="AK2" s="201"/>
      <c r="AL2" s="2"/>
      <c r="AM2" s="4"/>
      <c r="AN2" s="3"/>
      <c r="AO2" s="92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203" t="s">
        <v>235</v>
      </c>
      <c r="L3" s="203"/>
      <c r="M3" s="203"/>
      <c r="N3" s="203"/>
      <c r="O3" s="203"/>
      <c r="P3" s="2"/>
      <c r="Q3" s="4"/>
      <c r="R3" s="3"/>
      <c r="S3" s="93" t="s">
        <v>54</v>
      </c>
      <c r="T3" s="2"/>
      <c r="U3" s="203" t="s">
        <v>163</v>
      </c>
      <c r="V3" s="203"/>
      <c r="W3" s="203"/>
      <c r="X3" s="203"/>
      <c r="Y3" s="203"/>
      <c r="Z3" s="203"/>
      <c r="AA3" s="2"/>
      <c r="AB3" s="4"/>
      <c r="AC3" s="3"/>
      <c r="AD3" s="149" t="s">
        <v>151</v>
      </c>
      <c r="AE3" s="2"/>
      <c r="AF3" s="54"/>
      <c r="AG3" s="201"/>
      <c r="AH3" s="201"/>
      <c r="AI3" s="201"/>
      <c r="AJ3" s="201"/>
      <c r="AK3" s="201"/>
      <c r="AL3" s="2"/>
      <c r="AM3" s="4"/>
      <c r="AN3" s="3"/>
      <c r="AO3" s="93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203"/>
      <c r="L4" s="203"/>
      <c r="M4" s="203"/>
      <c r="N4" s="203"/>
      <c r="O4" s="203"/>
      <c r="P4" s="2"/>
      <c r="Q4" s="4"/>
      <c r="R4" s="3"/>
      <c r="S4" s="126">
        <v>2.1800000000000002</v>
      </c>
      <c r="T4" s="2"/>
      <c r="U4" s="203"/>
      <c r="V4" s="203"/>
      <c r="W4" s="203"/>
      <c r="X4" s="203"/>
      <c r="Y4" s="203"/>
      <c r="Z4" s="203"/>
      <c r="AA4" s="2"/>
      <c r="AB4" s="4"/>
      <c r="AC4" s="3"/>
      <c r="AD4" s="126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4">
        <v>3.01</v>
      </c>
      <c r="AP4" s="2"/>
    </row>
    <row r="5" spans="1:44" ht="16.149999999999999" customHeight="1">
      <c r="A5" s="5" t="s">
        <v>233</v>
      </c>
      <c r="B5" s="1"/>
      <c r="C5" s="1"/>
      <c r="D5" s="1"/>
      <c r="E5" s="1"/>
      <c r="F5" s="1"/>
      <c r="G5" s="1"/>
      <c r="H5" s="1"/>
      <c r="I5" s="2"/>
      <c r="J5" s="50"/>
      <c r="K5" s="203"/>
      <c r="L5" s="203"/>
      <c r="M5" s="203"/>
      <c r="N5" s="203"/>
      <c r="O5" s="203"/>
      <c r="P5" s="2"/>
      <c r="Q5" s="4" t="s">
        <v>1</v>
      </c>
      <c r="R5" s="3"/>
      <c r="S5" s="93" t="s">
        <v>2</v>
      </c>
      <c r="T5" s="2"/>
      <c r="U5" s="203"/>
      <c r="V5" s="203"/>
      <c r="W5" s="203"/>
      <c r="X5" s="203"/>
      <c r="Y5" s="203"/>
      <c r="Z5" s="203"/>
      <c r="AA5" s="2"/>
      <c r="AB5" s="4" t="s">
        <v>1</v>
      </c>
      <c r="AC5" s="3"/>
      <c r="AD5" s="92" t="s">
        <v>2</v>
      </c>
      <c r="AE5" s="2"/>
      <c r="AF5" s="50"/>
      <c r="AG5" s="200" t="s">
        <v>91</v>
      </c>
      <c r="AH5" s="200"/>
      <c r="AI5" s="200"/>
      <c r="AJ5" s="200"/>
      <c r="AK5" s="200"/>
      <c r="AL5" s="2"/>
      <c r="AM5" s="4" t="s">
        <v>1</v>
      </c>
      <c r="AN5" s="3"/>
      <c r="AO5" s="92" t="s">
        <v>2</v>
      </c>
      <c r="AP5" s="2"/>
    </row>
    <row r="6" spans="1:44">
      <c r="A6" s="196" t="s">
        <v>226</v>
      </c>
      <c r="B6" s="196"/>
      <c r="C6" s="196"/>
      <c r="D6" s="196"/>
      <c r="E6" s="196"/>
      <c r="F6" s="196"/>
      <c r="G6" s="196"/>
      <c r="H6" s="196"/>
      <c r="I6" s="2"/>
      <c r="J6" s="196" t="s">
        <v>234</v>
      </c>
      <c r="K6" s="196"/>
      <c r="L6" s="196"/>
      <c r="M6" s="196"/>
      <c r="N6" s="196"/>
      <c r="O6" s="196"/>
      <c r="P6" s="2"/>
      <c r="Q6" s="51" t="s">
        <v>3</v>
      </c>
      <c r="R6" s="3"/>
      <c r="S6" s="92" t="s">
        <v>4</v>
      </c>
      <c r="T6" s="2"/>
      <c r="U6" s="196" t="s">
        <v>161</v>
      </c>
      <c r="V6" s="196"/>
      <c r="W6" s="196"/>
      <c r="X6" s="196"/>
      <c r="Y6" s="196"/>
      <c r="Z6" s="196"/>
      <c r="AA6" s="2"/>
      <c r="AB6" s="51" t="s">
        <v>3</v>
      </c>
      <c r="AC6" s="3"/>
      <c r="AD6" s="92" t="s">
        <v>4</v>
      </c>
      <c r="AE6" s="2"/>
      <c r="AF6" s="196" t="s">
        <v>48</v>
      </c>
      <c r="AG6" s="196"/>
      <c r="AH6" s="196"/>
      <c r="AI6" s="196"/>
      <c r="AJ6" s="196"/>
      <c r="AK6" s="196"/>
      <c r="AL6" s="2"/>
      <c r="AM6" s="51" t="s">
        <v>3</v>
      </c>
      <c r="AN6" s="3"/>
      <c r="AO6" s="92" t="s">
        <v>4</v>
      </c>
      <c r="AP6" s="2"/>
      <c r="AQ6" s="64" t="s">
        <v>51</v>
      </c>
    </row>
    <row r="7" spans="1:44" ht="30.6" customHeight="1">
      <c r="A7" s="2"/>
      <c r="B7" s="2"/>
      <c r="C7" s="174"/>
      <c r="D7" s="168"/>
      <c r="E7" s="174"/>
      <c r="F7" s="175"/>
      <c r="G7" s="6"/>
      <c r="H7" s="7"/>
      <c r="I7" s="2"/>
      <c r="J7" s="2"/>
      <c r="K7" s="199" t="s">
        <v>230</v>
      </c>
      <c r="L7" s="199"/>
      <c r="M7" s="199"/>
      <c r="N7" s="199"/>
      <c r="O7" s="199"/>
      <c r="P7" s="2"/>
      <c r="Q7" s="63" t="s">
        <v>232</v>
      </c>
      <c r="R7" s="3"/>
      <c r="S7" s="95" t="s">
        <v>232</v>
      </c>
      <c r="T7" s="2"/>
      <c r="U7" s="199" t="s">
        <v>162</v>
      </c>
      <c r="V7" s="199"/>
      <c r="W7" s="199"/>
      <c r="X7" s="199"/>
      <c r="Y7" s="199"/>
      <c r="Z7" s="199"/>
      <c r="AA7" s="2"/>
      <c r="AB7" s="63" t="s">
        <v>150</v>
      </c>
      <c r="AC7" s="3"/>
      <c r="AD7" s="63" t="s">
        <v>150</v>
      </c>
      <c r="AE7" s="2"/>
      <c r="AF7" s="2"/>
      <c r="AG7" s="199" t="s">
        <v>42</v>
      </c>
      <c r="AH7" s="199"/>
      <c r="AI7" s="199"/>
      <c r="AJ7" s="199"/>
      <c r="AK7" s="199"/>
      <c r="AL7" s="2"/>
      <c r="AM7" s="63" t="s">
        <v>53</v>
      </c>
      <c r="AN7" s="3"/>
      <c r="AO7" s="95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43" t="s">
        <v>144</v>
      </c>
      <c r="E11" s="12"/>
      <c r="F11" s="15">
        <v>0.65539999999999998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2">
        <f>F11</f>
        <v>0.65539999999999998</v>
      </c>
      <c r="P11" s="2"/>
      <c r="Q11" s="3"/>
      <c r="R11" s="3"/>
      <c r="S11" s="15"/>
      <c r="T11" s="2"/>
      <c r="U11" s="3" t="s">
        <v>149</v>
      </c>
      <c r="V11" s="3"/>
      <c r="W11" s="3"/>
      <c r="X11" s="3"/>
      <c r="Y11" s="16" t="s">
        <v>12</v>
      </c>
      <c r="Z11" s="142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'12.2020 Actual'!D80</f>
        <v>81164</v>
      </c>
      <c r="E13" s="20"/>
      <c r="F13" s="20">
        <f>F$11*D13</f>
        <v>53194.885600000001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35459.667222399999</v>
      </c>
      <c r="P13" s="2"/>
      <c r="Q13" s="17">
        <f>M13-D13</f>
        <v>-27060.144</v>
      </c>
      <c r="R13" s="3"/>
      <c r="S13" s="17">
        <f>O13-F13</f>
        <v>-17735.218377600002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102.79732640000293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-17632.421051199999</v>
      </c>
      <c r="AR13" s="66">
        <f>Z13+AK13-F13</f>
        <v>-17632.421051199999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'12.2020 Actual'!S93-D17-D18</f>
        <v>19461</v>
      </c>
      <c r="E16" s="23"/>
      <c r="F16" s="23">
        <f>F$11*D16</f>
        <v>12754.7394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9928.9718135999992</v>
      </c>
      <c r="P16" s="2"/>
      <c r="Q16" s="24">
        <f t="shared" si="4"/>
        <v>-4311.5159999999996</v>
      </c>
      <c r="R16" s="3"/>
      <c r="S16" s="24">
        <f t="shared" si="5"/>
        <v>-2825.7675864000012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28.784019600001557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-2796.9835667999996</v>
      </c>
      <c r="AR16" s="66">
        <f t="shared" si="3"/>
        <v>-2796.9835667999996</v>
      </c>
    </row>
    <row r="17" spans="1:44">
      <c r="A17" s="3" t="s">
        <v>16</v>
      </c>
      <c r="B17" s="3"/>
      <c r="C17" s="3" t="s">
        <v>17</v>
      </c>
      <c r="D17" s="125">
        <v>114</v>
      </c>
      <c r="E17" s="23"/>
      <c r="F17" s="27">
        <f>D17</f>
        <v>114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-114</v>
      </c>
      <c r="R17" s="3"/>
      <c r="S17" s="24">
        <f t="shared" si="5"/>
        <v>-114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-114</v>
      </c>
      <c r="AR17" s="66">
        <f t="shared" si="3"/>
        <v>-114</v>
      </c>
    </row>
    <row r="18" spans="1:44">
      <c r="A18" s="3" t="s">
        <v>16</v>
      </c>
      <c r="B18" s="3"/>
      <c r="C18" s="3" t="s">
        <v>18</v>
      </c>
      <c r="D18" s="125">
        <f>67</f>
        <v>67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-67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'12.2020 Actual'!D92</f>
        <v>34317</v>
      </c>
      <c r="E19" s="23"/>
      <c r="F19" s="23">
        <f>F$11*D19</f>
        <v>22491.361799999999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-34317</v>
      </c>
      <c r="R19" s="3"/>
      <c r="S19" s="24">
        <f t="shared" si="5"/>
        <v>-22491.361799999999</v>
      </c>
      <c r="T19" s="2"/>
      <c r="U19" s="19" t="s">
        <v>19</v>
      </c>
      <c r="V19" s="19"/>
      <c r="W19" s="19"/>
      <c r="X19" s="136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-22491.361799999999</v>
      </c>
      <c r="AR19" s="66">
        <f t="shared" si="3"/>
        <v>-22491.361799999999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135123</v>
      </c>
      <c r="E21" s="27"/>
      <c r="F21" s="61">
        <f>SUM(F13:F20)</f>
        <v>88554.986799999999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45388.639036</v>
      </c>
      <c r="P21" s="2"/>
      <c r="Q21" s="52">
        <f>SUM(Q13:Q20)</f>
        <v>-65869.66</v>
      </c>
      <c r="R21" s="3"/>
      <c r="S21" s="52">
        <f>SUM(S13:S20)</f>
        <v>-43166.347764000006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131.58134600000449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-43034.766417999999</v>
      </c>
      <c r="AR21" s="66">
        <f t="shared" si="3"/>
        <v>-43034.766417999999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'12.2020 Actual'!D49</f>
        <v>28238</v>
      </c>
      <c r="E24" s="22"/>
      <c r="F24" s="21">
        <f t="shared" ref="F24:F32" si="7">F$11*D24</f>
        <v>18507.1852</v>
      </c>
      <c r="G24" s="22"/>
      <c r="H24" s="17"/>
      <c r="I24" s="2"/>
      <c r="J24" s="19" t="s">
        <v>22</v>
      </c>
      <c r="K24" s="19"/>
      <c r="L24" s="19"/>
      <c r="M24" s="123">
        <f>'Monthly Authorized'!B20/1000</f>
        <v>28873.933000000001</v>
      </c>
      <c r="N24" s="27"/>
      <c r="O24" s="23">
        <f t="shared" ref="O24:O28" si="8">O$11*M24</f>
        <v>18923.9756882</v>
      </c>
      <c r="P24" s="2"/>
      <c r="Q24" s="17">
        <f>M24-D24</f>
        <v>635.9330000000009</v>
      </c>
      <c r="R24" s="3"/>
      <c r="S24" s="17">
        <f>O24-F24</f>
        <v>416.79048820000025</v>
      </c>
      <c r="T24" s="2"/>
      <c r="U24" s="19" t="s">
        <v>22</v>
      </c>
      <c r="V24" s="19"/>
      <c r="W24" s="19"/>
      <c r="X24" s="123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54.860472700001992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471.65096090000225</v>
      </c>
      <c r="AR24" s="66">
        <f t="shared" ref="AR24:AR40" si="11">Z24+AK24-F24</f>
        <v>471.65096090000225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3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3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'12.2020 Actual'!D58</f>
        <v>53864</v>
      </c>
      <c r="E26" s="22"/>
      <c r="F26" s="21">
        <f t="shared" si="7"/>
        <v>35302.465599999996</v>
      </c>
      <c r="G26" s="22"/>
      <c r="H26" s="17"/>
      <c r="I26" s="2"/>
      <c r="J26" s="19" t="s">
        <v>24</v>
      </c>
      <c r="K26" s="19"/>
      <c r="L26" s="19"/>
      <c r="M26" s="123">
        <f>'Monthly Authorized'!B22/1000</f>
        <v>70067.290999999997</v>
      </c>
      <c r="N26" s="27"/>
      <c r="O26" s="23">
        <f t="shared" si="8"/>
        <v>45922.102521399996</v>
      </c>
      <c r="P26" s="2"/>
      <c r="Q26" s="24">
        <f t="shared" ref="Q26:Q28" si="16">M26-D26</f>
        <v>16203.290999999997</v>
      </c>
      <c r="R26" s="3"/>
      <c r="S26" s="24">
        <f t="shared" si="12"/>
        <v>10619.636921400001</v>
      </c>
      <c r="T26" s="2"/>
      <c r="U26" s="19" t="s">
        <v>24</v>
      </c>
      <c r="V26" s="19"/>
      <c r="W26" s="19"/>
      <c r="X26" s="123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133.12785290000465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10752.764774300005</v>
      </c>
      <c r="AR26" s="66">
        <f t="shared" si="11"/>
        <v>10752.764774300005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3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3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'12.2020 Actual'!D26</f>
        <v>123904</v>
      </c>
      <c r="E28" s="22"/>
      <c r="F28" s="21">
        <f t="shared" si="7"/>
        <v>81206.681599999996</v>
      </c>
      <c r="G28" s="22"/>
      <c r="H28" s="17"/>
      <c r="I28" s="2"/>
      <c r="J28" s="19" t="s">
        <v>26</v>
      </c>
      <c r="K28" s="19"/>
      <c r="L28" s="19"/>
      <c r="M28" s="123">
        <f>'Monthly Authorized'!B18/1000</f>
        <v>111395.052</v>
      </c>
      <c r="N28" s="27"/>
      <c r="O28" s="23">
        <f t="shared" si="8"/>
        <v>73008.3170808</v>
      </c>
      <c r="P28" s="2"/>
      <c r="Q28" s="24">
        <f t="shared" si="16"/>
        <v>-12508.948000000004</v>
      </c>
      <c r="R28" s="3"/>
      <c r="S28" s="24">
        <f t="shared" si="12"/>
        <v>-8198.3645191999967</v>
      </c>
      <c r="T28" s="2"/>
      <c r="U28" s="19" t="s">
        <v>26</v>
      </c>
      <c r="V28" s="19"/>
      <c r="W28" s="19"/>
      <c r="X28" s="123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211.65059879999899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-7986.7139203999977</v>
      </c>
      <c r="AR28" s="66">
        <f t="shared" si="11"/>
        <v>-7986.7139203999977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3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3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3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3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3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3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'12.2020 Actual'!D42-D33</f>
        <v>33330</v>
      </c>
      <c r="E32" s="22"/>
      <c r="F32" s="21">
        <f t="shared" si="7"/>
        <v>21844.482</v>
      </c>
      <c r="G32" s="22"/>
      <c r="H32" s="17"/>
      <c r="I32" s="2"/>
      <c r="J32" s="19" t="s">
        <v>30</v>
      </c>
      <c r="K32" s="19"/>
      <c r="L32" s="19"/>
      <c r="M32" s="123">
        <f>'Monthly Authorized'!B32/1000</f>
        <v>411</v>
      </c>
      <c r="N32" s="27"/>
      <c r="O32" s="23">
        <f t="shared" si="19"/>
        <v>269.36939999999998</v>
      </c>
      <c r="P32" s="2"/>
      <c r="Q32" s="24">
        <f t="shared" ref="Q32:Q34" si="23">M32-D32</f>
        <v>-32919</v>
      </c>
      <c r="R32" s="3"/>
      <c r="S32" s="24">
        <f t="shared" si="12"/>
        <v>-21575.1126</v>
      </c>
      <c r="T32" s="2"/>
      <c r="U32" s="19" t="s">
        <v>30</v>
      </c>
      <c r="V32" s="19"/>
      <c r="W32" s="19"/>
      <c r="X32" s="123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0.78090000000003101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-21574.331699999999</v>
      </c>
      <c r="AR32" s="66">
        <f t="shared" si="11"/>
        <v>-21574.331699999999</v>
      </c>
    </row>
    <row r="33" spans="1:44">
      <c r="A33" s="3" t="s">
        <v>31</v>
      </c>
      <c r="B33" s="3"/>
      <c r="C33" s="3"/>
      <c r="D33" s="160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-4937</v>
      </c>
      <c r="N33" s="27"/>
      <c r="O33" s="23">
        <f>M33</f>
        <v>-4937</v>
      </c>
      <c r="P33" s="2"/>
      <c r="Q33" s="24">
        <f t="shared" si="23"/>
        <v>-4937</v>
      </c>
      <c r="R33" s="3"/>
      <c r="S33" s="24">
        <f t="shared" si="12"/>
        <v>-4937</v>
      </c>
      <c r="T33" s="2"/>
      <c r="U33" s="19" t="s">
        <v>31</v>
      </c>
      <c r="V33" s="19"/>
      <c r="W33" s="34" t="s">
        <v>141</v>
      </c>
      <c r="X33" s="148">
        <f>ROUND('Monthly Authorized'!B38/1000,0)+ROUND((M55)/1000,0)</f>
        <v>-5552</v>
      </c>
      <c r="Y33" s="27"/>
      <c r="Z33" s="23">
        <f>X33</f>
        <v>-5552</v>
      </c>
      <c r="AA33" s="2"/>
      <c r="AB33" s="23">
        <f t="shared" si="17"/>
        <v>-615</v>
      </c>
      <c r="AC33" s="23"/>
      <c r="AD33" s="23">
        <f t="shared" si="18"/>
        <v>-615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0">
        <f t="shared" si="22"/>
        <v>-5552</v>
      </c>
      <c r="AR33" s="66">
        <f>Z33+AK33-F33</f>
        <v>-5552</v>
      </c>
    </row>
    <row r="34" spans="1:44">
      <c r="A34" s="3" t="s">
        <v>33</v>
      </c>
      <c r="B34" s="3"/>
      <c r="C34" s="3"/>
      <c r="D34" s="23">
        <f>'12.2020 Actual'!D67</f>
        <v>16539</v>
      </c>
      <c r="E34" s="22"/>
      <c r="F34" s="21">
        <f>F$11*D34</f>
        <v>10839.660599999999</v>
      </c>
      <c r="G34" s="22"/>
      <c r="H34" s="17"/>
      <c r="I34" s="2"/>
      <c r="J34" s="19" t="s">
        <v>33</v>
      </c>
      <c r="K34" s="19"/>
      <c r="L34" s="19"/>
      <c r="M34" s="123">
        <f>'Monthly Authorized'!B28/1000</f>
        <v>17404.327000000001</v>
      </c>
      <c r="N34" s="27"/>
      <c r="O34" s="23">
        <f>O$11*M34</f>
        <v>11406.795915800001</v>
      </c>
      <c r="P34" s="2"/>
      <c r="Q34" s="55">
        <f t="shared" si="23"/>
        <v>865.32700000000114</v>
      </c>
      <c r="R34" s="3"/>
      <c r="S34" s="24">
        <f t="shared" si="12"/>
        <v>567.13531580000199</v>
      </c>
      <c r="T34" s="2"/>
      <c r="U34" s="19" t="s">
        <v>33</v>
      </c>
      <c r="V34" s="19"/>
      <c r="W34" s="19"/>
      <c r="X34" s="123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33.068221300000005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600.20353710000199</v>
      </c>
      <c r="AR34" s="66">
        <f t="shared" si="11"/>
        <v>600.20353710000199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255875</v>
      </c>
      <c r="E38" s="22"/>
      <c r="F38" s="35">
        <f>SUM(F24:F37)</f>
        <v>167700.47499999998</v>
      </c>
      <c r="G38" s="22"/>
      <c r="H38" s="17"/>
      <c r="I38" s="2"/>
      <c r="J38" s="19" t="s">
        <v>34</v>
      </c>
      <c r="K38" s="19"/>
      <c r="L38" s="19"/>
      <c r="M38" s="36">
        <f>SUM(M24:M34)</f>
        <v>223214.603</v>
      </c>
      <c r="N38" s="27"/>
      <c r="O38" s="36">
        <f>SUM(O24:O37)</f>
        <v>144593.56060619999</v>
      </c>
      <c r="P38" s="2"/>
      <c r="Q38" s="35">
        <f>SUM(Q24:Q37)</f>
        <v>-32660.397000000001</v>
      </c>
      <c r="R38" s="3"/>
      <c r="S38" s="35">
        <f>SUM(S24:S37)</f>
        <v>-23106.914393799994</v>
      </c>
      <c r="T38" s="2"/>
      <c r="U38" s="19" t="s">
        <v>34</v>
      </c>
      <c r="V38" s="19"/>
      <c r="W38" s="19"/>
      <c r="X38" s="36">
        <f>SUM(X24:X37)</f>
        <v>222599.603</v>
      </c>
      <c r="Y38" s="27"/>
      <c r="Z38" s="36">
        <f>SUM(Z24:Z37)</f>
        <v>144412.0486519</v>
      </c>
      <c r="AA38" s="2"/>
      <c r="AB38" s="35">
        <f>SUM(AB24:AB37)</f>
        <v>-615</v>
      </c>
      <c r="AC38" s="3"/>
      <c r="AD38" s="35">
        <f>SUM(AD24:AD37)</f>
        <v>-181.51195429999433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-23288.426348099987</v>
      </c>
      <c r="AR38" s="66">
        <f t="shared" si="11"/>
        <v>-23288.42634809998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-120752</v>
      </c>
      <c r="E40" s="21"/>
      <c r="F40" s="21">
        <f>F21-F38</f>
        <v>-79145.488199999978</v>
      </c>
      <c r="G40" s="22"/>
      <c r="H40" s="17"/>
      <c r="I40" s="2"/>
      <c r="J40" s="19" t="s">
        <v>35</v>
      </c>
      <c r="K40" s="19"/>
      <c r="L40" s="19"/>
      <c r="M40" s="23">
        <f>M21-M38</f>
        <v>-153961.26300000001</v>
      </c>
      <c r="N40" s="23"/>
      <c r="O40" s="23">
        <f>O21-O38</f>
        <v>-99204.921570199978</v>
      </c>
      <c r="P40" s="2"/>
      <c r="Q40" s="21">
        <f>Q21-Q38</f>
        <v>-33209.263000000006</v>
      </c>
      <c r="R40" s="3"/>
      <c r="S40" s="17">
        <f>S21-S38</f>
        <v>-20059.433370200011</v>
      </c>
      <c r="T40" s="2"/>
      <c r="U40" s="19" t="s">
        <v>35</v>
      </c>
      <c r="V40" s="19"/>
      <c r="W40" s="19"/>
      <c r="X40" s="23">
        <f>X21-X38</f>
        <v>-153346.26300000001</v>
      </c>
      <c r="Y40" s="23"/>
      <c r="Z40" s="23">
        <f>Z21-Z38</f>
        <v>-98891.828269899997</v>
      </c>
      <c r="AA40" s="2"/>
      <c r="AB40" s="21">
        <f>AB21-AB38</f>
        <v>615</v>
      </c>
      <c r="AC40" s="3"/>
      <c r="AD40" s="17">
        <f>AD21-AD38</f>
        <v>313.09330029999882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-19746.340069900012</v>
      </c>
      <c r="AR40" s="66">
        <f t="shared" si="11"/>
        <v>-19746.340069900019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139</v>
      </c>
      <c r="B42" s="3"/>
      <c r="C42" s="37">
        <v>0.21</v>
      </c>
      <c r="D42" s="3"/>
      <c r="E42" s="18"/>
      <c r="F42" s="29">
        <f>C42*F40</f>
        <v>-16620.552521999994</v>
      </c>
      <c r="G42" s="17"/>
      <c r="H42" s="3"/>
      <c r="I42" s="2"/>
      <c r="J42" s="3" t="s">
        <v>36</v>
      </c>
      <c r="K42" s="3"/>
      <c r="L42" s="164">
        <v>0.21</v>
      </c>
      <c r="M42" s="19"/>
      <c r="N42" s="18"/>
      <c r="O42" s="29">
        <f>L42*O40</f>
        <v>-20833.033529741995</v>
      </c>
      <c r="P42" s="2"/>
      <c r="Q42" s="3"/>
      <c r="R42" s="3"/>
      <c r="S42" s="38">
        <f>L42*S40</f>
        <v>-4212.4810077420025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-20767.283936678999</v>
      </c>
      <c r="AA42" s="2"/>
      <c r="AB42" s="3"/>
      <c r="AC42" s="3"/>
      <c r="AD42" s="38">
        <f>W42*AD40</f>
        <v>65.74959306299975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37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-62524.93567799998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-78371.888040457983</v>
      </c>
      <c r="P44" s="2"/>
      <c r="Q44" s="3"/>
      <c r="R44" s="3"/>
      <c r="S44" s="40">
        <f>S40-S42</f>
        <v>-15846.952362458009</v>
      </c>
      <c r="T44" s="2"/>
      <c r="U44" s="39" t="s">
        <v>37</v>
      </c>
      <c r="V44" s="3"/>
      <c r="W44" s="3"/>
      <c r="X44" s="3"/>
      <c r="Y44" s="21"/>
      <c r="Z44" s="17">
        <f>Z40-Z42</f>
        <v>-78124.544333220998</v>
      </c>
      <c r="AA44" s="2"/>
      <c r="AB44" s="3"/>
      <c r="AC44" s="3"/>
      <c r="AD44" s="40">
        <f>AD40-AD42</f>
        <v>247.34370723699908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-15599.608655221009</v>
      </c>
      <c r="AR44" s="66">
        <f t="shared" ref="AR44" si="28">Z44+AK44-F44</f>
        <v>-15599.608655221018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25543.450532015253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-398.70866886914268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90</v>
      </c>
      <c r="L47" s="3"/>
      <c r="M47" s="3"/>
      <c r="N47" s="3"/>
      <c r="O47" s="143">
        <f>-O40/K51*1000</f>
        <v>18.051404204058088</v>
      </c>
      <c r="P47" s="3"/>
      <c r="Q47" s="3"/>
      <c r="R47" s="3"/>
      <c r="S47" s="42"/>
      <c r="U47" s="39" t="s">
        <v>148</v>
      </c>
      <c r="V47" s="3"/>
      <c r="W47" s="3"/>
      <c r="X47" s="3"/>
      <c r="Y47" s="3"/>
      <c r="Z47" s="62">
        <f>-Z40/M51*1000</f>
        <v>18.106382463279363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4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5"/>
    </row>
    <row r="50" spans="1:39">
      <c r="A50" s="197" t="s">
        <v>140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U50" t="s">
        <v>145</v>
      </c>
      <c r="AD50" s="144">
        <f>-K55/1000</f>
        <v>-615.35969</v>
      </c>
      <c r="AE50" s="147"/>
      <c r="AF50" s="147"/>
      <c r="AG50" s="147"/>
      <c r="AH50" s="147"/>
      <c r="AI50" s="147"/>
      <c r="AJ50" s="147"/>
      <c r="AK50" s="147"/>
      <c r="AL50" s="147"/>
      <c r="AM50" s="147"/>
    </row>
    <row r="51" spans="1:39">
      <c r="A51" s="19"/>
      <c r="B51" s="19"/>
      <c r="C51" s="19"/>
      <c r="D51" s="19"/>
      <c r="E51" s="27"/>
      <c r="F51" s="19"/>
      <c r="G51" s="19"/>
      <c r="H51" s="97" t="s">
        <v>225</v>
      </c>
      <c r="I51" s="19"/>
      <c r="K51" s="32">
        <f>K52+K53</f>
        <v>5495690</v>
      </c>
      <c r="L51" s="99" t="s">
        <v>39</v>
      </c>
      <c r="M51" s="141">
        <v>5461711</v>
      </c>
      <c r="N51" s="27"/>
      <c r="O51" s="124" t="s">
        <v>227</v>
      </c>
      <c r="P51" s="19"/>
      <c r="Q51" s="19"/>
      <c r="R51" s="19"/>
      <c r="S51" s="23"/>
      <c r="U51" t="s">
        <v>146</v>
      </c>
      <c r="AD51" s="144">
        <f>-AD40-AD50</f>
        <v>302.26638970000118</v>
      </c>
    </row>
    <row r="52" spans="1:39">
      <c r="A52" s="19"/>
      <c r="B52" s="19"/>
      <c r="C52" s="19"/>
      <c r="D52" s="19"/>
      <c r="E52" s="19"/>
      <c r="F52" s="19"/>
      <c r="G52" s="19"/>
      <c r="H52" s="97" t="s">
        <v>226</v>
      </c>
      <c r="I52" s="19"/>
      <c r="K52" s="32">
        <f>M51</f>
        <v>5461711</v>
      </c>
      <c r="L52" s="99" t="s">
        <v>39</v>
      </c>
      <c r="M52" s="32">
        <v>5658613</v>
      </c>
      <c r="N52" s="19"/>
      <c r="O52" s="19" t="s">
        <v>158</v>
      </c>
      <c r="P52" s="19"/>
      <c r="Q52" s="19"/>
      <c r="R52" s="19"/>
      <c r="S52" s="19"/>
      <c r="U52" t="s">
        <v>147</v>
      </c>
      <c r="AD52" s="145">
        <f>AD50+AD51</f>
        <v>-313.09330029999882</v>
      </c>
    </row>
    <row r="53" spans="1:39">
      <c r="A53" s="3"/>
      <c r="B53" s="3"/>
      <c r="C53" s="3"/>
      <c r="D53" s="3"/>
      <c r="E53" s="3"/>
      <c r="F53" s="3"/>
      <c r="G53" s="3"/>
      <c r="H53" s="98" t="s">
        <v>93</v>
      </c>
      <c r="I53" s="3"/>
      <c r="K53" s="163">
        <v>33979</v>
      </c>
      <c r="L53" s="96" t="s">
        <v>39</v>
      </c>
      <c r="M53" s="45">
        <f>M51-M52</f>
        <v>-196902</v>
      </c>
      <c r="N53" s="3"/>
      <c r="O53" s="3" t="s">
        <v>40</v>
      </c>
      <c r="P53" s="3"/>
      <c r="Q53" s="3"/>
      <c r="R53" s="3"/>
      <c r="S53" s="3"/>
      <c r="AD53" s="146"/>
    </row>
    <row r="54" spans="1:39">
      <c r="A54" s="3"/>
      <c r="B54" s="3"/>
      <c r="C54" s="3"/>
      <c r="D54" s="3"/>
      <c r="E54" s="3"/>
      <c r="F54" s="3"/>
      <c r="G54" s="3"/>
      <c r="H54" s="98" t="s">
        <v>159</v>
      </c>
      <c r="I54" s="3"/>
      <c r="K54" s="46">
        <v>18.11</v>
      </c>
      <c r="L54" s="100" t="s">
        <v>94</v>
      </c>
      <c r="M54" s="46">
        <f>'Monthly Authorized'!B51</f>
        <v>18.106350137374651</v>
      </c>
      <c r="N54" s="3"/>
      <c r="O54" s="3" t="s">
        <v>159</v>
      </c>
      <c r="P54" s="47"/>
      <c r="Q54" s="3"/>
      <c r="R54" s="3"/>
      <c r="S54" s="3"/>
      <c r="U54" s="3"/>
      <c r="V54" s="98"/>
      <c r="W54" s="3"/>
      <c r="X54" s="46"/>
      <c r="Y54" s="100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8" t="s">
        <v>92</v>
      </c>
      <c r="I55" s="3"/>
      <c r="K55" s="48">
        <f>K53*K54</f>
        <v>615359.68999999994</v>
      </c>
      <c r="L55" s="3"/>
      <c r="M55" s="48">
        <f>M53*M54</f>
        <v>-3565176.5547493435</v>
      </c>
      <c r="N55" s="3"/>
      <c r="O55" s="3" t="s">
        <v>41</v>
      </c>
      <c r="P55" s="3"/>
      <c r="Q55" s="3"/>
      <c r="R55" s="3"/>
      <c r="S55" s="3"/>
      <c r="U55" s="3"/>
      <c r="V55" s="98"/>
      <c r="W55" s="3"/>
      <c r="X55" s="48"/>
      <c r="Y55" s="3"/>
      <c r="Z55" s="48"/>
      <c r="AB55" s="3"/>
    </row>
    <row r="57" spans="1:39">
      <c r="G57" s="161" t="s">
        <v>160</v>
      </c>
      <c r="H57" s="161"/>
      <c r="I57" s="161"/>
      <c r="J57" s="161"/>
      <c r="K57" s="162">
        <f>K55/K53</f>
        <v>18.11</v>
      </c>
    </row>
  </sheetData>
  <mergeCells count="17"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  <mergeCell ref="A6:H6"/>
    <mergeCell ref="J6:O6"/>
    <mergeCell ref="A50:S50"/>
    <mergeCell ref="U6:Z6"/>
    <mergeCell ref="K7:O7"/>
    <mergeCell ref="U7:Z7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58"/>
  <sheetViews>
    <sheetView topLeftCell="A10" workbookViewId="0">
      <selection activeCell="Z18" sqref="Z18"/>
    </sheetView>
  </sheetViews>
  <sheetFormatPr defaultRowHeight="15"/>
  <cols>
    <col min="1" max="1" width="37.28515625" customWidth="1"/>
    <col min="2" max="2" width="13.85546875" style="105" customWidth="1"/>
    <col min="3" max="3" width="12.7109375" customWidth="1"/>
    <col min="4" max="4" width="11.85546875" customWidth="1"/>
    <col min="5" max="5" width="11.7109375" customWidth="1"/>
    <col min="6" max="6" width="12.5703125" customWidth="1"/>
    <col min="7" max="7" width="12.140625" customWidth="1"/>
    <col min="8" max="8" width="12.28515625" customWidth="1"/>
    <col min="9" max="10" width="11.85546875" customWidth="1"/>
    <col min="11" max="11" width="14.28515625" customWidth="1"/>
    <col min="12" max="12" width="12.42578125" customWidth="1"/>
    <col min="13" max="13" width="13" customWidth="1"/>
    <col min="14" max="14" width="12.7109375" customWidth="1"/>
    <col min="18" max="18" width="12.140625" bestFit="1" customWidth="1"/>
    <col min="32" max="42" width="0" hidden="1" customWidth="1"/>
  </cols>
  <sheetData>
    <row r="1" spans="1:14">
      <c r="A1" s="118" t="s">
        <v>98</v>
      </c>
      <c r="C1" s="186" t="s">
        <v>216</v>
      </c>
      <c r="D1" s="187" t="s">
        <v>217</v>
      </c>
      <c r="E1" s="187"/>
      <c r="F1" s="187"/>
      <c r="G1" s="187"/>
      <c r="H1" s="187"/>
      <c r="I1" s="187"/>
      <c r="J1" s="187"/>
      <c r="K1" s="188"/>
    </row>
    <row r="2" spans="1:14">
      <c r="A2" s="118" t="s">
        <v>99</v>
      </c>
      <c r="C2" s="189"/>
      <c r="D2" s="190" t="s">
        <v>218</v>
      </c>
      <c r="E2" s="190"/>
      <c r="F2" s="190"/>
      <c r="G2" s="190"/>
      <c r="H2" s="190"/>
      <c r="I2" s="190"/>
      <c r="J2" s="190"/>
      <c r="K2" s="191"/>
    </row>
    <row r="3" spans="1:14">
      <c r="A3" s="118" t="s">
        <v>100</v>
      </c>
    </row>
    <row r="4" spans="1:14">
      <c r="A4" s="118" t="s">
        <v>153</v>
      </c>
    </row>
    <row r="5" spans="1:14">
      <c r="A5" s="118"/>
    </row>
    <row r="6" spans="1:14" ht="18.75">
      <c r="A6" s="204" t="s">
        <v>152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8" spans="1:14">
      <c r="A8" s="150" t="s">
        <v>127</v>
      </c>
      <c r="B8" s="165" t="s">
        <v>128</v>
      </c>
    </row>
    <row r="9" spans="1:14" ht="15.75">
      <c r="A9" s="104" t="s">
        <v>101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15.75">
      <c r="A10" s="104" t="s">
        <v>129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5.75">
      <c r="A11" s="104" t="s">
        <v>102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ht="15.75">
      <c r="A12" s="104" t="s">
        <v>130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ht="15.75">
      <c r="A13" s="104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>
      <c r="A14" s="107" t="s">
        <v>103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>
      <c r="A15" s="107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>
      <c r="A16" s="105"/>
      <c r="B16" s="108" t="s">
        <v>6</v>
      </c>
      <c r="C16" s="109" t="s">
        <v>104</v>
      </c>
      <c r="D16" s="109" t="s">
        <v>105</v>
      </c>
      <c r="E16" s="109" t="s">
        <v>106</v>
      </c>
      <c r="F16" s="109" t="s">
        <v>107</v>
      </c>
      <c r="G16" s="109" t="s">
        <v>108</v>
      </c>
      <c r="H16" s="109" t="s">
        <v>109</v>
      </c>
      <c r="I16" s="109" t="s">
        <v>110</v>
      </c>
      <c r="J16" s="109" t="s">
        <v>111</v>
      </c>
      <c r="K16" s="109" t="s">
        <v>112</v>
      </c>
      <c r="L16" s="109" t="s">
        <v>113</v>
      </c>
      <c r="M16" s="109" t="s">
        <v>114</v>
      </c>
      <c r="N16" s="109" t="s">
        <v>115</v>
      </c>
    </row>
    <row r="17" spans="1:30">
      <c r="A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30">
      <c r="A18" s="105" t="s">
        <v>116</v>
      </c>
      <c r="B18" s="110">
        <f>SUM(C18:N18)</f>
        <v>111395052</v>
      </c>
      <c r="C18" s="110">
        <v>11810646</v>
      </c>
      <c r="D18" s="110">
        <v>10948943</v>
      </c>
      <c r="E18" s="110">
        <v>10208756</v>
      </c>
      <c r="F18" s="110">
        <v>9754466</v>
      </c>
      <c r="G18" s="110">
        <v>7204007</v>
      </c>
      <c r="H18" s="110">
        <v>6832768</v>
      </c>
      <c r="I18" s="110">
        <v>7367141</v>
      </c>
      <c r="J18" s="110">
        <v>8064916</v>
      </c>
      <c r="K18" s="110">
        <v>7448796</v>
      </c>
      <c r="L18" s="110">
        <v>7999787</v>
      </c>
      <c r="M18" s="110">
        <v>11642227</v>
      </c>
      <c r="N18" s="110">
        <v>12112599</v>
      </c>
    </row>
    <row r="19" spans="1:30">
      <c r="A19" s="105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30">
      <c r="A20" s="105" t="s">
        <v>117</v>
      </c>
      <c r="B20" s="110">
        <f>SUM(C20:N20)</f>
        <v>28873933</v>
      </c>
      <c r="C20" s="110">
        <v>2892906</v>
      </c>
      <c r="D20" s="110">
        <v>2671552</v>
      </c>
      <c r="E20" s="110">
        <v>2768328</v>
      </c>
      <c r="F20" s="110">
        <v>2491505</v>
      </c>
      <c r="G20" s="110">
        <v>1551263</v>
      </c>
      <c r="H20" s="110">
        <v>1358751</v>
      </c>
      <c r="I20" s="110">
        <v>2219592</v>
      </c>
      <c r="J20" s="110">
        <v>2478125</v>
      </c>
      <c r="K20" s="110">
        <v>2578207</v>
      </c>
      <c r="L20" s="110">
        <v>2592987</v>
      </c>
      <c r="M20" s="110">
        <v>2566833</v>
      </c>
      <c r="N20" s="110">
        <v>2703884</v>
      </c>
    </row>
    <row r="21" spans="1:30">
      <c r="A21" s="105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AD21" s="209"/>
    </row>
    <row r="22" spans="1:30">
      <c r="A22" s="105" t="s">
        <v>118</v>
      </c>
      <c r="B22" s="110">
        <f>SUM(C22:N22)</f>
        <v>70067291</v>
      </c>
      <c r="C22" s="110">
        <v>8800467</v>
      </c>
      <c r="D22" s="110">
        <v>7046200</v>
      </c>
      <c r="E22" s="110">
        <v>6405717</v>
      </c>
      <c r="F22" s="110">
        <v>4139185</v>
      </c>
      <c r="G22" s="110">
        <v>1426182</v>
      </c>
      <c r="H22" s="110">
        <v>1698327</v>
      </c>
      <c r="I22" s="110">
        <v>5653252</v>
      </c>
      <c r="J22" s="110">
        <v>7341418</v>
      </c>
      <c r="K22" s="110">
        <v>6493558</v>
      </c>
      <c r="L22" s="110">
        <v>6103470</v>
      </c>
      <c r="M22" s="110">
        <v>6561954</v>
      </c>
      <c r="N22" s="110">
        <v>8397561</v>
      </c>
    </row>
    <row r="23" spans="1:30">
      <c r="A23" s="105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30">
      <c r="A24" s="111" t="s">
        <v>119</v>
      </c>
      <c r="B24" s="112">
        <f>SUM(C24:N24)</f>
        <v>54103856</v>
      </c>
      <c r="C24" s="112">
        <v>5410854</v>
      </c>
      <c r="D24" s="112">
        <v>3688134</v>
      </c>
      <c r="E24" s="112">
        <v>4363041</v>
      </c>
      <c r="F24" s="112">
        <v>6216672</v>
      </c>
      <c r="G24" s="112">
        <v>3992970</v>
      </c>
      <c r="H24" s="112">
        <v>3782256</v>
      </c>
      <c r="I24" s="112">
        <v>5325599</v>
      </c>
      <c r="J24" s="112">
        <v>3215251</v>
      </c>
      <c r="K24" s="112">
        <v>4016772</v>
      </c>
      <c r="L24" s="112">
        <v>3304259</v>
      </c>
      <c r="M24" s="112">
        <v>4468025</v>
      </c>
      <c r="N24" s="112">
        <v>6320023</v>
      </c>
    </row>
    <row r="25" spans="1:30">
      <c r="A25" s="105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30">
      <c r="A26" s="113" t="s">
        <v>120</v>
      </c>
      <c r="B26" s="110">
        <f>SUM(C26:N26)</f>
        <v>156232420</v>
      </c>
      <c r="C26" s="110">
        <f>SUM(C18:C22)-C24</f>
        <v>18093165</v>
      </c>
      <c r="D26" s="110">
        <f t="shared" ref="D26:N26" si="0">SUM(D18:D22)-D24</f>
        <v>16978561</v>
      </c>
      <c r="E26" s="110">
        <f t="shared" si="0"/>
        <v>15019760</v>
      </c>
      <c r="F26" s="110">
        <f t="shared" si="0"/>
        <v>10168484</v>
      </c>
      <c r="G26" s="110">
        <f t="shared" si="0"/>
        <v>6188482</v>
      </c>
      <c r="H26" s="110">
        <f t="shared" si="0"/>
        <v>6107590</v>
      </c>
      <c r="I26" s="110">
        <f t="shared" si="0"/>
        <v>9914386</v>
      </c>
      <c r="J26" s="110">
        <f t="shared" si="0"/>
        <v>14669208</v>
      </c>
      <c r="K26" s="110">
        <f t="shared" si="0"/>
        <v>12503789</v>
      </c>
      <c r="L26" s="110">
        <f t="shared" si="0"/>
        <v>13391985</v>
      </c>
      <c r="M26" s="110">
        <f t="shared" si="0"/>
        <v>16302989</v>
      </c>
      <c r="N26" s="110">
        <f t="shared" si="0"/>
        <v>16894021</v>
      </c>
    </row>
    <row r="27" spans="1:30">
      <c r="A27" s="105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30">
      <c r="A28" s="113" t="s">
        <v>121</v>
      </c>
      <c r="B28" s="110">
        <f>SUM(C28:N28)</f>
        <v>17404327</v>
      </c>
      <c r="C28" s="110">
        <v>1386858</v>
      </c>
      <c r="D28" s="110">
        <v>1618473</v>
      </c>
      <c r="E28" s="110">
        <v>1456728</v>
      </c>
      <c r="F28" s="110">
        <v>1423781</v>
      </c>
      <c r="G28" s="110">
        <v>1394142</v>
      </c>
      <c r="H28" s="110">
        <v>1391308</v>
      </c>
      <c r="I28" s="110">
        <v>1452951</v>
      </c>
      <c r="J28" s="110">
        <v>1443202</v>
      </c>
      <c r="K28" s="110">
        <v>1567441</v>
      </c>
      <c r="L28" s="110">
        <v>1406861</v>
      </c>
      <c r="M28" s="110">
        <v>1416448</v>
      </c>
      <c r="N28" s="110">
        <v>1446134</v>
      </c>
    </row>
    <row r="29" spans="1:30">
      <c r="A29" s="113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30">
      <c r="A30" s="113" t="s">
        <v>97</v>
      </c>
      <c r="B30" s="114">
        <f>SUM(C30:N30)</f>
        <v>15149484</v>
      </c>
      <c r="C30" s="114">
        <v>1062694</v>
      </c>
      <c r="D30" s="114">
        <v>1178481</v>
      </c>
      <c r="E30" s="114">
        <v>1177115</v>
      </c>
      <c r="F30" s="114">
        <v>1141305</v>
      </c>
      <c r="G30" s="114">
        <v>1253488</v>
      </c>
      <c r="H30" s="114">
        <v>1398529</v>
      </c>
      <c r="I30" s="114">
        <v>1450378</v>
      </c>
      <c r="J30" s="114">
        <v>1346819</v>
      </c>
      <c r="K30" s="114">
        <v>1372213</v>
      </c>
      <c r="L30" s="114">
        <v>1319316</v>
      </c>
      <c r="M30" s="114">
        <v>1257650</v>
      </c>
      <c r="N30" s="114">
        <v>1191496</v>
      </c>
    </row>
    <row r="31" spans="1:30">
      <c r="A31" s="113"/>
      <c r="B31" s="114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30">
      <c r="A32" s="113" t="s">
        <v>122</v>
      </c>
      <c r="B32" s="114">
        <f>SUM(C32:N32)</f>
        <v>411000</v>
      </c>
      <c r="C32" s="110">
        <v>34250</v>
      </c>
      <c r="D32" s="110">
        <v>34250</v>
      </c>
      <c r="E32" s="110">
        <v>34250</v>
      </c>
      <c r="F32" s="110">
        <v>34250</v>
      </c>
      <c r="G32" s="110">
        <v>34250</v>
      </c>
      <c r="H32" s="110">
        <v>34250</v>
      </c>
      <c r="I32" s="110">
        <v>34250</v>
      </c>
      <c r="J32" s="110">
        <v>34250</v>
      </c>
      <c r="K32" s="110">
        <v>34250</v>
      </c>
      <c r="L32" s="110">
        <v>34250</v>
      </c>
      <c r="M32" s="110">
        <v>34250</v>
      </c>
      <c r="N32" s="110">
        <v>34250</v>
      </c>
    </row>
    <row r="33" spans="1:30">
      <c r="A33" s="113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</row>
    <row r="34" spans="1:30">
      <c r="A34" s="113" t="s">
        <v>131</v>
      </c>
      <c r="B34" s="114">
        <f>SUM(C34:N34)</f>
        <v>158898263</v>
      </c>
      <c r="C34" s="110">
        <f t="shared" ref="C34:N34" si="1">C26+C28-C30+C32</f>
        <v>18451579</v>
      </c>
      <c r="D34" s="110">
        <f t="shared" si="1"/>
        <v>17452803</v>
      </c>
      <c r="E34" s="110">
        <f t="shared" si="1"/>
        <v>15333623</v>
      </c>
      <c r="F34" s="110">
        <f t="shared" si="1"/>
        <v>10485210</v>
      </c>
      <c r="G34" s="110">
        <f t="shared" si="1"/>
        <v>6363386</v>
      </c>
      <c r="H34" s="110">
        <f t="shared" si="1"/>
        <v>6134619</v>
      </c>
      <c r="I34" s="110">
        <f t="shared" si="1"/>
        <v>9951209</v>
      </c>
      <c r="J34" s="110">
        <f t="shared" si="1"/>
        <v>14799841</v>
      </c>
      <c r="K34" s="110">
        <f t="shared" si="1"/>
        <v>12733267</v>
      </c>
      <c r="L34" s="110">
        <f t="shared" si="1"/>
        <v>13513780</v>
      </c>
      <c r="M34" s="110">
        <f t="shared" si="1"/>
        <v>16496037</v>
      </c>
      <c r="N34" s="110">
        <f t="shared" si="1"/>
        <v>17182909</v>
      </c>
    </row>
    <row r="35" spans="1:30">
      <c r="A35" s="113"/>
      <c r="B35" s="114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30">
      <c r="A36" s="113" t="s">
        <v>123</v>
      </c>
      <c r="B36" s="114">
        <f>SUM(C36:N36)</f>
        <v>104443828.26989999</v>
      </c>
      <c r="C36" s="110">
        <f>C34*$E$56</f>
        <v>12128222.876700001</v>
      </c>
      <c r="D36" s="110">
        <f t="shared" ref="D36:N36" si="2">D34*$E$56</f>
        <v>11471727.411900001</v>
      </c>
      <c r="E36" s="110">
        <f t="shared" si="2"/>
        <v>10078790.3979</v>
      </c>
      <c r="F36" s="110">
        <f t="shared" si="2"/>
        <v>6891928.5329999998</v>
      </c>
      <c r="G36" s="110">
        <f t="shared" si="2"/>
        <v>4182653.6178000001</v>
      </c>
      <c r="H36" s="110">
        <f t="shared" si="2"/>
        <v>4032285.0687000002</v>
      </c>
      <c r="I36" s="110">
        <f t="shared" si="2"/>
        <v>6540929.6756999996</v>
      </c>
      <c r="J36" s="110">
        <f t="shared" si="2"/>
        <v>9727935.4892999995</v>
      </c>
      <c r="K36" s="110">
        <f t="shared" si="2"/>
        <v>8369576.3991</v>
      </c>
      <c r="L36" s="110">
        <f t="shared" si="2"/>
        <v>8882607.5940000005</v>
      </c>
      <c r="M36" s="110">
        <f t="shared" si="2"/>
        <v>10842845.120099999</v>
      </c>
      <c r="N36" s="110">
        <f t="shared" si="2"/>
        <v>11294326.0857</v>
      </c>
    </row>
    <row r="37" spans="1:30">
      <c r="A37" s="113"/>
      <c r="B37" s="114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30">
      <c r="A38" s="119" t="s">
        <v>132</v>
      </c>
      <c r="B38" s="166">
        <f>SUM(C38:N38)</f>
        <v>-1986999.9999999998</v>
      </c>
      <c r="C38" s="112">
        <f>-(1987000/12)</f>
        <v>-165583.33333333334</v>
      </c>
      <c r="D38" s="112">
        <f t="shared" ref="D38:N38" si="3">-(1987000/12)</f>
        <v>-165583.33333333334</v>
      </c>
      <c r="E38" s="112">
        <f t="shared" si="3"/>
        <v>-165583.33333333334</v>
      </c>
      <c r="F38" s="112">
        <f t="shared" si="3"/>
        <v>-165583.33333333334</v>
      </c>
      <c r="G38" s="112">
        <f t="shared" si="3"/>
        <v>-165583.33333333334</v>
      </c>
      <c r="H38" s="112">
        <f t="shared" si="3"/>
        <v>-165583.33333333334</v>
      </c>
      <c r="I38" s="112">
        <f t="shared" si="3"/>
        <v>-165583.33333333334</v>
      </c>
      <c r="J38" s="112">
        <f t="shared" si="3"/>
        <v>-165583.33333333334</v>
      </c>
      <c r="K38" s="112">
        <f t="shared" si="3"/>
        <v>-165583.33333333334</v>
      </c>
      <c r="L38" s="112">
        <f t="shared" si="3"/>
        <v>-165583.33333333334</v>
      </c>
      <c r="M38" s="112">
        <f t="shared" si="3"/>
        <v>-165583.33333333334</v>
      </c>
      <c r="N38" s="112">
        <f t="shared" si="3"/>
        <v>-165583.33333333334</v>
      </c>
      <c r="AD38" s="209"/>
    </row>
    <row r="39" spans="1:30">
      <c r="A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30">
      <c r="A40" s="113" t="s">
        <v>133</v>
      </c>
      <c r="B40" s="114">
        <f>B36+B38</f>
        <v>102456828.26989999</v>
      </c>
      <c r="C40" s="114">
        <f>C36+C38</f>
        <v>11962639.543366667</v>
      </c>
      <c r="D40" s="114">
        <f t="shared" ref="D40:N40" si="4">D36+D38</f>
        <v>11306144.078566667</v>
      </c>
      <c r="E40" s="114">
        <f t="shared" si="4"/>
        <v>9913207.0645666663</v>
      </c>
      <c r="F40" s="114">
        <f t="shared" si="4"/>
        <v>6726345.1996666668</v>
      </c>
      <c r="G40" s="114">
        <f t="shared" si="4"/>
        <v>4017070.2844666666</v>
      </c>
      <c r="H40" s="114">
        <f t="shared" si="4"/>
        <v>3866701.7353666667</v>
      </c>
      <c r="I40" s="114">
        <f t="shared" si="4"/>
        <v>6375346.3423666665</v>
      </c>
      <c r="J40" s="114">
        <f t="shared" si="4"/>
        <v>9562352.1559666656</v>
      </c>
      <c r="K40" s="114">
        <f t="shared" si="4"/>
        <v>8203993.065766667</v>
      </c>
      <c r="L40" s="114">
        <f t="shared" si="4"/>
        <v>8717024.2606666666</v>
      </c>
      <c r="M40" s="114">
        <f t="shared" si="4"/>
        <v>10677261.786766665</v>
      </c>
      <c r="N40" s="114">
        <f t="shared" si="4"/>
        <v>11128742.752366666</v>
      </c>
    </row>
    <row r="41" spans="1:30">
      <c r="A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30" hidden="1">
      <c r="A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30" hidden="1">
      <c r="A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30">
      <c r="A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30">
      <c r="A45" s="107" t="s">
        <v>124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30">
      <c r="A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30">
      <c r="A47" s="105"/>
      <c r="B47" s="108" t="s">
        <v>6</v>
      </c>
      <c r="C47" s="109" t="str">
        <f>C16</f>
        <v>January</v>
      </c>
      <c r="D47" s="109" t="str">
        <f t="shared" ref="D47:N47" si="5">D16</f>
        <v>February</v>
      </c>
      <c r="E47" s="109" t="str">
        <f t="shared" si="5"/>
        <v>March</v>
      </c>
      <c r="F47" s="109" t="str">
        <f t="shared" si="5"/>
        <v>April</v>
      </c>
      <c r="G47" s="109" t="str">
        <f t="shared" si="5"/>
        <v>May</v>
      </c>
      <c r="H47" s="109" t="str">
        <f t="shared" si="5"/>
        <v>June</v>
      </c>
      <c r="I47" s="109" t="str">
        <f t="shared" si="5"/>
        <v>July</v>
      </c>
      <c r="J47" s="109" t="str">
        <f t="shared" si="5"/>
        <v>August</v>
      </c>
      <c r="K47" s="109" t="str">
        <f t="shared" si="5"/>
        <v>September</v>
      </c>
      <c r="L47" s="109" t="str">
        <f t="shared" si="5"/>
        <v>October</v>
      </c>
      <c r="M47" s="109" t="str">
        <f t="shared" si="5"/>
        <v>November</v>
      </c>
      <c r="N47" s="109" t="str">
        <f t="shared" si="5"/>
        <v>December</v>
      </c>
    </row>
    <row r="48" spans="1:30">
      <c r="A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>
      <c r="A49" s="113" t="s">
        <v>125</v>
      </c>
      <c r="B49" s="116">
        <f>SUM(C49:N49)</f>
        <v>5658613</v>
      </c>
      <c r="C49" s="116">
        <v>556117</v>
      </c>
      <c r="D49" s="116">
        <v>486363</v>
      </c>
      <c r="E49" s="116">
        <v>477535</v>
      </c>
      <c r="F49" s="116">
        <v>431246</v>
      </c>
      <c r="G49" s="116">
        <v>432473</v>
      </c>
      <c r="H49" s="116">
        <v>424693</v>
      </c>
      <c r="I49" s="116">
        <v>490670</v>
      </c>
      <c r="J49" s="116">
        <v>464617</v>
      </c>
      <c r="K49" s="116">
        <v>435934</v>
      </c>
      <c r="L49" s="116">
        <v>436959</v>
      </c>
      <c r="M49" s="116">
        <v>468856</v>
      </c>
      <c r="N49" s="116">
        <v>553150</v>
      </c>
    </row>
    <row r="50" spans="1:14">
      <c r="A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1:14">
      <c r="A51" s="113" t="s">
        <v>134</v>
      </c>
      <c r="B51" s="167">
        <f>B40/B49</f>
        <v>18.106350137374651</v>
      </c>
      <c r="C51" s="117" t="s">
        <v>126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>
      <c r="A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1:14" hidden="1">
      <c r="A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hidden="1">
      <c r="A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1:14">
      <c r="A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</row>
    <row r="56" spans="1:14">
      <c r="A56" s="105" t="s">
        <v>135</v>
      </c>
      <c r="C56" s="105"/>
      <c r="D56" s="105"/>
      <c r="E56" s="151">
        <v>0.6573</v>
      </c>
      <c r="F56" s="105"/>
      <c r="G56" s="105"/>
      <c r="H56" s="105"/>
      <c r="I56" s="105"/>
      <c r="J56" s="105"/>
      <c r="K56" s="105"/>
      <c r="L56" s="105"/>
      <c r="M56" s="105"/>
      <c r="N56" s="105"/>
    </row>
    <row r="57" spans="1:14">
      <c r="A57" s="105" t="s">
        <v>136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>
      <c r="A58" s="105" t="s">
        <v>137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D114"/>
  <sheetViews>
    <sheetView view="pageBreakPreview" topLeftCell="A8" zoomScale="60" zoomScaleNormal="100" workbookViewId="0">
      <selection activeCell="Z18" sqref="Z18"/>
    </sheetView>
  </sheetViews>
  <sheetFormatPr defaultColWidth="11.42578125" defaultRowHeight="15" outlineLevelRow="1" outlineLevelCol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6" max="6" width="14.42578125" style="130" bestFit="1" customWidth="1"/>
    <col min="7" max="15" width="14.28515625" style="130" customWidth="1" outlineLevel="1"/>
    <col min="16" max="17" width="11.5703125" style="130" customWidth="1" outlineLevel="1"/>
    <col min="18" max="18" width="12.42578125" style="130" customWidth="1" outlineLevel="1"/>
    <col min="19" max="19" width="11.42578125" style="67"/>
    <col min="20" max="20" width="21.28515625" style="67" customWidth="1"/>
    <col min="21" max="31" width="11.42578125" style="67"/>
    <col min="32" max="42" width="0" style="67" hidden="1" customWidth="1"/>
    <col min="43" max="16384" width="11.42578125" style="67"/>
  </cols>
  <sheetData>
    <row r="1" spans="1:21">
      <c r="A1" s="89"/>
      <c r="B1" s="89"/>
      <c r="C1" s="91" t="s">
        <v>88</v>
      </c>
    </row>
    <row r="2" spans="1:21">
      <c r="A2" s="89"/>
      <c r="B2" s="89"/>
      <c r="C2" s="91" t="s">
        <v>87</v>
      </c>
    </row>
    <row r="3" spans="1:21">
      <c r="A3" s="90"/>
      <c r="B3" s="89"/>
      <c r="C3" s="91" t="s">
        <v>154</v>
      </c>
    </row>
    <row r="4" spans="1:21">
      <c r="A4" s="90"/>
      <c r="B4" s="89"/>
      <c r="C4" s="88"/>
    </row>
    <row r="5" spans="1:21" ht="12.75" customHeight="1">
      <c r="A5" s="71"/>
      <c r="C5" s="88"/>
      <c r="D5" s="82"/>
    </row>
    <row r="6" spans="1:21">
      <c r="A6" s="71" t="s">
        <v>86</v>
      </c>
      <c r="D6" s="120">
        <v>12.202</v>
      </c>
      <c r="F6" s="130" t="s">
        <v>214</v>
      </c>
      <c r="S6" s="206" t="s">
        <v>215</v>
      </c>
      <c r="T6" s="207"/>
      <c r="U6" s="208"/>
    </row>
    <row r="7" spans="1:21">
      <c r="A7" s="87" t="s">
        <v>85</v>
      </c>
      <c r="D7" s="86" t="s">
        <v>84</v>
      </c>
      <c r="F7" s="130" t="s">
        <v>6</v>
      </c>
      <c r="G7" s="169">
        <v>43831</v>
      </c>
      <c r="H7" s="169">
        <v>43862</v>
      </c>
      <c r="I7" s="169">
        <v>43891</v>
      </c>
      <c r="J7" s="169">
        <v>43922</v>
      </c>
      <c r="K7" s="169">
        <v>43952</v>
      </c>
      <c r="L7" s="169">
        <v>43983</v>
      </c>
      <c r="M7" s="169">
        <v>44013</v>
      </c>
      <c r="N7" s="169">
        <v>44044</v>
      </c>
      <c r="O7" s="169">
        <v>44075</v>
      </c>
      <c r="P7" s="169">
        <v>44105</v>
      </c>
      <c r="Q7" s="169">
        <v>44136</v>
      </c>
      <c r="R7" s="169">
        <v>44166</v>
      </c>
      <c r="S7" s="71" t="s">
        <v>6</v>
      </c>
    </row>
    <row r="8" spans="1:21">
      <c r="A8" s="71"/>
      <c r="B8" s="79" t="s">
        <v>83</v>
      </c>
      <c r="D8" s="85"/>
    </row>
    <row r="9" spans="1:21">
      <c r="A9" s="71">
        <f t="shared" ref="A9:A25" si="0">A8+1</f>
        <v>1</v>
      </c>
      <c r="B9" s="67" t="s">
        <v>164</v>
      </c>
      <c r="D9" s="121">
        <f>ROUND(F9/1000,0)</f>
        <v>26916</v>
      </c>
      <c r="F9" s="131">
        <f t="shared" ref="F9:F15" si="1">SUM(G9:R9)</f>
        <v>26915599</v>
      </c>
      <c r="G9" s="131">
        <v>3386200</v>
      </c>
      <c r="H9" s="131">
        <v>2505205</v>
      </c>
      <c r="I9" s="131">
        <v>663858</v>
      </c>
      <c r="J9" s="131">
        <v>2142585</v>
      </c>
      <c r="K9" s="131">
        <v>1517506</v>
      </c>
      <c r="L9" s="131">
        <v>945253</v>
      </c>
      <c r="M9" s="131">
        <v>2235891</v>
      </c>
      <c r="N9" s="131">
        <v>3781312</v>
      </c>
      <c r="O9" s="131">
        <v>2246884</v>
      </c>
      <c r="P9" s="131">
        <v>1790218</v>
      </c>
      <c r="Q9" s="131">
        <v>2828329</v>
      </c>
      <c r="R9" s="131">
        <v>2872358</v>
      </c>
    </row>
    <row r="10" spans="1:21">
      <c r="A10" s="71">
        <f t="shared" si="0"/>
        <v>2</v>
      </c>
      <c r="B10" s="67" t="s">
        <v>165</v>
      </c>
      <c r="D10" s="121">
        <f t="shared" ref="D10:D25" si="2">ROUND(F10/1000,0)</f>
        <v>16794</v>
      </c>
      <c r="F10" s="131">
        <f t="shared" si="1"/>
        <v>16793747</v>
      </c>
      <c r="G10" s="131">
        <v>1399478</v>
      </c>
      <c r="H10" s="131">
        <v>1399479</v>
      </c>
      <c r="I10" s="131">
        <v>1399479</v>
      </c>
      <c r="J10" s="131">
        <v>1399479</v>
      </c>
      <c r="K10" s="131">
        <v>1399479</v>
      </c>
      <c r="L10" s="131">
        <v>1399479</v>
      </c>
      <c r="M10" s="131">
        <v>1399479</v>
      </c>
      <c r="N10" s="131">
        <v>1399479</v>
      </c>
      <c r="O10" s="131">
        <v>1399479</v>
      </c>
      <c r="P10" s="131">
        <v>1399479</v>
      </c>
      <c r="Q10" s="131">
        <v>1399479</v>
      </c>
      <c r="R10" s="131">
        <v>1399479</v>
      </c>
    </row>
    <row r="11" spans="1:21">
      <c r="A11" s="71">
        <f t="shared" si="0"/>
        <v>3</v>
      </c>
      <c r="B11" s="67" t="s">
        <v>166</v>
      </c>
      <c r="D11" s="121">
        <f t="shared" si="2"/>
        <v>1925</v>
      </c>
      <c r="F11" s="131">
        <f t="shared" si="1"/>
        <v>1924887</v>
      </c>
      <c r="G11" s="131">
        <v>128412</v>
      </c>
      <c r="H11" s="131">
        <v>137331</v>
      </c>
      <c r="I11" s="131">
        <v>81844</v>
      </c>
      <c r="J11" s="131">
        <v>100046</v>
      </c>
      <c r="K11" s="131">
        <v>134694</v>
      </c>
      <c r="L11" s="131">
        <v>132024</v>
      </c>
      <c r="M11" s="131">
        <v>286565</v>
      </c>
      <c r="N11" s="131">
        <v>290571</v>
      </c>
      <c r="O11" s="131">
        <v>151213</v>
      </c>
      <c r="P11" s="131">
        <v>139960</v>
      </c>
      <c r="Q11" s="131">
        <v>154480</v>
      </c>
      <c r="R11" s="131">
        <v>187747</v>
      </c>
    </row>
    <row r="12" spans="1:21">
      <c r="A12" s="71">
        <f t="shared" si="0"/>
        <v>4</v>
      </c>
      <c r="B12" s="67" t="s">
        <v>167</v>
      </c>
      <c r="D12" s="121">
        <f t="shared" si="2"/>
        <v>2484</v>
      </c>
      <c r="F12" s="131">
        <f t="shared" si="1"/>
        <v>2484000</v>
      </c>
      <c r="G12" s="131">
        <v>207000</v>
      </c>
      <c r="H12" s="131">
        <v>207000</v>
      </c>
      <c r="I12" s="131">
        <v>207000</v>
      </c>
      <c r="J12" s="131">
        <v>207000</v>
      </c>
      <c r="K12" s="131">
        <v>207000</v>
      </c>
      <c r="L12" s="131">
        <v>207000</v>
      </c>
      <c r="M12" s="131">
        <v>207000</v>
      </c>
      <c r="N12" s="131">
        <v>207000</v>
      </c>
      <c r="O12" s="131">
        <v>207000</v>
      </c>
      <c r="P12" s="131">
        <v>207000</v>
      </c>
      <c r="Q12" s="131">
        <v>207000</v>
      </c>
      <c r="R12" s="131">
        <v>207000</v>
      </c>
    </row>
    <row r="13" spans="1:21">
      <c r="A13" s="71">
        <f t="shared" si="0"/>
        <v>5</v>
      </c>
      <c r="B13" s="67" t="s">
        <v>168</v>
      </c>
      <c r="D13" s="121">
        <f t="shared" si="2"/>
        <v>9980</v>
      </c>
      <c r="F13" s="131">
        <f t="shared" si="1"/>
        <v>9979903</v>
      </c>
      <c r="G13" s="131">
        <v>845499</v>
      </c>
      <c r="H13" s="131">
        <v>845499</v>
      </c>
      <c r="I13" s="131">
        <v>845499</v>
      </c>
      <c r="J13" s="131">
        <v>679414</v>
      </c>
      <c r="K13" s="131">
        <v>845499</v>
      </c>
      <c r="L13" s="131">
        <v>845499</v>
      </c>
      <c r="M13" s="131">
        <v>845499</v>
      </c>
      <c r="N13" s="131">
        <v>845499</v>
      </c>
      <c r="O13" s="131">
        <v>845499</v>
      </c>
      <c r="P13" s="131">
        <v>845499</v>
      </c>
      <c r="Q13" s="131">
        <v>845499</v>
      </c>
      <c r="R13" s="131">
        <v>845499</v>
      </c>
    </row>
    <row r="14" spans="1:21">
      <c r="A14" s="71">
        <f t="shared" si="0"/>
        <v>6</v>
      </c>
      <c r="B14" s="67" t="s">
        <v>169</v>
      </c>
      <c r="D14" s="121">
        <f t="shared" si="2"/>
        <v>0</v>
      </c>
      <c r="F14" s="131">
        <f t="shared" si="1"/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</row>
    <row r="15" spans="1:21">
      <c r="A15" s="71">
        <f t="shared" si="0"/>
        <v>7</v>
      </c>
      <c r="B15" s="67" t="s">
        <v>170</v>
      </c>
      <c r="D15" s="121">
        <f t="shared" si="2"/>
        <v>12</v>
      </c>
      <c r="F15" s="131">
        <f t="shared" si="1"/>
        <v>12077</v>
      </c>
      <c r="G15" s="131">
        <v>969</v>
      </c>
      <c r="H15" s="131">
        <v>1162</v>
      </c>
      <c r="I15" s="131">
        <v>1170</v>
      </c>
      <c r="J15" s="131">
        <v>1075</v>
      </c>
      <c r="K15" s="131">
        <v>1121</v>
      </c>
      <c r="L15" s="131">
        <v>932</v>
      </c>
      <c r="M15" s="131">
        <v>839</v>
      </c>
      <c r="N15" s="131">
        <v>919</v>
      </c>
      <c r="O15" s="131">
        <v>852</v>
      </c>
      <c r="P15" s="131">
        <v>814</v>
      </c>
      <c r="Q15" s="131">
        <v>965</v>
      </c>
      <c r="R15" s="131">
        <v>1259</v>
      </c>
    </row>
    <row r="16" spans="1:21">
      <c r="A16" s="71">
        <f t="shared" si="0"/>
        <v>8</v>
      </c>
      <c r="B16" s="67" t="s">
        <v>82</v>
      </c>
      <c r="D16" s="121">
        <f t="shared" si="2"/>
        <v>1494</v>
      </c>
      <c r="F16" s="131">
        <f>SUM(G16:R16)</f>
        <v>1493681</v>
      </c>
      <c r="G16" s="170">
        <v>135481</v>
      </c>
      <c r="H16" s="170">
        <v>178168</v>
      </c>
      <c r="I16" s="170">
        <v>136054</v>
      </c>
      <c r="J16" s="170">
        <v>148758</v>
      </c>
      <c r="K16" s="170">
        <v>128743</v>
      </c>
      <c r="L16" s="170">
        <v>142916</v>
      </c>
      <c r="M16" s="170">
        <v>177519</v>
      </c>
      <c r="N16" s="170">
        <v>94181</v>
      </c>
      <c r="O16" s="170">
        <v>63440</v>
      </c>
      <c r="P16" s="131">
        <v>77909</v>
      </c>
      <c r="Q16" s="131">
        <v>95974</v>
      </c>
      <c r="R16" s="131">
        <v>114538</v>
      </c>
    </row>
    <row r="17" spans="1:30">
      <c r="A17" s="71">
        <f t="shared" si="0"/>
        <v>9</v>
      </c>
      <c r="B17" s="67" t="s">
        <v>171</v>
      </c>
      <c r="D17" s="121">
        <f t="shared" si="2"/>
        <v>1695</v>
      </c>
      <c r="F17" s="131">
        <f t="shared" ref="F17:F25" si="3">SUM(G17:R17)</f>
        <v>1694710</v>
      </c>
      <c r="G17" s="131">
        <v>160536</v>
      </c>
      <c r="H17" s="131">
        <v>132054</v>
      </c>
      <c r="I17" s="131">
        <v>109083</v>
      </c>
      <c r="J17" s="131">
        <v>75549</v>
      </c>
      <c r="K17" s="131">
        <v>149167</v>
      </c>
      <c r="L17" s="131">
        <v>140831</v>
      </c>
      <c r="M17" s="131">
        <v>196043</v>
      </c>
      <c r="N17" s="131">
        <v>106039</v>
      </c>
      <c r="O17" s="131">
        <v>188825</v>
      </c>
      <c r="P17" s="131">
        <v>181681</v>
      </c>
      <c r="Q17" s="131">
        <v>127504</v>
      </c>
      <c r="R17" s="131">
        <v>127398</v>
      </c>
    </row>
    <row r="18" spans="1:30">
      <c r="A18" s="71">
        <f t="shared" si="0"/>
        <v>10</v>
      </c>
      <c r="B18" s="67" t="s">
        <v>172</v>
      </c>
      <c r="D18" s="121">
        <f t="shared" si="2"/>
        <v>1897</v>
      </c>
      <c r="F18" s="131">
        <f t="shared" si="3"/>
        <v>1896628</v>
      </c>
      <c r="G18" s="131">
        <v>220402</v>
      </c>
      <c r="H18" s="131">
        <v>348737</v>
      </c>
      <c r="I18" s="131">
        <v>173787</v>
      </c>
      <c r="J18" s="131">
        <v>254261</v>
      </c>
      <c r="K18" s="131">
        <v>196121</v>
      </c>
      <c r="L18" s="131">
        <v>212728</v>
      </c>
      <c r="M18" s="131">
        <v>56661</v>
      </c>
      <c r="N18" s="131">
        <v>0</v>
      </c>
      <c r="O18" s="131">
        <v>90</v>
      </c>
      <c r="P18" s="131">
        <v>58108</v>
      </c>
      <c r="Q18" s="131">
        <v>190105</v>
      </c>
      <c r="R18" s="131">
        <v>185628</v>
      </c>
    </row>
    <row r="19" spans="1:30">
      <c r="A19" s="71">
        <f t="shared" si="0"/>
        <v>11</v>
      </c>
      <c r="B19" s="67" t="s">
        <v>173</v>
      </c>
      <c r="D19" s="121">
        <f t="shared" si="2"/>
        <v>5842</v>
      </c>
      <c r="F19" s="131">
        <f t="shared" si="3"/>
        <v>5841922</v>
      </c>
      <c r="G19" s="131">
        <v>539216</v>
      </c>
      <c r="H19" s="131">
        <v>522867</v>
      </c>
      <c r="I19" s="131">
        <v>444785</v>
      </c>
      <c r="J19" s="131">
        <v>423831</v>
      </c>
      <c r="K19" s="131">
        <v>339112</v>
      </c>
      <c r="L19" s="131">
        <v>470134</v>
      </c>
      <c r="M19" s="131">
        <v>573175</v>
      </c>
      <c r="N19" s="131">
        <v>483558</v>
      </c>
      <c r="O19" s="131">
        <v>500664</v>
      </c>
      <c r="P19" s="131">
        <v>533261</v>
      </c>
      <c r="Q19" s="131">
        <v>435520</v>
      </c>
      <c r="R19" s="131">
        <v>575799</v>
      </c>
    </row>
    <row r="20" spans="1:30">
      <c r="A20" s="71">
        <f t="shared" si="0"/>
        <v>12</v>
      </c>
      <c r="B20" s="67" t="s">
        <v>138</v>
      </c>
      <c r="D20" s="121">
        <f t="shared" si="2"/>
        <v>14</v>
      </c>
      <c r="F20" s="131">
        <f t="shared" si="3"/>
        <v>14451</v>
      </c>
      <c r="G20" s="131">
        <v>-311</v>
      </c>
      <c r="H20" s="131">
        <v>1667</v>
      </c>
      <c r="I20" s="131">
        <v>1579</v>
      </c>
      <c r="J20" s="131">
        <v>1431</v>
      </c>
      <c r="K20" s="131">
        <v>1520</v>
      </c>
      <c r="L20" s="131">
        <v>1310</v>
      </c>
      <c r="M20" s="131">
        <v>1310</v>
      </c>
      <c r="N20" s="131">
        <v>1324</v>
      </c>
      <c r="O20" s="131">
        <v>1490</v>
      </c>
      <c r="P20" s="131">
        <v>427</v>
      </c>
      <c r="Q20" s="131">
        <v>1243</v>
      </c>
      <c r="R20" s="131">
        <v>1461</v>
      </c>
      <c r="T20" s="153"/>
    </row>
    <row r="21" spans="1:30">
      <c r="A21" s="71">
        <f t="shared" si="0"/>
        <v>13</v>
      </c>
      <c r="B21" s="67" t="s">
        <v>174</v>
      </c>
      <c r="D21" s="121">
        <f t="shared" si="2"/>
        <v>28070</v>
      </c>
      <c r="F21" s="131">
        <f t="shared" si="3"/>
        <v>28069626</v>
      </c>
      <c r="G21" s="131">
        <v>2414741</v>
      </c>
      <c r="H21" s="131">
        <v>2327885</v>
      </c>
      <c r="I21" s="131">
        <v>2427120</v>
      </c>
      <c r="J21" s="131">
        <v>2402620</v>
      </c>
      <c r="K21" s="131">
        <v>2109928</v>
      </c>
      <c r="L21" s="131">
        <v>2056488</v>
      </c>
      <c r="M21" s="131">
        <v>2224624</v>
      </c>
      <c r="N21" s="131">
        <v>2406557</v>
      </c>
      <c r="O21" s="131">
        <v>2426541</v>
      </c>
      <c r="P21" s="131">
        <v>2416329</v>
      </c>
      <c r="Q21" s="131">
        <v>2423747</v>
      </c>
      <c r="R21" s="131">
        <v>2433046</v>
      </c>
      <c r="T21" s="154"/>
      <c r="AD21" s="127"/>
    </row>
    <row r="22" spans="1:30">
      <c r="A22" s="71">
        <f t="shared" si="0"/>
        <v>14</v>
      </c>
      <c r="B22" s="67" t="s">
        <v>81</v>
      </c>
      <c r="D22" s="121">
        <f t="shared" si="2"/>
        <v>23352</v>
      </c>
      <c r="F22" s="131">
        <f t="shared" si="3"/>
        <v>23352037</v>
      </c>
      <c r="G22" s="131">
        <v>3334132</v>
      </c>
      <c r="H22" s="131">
        <v>2160328</v>
      </c>
      <c r="I22" s="131">
        <v>2406190</v>
      </c>
      <c r="J22" s="131">
        <v>1890255</v>
      </c>
      <c r="K22" s="131">
        <v>1607702</v>
      </c>
      <c r="L22" s="131">
        <v>1548996</v>
      </c>
      <c r="M22" s="131">
        <v>1461188</v>
      </c>
      <c r="N22" s="131">
        <v>1087063</v>
      </c>
      <c r="O22" s="131">
        <v>1207862</v>
      </c>
      <c r="P22" s="131">
        <v>2037334</v>
      </c>
      <c r="Q22" s="131">
        <v>2649544</v>
      </c>
      <c r="R22" s="131">
        <v>1961443</v>
      </c>
      <c r="T22" s="155"/>
    </row>
    <row r="23" spans="1:30">
      <c r="A23" s="71">
        <f t="shared" si="0"/>
        <v>15</v>
      </c>
      <c r="B23" s="67" t="s">
        <v>175</v>
      </c>
      <c r="D23" s="121">
        <f t="shared" si="2"/>
        <v>807</v>
      </c>
      <c r="F23" s="131">
        <f t="shared" si="3"/>
        <v>807069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7981</v>
      </c>
      <c r="P23" s="131">
        <v>106131</v>
      </c>
      <c r="Q23" s="131">
        <v>182155</v>
      </c>
      <c r="R23" s="131">
        <v>510802</v>
      </c>
    </row>
    <row r="24" spans="1:30">
      <c r="A24" s="71">
        <f>A23+1</f>
        <v>16</v>
      </c>
      <c r="B24" s="67" t="s">
        <v>176</v>
      </c>
      <c r="D24" s="121">
        <f t="shared" si="2"/>
        <v>2592</v>
      </c>
      <c r="F24" s="131">
        <f t="shared" si="3"/>
        <v>2592302</v>
      </c>
      <c r="G24" s="131">
        <v>230471</v>
      </c>
      <c r="H24" s="131">
        <v>284988</v>
      </c>
      <c r="I24" s="131">
        <v>217561</v>
      </c>
      <c r="J24" s="131">
        <v>192205</v>
      </c>
      <c r="K24" s="131">
        <v>174560</v>
      </c>
      <c r="L24" s="131">
        <v>188358</v>
      </c>
      <c r="M24" s="131">
        <v>220740</v>
      </c>
      <c r="N24" s="131">
        <v>226853</v>
      </c>
      <c r="O24" s="131">
        <v>203178</v>
      </c>
      <c r="P24" s="131">
        <v>224260</v>
      </c>
      <c r="Q24" s="131">
        <v>211164</v>
      </c>
      <c r="R24" s="131">
        <v>217964</v>
      </c>
      <c r="T24" s="156"/>
    </row>
    <row r="25" spans="1:30">
      <c r="A25" s="71">
        <f t="shared" si="0"/>
        <v>17</v>
      </c>
      <c r="B25" s="67" t="s">
        <v>177</v>
      </c>
      <c r="D25" s="121">
        <f t="shared" si="2"/>
        <v>30</v>
      </c>
      <c r="F25" s="131">
        <f t="shared" si="3"/>
        <v>29507</v>
      </c>
      <c r="G25" s="131">
        <v>15496</v>
      </c>
      <c r="H25" s="131">
        <v>9788</v>
      </c>
      <c r="I25" s="131">
        <v>-27807</v>
      </c>
      <c r="J25" s="131">
        <v>28331</v>
      </c>
      <c r="K25" s="131">
        <v>-13021</v>
      </c>
      <c r="L25" s="131">
        <v>7014</v>
      </c>
      <c r="M25" s="131">
        <v>-16838</v>
      </c>
      <c r="N25" s="131">
        <v>-2255</v>
      </c>
      <c r="O25" s="131">
        <v>118455</v>
      </c>
      <c r="P25" s="131">
        <v>-751</v>
      </c>
      <c r="Q25" s="131">
        <v>-46004</v>
      </c>
      <c r="R25" s="131">
        <v>-42901</v>
      </c>
    </row>
    <row r="26" spans="1:30">
      <c r="A26" s="71">
        <f>A25+1</f>
        <v>18</v>
      </c>
      <c r="B26" s="67" t="s">
        <v>80</v>
      </c>
      <c r="D26" s="194">
        <f>SUM(D9:D25)</f>
        <v>123904</v>
      </c>
      <c r="F26" s="171">
        <f t="shared" ref="F26:R26" si="4">SUM(F9:F25)</f>
        <v>123902146</v>
      </c>
      <c r="G26" s="171">
        <f t="shared" si="4"/>
        <v>13017722</v>
      </c>
      <c r="H26" s="171">
        <f t="shared" si="4"/>
        <v>11062158</v>
      </c>
      <c r="I26" s="171">
        <f t="shared" si="4"/>
        <v>9087202</v>
      </c>
      <c r="J26" s="171">
        <f t="shared" si="4"/>
        <v>9946840</v>
      </c>
      <c r="K26" s="171">
        <f t="shared" si="4"/>
        <v>8799131</v>
      </c>
      <c r="L26" s="171">
        <f t="shared" si="4"/>
        <v>8298962</v>
      </c>
      <c r="M26" s="171">
        <f t="shared" si="4"/>
        <v>9869695</v>
      </c>
      <c r="N26" s="171">
        <f t="shared" si="4"/>
        <v>10928100</v>
      </c>
      <c r="O26" s="171">
        <f t="shared" si="4"/>
        <v>9569453</v>
      </c>
      <c r="P26" s="171">
        <f t="shared" si="4"/>
        <v>10017659</v>
      </c>
      <c r="Q26" s="171">
        <f t="shared" si="4"/>
        <v>11706704</v>
      </c>
      <c r="R26" s="171">
        <f t="shared" si="4"/>
        <v>11598520</v>
      </c>
      <c r="S26" s="76">
        <f>D26</f>
        <v>123904</v>
      </c>
      <c r="T26" s="127" t="s">
        <v>182</v>
      </c>
    </row>
    <row r="27" spans="1:30">
      <c r="A27" s="71"/>
      <c r="F27" s="185" t="s">
        <v>155</v>
      </c>
      <c r="S27" s="127">
        <f>1796750/1000</f>
        <v>1796.75</v>
      </c>
      <c r="T27" s="67" t="s">
        <v>157</v>
      </c>
    </row>
    <row r="28" spans="1:30">
      <c r="A28" s="71"/>
      <c r="B28" s="79" t="s">
        <v>79</v>
      </c>
      <c r="D28" s="72"/>
      <c r="S28" s="101">
        <f>10460373/1000</f>
        <v>10460.373</v>
      </c>
      <c r="T28" s="67" t="s">
        <v>156</v>
      </c>
    </row>
    <row r="29" spans="1:30">
      <c r="A29" s="71">
        <f>A26+1</f>
        <v>19</v>
      </c>
      <c r="B29" s="67" t="s">
        <v>212</v>
      </c>
      <c r="D29" s="121">
        <f t="shared" ref="D29:D32" si="5">ROUND(F29/1000,0)</f>
        <v>298</v>
      </c>
      <c r="F29" s="131">
        <f t="shared" ref="F29" si="6">SUM(G29:R29)</f>
        <v>298217</v>
      </c>
      <c r="G29" s="176">
        <v>21723</v>
      </c>
      <c r="H29" s="176">
        <v>20506</v>
      </c>
      <c r="I29" s="176">
        <v>29019</v>
      </c>
      <c r="J29" s="176">
        <v>34482</v>
      </c>
      <c r="K29" s="176">
        <v>26833</v>
      </c>
      <c r="L29" s="176">
        <v>21959</v>
      </c>
      <c r="M29" s="176">
        <v>28102</v>
      </c>
      <c r="N29" s="176">
        <v>19120</v>
      </c>
      <c r="O29" s="176">
        <v>24903</v>
      </c>
      <c r="P29" s="176">
        <v>28564</v>
      </c>
      <c r="Q29" s="176">
        <v>23293</v>
      </c>
      <c r="R29" s="176">
        <v>19713</v>
      </c>
      <c r="S29" s="152">
        <v>90</v>
      </c>
      <c r="T29" s="67" t="s">
        <v>178</v>
      </c>
    </row>
    <row r="30" spans="1:30">
      <c r="A30" s="71">
        <f>A29+1</f>
        <v>20</v>
      </c>
      <c r="B30" s="67" t="s">
        <v>179</v>
      </c>
      <c r="D30" s="121">
        <f t="shared" si="5"/>
        <v>0</v>
      </c>
      <c r="F30" s="131">
        <f t="shared" ref="F30:F37" si="7">SUM(G30:R30)</f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6">
        <v>0</v>
      </c>
      <c r="R30" s="176">
        <v>0</v>
      </c>
      <c r="S30" s="178">
        <f>SUM(S26:S29)</f>
        <v>136251.12299999999</v>
      </c>
      <c r="T30" s="157" t="s">
        <v>185</v>
      </c>
      <c r="U30" s="101">
        <v>136251</v>
      </c>
      <c r="V30" s="102">
        <f>S30-U30</f>
        <v>0.12299999999231659</v>
      </c>
    </row>
    <row r="31" spans="1:30">
      <c r="A31" s="71">
        <f>A30+1</f>
        <v>21</v>
      </c>
      <c r="B31" s="67" t="s">
        <v>180</v>
      </c>
      <c r="D31" s="121">
        <f t="shared" si="5"/>
        <v>152</v>
      </c>
      <c r="F31" s="131">
        <f t="shared" si="7"/>
        <v>151950</v>
      </c>
      <c r="G31" s="176">
        <v>12599</v>
      </c>
      <c r="H31" s="176">
        <v>11796</v>
      </c>
      <c r="I31" s="176">
        <v>12353</v>
      </c>
      <c r="J31" s="176">
        <v>11201</v>
      </c>
      <c r="K31" s="176">
        <v>12072</v>
      </c>
      <c r="L31" s="176">
        <v>10211</v>
      </c>
      <c r="M31" s="176">
        <v>14682</v>
      </c>
      <c r="N31" s="176">
        <v>-3569</v>
      </c>
      <c r="O31" s="176">
        <v>40875</v>
      </c>
      <c r="P31" s="176">
        <v>12288</v>
      </c>
      <c r="Q31" s="176">
        <v>9661</v>
      </c>
      <c r="R31" s="176">
        <v>7781</v>
      </c>
      <c r="S31" s="130"/>
    </row>
    <row r="32" spans="1:30">
      <c r="A32" s="71">
        <f>A31+1</f>
        <v>22</v>
      </c>
      <c r="B32" s="67" t="s">
        <v>181</v>
      </c>
      <c r="D32" s="121">
        <f t="shared" si="5"/>
        <v>57</v>
      </c>
      <c r="F32" s="131">
        <f>SUM(G32:R32)</f>
        <v>56663</v>
      </c>
      <c r="G32" s="176">
        <v>4220</v>
      </c>
      <c r="H32" s="176">
        <v>4121</v>
      </c>
      <c r="I32" s="176">
        <v>4133</v>
      </c>
      <c r="J32" s="176">
        <v>4386</v>
      </c>
      <c r="K32" s="176">
        <v>5853</v>
      </c>
      <c r="L32" s="176">
        <v>5949</v>
      </c>
      <c r="M32" s="176">
        <v>4949</v>
      </c>
      <c r="N32" s="176">
        <v>5398</v>
      </c>
      <c r="O32" s="176">
        <v>5360</v>
      </c>
      <c r="P32" s="176">
        <v>4597</v>
      </c>
      <c r="Q32" s="176">
        <v>3986</v>
      </c>
      <c r="R32" s="176">
        <v>3711</v>
      </c>
      <c r="S32" s="130"/>
    </row>
    <row r="33" spans="1:30" hidden="1" outlineLevel="1">
      <c r="A33" s="71"/>
      <c r="D33" s="76"/>
      <c r="F33" s="131">
        <f t="shared" si="7"/>
        <v>-13733950</v>
      </c>
      <c r="G33" s="176">
        <v>-2368594</v>
      </c>
      <c r="H33" s="176">
        <v>-671118</v>
      </c>
      <c r="I33" s="176">
        <v>-25598</v>
      </c>
      <c r="J33" s="176">
        <v>-188223</v>
      </c>
      <c r="K33" s="176">
        <v>-677854</v>
      </c>
      <c r="L33" s="176">
        <v>-753848</v>
      </c>
      <c r="M33" s="176">
        <v>-730267</v>
      </c>
      <c r="N33" s="176">
        <v>-618001</v>
      </c>
      <c r="O33" s="176">
        <v>-1688025</v>
      </c>
      <c r="P33" s="176">
        <v>-1552992</v>
      </c>
      <c r="Q33" s="176">
        <v>-2490000</v>
      </c>
      <c r="R33" s="176">
        <v>-1969430</v>
      </c>
      <c r="S33" s="130"/>
    </row>
    <row r="34" spans="1:30" hidden="1" outlineLevel="1">
      <c r="A34" s="71"/>
      <c r="D34" s="76"/>
      <c r="F34" s="131">
        <f t="shared" si="7"/>
        <v>-3078378</v>
      </c>
      <c r="G34" s="176">
        <v>421057</v>
      </c>
      <c r="H34" s="176">
        <v>-976644</v>
      </c>
      <c r="I34" s="176">
        <v>-3228749</v>
      </c>
      <c r="J34" s="176">
        <v>-1490149</v>
      </c>
      <c r="K34" s="176">
        <v>697868</v>
      </c>
      <c r="L34" s="176">
        <v>881733</v>
      </c>
      <c r="M34" s="176">
        <v>61800</v>
      </c>
      <c r="N34" s="176">
        <v>-1620693</v>
      </c>
      <c r="O34" s="176">
        <v>-274590</v>
      </c>
      <c r="P34" s="176">
        <v>-272230</v>
      </c>
      <c r="Q34" s="176">
        <v>367874</v>
      </c>
      <c r="R34" s="176">
        <v>2354345</v>
      </c>
      <c r="S34" s="130"/>
    </row>
    <row r="35" spans="1:30" hidden="1" outlineLevel="1">
      <c r="A35" s="71"/>
      <c r="D35" s="76"/>
      <c r="F35" s="131">
        <f t="shared" si="7"/>
        <v>1889094</v>
      </c>
      <c r="G35" s="176">
        <v>11952</v>
      </c>
      <c r="H35" s="176">
        <v>8400</v>
      </c>
      <c r="I35" s="176">
        <v>148028</v>
      </c>
      <c r="J35" s="176">
        <v>176080</v>
      </c>
      <c r="K35" s="176">
        <v>477176</v>
      </c>
      <c r="L35" s="176">
        <v>359359</v>
      </c>
      <c r="M35" s="176">
        <v>374375</v>
      </c>
      <c r="N35" s="176">
        <v>146405</v>
      </c>
      <c r="O35" s="176">
        <v>0</v>
      </c>
      <c r="P35" s="176">
        <v>181370</v>
      </c>
      <c r="Q35" s="176">
        <v>0</v>
      </c>
      <c r="R35" s="176">
        <v>5949</v>
      </c>
      <c r="S35" s="130"/>
    </row>
    <row r="36" spans="1:30" hidden="1" outlineLevel="1">
      <c r="A36" s="71"/>
      <c r="D36" s="76"/>
      <c r="F36" s="131"/>
      <c r="G36" s="176">
        <v>-11952</v>
      </c>
      <c r="H36" s="176">
        <v>-8400</v>
      </c>
      <c r="I36" s="176">
        <v>-148028</v>
      </c>
      <c r="J36" s="176">
        <v>-176080</v>
      </c>
      <c r="K36" s="176">
        <v>-477176</v>
      </c>
      <c r="L36" s="176">
        <v>-359359</v>
      </c>
      <c r="M36" s="176">
        <v>-374375</v>
      </c>
      <c r="N36" s="176">
        <v>-146405</v>
      </c>
      <c r="O36" s="176">
        <v>0</v>
      </c>
      <c r="P36" s="176">
        <v>-181370</v>
      </c>
      <c r="Q36" s="176">
        <v>0</v>
      </c>
      <c r="R36" s="176">
        <v>-5949</v>
      </c>
      <c r="S36" s="130"/>
    </row>
    <row r="37" spans="1:30" ht="12.75" hidden="1" outlineLevel="1">
      <c r="A37" s="71"/>
      <c r="D37" s="76"/>
      <c r="E37" s="67"/>
      <c r="F37" s="131">
        <f t="shared" si="7"/>
        <v>49582118</v>
      </c>
      <c r="G37" s="176">
        <v>4115776</v>
      </c>
      <c r="H37" s="176">
        <v>3319418</v>
      </c>
      <c r="I37" s="176">
        <v>5391617</v>
      </c>
      <c r="J37" s="176">
        <v>4419630</v>
      </c>
      <c r="K37" s="176">
        <v>3917436</v>
      </c>
      <c r="L37" s="176">
        <v>2910728</v>
      </c>
      <c r="M37" s="176">
        <v>3649197</v>
      </c>
      <c r="N37" s="176">
        <v>5625775</v>
      </c>
      <c r="O37" s="176">
        <v>4484938</v>
      </c>
      <c r="P37" s="176">
        <v>4106333</v>
      </c>
      <c r="Q37" s="176">
        <v>5124813</v>
      </c>
      <c r="R37" s="176">
        <v>2516457</v>
      </c>
      <c r="S37" s="130"/>
    </row>
    <row r="38" spans="1:30" ht="12.75" collapsed="1">
      <c r="A38" s="71">
        <f>A83+1</f>
        <v>51</v>
      </c>
      <c r="B38" s="67" t="s">
        <v>213</v>
      </c>
      <c r="C38" s="130"/>
      <c r="D38" s="121">
        <f>ROUND(F38/1000,0)</f>
        <v>51</v>
      </c>
      <c r="E38" s="67"/>
      <c r="F38" s="131">
        <f>SUM(G38:R38)</f>
        <v>51473</v>
      </c>
      <c r="G38" s="131">
        <v>2601</v>
      </c>
      <c r="H38" s="131">
        <v>146</v>
      </c>
      <c r="I38" s="131">
        <v>7689</v>
      </c>
      <c r="J38" s="131">
        <v>9014</v>
      </c>
      <c r="K38" s="131">
        <v>132</v>
      </c>
      <c r="L38" s="131">
        <v>4207</v>
      </c>
      <c r="M38" s="131">
        <v>7240</v>
      </c>
      <c r="N38" s="131">
        <v>2641</v>
      </c>
      <c r="O38" s="131">
        <v>5624</v>
      </c>
      <c r="P38" s="131">
        <v>0</v>
      </c>
      <c r="Q38" s="131">
        <v>8315</v>
      </c>
      <c r="R38" s="131">
        <v>3864</v>
      </c>
      <c r="AD38" s="127"/>
    </row>
    <row r="39" spans="1:30" ht="12.75">
      <c r="A39" s="71">
        <f>A32+1</f>
        <v>23</v>
      </c>
      <c r="B39" s="81" t="s">
        <v>78</v>
      </c>
      <c r="D39" s="121">
        <f>ROUND(F39/1000,0)</f>
        <v>32770</v>
      </c>
      <c r="E39" s="67"/>
      <c r="F39" s="131">
        <f>SUM(G39:R39)</f>
        <v>32769790</v>
      </c>
      <c r="G39" s="131">
        <f t="shared" ref="G39:R39" si="8">SUM(G33:G37)</f>
        <v>2168239</v>
      </c>
      <c r="H39" s="131">
        <f t="shared" si="8"/>
        <v>1671656</v>
      </c>
      <c r="I39" s="131">
        <f t="shared" si="8"/>
        <v>2137270</v>
      </c>
      <c r="J39" s="131">
        <f t="shared" si="8"/>
        <v>2741258</v>
      </c>
      <c r="K39" s="131">
        <f t="shared" si="8"/>
        <v>3937450</v>
      </c>
      <c r="L39" s="131">
        <f t="shared" si="8"/>
        <v>3038613</v>
      </c>
      <c r="M39" s="131">
        <f t="shared" si="8"/>
        <v>2980730</v>
      </c>
      <c r="N39" s="131">
        <f t="shared" si="8"/>
        <v>3387081</v>
      </c>
      <c r="O39" s="131">
        <f t="shared" si="8"/>
        <v>2522323</v>
      </c>
      <c r="P39" s="131">
        <f t="shared" si="8"/>
        <v>2281111</v>
      </c>
      <c r="Q39" s="131">
        <f t="shared" si="8"/>
        <v>3002687</v>
      </c>
      <c r="R39" s="131">
        <f t="shared" si="8"/>
        <v>2901372</v>
      </c>
      <c r="S39" s="130"/>
    </row>
    <row r="40" spans="1:30" ht="12.75">
      <c r="A40" s="71">
        <f>A39+1</f>
        <v>24</v>
      </c>
      <c r="B40" s="182" t="s">
        <v>209</v>
      </c>
      <c r="D40" s="121">
        <f>ROUND(F40/1000,0)</f>
        <v>2</v>
      </c>
      <c r="E40" s="67"/>
      <c r="F40" s="131">
        <f>SUM(G40:R40)</f>
        <v>1913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228</v>
      </c>
      <c r="O40" s="131">
        <v>938</v>
      </c>
      <c r="P40" s="131">
        <v>515</v>
      </c>
      <c r="Q40" s="131">
        <v>0</v>
      </c>
      <c r="R40" s="131">
        <v>232</v>
      </c>
      <c r="S40" s="130"/>
    </row>
    <row r="41" spans="1:30" ht="12.75">
      <c r="A41" s="71">
        <f>A40+1</f>
        <v>25</v>
      </c>
      <c r="B41" s="183" t="s">
        <v>210</v>
      </c>
      <c r="C41" s="69"/>
      <c r="D41" s="121">
        <f>ROUND(F41/1000,0)</f>
        <v>0</v>
      </c>
      <c r="E41" s="67"/>
      <c r="F41" s="131">
        <f>SUM(G41:R41)</f>
        <v>458</v>
      </c>
      <c r="G41" s="131">
        <v>6</v>
      </c>
      <c r="H41" s="131">
        <v>23</v>
      </c>
      <c r="I41" s="131">
        <v>38</v>
      </c>
      <c r="J41" s="131">
        <v>39</v>
      </c>
      <c r="K41" s="131">
        <v>24</v>
      </c>
      <c r="L41" s="131">
        <v>21</v>
      </c>
      <c r="M41" s="131">
        <v>51</v>
      </c>
      <c r="N41" s="131">
        <v>95</v>
      </c>
      <c r="O41" s="131">
        <v>74</v>
      </c>
      <c r="P41" s="131">
        <v>48</v>
      </c>
      <c r="Q41" s="131">
        <v>19</v>
      </c>
      <c r="R41" s="131">
        <v>20</v>
      </c>
      <c r="S41" s="130"/>
    </row>
    <row r="42" spans="1:30" ht="12.75">
      <c r="A42" s="71">
        <f>A41+1</f>
        <v>26</v>
      </c>
      <c r="B42" s="67" t="s">
        <v>77</v>
      </c>
      <c r="D42" s="78">
        <f>SUM(D29:D41)</f>
        <v>33330</v>
      </c>
      <c r="E42" s="67"/>
      <c r="F42" s="171">
        <f t="shared" ref="F42:R42" si="9">SUM(F29:F32,F39)</f>
        <v>33276620</v>
      </c>
      <c r="G42" s="171">
        <f t="shared" si="9"/>
        <v>2206781</v>
      </c>
      <c r="H42" s="171">
        <f t="shared" si="9"/>
        <v>1708079</v>
      </c>
      <c r="I42" s="171">
        <f t="shared" si="9"/>
        <v>2182775</v>
      </c>
      <c r="J42" s="171">
        <f t="shared" si="9"/>
        <v>2791327</v>
      </c>
      <c r="K42" s="171">
        <f t="shared" si="9"/>
        <v>3982208</v>
      </c>
      <c r="L42" s="171">
        <f t="shared" si="9"/>
        <v>3076732</v>
      </c>
      <c r="M42" s="171">
        <f t="shared" si="9"/>
        <v>3028463</v>
      </c>
      <c r="N42" s="171">
        <f t="shared" si="9"/>
        <v>3408030</v>
      </c>
      <c r="O42" s="171">
        <f t="shared" si="9"/>
        <v>2593461</v>
      </c>
      <c r="P42" s="171">
        <f t="shared" si="9"/>
        <v>2326560</v>
      </c>
      <c r="Q42" s="171">
        <f t="shared" si="9"/>
        <v>3039627</v>
      </c>
      <c r="R42" s="171">
        <f t="shared" si="9"/>
        <v>2932577</v>
      </c>
      <c r="S42" s="128">
        <f>D42</f>
        <v>33330</v>
      </c>
      <c r="T42" s="129" t="s">
        <v>182</v>
      </c>
    </row>
    <row r="43" spans="1:30" ht="12.75">
      <c r="A43" s="71"/>
      <c r="D43" s="72"/>
      <c r="E43" s="67"/>
      <c r="F43" s="172" t="s">
        <v>155</v>
      </c>
      <c r="S43" s="128">
        <f>5215812/1000</f>
        <v>5215.8119999999999</v>
      </c>
      <c r="T43" s="130" t="s">
        <v>183</v>
      </c>
    </row>
    <row r="44" spans="1:30" ht="12.75">
      <c r="A44" s="71"/>
      <c r="B44" s="79" t="s">
        <v>76</v>
      </c>
      <c r="D44" s="72"/>
      <c r="E44" s="67"/>
      <c r="S44" s="128">
        <f>-5259734/1000</f>
        <v>-5259.7340000000004</v>
      </c>
      <c r="T44" s="130" t="s">
        <v>184</v>
      </c>
    </row>
    <row r="45" spans="1:30" ht="12.75">
      <c r="A45" s="71">
        <f>A42+1</f>
        <v>27</v>
      </c>
      <c r="B45" s="67" t="s">
        <v>75</v>
      </c>
      <c r="C45" s="84"/>
      <c r="D45" s="121">
        <f t="shared" ref="D45:D48" si="10">ROUND(F45/1000,0)</f>
        <v>5998</v>
      </c>
      <c r="E45" s="67"/>
      <c r="F45" s="131">
        <f t="shared" ref="F45:F48" si="11">SUM(G45:R45)</f>
        <v>5998022</v>
      </c>
      <c r="G45" s="48">
        <v>669436</v>
      </c>
      <c r="H45" s="48">
        <v>586372</v>
      </c>
      <c r="I45" s="48">
        <v>520044</v>
      </c>
      <c r="J45" s="48">
        <v>588601</v>
      </c>
      <c r="K45" s="48">
        <v>-1484</v>
      </c>
      <c r="L45" s="48">
        <v>4598</v>
      </c>
      <c r="M45" s="48">
        <v>332272</v>
      </c>
      <c r="N45" s="48">
        <v>659968</v>
      </c>
      <c r="O45" s="48">
        <v>805116</v>
      </c>
      <c r="P45" s="48">
        <v>744164</v>
      </c>
      <c r="Q45" s="48">
        <v>423400</v>
      </c>
      <c r="R45" s="48">
        <v>665535</v>
      </c>
      <c r="S45" s="181">
        <f>SUM(S42:S44)</f>
        <v>33286.077999999994</v>
      </c>
      <c r="T45" s="130" t="s">
        <v>185</v>
      </c>
      <c r="U45" s="101">
        <v>33286</v>
      </c>
      <c r="V45" s="102">
        <f>S45-U45</f>
        <v>7.7999999994062819E-2</v>
      </c>
    </row>
    <row r="46" spans="1:30" ht="12.75">
      <c r="A46" s="71">
        <f>A45+1</f>
        <v>28</v>
      </c>
      <c r="B46" s="67" t="s">
        <v>74</v>
      </c>
      <c r="C46" s="84"/>
      <c r="D46" s="121">
        <f t="shared" si="10"/>
        <v>11</v>
      </c>
      <c r="E46" s="67"/>
      <c r="F46" s="131">
        <f t="shared" si="11"/>
        <v>11212</v>
      </c>
      <c r="G46" s="48">
        <v>466</v>
      </c>
      <c r="H46" s="48">
        <v>2150</v>
      </c>
      <c r="I46" s="48">
        <v>602</v>
      </c>
      <c r="J46" s="48">
        <v>929</v>
      </c>
      <c r="K46" s="48">
        <v>-19</v>
      </c>
      <c r="L46" s="48">
        <v>751</v>
      </c>
      <c r="M46" s="48">
        <v>620</v>
      </c>
      <c r="N46" s="48">
        <v>1687</v>
      </c>
      <c r="O46" s="48">
        <v>-95</v>
      </c>
      <c r="P46" s="48">
        <v>1356</v>
      </c>
      <c r="Q46" s="48">
        <v>2315</v>
      </c>
      <c r="R46" s="48">
        <v>450</v>
      </c>
    </row>
    <row r="47" spans="1:30" ht="12.75">
      <c r="A47" s="71">
        <f>A46+1</f>
        <v>29</v>
      </c>
      <c r="B47" s="81" t="s">
        <v>73</v>
      </c>
      <c r="C47" s="82"/>
      <c r="D47" s="121">
        <f t="shared" si="10"/>
        <v>22005</v>
      </c>
      <c r="E47" s="67"/>
      <c r="F47" s="131">
        <f t="shared" si="11"/>
        <v>22005083</v>
      </c>
      <c r="G47" s="48">
        <v>2514090</v>
      </c>
      <c r="H47" s="48">
        <v>2811018</v>
      </c>
      <c r="I47" s="48">
        <v>2357564</v>
      </c>
      <c r="J47" s="48">
        <v>2203760</v>
      </c>
      <c r="K47" s="48">
        <v>739924</v>
      </c>
      <c r="L47" s="48">
        <v>785937</v>
      </c>
      <c r="M47" s="48">
        <v>1770445</v>
      </c>
      <c r="N47" s="48">
        <v>2452135</v>
      </c>
      <c r="O47" s="48">
        <v>1458669</v>
      </c>
      <c r="P47" s="48">
        <v>993505</v>
      </c>
      <c r="Q47" s="48">
        <v>1513430</v>
      </c>
      <c r="R47" s="48">
        <v>2404606</v>
      </c>
      <c r="S47" s="180"/>
    </row>
    <row r="48" spans="1:30" ht="12.75">
      <c r="A48" s="71">
        <f>A47+1</f>
        <v>30</v>
      </c>
      <c r="B48" s="69" t="s">
        <v>72</v>
      </c>
      <c r="C48" s="83"/>
      <c r="D48" s="121">
        <f t="shared" si="10"/>
        <v>224</v>
      </c>
      <c r="E48" s="67"/>
      <c r="F48" s="131">
        <f t="shared" si="11"/>
        <v>224103</v>
      </c>
      <c r="G48" s="48">
        <v>55086</v>
      </c>
      <c r="H48" s="48">
        <v>0</v>
      </c>
      <c r="I48" s="48">
        <v>0</v>
      </c>
      <c r="J48" s="48">
        <v>10854</v>
      </c>
      <c r="K48" s="48">
        <v>0</v>
      </c>
      <c r="L48" s="48">
        <v>39179</v>
      </c>
      <c r="M48" s="48">
        <v>16708</v>
      </c>
      <c r="N48" s="48">
        <v>2292</v>
      </c>
      <c r="O48" s="48">
        <v>9906</v>
      </c>
      <c r="P48" s="48">
        <v>20217</v>
      </c>
      <c r="Q48" s="48">
        <v>13275</v>
      </c>
      <c r="R48" s="48">
        <v>56586</v>
      </c>
    </row>
    <row r="49" spans="1:22" ht="12.75">
      <c r="A49" s="82">
        <f>A48+1</f>
        <v>31</v>
      </c>
      <c r="B49" s="67" t="s">
        <v>71</v>
      </c>
      <c r="D49" s="194">
        <f>SUM(D45:D48)</f>
        <v>28238</v>
      </c>
      <c r="E49" s="67"/>
      <c r="F49" s="171">
        <f>SUM(F45:F48)</f>
        <v>28238420</v>
      </c>
      <c r="G49" s="171">
        <f t="shared" ref="G49:R49" si="12">SUM(G45:G48)</f>
        <v>3239078</v>
      </c>
      <c r="H49" s="171">
        <f t="shared" si="12"/>
        <v>3399540</v>
      </c>
      <c r="I49" s="171">
        <f t="shared" si="12"/>
        <v>2878210</v>
      </c>
      <c r="J49" s="171">
        <f t="shared" si="12"/>
        <v>2804144</v>
      </c>
      <c r="K49" s="171">
        <f t="shared" si="12"/>
        <v>738421</v>
      </c>
      <c r="L49" s="171">
        <f t="shared" si="12"/>
        <v>830465</v>
      </c>
      <c r="M49" s="171">
        <f t="shared" si="12"/>
        <v>2120045</v>
      </c>
      <c r="N49" s="171">
        <f t="shared" si="12"/>
        <v>3116082</v>
      </c>
      <c r="O49" s="171">
        <f t="shared" si="12"/>
        <v>2273596</v>
      </c>
      <c r="P49" s="171">
        <f t="shared" si="12"/>
        <v>1759242</v>
      </c>
      <c r="Q49" s="171">
        <f t="shared" si="12"/>
        <v>1952420</v>
      </c>
      <c r="R49" s="171">
        <f t="shared" si="12"/>
        <v>3127177</v>
      </c>
      <c r="S49" s="101">
        <f>D49</f>
        <v>28238</v>
      </c>
      <c r="T49" s="67" t="s">
        <v>186</v>
      </c>
    </row>
    <row r="50" spans="1:22" ht="12.75">
      <c r="A50" s="71"/>
      <c r="D50" s="72"/>
      <c r="E50" s="67"/>
      <c r="F50" s="172" t="s">
        <v>155</v>
      </c>
      <c r="S50" s="102">
        <f>1268342/1000</f>
        <v>1268.3420000000001</v>
      </c>
      <c r="T50" s="179" t="s">
        <v>187</v>
      </c>
    </row>
    <row r="51" spans="1:22" ht="12.75">
      <c r="A51" s="71"/>
      <c r="B51" s="79" t="s">
        <v>70</v>
      </c>
      <c r="D51" s="72"/>
      <c r="E51" s="67"/>
      <c r="S51" s="181">
        <f>SUM(S49:S50)+1</f>
        <v>29507.342000000001</v>
      </c>
      <c r="T51" s="179" t="s">
        <v>185</v>
      </c>
      <c r="U51" s="101">
        <v>29507</v>
      </c>
      <c r="V51" s="102">
        <f>S51-U51</f>
        <v>0.34200000000055297</v>
      </c>
    </row>
    <row r="52" spans="1:22" ht="12.75">
      <c r="A52" s="71">
        <f>A49+1</f>
        <v>32</v>
      </c>
      <c r="B52" s="80" t="s">
        <v>188</v>
      </c>
      <c r="D52" s="121">
        <f t="shared" ref="D52:D57" si="13">ROUND(F52/1000,0)</f>
        <v>16</v>
      </c>
      <c r="E52" s="67"/>
      <c r="F52" s="131">
        <f t="shared" ref="F52:F55" si="14">SUM(G52:R52)</f>
        <v>16308</v>
      </c>
      <c r="G52" s="131">
        <v>-1839</v>
      </c>
      <c r="H52" s="131">
        <v>35</v>
      </c>
      <c r="I52" s="131">
        <v>-23</v>
      </c>
      <c r="J52" s="131">
        <v>82</v>
      </c>
      <c r="K52" s="131">
        <v>29</v>
      </c>
      <c r="L52" s="131">
        <v>76</v>
      </c>
      <c r="M52" s="131">
        <v>-93</v>
      </c>
      <c r="N52" s="131">
        <v>-216</v>
      </c>
      <c r="O52" s="131">
        <v>1053</v>
      </c>
      <c r="P52" s="131">
        <v>1132</v>
      </c>
      <c r="Q52" s="131">
        <v>15252</v>
      </c>
      <c r="R52" s="131">
        <v>820</v>
      </c>
    </row>
    <row r="53" spans="1:22" ht="12.75">
      <c r="A53" s="71">
        <f t="shared" ref="A53:A57" si="15">A52+1</f>
        <v>33</v>
      </c>
      <c r="B53" s="80" t="s">
        <v>189</v>
      </c>
      <c r="D53" s="121">
        <f t="shared" si="13"/>
        <v>840</v>
      </c>
      <c r="E53" s="67"/>
      <c r="F53" s="131">
        <f t="shared" si="14"/>
        <v>840289</v>
      </c>
      <c r="G53" s="131">
        <v>20130</v>
      </c>
      <c r="H53" s="131">
        <v>11475</v>
      </c>
      <c r="I53" s="131">
        <v>80312</v>
      </c>
      <c r="J53" s="131">
        <v>98567</v>
      </c>
      <c r="K53" s="131">
        <v>10548</v>
      </c>
      <c r="L53" s="131">
        <v>19509</v>
      </c>
      <c r="M53" s="131">
        <v>40446</v>
      </c>
      <c r="N53" s="131">
        <v>85902</v>
      </c>
      <c r="O53" s="131">
        <v>153725</v>
      </c>
      <c r="P53" s="131">
        <v>204879</v>
      </c>
      <c r="Q53" s="131">
        <v>58541</v>
      </c>
      <c r="R53" s="131">
        <v>56255</v>
      </c>
    </row>
    <row r="54" spans="1:22" ht="12.75">
      <c r="A54" s="71">
        <f t="shared" si="15"/>
        <v>34</v>
      </c>
      <c r="B54" s="80" t="s">
        <v>190</v>
      </c>
      <c r="D54" s="121">
        <f t="shared" si="13"/>
        <v>27</v>
      </c>
      <c r="E54" s="67"/>
      <c r="F54" s="131">
        <f t="shared" si="14"/>
        <v>27210</v>
      </c>
      <c r="G54" s="131">
        <v>2625</v>
      </c>
      <c r="H54" s="131">
        <v>3871</v>
      </c>
      <c r="I54" s="131">
        <v>2594</v>
      </c>
      <c r="J54" s="131">
        <v>1268</v>
      </c>
      <c r="K54" s="131">
        <v>1772</v>
      </c>
      <c r="L54" s="131">
        <v>614</v>
      </c>
      <c r="M54" s="131">
        <v>1472</v>
      </c>
      <c r="N54" s="131">
        <v>9330</v>
      </c>
      <c r="O54" s="131">
        <v>4616</v>
      </c>
      <c r="P54" s="131">
        <v>2289</v>
      </c>
      <c r="Q54" s="131">
        <v>-2401</v>
      </c>
      <c r="R54" s="131">
        <v>-840</v>
      </c>
    </row>
    <row r="55" spans="1:22" ht="12.75">
      <c r="A55" s="71">
        <f t="shared" si="15"/>
        <v>35</v>
      </c>
      <c r="B55" s="80" t="s">
        <v>191</v>
      </c>
      <c r="D55" s="121">
        <f t="shared" si="13"/>
        <v>25388</v>
      </c>
      <c r="E55" s="67"/>
      <c r="F55" s="131">
        <f t="shared" si="14"/>
        <v>25388467</v>
      </c>
      <c r="G55" s="131">
        <v>2553876</v>
      </c>
      <c r="H55" s="131">
        <v>2266934</v>
      </c>
      <c r="I55" s="131">
        <v>2517341</v>
      </c>
      <c r="J55" s="131">
        <v>1550090</v>
      </c>
      <c r="K55" s="131">
        <v>447698</v>
      </c>
      <c r="L55" s="131">
        <v>564243</v>
      </c>
      <c r="M55" s="131">
        <v>1543423</v>
      </c>
      <c r="N55" s="131">
        <v>2739420</v>
      </c>
      <c r="O55" s="131">
        <v>2564111</v>
      </c>
      <c r="P55" s="131">
        <v>2505960</v>
      </c>
      <c r="Q55" s="131">
        <v>2707858</v>
      </c>
      <c r="R55" s="131">
        <v>3427513</v>
      </c>
    </row>
    <row r="56" spans="1:22" ht="12.75">
      <c r="A56" s="71">
        <f t="shared" si="15"/>
        <v>36</v>
      </c>
      <c r="B56" s="67" t="s">
        <v>192</v>
      </c>
      <c r="D56" s="121">
        <f t="shared" si="13"/>
        <v>24370</v>
      </c>
      <c r="E56" s="67"/>
      <c r="F56" s="131">
        <f t="shared" ref="F56:F57" si="16">SUM(G56:R56)</f>
        <v>24370145</v>
      </c>
      <c r="G56" s="131">
        <v>2326662</v>
      </c>
      <c r="H56" s="131">
        <v>1755204</v>
      </c>
      <c r="I56" s="131">
        <v>2352441</v>
      </c>
      <c r="J56" s="131">
        <v>2028732</v>
      </c>
      <c r="K56" s="131">
        <v>711804</v>
      </c>
      <c r="L56" s="131">
        <v>471786</v>
      </c>
      <c r="M56" s="131">
        <v>1331921</v>
      </c>
      <c r="N56" s="131">
        <v>2462679</v>
      </c>
      <c r="O56" s="131">
        <v>2362221</v>
      </c>
      <c r="P56" s="131">
        <v>2426723</v>
      </c>
      <c r="Q56" s="131">
        <v>2934562</v>
      </c>
      <c r="R56" s="131">
        <v>3205410</v>
      </c>
    </row>
    <row r="57" spans="1:22" ht="12.75">
      <c r="A57" s="71">
        <f t="shared" si="15"/>
        <v>37</v>
      </c>
      <c r="B57" s="67" t="s">
        <v>193</v>
      </c>
      <c r="D57" s="121">
        <f t="shared" si="13"/>
        <v>3223</v>
      </c>
      <c r="E57" s="67"/>
      <c r="F57" s="131">
        <f t="shared" si="16"/>
        <v>3223334</v>
      </c>
      <c r="G57" s="131">
        <v>24298</v>
      </c>
      <c r="H57" s="131">
        <v>61420</v>
      </c>
      <c r="I57" s="131">
        <v>522576</v>
      </c>
      <c r="J57" s="131">
        <v>693800</v>
      </c>
      <c r="K57" s="131">
        <v>44933</v>
      </c>
      <c r="L57" s="131">
        <v>42765</v>
      </c>
      <c r="M57" s="131">
        <v>113802</v>
      </c>
      <c r="N57" s="131">
        <v>290438</v>
      </c>
      <c r="O57" s="131">
        <v>480922</v>
      </c>
      <c r="P57" s="131">
        <v>804113</v>
      </c>
      <c r="Q57" s="131">
        <v>28363</v>
      </c>
      <c r="R57" s="131">
        <v>115904</v>
      </c>
    </row>
    <row r="58" spans="1:22" ht="12.75">
      <c r="A58" s="71">
        <f>A57+1</f>
        <v>38</v>
      </c>
      <c r="B58" s="67" t="s">
        <v>69</v>
      </c>
      <c r="D58" s="78">
        <f>SUM(D52:D57)</f>
        <v>53864</v>
      </c>
      <c r="E58" s="67"/>
      <c r="F58" s="171">
        <f t="shared" ref="F58:R58" si="17">SUM(F52:F57)</f>
        <v>53865753</v>
      </c>
      <c r="G58" s="171">
        <f t="shared" si="17"/>
        <v>4925752</v>
      </c>
      <c r="H58" s="171">
        <f t="shared" si="17"/>
        <v>4098939</v>
      </c>
      <c r="I58" s="171">
        <f t="shared" si="17"/>
        <v>5475241</v>
      </c>
      <c r="J58" s="171">
        <f t="shared" si="17"/>
        <v>4372539</v>
      </c>
      <c r="K58" s="171">
        <f t="shared" si="17"/>
        <v>1216784</v>
      </c>
      <c r="L58" s="171">
        <f t="shared" si="17"/>
        <v>1098993</v>
      </c>
      <c r="M58" s="171">
        <f t="shared" si="17"/>
        <v>3030971</v>
      </c>
      <c r="N58" s="171">
        <f t="shared" si="17"/>
        <v>5587553</v>
      </c>
      <c r="O58" s="171">
        <f t="shared" si="17"/>
        <v>5566648</v>
      </c>
      <c r="P58" s="171">
        <f t="shared" si="17"/>
        <v>5945096</v>
      </c>
      <c r="Q58" s="171">
        <f t="shared" si="17"/>
        <v>5742175</v>
      </c>
      <c r="R58" s="171">
        <f t="shared" si="17"/>
        <v>6805062</v>
      </c>
      <c r="S58" s="72">
        <f>53865752/1000</f>
        <v>53865.752</v>
      </c>
      <c r="T58" s="67" t="s">
        <v>185</v>
      </c>
      <c r="U58" s="101">
        <v>53866</v>
      </c>
      <c r="V58" s="102">
        <f>S58-U58</f>
        <v>-0.24799999999959255</v>
      </c>
    </row>
    <row r="59" spans="1:22" ht="12.75">
      <c r="A59" s="71"/>
      <c r="E59" s="67"/>
      <c r="F59" s="172" t="s">
        <v>155</v>
      </c>
      <c r="U59" s="101"/>
      <c r="V59" s="102"/>
    </row>
    <row r="60" spans="1:22" ht="12.75">
      <c r="A60" s="71"/>
      <c r="D60" s="72"/>
      <c r="E60" s="67"/>
    </row>
    <row r="61" spans="1:22" ht="12.75">
      <c r="A61" s="71"/>
      <c r="D61" s="72"/>
      <c r="E61" s="67"/>
    </row>
    <row r="62" spans="1:22" ht="12.75">
      <c r="A62" s="71"/>
      <c r="D62" s="72"/>
      <c r="E62" s="67"/>
    </row>
    <row r="63" spans="1:22" ht="12.75">
      <c r="A63" s="71"/>
      <c r="B63" s="79" t="s">
        <v>68</v>
      </c>
      <c r="D63" s="72"/>
      <c r="E63" s="67"/>
    </row>
    <row r="64" spans="1:22" ht="12.75">
      <c r="A64" s="71">
        <f>A58+1</f>
        <v>39</v>
      </c>
      <c r="B64" s="67" t="s">
        <v>194</v>
      </c>
      <c r="C64" s="81"/>
      <c r="D64" s="121">
        <f t="shared" ref="D64:D66" si="18">ROUND(F64/1000,0)</f>
        <v>16485</v>
      </c>
      <c r="E64" s="67"/>
      <c r="F64" s="131">
        <f t="shared" ref="F64:F66" si="19">SUM(G64:R64)</f>
        <v>16484608</v>
      </c>
      <c r="G64" s="131">
        <v>1397531</v>
      </c>
      <c r="H64" s="131">
        <v>1371808</v>
      </c>
      <c r="I64" s="131">
        <v>1397309</v>
      </c>
      <c r="J64" s="131">
        <v>1358060</v>
      </c>
      <c r="K64" s="131">
        <v>1324154</v>
      </c>
      <c r="L64" s="131">
        <v>1322847</v>
      </c>
      <c r="M64" s="131">
        <v>1403302</v>
      </c>
      <c r="N64" s="131">
        <v>1370414</v>
      </c>
      <c r="O64" s="131">
        <v>1390397</v>
      </c>
      <c r="P64" s="131">
        <v>1426238</v>
      </c>
      <c r="Q64" s="131">
        <v>1352134</v>
      </c>
      <c r="R64" s="131">
        <v>1370414</v>
      </c>
    </row>
    <row r="65" spans="1:22" ht="12.75">
      <c r="A65" s="71">
        <f>A58+1</f>
        <v>39</v>
      </c>
      <c r="B65" s="67" t="s">
        <v>195</v>
      </c>
      <c r="C65" s="81"/>
      <c r="D65" s="121">
        <f t="shared" si="18"/>
        <v>0</v>
      </c>
      <c r="E65" s="67"/>
      <c r="F65" s="131">
        <f t="shared" si="19"/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1">
        <v>0</v>
      </c>
      <c r="M65" s="131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</row>
    <row r="66" spans="1:22" ht="12.75">
      <c r="A66" s="71">
        <f>A65+1</f>
        <v>40</v>
      </c>
      <c r="B66" s="67" t="s">
        <v>196</v>
      </c>
      <c r="D66" s="121">
        <f t="shared" si="18"/>
        <v>54</v>
      </c>
      <c r="E66" s="67"/>
      <c r="F66" s="131">
        <f t="shared" si="19"/>
        <v>54432</v>
      </c>
      <c r="G66" s="131">
        <v>4536</v>
      </c>
      <c r="H66" s="131">
        <v>4536</v>
      </c>
      <c r="I66" s="131">
        <v>4536</v>
      </c>
      <c r="J66" s="131">
        <v>4536</v>
      </c>
      <c r="K66" s="131">
        <v>4536</v>
      </c>
      <c r="L66" s="131">
        <v>4536</v>
      </c>
      <c r="M66" s="131">
        <v>4536</v>
      </c>
      <c r="N66" s="131">
        <v>4536</v>
      </c>
      <c r="O66" s="131">
        <v>4536</v>
      </c>
      <c r="P66" s="131">
        <v>4536</v>
      </c>
      <c r="Q66" s="131">
        <v>4536</v>
      </c>
      <c r="R66" s="131">
        <v>4536</v>
      </c>
    </row>
    <row r="67" spans="1:22" ht="12.75">
      <c r="A67" s="71">
        <f>A66+1</f>
        <v>41</v>
      </c>
      <c r="B67" s="67" t="s">
        <v>67</v>
      </c>
      <c r="D67" s="78">
        <f>SUM(D64:D66)</f>
        <v>16539</v>
      </c>
      <c r="E67" s="67"/>
      <c r="F67" s="171">
        <f t="shared" ref="F67:R67" si="20">SUM(F64:F66)</f>
        <v>16539040</v>
      </c>
      <c r="G67" s="171">
        <f t="shared" si="20"/>
        <v>1402067</v>
      </c>
      <c r="H67" s="171">
        <f t="shared" si="20"/>
        <v>1376344</v>
      </c>
      <c r="I67" s="171">
        <f t="shared" si="20"/>
        <v>1401845</v>
      </c>
      <c r="J67" s="171">
        <f t="shared" si="20"/>
        <v>1362596</v>
      </c>
      <c r="K67" s="171">
        <f t="shared" si="20"/>
        <v>1328690</v>
      </c>
      <c r="L67" s="171">
        <f t="shared" si="20"/>
        <v>1327383</v>
      </c>
      <c r="M67" s="171">
        <f t="shared" si="20"/>
        <v>1407838</v>
      </c>
      <c r="N67" s="171">
        <f t="shared" si="20"/>
        <v>1374950</v>
      </c>
      <c r="O67" s="171">
        <f t="shared" si="20"/>
        <v>1394933</v>
      </c>
      <c r="P67" s="171">
        <f t="shared" si="20"/>
        <v>1430774</v>
      </c>
      <c r="Q67" s="171">
        <f t="shared" si="20"/>
        <v>1356670</v>
      </c>
      <c r="R67" s="171">
        <f t="shared" si="20"/>
        <v>1374950</v>
      </c>
      <c r="S67" s="72">
        <v>16539</v>
      </c>
      <c r="T67" s="67" t="s">
        <v>185</v>
      </c>
      <c r="U67" s="101">
        <v>16539</v>
      </c>
      <c r="V67" s="102">
        <f>S67-U67</f>
        <v>0</v>
      </c>
    </row>
    <row r="68" spans="1:22" ht="12.95" customHeight="1">
      <c r="A68" s="71"/>
      <c r="E68" s="67"/>
      <c r="F68" s="172" t="s">
        <v>155</v>
      </c>
    </row>
    <row r="69" spans="1:22" ht="12" customHeight="1">
      <c r="A69" s="71"/>
      <c r="B69" s="79" t="s">
        <v>66</v>
      </c>
      <c r="D69" s="72"/>
      <c r="E69" s="67"/>
    </row>
    <row r="70" spans="1:22" ht="12" customHeight="1">
      <c r="A70" s="71">
        <f>A67+1</f>
        <v>42</v>
      </c>
      <c r="B70" s="67" t="s">
        <v>65</v>
      </c>
      <c r="D70" s="76"/>
      <c r="E70" s="67"/>
      <c r="F70" s="131">
        <f t="shared" ref="F70" si="21">SUM(G70:R70)</f>
        <v>0</v>
      </c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</row>
    <row r="71" spans="1:22" ht="12" customHeight="1">
      <c r="A71" s="71"/>
      <c r="D71" s="72"/>
      <c r="E71" s="67"/>
    </row>
    <row r="72" spans="1:22" ht="12" customHeight="1">
      <c r="A72" s="71">
        <f>A70+1</f>
        <v>43</v>
      </c>
      <c r="B72" s="138" t="s">
        <v>64</v>
      </c>
      <c r="C72" s="139"/>
      <c r="D72" s="140">
        <f>D26+D42+D49+D58+D67+D70</f>
        <v>255875</v>
      </c>
      <c r="E72" s="67"/>
    </row>
    <row r="73" spans="1:22" ht="12" customHeight="1">
      <c r="A73" s="71"/>
      <c r="B73" s="70"/>
      <c r="D73" s="72"/>
      <c r="E73" s="67"/>
    </row>
    <row r="74" spans="1:22" ht="12" customHeight="1">
      <c r="A74" s="71"/>
      <c r="B74" s="79" t="s">
        <v>63</v>
      </c>
      <c r="D74" s="72"/>
      <c r="E74" s="67"/>
    </row>
    <row r="75" spans="1:22" ht="12.95" customHeight="1">
      <c r="A75" s="71">
        <f>A72+1</f>
        <v>44</v>
      </c>
      <c r="B75" t="s">
        <v>197</v>
      </c>
      <c r="D75" s="121">
        <f>-ROUND(F75/1000,0)</f>
        <v>63224</v>
      </c>
      <c r="E75" s="67"/>
      <c r="F75" s="131">
        <f t="shared" ref="F75:F79" si="22">SUM(G75:R75)</f>
        <v>-63223937</v>
      </c>
      <c r="G75" s="131">
        <v>-6410216</v>
      </c>
      <c r="H75" s="131">
        <v>-5567362</v>
      </c>
      <c r="I75" s="131">
        <v>-5771825</v>
      </c>
      <c r="J75" s="131">
        <v>-6957136</v>
      </c>
      <c r="K75" s="131">
        <v>-4643721</v>
      </c>
      <c r="L75" s="131">
        <v>-4498259</v>
      </c>
      <c r="M75" s="131">
        <v>-5243857</v>
      </c>
      <c r="N75" s="131">
        <v>-6564706</v>
      </c>
      <c r="O75" s="131">
        <v>-3553855</v>
      </c>
      <c r="P75" s="131">
        <v>-4230843</v>
      </c>
      <c r="Q75" s="131">
        <v>-5041447</v>
      </c>
      <c r="R75" s="131">
        <v>-4740710</v>
      </c>
    </row>
    <row r="76" spans="1:22" ht="12.95" customHeight="1">
      <c r="A76" s="71">
        <f t="shared" ref="A76:A79" si="23">A75+1</f>
        <v>45</v>
      </c>
      <c r="B76" t="s">
        <v>198</v>
      </c>
      <c r="D76" s="121">
        <f t="shared" ref="D76:D79" si="24">-ROUND(F76/1000,0)</f>
        <v>913</v>
      </c>
      <c r="E76" s="67"/>
      <c r="F76" s="131">
        <f t="shared" si="22"/>
        <v>-912891</v>
      </c>
      <c r="G76" s="131">
        <v>-114196</v>
      </c>
      <c r="H76" s="131">
        <v>-57978</v>
      </c>
      <c r="I76" s="131">
        <v>-77242</v>
      </c>
      <c r="J76" s="131">
        <v>-67204</v>
      </c>
      <c r="K76" s="131">
        <v>-32501</v>
      </c>
      <c r="L76" s="131">
        <v>-15887</v>
      </c>
      <c r="M76" s="131">
        <v>-53470</v>
      </c>
      <c r="N76" s="131">
        <v>-112902</v>
      </c>
      <c r="O76" s="131">
        <v>-106144</v>
      </c>
      <c r="P76" s="131">
        <v>-85307</v>
      </c>
      <c r="Q76" s="131">
        <v>-81101</v>
      </c>
      <c r="R76" s="131">
        <v>-108959</v>
      </c>
    </row>
    <row r="77" spans="1:22" ht="12.95" customHeight="1">
      <c r="A77" s="71">
        <f t="shared" si="23"/>
        <v>46</v>
      </c>
      <c r="B77" s="177" t="s">
        <v>199</v>
      </c>
      <c r="D77" s="121">
        <f t="shared" si="24"/>
        <v>132</v>
      </c>
      <c r="E77" s="67"/>
      <c r="F77" s="131">
        <f t="shared" si="22"/>
        <v>-132098</v>
      </c>
      <c r="G77" s="131">
        <v>-12942</v>
      </c>
      <c r="H77" s="131">
        <v>-12179</v>
      </c>
      <c r="I77" s="131">
        <v>-12626</v>
      </c>
      <c r="J77" s="131">
        <v>-12124</v>
      </c>
      <c r="K77" s="131">
        <v>-12236</v>
      </c>
      <c r="L77" s="131">
        <v>-10556</v>
      </c>
      <c r="M77" s="131">
        <v>-9100</v>
      </c>
      <c r="N77" s="131">
        <v>-9146</v>
      </c>
      <c r="O77" s="131">
        <v>-10130</v>
      </c>
      <c r="P77" s="131">
        <v>-10318</v>
      </c>
      <c r="Q77" s="131">
        <v>-10240</v>
      </c>
      <c r="R77" s="131">
        <v>-10501</v>
      </c>
    </row>
    <row r="78" spans="1:22">
      <c r="A78" s="71">
        <f t="shared" si="23"/>
        <v>47</v>
      </c>
      <c r="B78" t="s">
        <v>200</v>
      </c>
      <c r="D78" s="121">
        <f t="shared" si="24"/>
        <v>434</v>
      </c>
      <c r="E78" s="67"/>
      <c r="F78" s="131">
        <f t="shared" si="22"/>
        <v>-434369</v>
      </c>
      <c r="G78" s="131">
        <v>-57587</v>
      </c>
      <c r="H78" s="131">
        <v>-47591</v>
      </c>
      <c r="I78" s="131">
        <v>-55025</v>
      </c>
      <c r="J78" s="131">
        <v>-52181</v>
      </c>
      <c r="K78" s="131">
        <v>-40336</v>
      </c>
      <c r="L78" s="131">
        <v>-25067</v>
      </c>
      <c r="M78" s="131">
        <v>-24561</v>
      </c>
      <c r="N78" s="131">
        <v>-21080</v>
      </c>
      <c r="O78" s="131">
        <v>-19638</v>
      </c>
      <c r="P78" s="131">
        <v>-29774</v>
      </c>
      <c r="Q78" s="131">
        <v>-29999</v>
      </c>
      <c r="R78" s="131">
        <v>-31530</v>
      </c>
    </row>
    <row r="79" spans="1:22">
      <c r="A79" s="71">
        <f t="shared" si="23"/>
        <v>48</v>
      </c>
      <c r="B79" t="s">
        <v>201</v>
      </c>
      <c r="D79" s="195">
        <f t="shared" si="24"/>
        <v>16461</v>
      </c>
      <c r="E79" s="67"/>
      <c r="F79" s="131">
        <f t="shared" si="22"/>
        <v>-16461176</v>
      </c>
      <c r="G79" s="131">
        <v>-1223281</v>
      </c>
      <c r="H79" s="131">
        <v>-1274514</v>
      </c>
      <c r="I79" s="131">
        <v>-1236581</v>
      </c>
      <c r="J79" s="131">
        <v>-1823276</v>
      </c>
      <c r="K79" s="131">
        <v>-1705686</v>
      </c>
      <c r="L79" s="131">
        <v>-1654839</v>
      </c>
      <c r="M79" s="131">
        <v>-1510579</v>
      </c>
      <c r="N79" s="131">
        <v>-1115169</v>
      </c>
      <c r="O79" s="131">
        <v>-1162308</v>
      </c>
      <c r="P79" s="131">
        <v>-1250634</v>
      </c>
      <c r="Q79" s="131">
        <v>-1255181</v>
      </c>
      <c r="R79" s="131">
        <v>-1249128</v>
      </c>
    </row>
    <row r="80" spans="1:22" ht="12.75">
      <c r="A80" s="71">
        <f>A79+1</f>
        <v>49</v>
      </c>
      <c r="B80" s="67" t="s">
        <v>62</v>
      </c>
      <c r="D80" s="122">
        <f>SUM(D75:D79)</f>
        <v>81164</v>
      </c>
      <c r="E80" s="67"/>
      <c r="F80" s="171">
        <f t="shared" ref="F80:R80" si="25">SUM(F75:F79)</f>
        <v>-81164471</v>
      </c>
      <c r="G80" s="171">
        <f t="shared" si="25"/>
        <v>-7818222</v>
      </c>
      <c r="H80" s="171">
        <f t="shared" si="25"/>
        <v>-6959624</v>
      </c>
      <c r="I80" s="171">
        <f t="shared" si="25"/>
        <v>-7153299</v>
      </c>
      <c r="J80" s="171">
        <f t="shared" si="25"/>
        <v>-8911921</v>
      </c>
      <c r="K80" s="171">
        <f t="shared" si="25"/>
        <v>-6434480</v>
      </c>
      <c r="L80" s="171">
        <f t="shared" si="25"/>
        <v>-6204608</v>
      </c>
      <c r="M80" s="171">
        <f t="shared" si="25"/>
        <v>-6841567</v>
      </c>
      <c r="N80" s="171">
        <f t="shared" si="25"/>
        <v>-7823003</v>
      </c>
      <c r="O80" s="171">
        <f t="shared" si="25"/>
        <v>-4852075</v>
      </c>
      <c r="P80" s="171">
        <f t="shared" si="25"/>
        <v>-5606876</v>
      </c>
      <c r="Q80" s="171">
        <f t="shared" si="25"/>
        <v>-6417968</v>
      </c>
      <c r="R80" s="171">
        <f t="shared" si="25"/>
        <v>-6140828</v>
      </c>
      <c r="S80" s="72">
        <f>D80</f>
        <v>81164</v>
      </c>
    </row>
    <row r="81" spans="1:22" ht="12.75">
      <c r="A81" s="71"/>
      <c r="E81" s="67"/>
      <c r="F81" s="172" t="s">
        <v>155</v>
      </c>
      <c r="S81" s="127">
        <v>892</v>
      </c>
      <c r="T81" s="67" t="s">
        <v>143</v>
      </c>
    </row>
    <row r="82" spans="1:22" ht="12.75">
      <c r="A82" s="71"/>
      <c r="B82" s="79" t="s">
        <v>61</v>
      </c>
      <c r="D82" s="72"/>
      <c r="E82" s="67"/>
      <c r="S82" s="181">
        <f>SUM(S80:S81)</f>
        <v>82056</v>
      </c>
      <c r="U82" s="101">
        <v>82056</v>
      </c>
      <c r="V82" s="102">
        <f>S82-U82</f>
        <v>0</v>
      </c>
    </row>
    <row r="83" spans="1:22" ht="12.75">
      <c r="A83" s="71">
        <f>A80+1</f>
        <v>50</v>
      </c>
      <c r="B83" s="130" t="s">
        <v>211</v>
      </c>
      <c r="D83" s="121">
        <f t="shared" ref="D83:D90" si="26">-ROUND(F83/1000,0)</f>
        <v>3221</v>
      </c>
      <c r="E83" s="67"/>
      <c r="F83" s="131">
        <f t="shared" ref="F83" si="27">SUM(G83:R83)</f>
        <v>-3221374</v>
      </c>
      <c r="G83" s="131">
        <v>-318217</v>
      </c>
      <c r="H83" s="131">
        <v>-288636</v>
      </c>
      <c r="I83" s="131">
        <v>-273452</v>
      </c>
      <c r="J83" s="131">
        <v>-224456</v>
      </c>
      <c r="K83" s="131">
        <v>-384603</v>
      </c>
      <c r="L83" s="131">
        <v>-296198</v>
      </c>
      <c r="M83" s="131">
        <v>-216916</v>
      </c>
      <c r="N83" s="131">
        <v>-186661</v>
      </c>
      <c r="O83" s="131">
        <v>-179040</v>
      </c>
      <c r="P83" s="131">
        <v>-323874</v>
      </c>
      <c r="Q83" s="131">
        <v>-328875</v>
      </c>
      <c r="R83" s="131">
        <v>-200446</v>
      </c>
    </row>
    <row r="84" spans="1:22" ht="12.75" hidden="1" outlineLevel="1">
      <c r="A84" s="71"/>
      <c r="B84" s="67" t="s">
        <v>202</v>
      </c>
      <c r="D84" s="121">
        <f t="shared" si="26"/>
        <v>-10696</v>
      </c>
      <c r="E84" s="67"/>
      <c r="F84" s="131">
        <f t="shared" ref="F84:F88" si="28">SUM(G84:R84)</f>
        <v>10696090</v>
      </c>
      <c r="G84" s="131">
        <v>1882010</v>
      </c>
      <c r="H84" s="131">
        <v>342468</v>
      </c>
      <c r="I84" s="131">
        <v>266445</v>
      </c>
      <c r="J84" s="131">
        <v>574200</v>
      </c>
      <c r="K84" s="131">
        <v>875363</v>
      </c>
      <c r="L84" s="131">
        <v>928200</v>
      </c>
      <c r="M84" s="131">
        <v>1141087</v>
      </c>
      <c r="N84" s="131">
        <v>880927</v>
      </c>
      <c r="O84" s="131">
        <v>879750</v>
      </c>
      <c r="P84" s="131">
        <v>1384646</v>
      </c>
      <c r="Q84" s="131">
        <v>899798</v>
      </c>
      <c r="R84" s="131">
        <v>641196</v>
      </c>
    </row>
    <row r="85" spans="1:22" ht="12.75" hidden="1" outlineLevel="1">
      <c r="A85" s="71"/>
      <c r="B85" s="67" t="s">
        <v>203</v>
      </c>
      <c r="D85" s="121">
        <f t="shared" si="26"/>
        <v>4812</v>
      </c>
      <c r="E85" s="67"/>
      <c r="F85" s="131">
        <f t="shared" si="28"/>
        <v>-4812448</v>
      </c>
      <c r="G85" s="131">
        <v>-1280600</v>
      </c>
      <c r="H85" s="131">
        <v>-83595</v>
      </c>
      <c r="I85" s="131">
        <v>-18180</v>
      </c>
      <c r="J85" s="131">
        <v>-107775</v>
      </c>
      <c r="K85" s="131">
        <v>-2289799</v>
      </c>
      <c r="L85" s="131">
        <v>-324473</v>
      </c>
      <c r="M85" s="131">
        <v>-652348</v>
      </c>
      <c r="N85" s="131">
        <v>0</v>
      </c>
      <c r="O85" s="131">
        <v>0</v>
      </c>
      <c r="P85" s="131">
        <v>0</v>
      </c>
      <c r="Q85" s="131">
        <v>-55678</v>
      </c>
      <c r="R85" s="131">
        <v>0</v>
      </c>
    </row>
    <row r="86" spans="1:22" ht="12.75" hidden="1" outlineLevel="1">
      <c r="A86" s="71"/>
      <c r="B86" s="67" t="s">
        <v>204</v>
      </c>
      <c r="D86" s="121">
        <f t="shared" si="26"/>
        <v>174</v>
      </c>
      <c r="E86" s="67"/>
      <c r="F86" s="131">
        <f t="shared" si="28"/>
        <v>-174243</v>
      </c>
      <c r="G86" s="131">
        <v>-25507</v>
      </c>
      <c r="H86" s="131">
        <v>-22738</v>
      </c>
      <c r="I86" s="131">
        <v>-16974</v>
      </c>
      <c r="J86" s="131">
        <v>-7021</v>
      </c>
      <c r="K86" s="131">
        <v>-9386</v>
      </c>
      <c r="L86" s="131">
        <v>-14749</v>
      </c>
      <c r="M86" s="131">
        <v>-17235</v>
      </c>
      <c r="N86" s="131">
        <v>-11500</v>
      </c>
      <c r="O86" s="131">
        <v>-13457</v>
      </c>
      <c r="P86" s="131">
        <v>-10154</v>
      </c>
      <c r="Q86" s="131">
        <v>-12451</v>
      </c>
      <c r="R86" s="131">
        <v>-13071</v>
      </c>
    </row>
    <row r="87" spans="1:22" ht="12.75" hidden="1" outlineLevel="1">
      <c r="A87" s="71"/>
      <c r="B87" s="67" t="s">
        <v>205</v>
      </c>
      <c r="D87" s="121">
        <f t="shared" si="26"/>
        <v>434</v>
      </c>
      <c r="E87" s="67"/>
      <c r="F87" s="131">
        <f t="shared" si="28"/>
        <v>-434331</v>
      </c>
      <c r="G87" s="131">
        <v>-141375</v>
      </c>
      <c r="H87" s="131">
        <v>-21125</v>
      </c>
      <c r="I87" s="131">
        <v>0</v>
      </c>
      <c r="J87" s="131">
        <v>-89920</v>
      </c>
      <c r="K87" s="131">
        <v>-92668</v>
      </c>
      <c r="L87" s="131">
        <v>-89243</v>
      </c>
      <c r="M87" s="131">
        <v>0</v>
      </c>
      <c r="N87" s="131">
        <v>0</v>
      </c>
      <c r="O87" s="131">
        <v>0</v>
      </c>
      <c r="P87" s="131">
        <v>0</v>
      </c>
      <c r="Q87" s="131">
        <v>0</v>
      </c>
      <c r="R87" s="131">
        <v>0</v>
      </c>
    </row>
    <row r="88" spans="1:22" ht="12.75" hidden="1" outlineLevel="1">
      <c r="A88" s="71"/>
      <c r="B88" s="67" t="s">
        <v>206</v>
      </c>
      <c r="D88" s="121">
        <f t="shared" si="26"/>
        <v>36371</v>
      </c>
      <c r="E88" s="67"/>
      <c r="F88" s="131">
        <f t="shared" si="28"/>
        <v>-36371465</v>
      </c>
      <c r="G88" s="131">
        <v>-2112693</v>
      </c>
      <c r="H88" s="131">
        <v>-1793764</v>
      </c>
      <c r="I88" s="131">
        <v>-2219955</v>
      </c>
      <c r="J88" s="131">
        <v>-2874242</v>
      </c>
      <c r="K88" s="131">
        <v>-2434321</v>
      </c>
      <c r="L88" s="131">
        <v>-3443792</v>
      </c>
      <c r="M88" s="131">
        <v>-2753235</v>
      </c>
      <c r="N88" s="131">
        <v>-4156543</v>
      </c>
      <c r="O88" s="131">
        <v>-3288675</v>
      </c>
      <c r="P88" s="131">
        <v>-3058759</v>
      </c>
      <c r="Q88" s="131">
        <v>-4300317</v>
      </c>
      <c r="R88" s="131">
        <v>-3935169</v>
      </c>
    </row>
    <row r="89" spans="1:22" ht="12.75" hidden="1" outlineLevel="1">
      <c r="A89" s="71"/>
      <c r="B89" s="67" t="s">
        <v>207</v>
      </c>
      <c r="D89" s="121">
        <f t="shared" si="26"/>
        <v>-916</v>
      </c>
      <c r="E89" s="67"/>
      <c r="F89" s="131">
        <f t="shared" ref="F89:F90" si="29">SUM(G89:R89)</f>
        <v>916050</v>
      </c>
      <c r="G89" s="131">
        <v>32000</v>
      </c>
      <c r="H89" s="131">
        <v>8300</v>
      </c>
      <c r="I89" s="131">
        <v>0</v>
      </c>
      <c r="J89" s="131">
        <v>0</v>
      </c>
      <c r="K89" s="131">
        <v>515375</v>
      </c>
      <c r="L89" s="131">
        <v>0</v>
      </c>
      <c r="M89" s="131">
        <v>360375</v>
      </c>
      <c r="N89" s="131">
        <v>0</v>
      </c>
      <c r="O89" s="131">
        <v>0</v>
      </c>
      <c r="P89" s="131">
        <v>0</v>
      </c>
      <c r="Q89" s="131">
        <v>0</v>
      </c>
      <c r="R89" s="131">
        <v>0</v>
      </c>
    </row>
    <row r="90" spans="1:22" ht="12.75" hidden="1" outlineLevel="1">
      <c r="A90" s="71"/>
      <c r="B90" s="67" t="s">
        <v>208</v>
      </c>
      <c r="D90" s="121">
        <f t="shared" si="26"/>
        <v>916</v>
      </c>
      <c r="E90" s="67"/>
      <c r="F90" s="131">
        <f t="shared" si="29"/>
        <v>-916050</v>
      </c>
      <c r="G90" s="131">
        <v>-32000</v>
      </c>
      <c r="H90" s="131">
        <v>-8300</v>
      </c>
      <c r="I90" s="131">
        <v>0</v>
      </c>
      <c r="J90" s="131">
        <v>0</v>
      </c>
      <c r="K90" s="131">
        <v>-515375</v>
      </c>
      <c r="L90" s="131">
        <v>0</v>
      </c>
      <c r="M90" s="131">
        <v>-360375</v>
      </c>
      <c r="N90" s="131">
        <v>0</v>
      </c>
      <c r="O90" s="131">
        <v>0</v>
      </c>
      <c r="P90" s="131">
        <v>0</v>
      </c>
      <c r="Q90" s="131">
        <v>0</v>
      </c>
      <c r="R90" s="131">
        <v>0</v>
      </c>
    </row>
    <row r="91" spans="1:22" ht="12.75" collapsed="1">
      <c r="A91" s="71">
        <f>A38+1</f>
        <v>52</v>
      </c>
      <c r="B91" s="69" t="s">
        <v>60</v>
      </c>
      <c r="C91" s="69"/>
      <c r="D91" s="121">
        <f>-ROUND(F91/1000,0)</f>
        <v>31096</v>
      </c>
      <c r="E91" s="67"/>
      <c r="F91" s="131">
        <f>SUM(G91:R91)</f>
        <v>-31096397</v>
      </c>
      <c r="G91" s="131">
        <f>SUM(G84:G90)</f>
        <v>-1678165</v>
      </c>
      <c r="H91" s="131">
        <f t="shared" ref="H91:R91" si="30">SUM(H84:H90)</f>
        <v>-1578754</v>
      </c>
      <c r="I91" s="131">
        <f t="shared" si="30"/>
        <v>-1988664</v>
      </c>
      <c r="J91" s="131">
        <f t="shared" si="30"/>
        <v>-2504758</v>
      </c>
      <c r="K91" s="131">
        <f t="shared" si="30"/>
        <v>-3950811</v>
      </c>
      <c r="L91" s="131">
        <f t="shared" si="30"/>
        <v>-2944057</v>
      </c>
      <c r="M91" s="131">
        <f t="shared" si="30"/>
        <v>-2281731</v>
      </c>
      <c r="N91" s="131">
        <f t="shared" si="30"/>
        <v>-3287116</v>
      </c>
      <c r="O91" s="131">
        <f t="shared" si="30"/>
        <v>-2422382</v>
      </c>
      <c r="P91" s="131">
        <f t="shared" si="30"/>
        <v>-1684267</v>
      </c>
      <c r="Q91" s="131">
        <f t="shared" si="30"/>
        <v>-3468648</v>
      </c>
      <c r="R91" s="131">
        <f t="shared" si="30"/>
        <v>-3307044</v>
      </c>
    </row>
    <row r="92" spans="1:22" ht="12.75">
      <c r="A92" s="71">
        <f>A91+1</f>
        <v>53</v>
      </c>
      <c r="B92" s="67" t="s">
        <v>59</v>
      </c>
      <c r="D92" s="78">
        <f>D91+D83</f>
        <v>34317</v>
      </c>
      <c r="E92" s="67"/>
      <c r="F92" s="171">
        <f t="shared" ref="F92:R92" si="31">SUM(F83:F83,F91)</f>
        <v>-34317771</v>
      </c>
      <c r="G92" s="171">
        <f t="shared" si="31"/>
        <v>-1996382</v>
      </c>
      <c r="H92" s="171">
        <f t="shared" si="31"/>
        <v>-1867390</v>
      </c>
      <c r="I92" s="171">
        <f t="shared" si="31"/>
        <v>-2262116</v>
      </c>
      <c r="J92" s="171">
        <f t="shared" si="31"/>
        <v>-2729214</v>
      </c>
      <c r="K92" s="171">
        <f t="shared" si="31"/>
        <v>-4335414</v>
      </c>
      <c r="L92" s="171">
        <f t="shared" si="31"/>
        <v>-3240255</v>
      </c>
      <c r="M92" s="171">
        <f t="shared" si="31"/>
        <v>-2498647</v>
      </c>
      <c r="N92" s="171">
        <f t="shared" si="31"/>
        <v>-3473777</v>
      </c>
      <c r="O92" s="171">
        <f t="shared" si="31"/>
        <v>-2601422</v>
      </c>
      <c r="P92" s="171">
        <f t="shared" si="31"/>
        <v>-2008141</v>
      </c>
      <c r="Q92" s="171">
        <f t="shared" si="31"/>
        <v>-3797523</v>
      </c>
      <c r="R92" s="171">
        <f t="shared" si="31"/>
        <v>-3507490</v>
      </c>
      <c r="S92" s="128">
        <f>D92</f>
        <v>34317</v>
      </c>
      <c r="T92" s="102">
        <f>S92-D92</f>
        <v>0</v>
      </c>
    </row>
    <row r="93" spans="1:22" s="130" customFormat="1" ht="13.15" customHeight="1">
      <c r="A93" s="133" t="s">
        <v>58</v>
      </c>
      <c r="D93" s="76"/>
      <c r="F93" s="131">
        <f t="shared" ref="F93:F95" si="32">SUM(G93:R93)</f>
        <v>-19706161</v>
      </c>
      <c r="G93" s="131">
        <v>-1243451</v>
      </c>
      <c r="H93" s="131">
        <v>-1543693</v>
      </c>
      <c r="I93" s="131">
        <v>-1301455</v>
      </c>
      <c r="J93" s="131">
        <v>-1234355</v>
      </c>
      <c r="K93" s="131">
        <v>-1770551</v>
      </c>
      <c r="L93" s="131">
        <v>-1863759</v>
      </c>
      <c r="M93" s="131">
        <v>-2093088</v>
      </c>
      <c r="N93" s="131">
        <v>-2276333</v>
      </c>
      <c r="O93" s="131">
        <v>-1946949</v>
      </c>
      <c r="P93" s="173">
        <v>-1898627</v>
      </c>
      <c r="Q93" s="173">
        <v>-1189736</v>
      </c>
      <c r="R93" s="173">
        <v>-1344164</v>
      </c>
      <c r="S93" s="128">
        <v>19642</v>
      </c>
      <c r="T93" s="130" t="s">
        <v>219</v>
      </c>
      <c r="U93" s="130" t="s">
        <v>220</v>
      </c>
    </row>
    <row r="94" spans="1:22" ht="12.75">
      <c r="A94" s="71"/>
      <c r="B94" s="77" t="s">
        <v>57</v>
      </c>
      <c r="D94" s="72"/>
      <c r="E94" s="67"/>
      <c r="F94" s="172" t="s">
        <v>155</v>
      </c>
      <c r="S94" s="128">
        <f>-4361088.31/1000</f>
        <v>-4361.0883099999992</v>
      </c>
      <c r="T94" s="67" t="s">
        <v>96</v>
      </c>
    </row>
    <row r="95" spans="1:22" ht="12.75">
      <c r="A95" s="71">
        <f>A92+1</f>
        <v>54</v>
      </c>
      <c r="B95" s="67" t="s">
        <v>56</v>
      </c>
      <c r="D95" s="76">
        <v>0</v>
      </c>
      <c r="E95" s="67"/>
      <c r="F95" s="131">
        <f t="shared" si="32"/>
        <v>0</v>
      </c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84">
        <v>2734</v>
      </c>
      <c r="T95" s="67" t="s">
        <v>95</v>
      </c>
    </row>
    <row r="96" spans="1:22" ht="12.6" customHeight="1">
      <c r="A96" s="71"/>
      <c r="D96" s="76"/>
      <c r="E96" s="67"/>
      <c r="S96" s="128">
        <f>SUM(S92:S95)+1</f>
        <v>52332.911690000001</v>
      </c>
      <c r="U96" s="101">
        <v>52333</v>
      </c>
      <c r="V96" s="102">
        <f>S96-U96</f>
        <v>-8.8309999999182764E-2</v>
      </c>
    </row>
    <row r="97" spans="1:19" ht="6" customHeight="1">
      <c r="A97" s="71"/>
      <c r="D97" s="72"/>
      <c r="E97" s="67"/>
      <c r="S97" s="103"/>
    </row>
    <row r="98" spans="1:19" ht="12.75">
      <c r="A98" s="71">
        <f>A95+1</f>
        <v>55</v>
      </c>
      <c r="B98" s="138" t="s">
        <v>55</v>
      </c>
      <c r="C98" s="139"/>
      <c r="D98" s="140">
        <f>D80+D92+D95</f>
        <v>115481</v>
      </c>
      <c r="E98" s="67"/>
      <c r="F98" s="129">
        <f>D98+S93</f>
        <v>135123</v>
      </c>
      <c r="S98" s="67" t="s">
        <v>228</v>
      </c>
    </row>
    <row r="99" spans="1:19" ht="7.5" customHeight="1">
      <c r="A99" s="71"/>
      <c r="D99" s="72"/>
      <c r="E99" s="67"/>
    </row>
    <row r="100" spans="1:19" ht="12.75">
      <c r="A100" s="71">
        <f>A98+1</f>
        <v>56</v>
      </c>
      <c r="B100" s="75" t="s">
        <v>229</v>
      </c>
      <c r="C100" s="74"/>
      <c r="D100" s="73">
        <f>D72-D98</f>
        <v>140394</v>
      </c>
      <c r="E100" s="67"/>
    </row>
    <row r="101" spans="1:19" ht="6" customHeight="1">
      <c r="A101" s="71"/>
      <c r="D101" s="72"/>
      <c r="E101" s="67"/>
    </row>
    <row r="102" spans="1:19" ht="12.75" customHeight="1">
      <c r="A102" s="71"/>
      <c r="B102" s="70"/>
      <c r="D102" s="72"/>
      <c r="E102" s="67"/>
    </row>
    <row r="103" spans="1:19" ht="12.75">
      <c r="A103" s="205"/>
      <c r="B103" s="205"/>
      <c r="C103" s="205"/>
      <c r="D103" s="205"/>
      <c r="E103" s="67"/>
    </row>
    <row r="104" spans="1:19" ht="12.75">
      <c r="B104" s="132" t="s">
        <v>221</v>
      </c>
      <c r="C104" s="132"/>
      <c r="D104" s="132"/>
      <c r="E104" s="67"/>
    </row>
    <row r="105" spans="1:19" ht="12.75">
      <c r="B105" s="132" t="s">
        <v>222</v>
      </c>
      <c r="C105" s="132"/>
      <c r="D105" s="192">
        <f>D100</f>
        <v>140394</v>
      </c>
      <c r="E105" s="67"/>
    </row>
    <row r="106" spans="1:19" ht="12.75">
      <c r="B106" s="132" t="s">
        <v>223</v>
      </c>
      <c r="C106" s="132"/>
      <c r="D106" s="193">
        <f>-'PF Power Supply Adjustments'!D40</f>
        <v>120752</v>
      </c>
      <c r="E106" s="67"/>
    </row>
    <row r="107" spans="1:19" ht="12.75">
      <c r="B107" s="132"/>
      <c r="C107" s="132"/>
      <c r="D107" s="158">
        <f>D105-D106</f>
        <v>19642</v>
      </c>
      <c r="E107" s="67" t="s">
        <v>224</v>
      </c>
    </row>
    <row r="108" spans="1:19" ht="12.75">
      <c r="B108" s="132"/>
      <c r="C108" s="132"/>
      <c r="D108" s="159"/>
      <c r="E108" s="67"/>
    </row>
    <row r="109" spans="1:19" ht="12.75">
      <c r="E109" s="67"/>
    </row>
    <row r="110" spans="1:19" ht="12.75">
      <c r="D110" s="155"/>
      <c r="E110" s="67"/>
    </row>
    <row r="111" spans="1:19" ht="12.75">
      <c r="D111" s="155"/>
      <c r="E111" s="67"/>
    </row>
    <row r="112" spans="1:19" ht="12.75">
      <c r="D112" s="155"/>
      <c r="E112" s="67"/>
    </row>
    <row r="113" spans="5:5" ht="12.75">
      <c r="E113" s="67"/>
    </row>
    <row r="114" spans="5:5" ht="12.75">
      <c r="E114" s="67"/>
    </row>
  </sheetData>
  <mergeCells count="2">
    <mergeCell ref="A103:D103"/>
    <mergeCell ref="S6:U6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1" max="1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58EE20B7BE83479325C0557723836B" ma:contentTypeVersion="44" ma:contentTypeDescription="" ma:contentTypeScope="" ma:versionID="3fa5cf64c4c2bd265783279e85a91f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2D91BD-63BF-428C-B9CB-4E975033D6EC}"/>
</file>

<file path=customXml/itemProps2.xml><?xml version="1.0" encoding="utf-8"?>
<ds:datastoreItem xmlns:ds="http://schemas.openxmlformats.org/officeDocument/2006/customXml" ds:itemID="{90A7009E-F6FF-4F19-96BD-B9DB49729B87}"/>
</file>

<file path=customXml/itemProps3.xml><?xml version="1.0" encoding="utf-8"?>
<ds:datastoreItem xmlns:ds="http://schemas.openxmlformats.org/officeDocument/2006/customXml" ds:itemID="{9230E7C3-E8FC-4D8D-94A7-DD916E732A4F}"/>
</file>

<file path=customXml/itemProps4.xml><?xml version="1.0" encoding="utf-8"?>
<ds:datastoreItem xmlns:ds="http://schemas.openxmlformats.org/officeDocument/2006/customXml" ds:itemID="{999373A1-CB88-4372-B8D7-D67ACA2215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PF Power Supply Adjustments</vt:lpstr>
      <vt:lpstr>Monthly Authorized</vt:lpstr>
      <vt:lpstr>12.2020 Actual</vt:lpstr>
      <vt:lpstr>'12.2020 Actual'!Print_Area</vt:lpstr>
      <vt:lpstr>'Monthly Authorized'!Print_Area</vt:lpstr>
      <vt:lpstr>'PF Power Supply Adjustments'!Print_Area</vt:lpstr>
      <vt:lpstr>'12.2020 Actual'!Print_Titles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Garbarino, Marcus</cp:lastModifiedBy>
  <cp:lastPrinted>2019-03-12T18:15:05Z</cp:lastPrinted>
  <dcterms:created xsi:type="dcterms:W3CDTF">2017-02-02T18:22:39Z</dcterms:created>
  <dcterms:modified xsi:type="dcterms:W3CDTF">2021-05-11T22:50:11Z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0x0101006E56B4D1795A2E4DB2F0B01679ED314A005B58EE20B7BE83479325C0557723836B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