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Regulatory_Affairs\PGA - WASHINGTON\2019\1 - September Filing\UG-190765_19-06_PGA\Supplemental-092519\"/>
    </mc:Choice>
  </mc:AlternateContent>
  <bookViews>
    <workbookView xWindow="0" yWindow="0" windowWidth="28800" windowHeight="11832"/>
  </bookViews>
  <sheets>
    <sheet name="Temp. Increments" sheetId="2" r:id="rId1"/>
    <sheet name="Calc of Increments" sheetId="1" r:id="rId2"/>
    <sheet name="Effcts of Avg. Bill" sheetId="6" r:id="rId3"/>
    <sheet name="Summary of Def. Accts. " sheetId="3" r:id="rId4"/>
    <sheet name="191420" sheetId="4" r:id="rId5"/>
    <sheet name="191421" sheetId="5" r:id="rId6"/>
    <sheet name="191430" sheetId="7" r:id="rId7"/>
    <sheet name="191431" sheetId="8" r:id="rId8"/>
    <sheet name="254302" sheetId="9" r:id="rId9"/>
    <sheet name="Total Comm. Cost" sheetId="10" r:id="rId10"/>
    <sheet name="WACOG Calc." sheetId="11" r:id="rId11"/>
    <sheet name="Demand Charges" sheetId="12" r:id="rId12"/>
    <sheet name="Deriviation of Demand" sheetId="13" r:id="rId13"/>
    <sheet name="Calc. of Winter WACOG" sheetId="14" r:id="rId14"/>
    <sheet name="Effects on Revenue" sheetId="15" r:id="rId15"/>
  </sheets>
  <externalReferences>
    <externalReference r:id="rId16"/>
    <externalReference r:id="rId17"/>
    <externalReference r:id="rId18"/>
  </externalReferences>
  <definedNames>
    <definedName name="wa_revsens">'[1]General Inputs'!$E$10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3" l="1"/>
  <c r="A24" i="3" s="1"/>
  <c r="F24" i="15" l="1"/>
  <c r="B24" i="15"/>
  <c r="F15" i="15"/>
  <c r="F21" i="15" s="1"/>
  <c r="F26" i="15" s="1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F147" i="9" l="1"/>
  <c r="F146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D125" i="9"/>
  <c r="F125" i="9" s="1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89" i="9"/>
  <c r="F88" i="9"/>
  <c r="F87" i="9"/>
  <c r="F86" i="9"/>
  <c r="F85" i="9"/>
  <c r="F84" i="9"/>
  <c r="F83" i="9"/>
  <c r="D82" i="9"/>
  <c r="F82" i="9" s="1"/>
  <c r="F81" i="9"/>
  <c r="F80" i="9"/>
  <c r="F79" i="9"/>
  <c r="F77" i="9"/>
  <c r="F76" i="9"/>
  <c r="F75" i="9"/>
  <c r="F74" i="9"/>
  <c r="F73" i="9"/>
  <c r="F72" i="9"/>
  <c r="F71" i="9"/>
  <c r="F70" i="9"/>
  <c r="F69" i="9"/>
  <c r="F68" i="9"/>
  <c r="F67" i="9"/>
  <c r="F65" i="9"/>
  <c r="F64" i="9"/>
  <c r="F63" i="9"/>
  <c r="F62" i="9"/>
  <c r="F61" i="9"/>
  <c r="F60" i="9"/>
  <c r="F59" i="9"/>
  <c r="F58" i="9"/>
  <c r="F57" i="9"/>
  <c r="F56" i="9"/>
  <c r="F55" i="9"/>
  <c r="F53" i="9"/>
  <c r="F52" i="9"/>
  <c r="F51" i="9"/>
  <c r="F50" i="9"/>
  <c r="F49" i="9"/>
  <c r="F48" i="9"/>
  <c r="F47" i="9"/>
  <c r="F46" i="9"/>
  <c r="F45" i="9"/>
  <c r="F44" i="9"/>
  <c r="F43" i="9"/>
  <c r="F41" i="9"/>
  <c r="F40" i="9"/>
  <c r="F39" i="9"/>
  <c r="F38" i="9"/>
  <c r="F37" i="9"/>
  <c r="F36" i="9"/>
  <c r="F35" i="9"/>
  <c r="F34" i="9"/>
  <c r="F33" i="9"/>
  <c r="F31" i="9"/>
  <c r="F30" i="9"/>
  <c r="F29" i="9"/>
  <c r="F28" i="9"/>
  <c r="F27" i="9"/>
  <c r="F26" i="9"/>
  <c r="F25" i="9"/>
  <c r="F24" i="9"/>
  <c r="F23" i="9"/>
  <c r="F22" i="9"/>
  <c r="F21" i="9"/>
  <c r="F20" i="9"/>
  <c r="G19" i="9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F19" i="9"/>
  <c r="G18" i="9"/>
  <c r="F18" i="9"/>
  <c r="G17" i="9"/>
  <c r="F17" i="9"/>
  <c r="B17" i="9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G16" i="9"/>
  <c r="F16" i="9"/>
  <c r="B16" i="9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H159" i="8"/>
  <c r="G159" i="8"/>
  <c r="H146" i="8"/>
  <c r="G146" i="8"/>
  <c r="H133" i="8"/>
  <c r="G133" i="8"/>
  <c r="E120" i="8"/>
  <c r="E109" i="8"/>
  <c r="E107" i="8"/>
  <c r="G94" i="8"/>
  <c r="H94" i="8" s="1"/>
  <c r="E83" i="8"/>
  <c r="E81" i="8"/>
  <c r="G81" i="8" s="1"/>
  <c r="H81" i="8" s="1"/>
  <c r="E70" i="8"/>
  <c r="E68" i="8"/>
  <c r="D57" i="8"/>
  <c r="E56" i="8"/>
  <c r="D56" i="8"/>
  <c r="E55" i="8"/>
  <c r="G55" i="8" s="1"/>
  <c r="D51" i="8"/>
  <c r="H45" i="8"/>
  <c r="E43" i="8"/>
  <c r="E41" i="8"/>
  <c r="H36" i="8"/>
  <c r="H35" i="8"/>
  <c r="H34" i="8"/>
  <c r="E33" i="8"/>
  <c r="H33" i="8" s="1"/>
  <c r="G29" i="8"/>
  <c r="H29" i="8" s="1"/>
  <c r="E28" i="8"/>
  <c r="H23" i="8"/>
  <c r="H22" i="8"/>
  <c r="H21" i="8"/>
  <c r="E20" i="8"/>
  <c r="H20" i="8" s="1"/>
  <c r="H19" i="8"/>
  <c r="H18" i="8"/>
  <c r="H17" i="8"/>
  <c r="G16" i="8"/>
  <c r="E16" i="8"/>
  <c r="H16" i="8" s="1"/>
  <c r="I16" i="8" s="1"/>
  <c r="I17" i="8" s="1"/>
  <c r="D16" i="8"/>
  <c r="B16" i="8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A13" i="8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9" i="8"/>
  <c r="A10" i="8" s="1"/>
  <c r="A11" i="8" s="1"/>
  <c r="A12" i="8" s="1"/>
  <c r="J175" i="7"/>
  <c r="E125" i="7"/>
  <c r="E123" i="7"/>
  <c r="D88" i="7"/>
  <c r="D53" i="7"/>
  <c r="D52" i="7"/>
  <c r="J51" i="7"/>
  <c r="H48" i="7"/>
  <c r="E45" i="7"/>
  <c r="H45" i="7" s="1"/>
  <c r="D39" i="7"/>
  <c r="H35" i="7"/>
  <c r="H33" i="7"/>
  <c r="G32" i="7"/>
  <c r="D32" i="7"/>
  <c r="H32" i="7" s="1"/>
  <c r="H31" i="7"/>
  <c r="H30" i="7"/>
  <c r="H27" i="7"/>
  <c r="H26" i="7"/>
  <c r="H25" i="7"/>
  <c r="G24" i="7"/>
  <c r="H24" i="7" s="1"/>
  <c r="H23" i="7"/>
  <c r="G23" i="7"/>
  <c r="H22" i="7"/>
  <c r="H21" i="7"/>
  <c r="H20" i="7"/>
  <c r="H19" i="7"/>
  <c r="H18" i="7"/>
  <c r="G17" i="7"/>
  <c r="D17" i="7"/>
  <c r="H17" i="7" s="1"/>
  <c r="H16" i="7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B16" i="7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H55" i="8" l="1"/>
  <c r="E32" i="9"/>
  <c r="F32" i="9" s="1"/>
  <c r="G30" i="9"/>
  <c r="G31" i="9" s="1"/>
  <c r="B54" i="8"/>
  <c r="B56" i="8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G68" i="8"/>
  <c r="H68" i="8" s="1"/>
  <c r="I18" i="8"/>
  <c r="I19" i="8" s="1"/>
  <c r="I20" i="8" s="1"/>
  <c r="I21" i="8" s="1"/>
  <c r="I22" i="8" s="1"/>
  <c r="I23" i="8" s="1"/>
  <c r="G107" i="8"/>
  <c r="H107" i="8" s="1"/>
  <c r="G120" i="8"/>
  <c r="H120" i="8" s="1"/>
  <c r="B55" i="7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54" i="7"/>
  <c r="E28" i="7"/>
  <c r="G159" i="5"/>
  <c r="H159" i="5" s="1"/>
  <c r="G146" i="5"/>
  <c r="H146" i="5" s="1"/>
  <c r="G133" i="5"/>
  <c r="H133" i="5" s="1"/>
  <c r="E120" i="5"/>
  <c r="G120" i="5" s="1"/>
  <c r="D114" i="5"/>
  <c r="D113" i="5"/>
  <c r="D112" i="5"/>
  <c r="D111" i="5"/>
  <c r="D110" i="5"/>
  <c r="D109" i="5"/>
  <c r="D108" i="5"/>
  <c r="E107" i="5"/>
  <c r="G107" i="5" s="1"/>
  <c r="H107" i="5" s="1"/>
  <c r="H94" i="5"/>
  <c r="G94" i="5"/>
  <c r="E88" i="5"/>
  <c r="E81" i="5"/>
  <c r="E68" i="5"/>
  <c r="H58" i="5"/>
  <c r="E55" i="5"/>
  <c r="G55" i="5" s="1"/>
  <c r="D55" i="5"/>
  <c r="E48" i="5"/>
  <c r="E41" i="5"/>
  <c r="D40" i="5"/>
  <c r="G29" i="5"/>
  <c r="H29" i="5" s="1"/>
  <c r="E28" i="5"/>
  <c r="H23" i="5"/>
  <c r="H22" i="5"/>
  <c r="H21" i="5"/>
  <c r="H20" i="5"/>
  <c r="H19" i="5"/>
  <c r="H18" i="5"/>
  <c r="H17" i="5"/>
  <c r="G16" i="5"/>
  <c r="E16" i="5"/>
  <c r="D16" i="5"/>
  <c r="H16" i="5" s="1"/>
  <c r="I16" i="5" s="1"/>
  <c r="I17" i="5" s="1"/>
  <c r="I18" i="5" s="1"/>
  <c r="I19" i="5" s="1"/>
  <c r="I20" i="5" s="1"/>
  <c r="I21" i="5" s="1"/>
  <c r="I22" i="5" s="1"/>
  <c r="I23" i="5" s="1"/>
  <c r="B16" i="5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H61" i="4"/>
  <c r="H60" i="4"/>
  <c r="G59" i="4"/>
  <c r="H59" i="4" s="1"/>
  <c r="D59" i="4"/>
  <c r="D58" i="4"/>
  <c r="D52" i="4"/>
  <c r="H35" i="4"/>
  <c r="G34" i="4"/>
  <c r="D34" i="4"/>
  <c r="H34" i="4" s="1"/>
  <c r="H33" i="4"/>
  <c r="H32" i="4"/>
  <c r="G31" i="4"/>
  <c r="D31" i="4"/>
  <c r="H31" i="4" s="1"/>
  <c r="H30" i="4"/>
  <c r="H29" i="4"/>
  <c r="H27" i="4"/>
  <c r="H26" i="4"/>
  <c r="H25" i="4"/>
  <c r="H24" i="4"/>
  <c r="G23" i="4"/>
  <c r="H23" i="4" s="1"/>
  <c r="D23" i="4"/>
  <c r="H22" i="4"/>
  <c r="H21" i="4"/>
  <c r="H20" i="4"/>
  <c r="H19" i="4"/>
  <c r="H18" i="4"/>
  <c r="H17" i="4"/>
  <c r="G16" i="4"/>
  <c r="D16" i="4"/>
  <c r="H16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B16" i="4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4" i="3"/>
  <c r="A15" i="3"/>
  <c r="A16" i="3" s="1"/>
  <c r="A17" i="3" s="1"/>
  <c r="A18" i="3" s="1"/>
  <c r="A19" i="3" s="1"/>
  <c r="A20" i="3" s="1"/>
  <c r="A21" i="3" s="1"/>
  <c r="A22" i="3" s="1"/>
  <c r="A25" i="3" s="1"/>
  <c r="A26" i="3" s="1"/>
  <c r="A27" i="3" s="1"/>
  <c r="A13" i="3"/>
  <c r="G32" i="9" l="1"/>
  <c r="G33" i="9" s="1"/>
  <c r="G34" i="9" s="1"/>
  <c r="G35" i="9" s="1"/>
  <c r="G36" i="9" s="1"/>
  <c r="G37" i="9" s="1"/>
  <c r="G38" i="9" s="1"/>
  <c r="G39" i="9" s="1"/>
  <c r="G40" i="9" s="1"/>
  <c r="G41" i="9" s="1"/>
  <c r="G24" i="8"/>
  <c r="H24" i="8" s="1"/>
  <c r="I24" i="8" s="1"/>
  <c r="B82" i="8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G28" i="7"/>
  <c r="H28" i="7" s="1"/>
  <c r="I28" i="7" s="1"/>
  <c r="G24" i="5"/>
  <c r="H24" i="5" s="1"/>
  <c r="I24" i="5" s="1"/>
  <c r="B29" i="5"/>
  <c r="B30" i="5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H55" i="5"/>
  <c r="G68" i="5"/>
  <c r="H68" i="5" s="1"/>
  <c r="H120" i="5"/>
  <c r="G81" i="5"/>
  <c r="H81" i="5" s="1"/>
  <c r="B54" i="4"/>
  <c r="B55" i="4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E28" i="4"/>
  <c r="H28" i="4" s="1"/>
  <c r="I28" i="4" s="1"/>
  <c r="I29" i="4" s="1"/>
  <c r="I30" i="4" s="1"/>
  <c r="I31" i="4" s="1"/>
  <c r="I32" i="4" s="1"/>
  <c r="I33" i="4" s="1"/>
  <c r="I34" i="4" s="1"/>
  <c r="I35" i="4" s="1"/>
  <c r="E42" i="9" l="1"/>
  <c r="F42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25" i="8"/>
  <c r="H25" i="8" s="1"/>
  <c r="I25" i="8" s="1"/>
  <c r="B133" i="8"/>
  <c r="B134" i="8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I29" i="7"/>
  <c r="I30" i="7" s="1"/>
  <c r="I31" i="7" s="1"/>
  <c r="I32" i="7" s="1"/>
  <c r="I33" i="7" s="1"/>
  <c r="G29" i="7"/>
  <c r="H29" i="7" s="1"/>
  <c r="G25" i="5"/>
  <c r="H25" i="5" s="1"/>
  <c r="I25" i="5" s="1"/>
  <c r="B56" i="5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54" i="5"/>
  <c r="G36" i="4"/>
  <c r="H36" i="4" s="1"/>
  <c r="I36" i="4" s="1"/>
  <c r="G54" i="9" l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E54" i="9"/>
  <c r="F54" i="9" s="1"/>
  <c r="G26" i="8"/>
  <c r="H26" i="8" s="1"/>
  <c r="I26" i="8" s="1"/>
  <c r="B146" i="8"/>
  <c r="B147" i="8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60" i="8" s="1"/>
  <c r="G34" i="7"/>
  <c r="H34" i="7" s="1"/>
  <c r="I34" i="7" s="1"/>
  <c r="I35" i="7" s="1"/>
  <c r="G26" i="5"/>
  <c r="H26" i="5" s="1"/>
  <c r="I26" i="5" s="1"/>
  <c r="B82" i="5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G37" i="4"/>
  <c r="H37" i="4" s="1"/>
  <c r="I37" i="4" s="1"/>
  <c r="E66" i="9" l="1"/>
  <c r="F66" i="9" s="1"/>
  <c r="G66" i="9" s="1"/>
  <c r="G67" i="9" s="1"/>
  <c r="G68" i="9" s="1"/>
  <c r="G69" i="9" s="1"/>
  <c r="G70" i="9" s="1"/>
  <c r="G71" i="9" s="1"/>
  <c r="G72" i="9" s="1"/>
  <c r="G73" i="9" s="1"/>
  <c r="G74" i="9" s="1"/>
  <c r="G75" i="9" s="1"/>
  <c r="G76" i="9" s="1"/>
  <c r="G77" i="9" s="1"/>
  <c r="G27" i="8"/>
  <c r="H27" i="8" s="1"/>
  <c r="I27" i="8" s="1"/>
  <c r="G36" i="7"/>
  <c r="H36" i="7" s="1"/>
  <c r="I36" i="7" s="1"/>
  <c r="G27" i="5"/>
  <c r="H27" i="5" s="1"/>
  <c r="I27" i="5" s="1"/>
  <c r="B134" i="5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60" i="5" s="1"/>
  <c r="B133" i="5"/>
  <c r="G38" i="4"/>
  <c r="H38" i="4" s="1"/>
  <c r="I38" i="4" s="1"/>
  <c r="E78" i="9" l="1"/>
  <c r="F78" i="9" s="1"/>
  <c r="G78" i="9"/>
  <c r="G79" i="9" s="1"/>
  <c r="G80" i="9" s="1"/>
  <c r="G81" i="9" s="1"/>
  <c r="G82" i="9" s="1"/>
  <c r="G83" i="9" s="1"/>
  <c r="G84" i="9" s="1"/>
  <c r="G85" i="9" s="1"/>
  <c r="G86" i="9" s="1"/>
  <c r="G87" i="9" s="1"/>
  <c r="G88" i="9" s="1"/>
  <c r="G89" i="9" s="1"/>
  <c r="G28" i="8"/>
  <c r="H28" i="8" s="1"/>
  <c r="I28" i="8" s="1"/>
  <c r="I29" i="8" s="1"/>
  <c r="G37" i="7"/>
  <c r="H37" i="7" s="1"/>
  <c r="I37" i="7"/>
  <c r="G28" i="5"/>
  <c r="H28" i="5" s="1"/>
  <c r="I28" i="5" s="1"/>
  <c r="I29" i="5" s="1"/>
  <c r="G39" i="4"/>
  <c r="H39" i="4" s="1"/>
  <c r="I39" i="4" s="1"/>
  <c r="E90" i="9" l="1"/>
  <c r="F90" i="9" s="1"/>
  <c r="G90" i="9" s="1"/>
  <c r="G91" i="9" s="1"/>
  <c r="G92" i="9" s="1"/>
  <c r="G93" i="9" s="1"/>
  <c r="G94" i="9" s="1"/>
  <c r="G95" i="9" s="1"/>
  <c r="G96" i="9" s="1"/>
  <c r="G97" i="9" s="1"/>
  <c r="G98" i="9" s="1"/>
  <c r="G99" i="9" s="1"/>
  <c r="G100" i="9" s="1"/>
  <c r="G101" i="9" s="1"/>
  <c r="G102" i="9" s="1"/>
  <c r="G103" i="9" s="1"/>
  <c r="G104" i="9" s="1"/>
  <c r="G105" i="9" s="1"/>
  <c r="G106" i="9" s="1"/>
  <c r="G107" i="9" s="1"/>
  <c r="G108" i="9" s="1"/>
  <c r="G109" i="9" s="1"/>
  <c r="G110" i="9" s="1"/>
  <c r="G111" i="9" s="1"/>
  <c r="G112" i="9" s="1"/>
  <c r="G113" i="9" s="1"/>
  <c r="G114" i="9" s="1"/>
  <c r="G115" i="9" s="1"/>
  <c r="G116" i="9" s="1"/>
  <c r="G117" i="9" s="1"/>
  <c r="G118" i="9" s="1"/>
  <c r="G119" i="9" s="1"/>
  <c r="G120" i="9" s="1"/>
  <c r="G121" i="9" s="1"/>
  <c r="G122" i="9" s="1"/>
  <c r="G123" i="9" s="1"/>
  <c r="G124" i="9" s="1"/>
  <c r="G125" i="9" s="1"/>
  <c r="G126" i="9" s="1"/>
  <c r="G127" i="9" s="1"/>
  <c r="G128" i="9" s="1"/>
  <c r="G129" i="9" s="1"/>
  <c r="G130" i="9" s="1"/>
  <c r="G131" i="9" s="1"/>
  <c r="G132" i="9" s="1"/>
  <c r="G133" i="9" s="1"/>
  <c r="G134" i="9" s="1"/>
  <c r="G135" i="9" s="1"/>
  <c r="G136" i="9" s="1"/>
  <c r="G137" i="9" s="1"/>
  <c r="G138" i="9" s="1"/>
  <c r="G139" i="9" s="1"/>
  <c r="G140" i="9" s="1"/>
  <c r="G141" i="9" s="1"/>
  <c r="G142" i="9" s="1"/>
  <c r="G143" i="9" s="1"/>
  <c r="G144" i="9" s="1"/>
  <c r="G145" i="9" s="1"/>
  <c r="G146" i="9" s="1"/>
  <c r="G147" i="9" s="1"/>
  <c r="G30" i="8"/>
  <c r="H30" i="8" s="1"/>
  <c r="I30" i="8" s="1"/>
  <c r="G38" i="7"/>
  <c r="H38" i="7" s="1"/>
  <c r="I38" i="7"/>
  <c r="G30" i="5"/>
  <c r="H30" i="5" s="1"/>
  <c r="I30" i="5" s="1"/>
  <c r="G40" i="4"/>
  <c r="H40" i="4" s="1"/>
  <c r="I40" i="4"/>
  <c r="G31" i="8" l="1"/>
  <c r="H31" i="8" s="1"/>
  <c r="I31" i="8" s="1"/>
  <c r="G39" i="7"/>
  <c r="H39" i="7" s="1"/>
  <c r="I39" i="7" s="1"/>
  <c r="G31" i="5"/>
  <c r="H31" i="5" s="1"/>
  <c r="I31" i="5" s="1"/>
  <c r="G41" i="4"/>
  <c r="H41" i="4" s="1"/>
  <c r="I41" i="4"/>
  <c r="G32" i="8" l="1"/>
  <c r="H32" i="8" s="1"/>
  <c r="I32" i="8" s="1"/>
  <c r="I33" i="8" s="1"/>
  <c r="I34" i="8" s="1"/>
  <c r="I35" i="8" s="1"/>
  <c r="I36" i="8" s="1"/>
  <c r="G40" i="7"/>
  <c r="H40" i="7" s="1"/>
  <c r="I40" i="7" s="1"/>
  <c r="G32" i="5"/>
  <c r="H32" i="5" s="1"/>
  <c r="I32" i="5" s="1"/>
  <c r="G42" i="4"/>
  <c r="H42" i="4" s="1"/>
  <c r="I42" i="4" s="1"/>
  <c r="G37" i="8" l="1"/>
  <c r="H37" i="8" s="1"/>
  <c r="I37" i="8" s="1"/>
  <c r="G41" i="7"/>
  <c r="H41" i="7" s="1"/>
  <c r="I41" i="7"/>
  <c r="G33" i="5"/>
  <c r="H33" i="5" s="1"/>
  <c r="I33" i="5" s="1"/>
  <c r="G43" i="4"/>
  <c r="H43" i="4" s="1"/>
  <c r="I43" i="4" s="1"/>
  <c r="G38" i="8" l="1"/>
  <c r="H38" i="8" s="1"/>
  <c r="I38" i="8" s="1"/>
  <c r="G42" i="7"/>
  <c r="H42" i="7" s="1"/>
  <c r="I42" i="7" s="1"/>
  <c r="G34" i="5"/>
  <c r="H34" i="5" s="1"/>
  <c r="I34" i="5" s="1"/>
  <c r="G44" i="4"/>
  <c r="H44" i="4" s="1"/>
  <c r="I44" i="4" s="1"/>
  <c r="G39" i="8" l="1"/>
  <c r="H39" i="8" s="1"/>
  <c r="I39" i="8" s="1"/>
  <c r="G43" i="7"/>
  <c r="H43" i="7" s="1"/>
  <c r="I43" i="7" s="1"/>
  <c r="G35" i="5"/>
  <c r="H35" i="5" s="1"/>
  <c r="I35" i="5" s="1"/>
  <c r="G45" i="4"/>
  <c r="H45" i="4" s="1"/>
  <c r="I45" i="4" s="1"/>
  <c r="E47" i="4"/>
  <c r="G40" i="8" l="1"/>
  <c r="H40" i="8" s="1"/>
  <c r="I40" i="8" s="1"/>
  <c r="G44" i="7"/>
  <c r="H44" i="7" s="1"/>
  <c r="I44" i="7" s="1"/>
  <c r="I45" i="7" s="1"/>
  <c r="G36" i="5"/>
  <c r="H36" i="5" s="1"/>
  <c r="I36" i="5" s="1"/>
  <c r="G46" i="4"/>
  <c r="H46" i="4" s="1"/>
  <c r="I46" i="4" s="1"/>
  <c r="G41" i="8" l="1"/>
  <c r="H41" i="8" s="1"/>
  <c r="I41" i="8" s="1"/>
  <c r="G46" i="7"/>
  <c r="H46" i="7" s="1"/>
  <c r="I46" i="7" s="1"/>
  <c r="G37" i="5"/>
  <c r="H37" i="5" s="1"/>
  <c r="I37" i="5" s="1"/>
  <c r="G47" i="4"/>
  <c r="H47" i="4" s="1"/>
  <c r="I47" i="4" s="1"/>
  <c r="G42" i="8" l="1"/>
  <c r="H42" i="8" s="1"/>
  <c r="I42" i="8" s="1"/>
  <c r="G47" i="7"/>
  <c r="H47" i="7" s="1"/>
  <c r="I47" i="7" s="1"/>
  <c r="G38" i="5"/>
  <c r="H38" i="5" s="1"/>
  <c r="I38" i="5" s="1"/>
  <c r="G48" i="4"/>
  <c r="H48" i="4" s="1"/>
  <c r="I48" i="4" s="1"/>
  <c r="G43" i="8" l="1"/>
  <c r="H43" i="8" s="1"/>
  <c r="I43" i="8" s="1"/>
  <c r="I48" i="7"/>
  <c r="K47" i="7"/>
  <c r="G39" i="5"/>
  <c r="H39" i="5" s="1"/>
  <c r="I39" i="5" s="1"/>
  <c r="G49" i="4"/>
  <c r="H49" i="4" s="1"/>
  <c r="I49" i="4" s="1"/>
  <c r="G44" i="8" l="1"/>
  <c r="H44" i="8" s="1"/>
  <c r="I44" i="8" s="1"/>
  <c r="I45" i="8" s="1"/>
  <c r="K48" i="7"/>
  <c r="G49" i="7"/>
  <c r="H49" i="7" s="1"/>
  <c r="I49" i="7" s="1"/>
  <c r="G40" i="5"/>
  <c r="H40" i="5" s="1"/>
  <c r="I40" i="5" s="1"/>
  <c r="G50" i="4"/>
  <c r="H50" i="4" s="1"/>
  <c r="I50" i="4" s="1"/>
  <c r="G46" i="8" l="1"/>
  <c r="H46" i="8" s="1"/>
  <c r="I46" i="8" s="1"/>
  <c r="G50" i="7"/>
  <c r="H50" i="7" s="1"/>
  <c r="I50" i="7" s="1"/>
  <c r="K49" i="7"/>
  <c r="G41" i="5"/>
  <c r="H41" i="5" s="1"/>
  <c r="I41" i="5" s="1"/>
  <c r="G51" i="4"/>
  <c r="H51" i="4" s="1"/>
  <c r="I51" i="4" s="1"/>
  <c r="G47" i="8" l="1"/>
  <c r="H47" i="8" s="1"/>
  <c r="I47" i="8" s="1"/>
  <c r="G51" i="7"/>
  <c r="H51" i="7" s="1"/>
  <c r="I51" i="7" s="1"/>
  <c r="K50" i="7"/>
  <c r="G42" i="5"/>
  <c r="H42" i="5" s="1"/>
  <c r="I42" i="5" s="1"/>
  <c r="E52" i="4"/>
  <c r="G52" i="4"/>
  <c r="G48" i="8" l="1"/>
  <c r="H48" i="8" s="1"/>
  <c r="I48" i="8" s="1"/>
  <c r="E52" i="7"/>
  <c r="K51" i="7"/>
  <c r="G43" i="5"/>
  <c r="H43" i="5" s="1"/>
  <c r="I43" i="5" s="1"/>
  <c r="H52" i="4"/>
  <c r="I52" i="4" s="1"/>
  <c r="G49" i="8" l="1"/>
  <c r="H49" i="8" s="1"/>
  <c r="I49" i="8" s="1"/>
  <c r="G52" i="7"/>
  <c r="H52" i="7" s="1"/>
  <c r="I52" i="7" s="1"/>
  <c r="G44" i="5"/>
  <c r="H44" i="5" s="1"/>
  <c r="I44" i="5" s="1"/>
  <c r="G53" i="4"/>
  <c r="H53" i="4" s="1"/>
  <c r="I53" i="4" s="1"/>
  <c r="G50" i="8" l="1"/>
  <c r="H50" i="8" s="1"/>
  <c r="I50" i="8" s="1"/>
  <c r="G53" i="7"/>
  <c r="H53" i="7" s="1"/>
  <c r="I53" i="7" s="1"/>
  <c r="K52" i="7"/>
  <c r="G45" i="5"/>
  <c r="H45" i="5" s="1"/>
  <c r="I45" i="5" s="1"/>
  <c r="G55" i="4"/>
  <c r="H55" i="4" s="1"/>
  <c r="I55" i="4" s="1"/>
  <c r="G51" i="8" l="1"/>
  <c r="H51" i="8" s="1"/>
  <c r="I51" i="8" s="1"/>
  <c r="K53" i="7"/>
  <c r="G55" i="7"/>
  <c r="H55" i="7" s="1"/>
  <c r="I55" i="7" s="1"/>
  <c r="G46" i="5"/>
  <c r="H46" i="5" s="1"/>
  <c r="I46" i="5" s="1"/>
  <c r="G56" i="4"/>
  <c r="H56" i="4" s="1"/>
  <c r="I56" i="4" s="1"/>
  <c r="G52" i="8" l="1"/>
  <c r="H52" i="8" s="1"/>
  <c r="I52" i="8" s="1"/>
  <c r="K55" i="7"/>
  <c r="G56" i="7"/>
  <c r="H56" i="7" s="1"/>
  <c r="I56" i="7" s="1"/>
  <c r="G47" i="5"/>
  <c r="H47" i="5" s="1"/>
  <c r="I47" i="5" s="1"/>
  <c r="G57" i="4"/>
  <c r="H57" i="4" s="1"/>
  <c r="I57" i="4" s="1"/>
  <c r="G53" i="8" l="1"/>
  <c r="H53" i="8" s="1"/>
  <c r="I53" i="8" s="1"/>
  <c r="I55" i="8" s="1"/>
  <c r="K56" i="7"/>
  <c r="G57" i="7"/>
  <c r="H57" i="7" s="1"/>
  <c r="I57" i="7" s="1"/>
  <c r="G48" i="5"/>
  <c r="H48" i="5" s="1"/>
  <c r="I48" i="5" s="1"/>
  <c r="G58" i="4"/>
  <c r="H58" i="4" s="1"/>
  <c r="I58" i="4" s="1"/>
  <c r="I59" i="4" s="1"/>
  <c r="I60" i="4" s="1"/>
  <c r="I61" i="4" s="1"/>
  <c r="G56" i="8" l="1"/>
  <c r="H56" i="8" s="1"/>
  <c r="I56" i="8" s="1"/>
  <c r="G58" i="7"/>
  <c r="H58" i="7" s="1"/>
  <c r="I58" i="7" s="1"/>
  <c r="K57" i="7"/>
  <c r="G49" i="5"/>
  <c r="H49" i="5" s="1"/>
  <c r="I49" i="5" s="1"/>
  <c r="G62" i="4"/>
  <c r="H62" i="4" s="1"/>
  <c r="I62" i="4" s="1"/>
  <c r="G57" i="8" l="1"/>
  <c r="H57" i="8" s="1"/>
  <c r="I57" i="8" s="1"/>
  <c r="G59" i="7"/>
  <c r="H59" i="7" s="1"/>
  <c r="I59" i="7" s="1"/>
  <c r="K58" i="7"/>
  <c r="G50" i="5"/>
  <c r="H50" i="5" s="1"/>
  <c r="I50" i="5" s="1"/>
  <c r="G63" i="4"/>
  <c r="H63" i="4" s="1"/>
  <c r="I63" i="4" s="1"/>
  <c r="G58" i="8" l="1"/>
  <c r="H58" i="8" s="1"/>
  <c r="I58" i="8" s="1"/>
  <c r="K59" i="7"/>
  <c r="G60" i="7"/>
  <c r="H60" i="7" s="1"/>
  <c r="I60" i="7" s="1"/>
  <c r="G51" i="5"/>
  <c r="H51" i="5" s="1"/>
  <c r="I51" i="5" s="1"/>
  <c r="G64" i="4"/>
  <c r="H64" i="4" s="1"/>
  <c r="I64" i="4" s="1"/>
  <c r="G59" i="8" l="1"/>
  <c r="H59" i="8" s="1"/>
  <c r="I59" i="8" s="1"/>
  <c r="K60" i="7"/>
  <c r="G61" i="7"/>
  <c r="H61" i="7" s="1"/>
  <c r="I61" i="7" s="1"/>
  <c r="G52" i="5"/>
  <c r="H52" i="5" s="1"/>
  <c r="I52" i="5" s="1"/>
  <c r="E65" i="4"/>
  <c r="G60" i="8" l="1"/>
  <c r="H60" i="8" s="1"/>
  <c r="I60" i="8" s="1"/>
  <c r="G62" i="7"/>
  <c r="H62" i="7" s="1"/>
  <c r="I62" i="7" s="1"/>
  <c r="K61" i="7"/>
  <c r="G53" i="5"/>
  <c r="H53" i="5" s="1"/>
  <c r="I53" i="5" s="1"/>
  <c r="I55" i="5" s="1"/>
  <c r="G65" i="4"/>
  <c r="H65" i="4" s="1"/>
  <c r="I65" i="4" s="1"/>
  <c r="G61" i="8" l="1"/>
  <c r="H61" i="8" s="1"/>
  <c r="I61" i="8" s="1"/>
  <c r="G63" i="7"/>
  <c r="H63" i="7" s="1"/>
  <c r="I63" i="7" s="1"/>
  <c r="G56" i="5"/>
  <c r="H56" i="5" s="1"/>
  <c r="I56" i="5" s="1"/>
  <c r="G66" i="4"/>
  <c r="H66" i="4" s="1"/>
  <c r="I66" i="4" s="1"/>
  <c r="G62" i="8" l="1"/>
  <c r="H62" i="8" s="1"/>
  <c r="I62" i="8" s="1"/>
  <c r="G64" i="7"/>
  <c r="H64" i="7" s="1"/>
  <c r="I64" i="7" s="1"/>
  <c r="G57" i="5"/>
  <c r="H57" i="5" s="1"/>
  <c r="I57" i="5" s="1"/>
  <c r="I58" i="5" s="1"/>
  <c r="G67" i="4"/>
  <c r="H67" i="4" s="1"/>
  <c r="I67" i="4" s="1"/>
  <c r="G63" i="8" l="1"/>
  <c r="H63" i="8" s="1"/>
  <c r="I63" i="8" s="1"/>
  <c r="E65" i="7"/>
  <c r="G59" i="5"/>
  <c r="H59" i="5" s="1"/>
  <c r="I59" i="5" s="1"/>
  <c r="G68" i="4"/>
  <c r="H68" i="4" s="1"/>
  <c r="I68" i="4" s="1"/>
  <c r="G64" i="8" l="1"/>
  <c r="H64" i="8" s="1"/>
  <c r="I64" i="8" s="1"/>
  <c r="G65" i="7"/>
  <c r="H65" i="7" s="1"/>
  <c r="I65" i="7" s="1"/>
  <c r="G60" i="5"/>
  <c r="H60" i="5" s="1"/>
  <c r="I60" i="5" s="1"/>
  <c r="G69" i="4"/>
  <c r="H69" i="4" s="1"/>
  <c r="I69" i="4" s="1"/>
  <c r="G65" i="8" l="1"/>
  <c r="H65" i="8" s="1"/>
  <c r="I65" i="8" s="1"/>
  <c r="G66" i="7"/>
  <c r="H66" i="7" s="1"/>
  <c r="I66" i="7" s="1"/>
  <c r="G61" i="5"/>
  <c r="H61" i="5" s="1"/>
  <c r="I61" i="5" s="1"/>
  <c r="G70" i="4"/>
  <c r="H70" i="4" s="1"/>
  <c r="I70" i="4" s="1"/>
  <c r="G66" i="8" l="1"/>
  <c r="H66" i="8" s="1"/>
  <c r="I66" i="8" s="1"/>
  <c r="G67" i="7"/>
  <c r="H67" i="7" s="1"/>
  <c r="I67" i="7" s="1"/>
  <c r="G62" i="5"/>
  <c r="H62" i="5" s="1"/>
  <c r="I62" i="5" s="1"/>
  <c r="G71" i="4"/>
  <c r="H71" i="4" s="1"/>
  <c r="I71" i="4" s="1"/>
  <c r="G67" i="8" l="1"/>
  <c r="H67" i="8" s="1"/>
  <c r="I67" i="8" s="1"/>
  <c r="I68" i="8" s="1"/>
  <c r="G68" i="7"/>
  <c r="H68" i="7" s="1"/>
  <c r="I68" i="7" s="1"/>
  <c r="G63" i="5"/>
  <c r="H63" i="5" s="1"/>
  <c r="I63" i="5" s="1"/>
  <c r="G72" i="4"/>
  <c r="H72" i="4" s="1"/>
  <c r="I72" i="4" s="1"/>
  <c r="G69" i="8" l="1"/>
  <c r="H69" i="8" s="1"/>
  <c r="I69" i="8" s="1"/>
  <c r="G69" i="7"/>
  <c r="H69" i="7" s="1"/>
  <c r="I69" i="7" s="1"/>
  <c r="K68" i="7"/>
  <c r="G64" i="5"/>
  <c r="H64" i="5" s="1"/>
  <c r="I64" i="5" s="1"/>
  <c r="G73" i="4"/>
  <c r="H73" i="4" s="1"/>
  <c r="I73" i="4" s="1"/>
  <c r="G70" i="8" l="1"/>
  <c r="H70" i="8" s="1"/>
  <c r="I70" i="8" s="1"/>
  <c r="K69" i="7"/>
  <c r="G70" i="7"/>
  <c r="H70" i="7" s="1"/>
  <c r="I70" i="7" s="1"/>
  <c r="G65" i="5"/>
  <c r="H65" i="5" s="1"/>
  <c r="I65" i="5" s="1"/>
  <c r="G74" i="4"/>
  <c r="H74" i="4" s="1"/>
  <c r="I74" i="4" s="1"/>
  <c r="G71" i="8" l="1"/>
  <c r="H71" i="8" s="1"/>
  <c r="I71" i="8" s="1"/>
  <c r="G71" i="7"/>
  <c r="H71" i="7" s="1"/>
  <c r="I71" i="7" s="1"/>
  <c r="G66" i="5"/>
  <c r="H66" i="5" s="1"/>
  <c r="I66" i="5" s="1"/>
  <c r="G75" i="4"/>
  <c r="H75" i="4" s="1"/>
  <c r="I75" i="4" s="1"/>
  <c r="G72" i="8" l="1"/>
  <c r="H72" i="8" s="1"/>
  <c r="I72" i="8" s="1"/>
  <c r="G72" i="7"/>
  <c r="H72" i="7" s="1"/>
  <c r="I72" i="7" s="1"/>
  <c r="G67" i="5"/>
  <c r="H67" i="5" s="1"/>
  <c r="I67" i="5" s="1"/>
  <c r="I68" i="5" s="1"/>
  <c r="G76" i="4"/>
  <c r="H76" i="4" s="1"/>
  <c r="I76" i="4" s="1"/>
  <c r="G73" i="8" l="1"/>
  <c r="H73" i="8" s="1"/>
  <c r="I73" i="8" s="1"/>
  <c r="G73" i="7"/>
  <c r="H73" i="7" s="1"/>
  <c r="I73" i="7" s="1"/>
  <c r="G69" i="5"/>
  <c r="H69" i="5" s="1"/>
  <c r="I69" i="5" s="1"/>
  <c r="E77" i="4"/>
  <c r="G74" i="8" l="1"/>
  <c r="H74" i="8" s="1"/>
  <c r="I74" i="8" s="1"/>
  <c r="G74" i="7"/>
  <c r="H74" i="7" s="1"/>
  <c r="I74" i="7" s="1"/>
  <c r="G70" i="5"/>
  <c r="H70" i="5" s="1"/>
  <c r="I70" i="5" s="1"/>
  <c r="G77" i="4"/>
  <c r="H77" i="4" s="1"/>
  <c r="I77" i="4" s="1"/>
  <c r="G75" i="8" l="1"/>
  <c r="H75" i="8" s="1"/>
  <c r="I75" i="8" s="1"/>
  <c r="G75" i="7"/>
  <c r="H75" i="7" s="1"/>
  <c r="I75" i="7" s="1"/>
  <c r="G71" i="5"/>
  <c r="H71" i="5" s="1"/>
  <c r="I71" i="5" s="1"/>
  <c r="G78" i="4"/>
  <c r="H78" i="4" s="1"/>
  <c r="I78" i="4" s="1"/>
  <c r="G76" i="8" l="1"/>
  <c r="H76" i="8" s="1"/>
  <c r="I76" i="8" s="1"/>
  <c r="G76" i="7"/>
  <c r="H76" i="7" s="1"/>
  <c r="I76" i="7" s="1"/>
  <c r="G72" i="5"/>
  <c r="H72" i="5" s="1"/>
  <c r="I72" i="5" s="1"/>
  <c r="G79" i="4"/>
  <c r="H79" i="4" s="1"/>
  <c r="I79" i="4" s="1"/>
  <c r="G77" i="8" l="1"/>
  <c r="H77" i="8" s="1"/>
  <c r="I77" i="8" s="1"/>
  <c r="G77" i="7"/>
  <c r="H77" i="7" s="1"/>
  <c r="I77" i="7" s="1"/>
  <c r="G73" i="5"/>
  <c r="H73" i="5" s="1"/>
  <c r="I73" i="5" s="1"/>
  <c r="G80" i="4"/>
  <c r="H80" i="4" s="1"/>
  <c r="I80" i="4" s="1"/>
  <c r="G78" i="8" l="1"/>
  <c r="H78" i="8" s="1"/>
  <c r="I78" i="8" s="1"/>
  <c r="G78" i="7"/>
  <c r="H78" i="7" s="1"/>
  <c r="I78" i="7" s="1"/>
  <c r="G74" i="5"/>
  <c r="H74" i="5" s="1"/>
  <c r="I74" i="5" s="1"/>
  <c r="G81" i="4"/>
  <c r="H81" i="4" s="1"/>
  <c r="I81" i="4" s="1"/>
  <c r="G79" i="8" l="1"/>
  <c r="H79" i="8" s="1"/>
  <c r="I79" i="8" s="1"/>
  <c r="G79" i="7"/>
  <c r="H79" i="7" s="1"/>
  <c r="I79" i="7" s="1"/>
  <c r="G75" i="5"/>
  <c r="H75" i="5" s="1"/>
  <c r="I75" i="5" s="1"/>
  <c r="G82" i="4"/>
  <c r="H82" i="4" s="1"/>
  <c r="I82" i="4" s="1"/>
  <c r="G80" i="8" l="1"/>
  <c r="H80" i="8" s="1"/>
  <c r="I80" i="8" s="1"/>
  <c r="I81" i="8" s="1"/>
  <c r="G80" i="7"/>
  <c r="H80" i="7" s="1"/>
  <c r="I80" i="7" s="1"/>
  <c r="G76" i="5"/>
  <c r="H76" i="5" s="1"/>
  <c r="I76" i="5" s="1"/>
  <c r="G83" i="4"/>
  <c r="H83" i="4" s="1"/>
  <c r="I83" i="4" s="1"/>
  <c r="G82" i="8" l="1"/>
  <c r="H82" i="8" s="1"/>
  <c r="I82" i="8" s="1"/>
  <c r="G81" i="7"/>
  <c r="H81" i="7" s="1"/>
  <c r="I81" i="7" s="1"/>
  <c r="G77" i="5"/>
  <c r="H77" i="5" s="1"/>
  <c r="I77" i="5" s="1"/>
  <c r="G84" i="4"/>
  <c r="H84" i="4" s="1"/>
  <c r="I84" i="4" s="1"/>
  <c r="G83" i="8" l="1"/>
  <c r="H83" i="8" s="1"/>
  <c r="I83" i="8" s="1"/>
  <c r="G82" i="7"/>
  <c r="H82" i="7" s="1"/>
  <c r="I82" i="7" s="1"/>
  <c r="G78" i="5"/>
  <c r="H78" i="5" s="1"/>
  <c r="I78" i="5" s="1"/>
  <c r="G85" i="4"/>
  <c r="H85" i="4" s="1"/>
  <c r="I85" i="4" s="1"/>
  <c r="G84" i="8" l="1"/>
  <c r="H84" i="8" s="1"/>
  <c r="I84" i="8" s="1"/>
  <c r="G83" i="7"/>
  <c r="H83" i="7" s="1"/>
  <c r="I83" i="7" s="1"/>
  <c r="G79" i="5"/>
  <c r="H79" i="5" s="1"/>
  <c r="I79" i="5" s="1"/>
  <c r="G86" i="4"/>
  <c r="H86" i="4" s="1"/>
  <c r="I86" i="4" s="1"/>
  <c r="G85" i="8" l="1"/>
  <c r="H85" i="8" s="1"/>
  <c r="I85" i="8" s="1"/>
  <c r="G84" i="7"/>
  <c r="H84" i="7" s="1"/>
  <c r="I84" i="7" s="1"/>
  <c r="G80" i="5"/>
  <c r="H80" i="5" s="1"/>
  <c r="I80" i="5" s="1"/>
  <c r="I81" i="5" s="1"/>
  <c r="G87" i="4"/>
  <c r="H87" i="4" s="1"/>
  <c r="I87" i="4" s="1"/>
  <c r="G86" i="8" l="1"/>
  <c r="H86" i="8" s="1"/>
  <c r="I86" i="8" s="1"/>
  <c r="G85" i="7"/>
  <c r="H85" i="7" s="1"/>
  <c r="I85" i="7" s="1"/>
  <c r="G82" i="5"/>
  <c r="H82" i="5" s="1"/>
  <c r="I82" i="5" s="1"/>
  <c r="G88" i="4"/>
  <c r="H88" i="4" s="1"/>
  <c r="I88" i="4" s="1"/>
  <c r="G87" i="8" l="1"/>
  <c r="H87" i="8" s="1"/>
  <c r="I87" i="8" s="1"/>
  <c r="G86" i="7"/>
  <c r="H86" i="7" s="1"/>
  <c r="I86" i="7" s="1"/>
  <c r="G83" i="5"/>
  <c r="H83" i="5" s="1"/>
  <c r="I83" i="5" s="1"/>
  <c r="E89" i="4"/>
  <c r="G88" i="8" l="1"/>
  <c r="H88" i="8" s="1"/>
  <c r="I88" i="8" s="1"/>
  <c r="G87" i="7"/>
  <c r="H87" i="7" s="1"/>
  <c r="I87" i="7" s="1"/>
  <c r="G84" i="5"/>
  <c r="H84" i="5" s="1"/>
  <c r="I84" i="5" s="1"/>
  <c r="G89" i="4"/>
  <c r="H89" i="4" s="1"/>
  <c r="I89" i="4" s="1"/>
  <c r="G89" i="8" l="1"/>
  <c r="H89" i="8" s="1"/>
  <c r="I89" i="8" s="1"/>
  <c r="G88" i="7"/>
  <c r="H88" i="7" s="1"/>
  <c r="I88" i="7" s="1"/>
  <c r="G85" i="5"/>
  <c r="H85" i="5" s="1"/>
  <c r="I85" i="5" s="1"/>
  <c r="G90" i="4"/>
  <c r="H90" i="4" s="1"/>
  <c r="I90" i="4" s="1"/>
  <c r="G90" i="8" l="1"/>
  <c r="H90" i="8" s="1"/>
  <c r="I90" i="8" s="1"/>
  <c r="E89" i="7"/>
  <c r="G89" i="7" s="1"/>
  <c r="G86" i="5"/>
  <c r="H86" i="5" s="1"/>
  <c r="I86" i="5" s="1"/>
  <c r="G91" i="4"/>
  <c r="H91" i="4" s="1"/>
  <c r="I91" i="4" s="1"/>
  <c r="G91" i="8" l="1"/>
  <c r="H91" i="8" s="1"/>
  <c r="I91" i="8" s="1"/>
  <c r="H89" i="7"/>
  <c r="I89" i="7" s="1"/>
  <c r="G87" i="5"/>
  <c r="H87" i="5" s="1"/>
  <c r="I87" i="5" s="1"/>
  <c r="G92" i="4"/>
  <c r="H92" i="4" s="1"/>
  <c r="I92" i="4" s="1"/>
  <c r="G92" i="8" l="1"/>
  <c r="H92" i="8" s="1"/>
  <c r="I92" i="8" s="1"/>
  <c r="G90" i="7"/>
  <c r="H90" i="7" s="1"/>
  <c r="I90" i="7" s="1"/>
  <c r="G88" i="5"/>
  <c r="H88" i="5" s="1"/>
  <c r="I88" i="5" s="1"/>
  <c r="G93" i="4"/>
  <c r="H93" i="4" s="1"/>
  <c r="I93" i="4" s="1"/>
  <c r="G93" i="8" l="1"/>
  <c r="H93" i="8" s="1"/>
  <c r="I93" i="8" s="1"/>
  <c r="I94" i="8" s="1"/>
  <c r="G91" i="7"/>
  <c r="H91" i="7" s="1"/>
  <c r="I91" i="7" s="1"/>
  <c r="G89" i="5"/>
  <c r="H89" i="5" s="1"/>
  <c r="I89" i="5" s="1"/>
  <c r="G94" i="4"/>
  <c r="H94" i="4" s="1"/>
  <c r="I94" i="4" s="1"/>
  <c r="G95" i="8" l="1"/>
  <c r="H95" i="8" s="1"/>
  <c r="I95" i="8" s="1"/>
  <c r="G92" i="7"/>
  <c r="H92" i="7" s="1"/>
  <c r="I92" i="7" s="1"/>
  <c r="G90" i="5"/>
  <c r="H90" i="5" s="1"/>
  <c r="I90" i="5" s="1"/>
  <c r="G95" i="4"/>
  <c r="H95" i="4" s="1"/>
  <c r="I95" i="4" s="1"/>
  <c r="G96" i="8" l="1"/>
  <c r="H96" i="8" s="1"/>
  <c r="I96" i="8" s="1"/>
  <c r="G93" i="7"/>
  <c r="H93" i="7" s="1"/>
  <c r="I93" i="7" s="1"/>
  <c r="G91" i="5"/>
  <c r="H91" i="5" s="1"/>
  <c r="I91" i="5" s="1"/>
  <c r="G96" i="4"/>
  <c r="H96" i="4" s="1"/>
  <c r="I96" i="4" s="1"/>
  <c r="G97" i="8" l="1"/>
  <c r="H97" i="8" s="1"/>
  <c r="I97" i="8" s="1"/>
  <c r="G94" i="7"/>
  <c r="H94" i="7" s="1"/>
  <c r="I94" i="7" s="1"/>
  <c r="G92" i="5"/>
  <c r="H92" i="5" s="1"/>
  <c r="I92" i="5" s="1"/>
  <c r="G97" i="4"/>
  <c r="H97" i="4" s="1"/>
  <c r="I97" i="4" s="1"/>
  <c r="G98" i="8" l="1"/>
  <c r="H98" i="8" s="1"/>
  <c r="I98" i="8" s="1"/>
  <c r="G95" i="7"/>
  <c r="H95" i="7" s="1"/>
  <c r="I95" i="7" s="1"/>
  <c r="G93" i="5"/>
  <c r="H93" i="5" s="1"/>
  <c r="I93" i="5" s="1"/>
  <c r="I94" i="5" s="1"/>
  <c r="G98" i="4"/>
  <c r="H98" i="4" s="1"/>
  <c r="I98" i="4" s="1"/>
  <c r="G99" i="8" l="1"/>
  <c r="H99" i="8" s="1"/>
  <c r="I99" i="8" s="1"/>
  <c r="G96" i="7"/>
  <c r="H96" i="7" s="1"/>
  <c r="I96" i="7" s="1"/>
  <c r="G95" i="5"/>
  <c r="H95" i="5" s="1"/>
  <c r="I95" i="5" s="1"/>
  <c r="G99" i="4"/>
  <c r="H99" i="4" s="1"/>
  <c r="I99" i="4" s="1"/>
  <c r="G100" i="8" l="1"/>
  <c r="H100" i="8" s="1"/>
  <c r="I100" i="8" s="1"/>
  <c r="G97" i="7"/>
  <c r="H97" i="7" s="1"/>
  <c r="I97" i="7" s="1"/>
  <c r="G96" i="5"/>
  <c r="H96" i="5" s="1"/>
  <c r="I96" i="5" s="1"/>
  <c r="G100" i="4"/>
  <c r="H100" i="4" s="1"/>
  <c r="I100" i="4" s="1"/>
  <c r="G101" i="8" l="1"/>
  <c r="H101" i="8" s="1"/>
  <c r="I101" i="8" s="1"/>
  <c r="G98" i="7"/>
  <c r="H98" i="7" s="1"/>
  <c r="I98" i="7" s="1"/>
  <c r="G97" i="5"/>
  <c r="H97" i="5" s="1"/>
  <c r="I97" i="5" s="1"/>
  <c r="E101" i="4"/>
  <c r="G101" i="4"/>
  <c r="G102" i="8" l="1"/>
  <c r="H102" i="8" s="1"/>
  <c r="I102" i="8" s="1"/>
  <c r="G99" i="7"/>
  <c r="H99" i="7" s="1"/>
  <c r="I99" i="7" s="1"/>
  <c r="G98" i="5"/>
  <c r="H98" i="5" s="1"/>
  <c r="I98" i="5" s="1"/>
  <c r="H101" i="4"/>
  <c r="I101" i="4" s="1"/>
  <c r="G103" i="8" l="1"/>
  <c r="H103" i="8" s="1"/>
  <c r="I103" i="8" s="1"/>
  <c r="G100" i="7"/>
  <c r="H100" i="7" s="1"/>
  <c r="I100" i="7" s="1"/>
  <c r="G99" i="5"/>
  <c r="H99" i="5" s="1"/>
  <c r="I99" i="5" s="1"/>
  <c r="G102" i="4"/>
  <c r="H102" i="4" s="1"/>
  <c r="I102" i="4" s="1"/>
  <c r="G104" i="8" l="1"/>
  <c r="H104" i="8" s="1"/>
  <c r="I104" i="8" s="1"/>
  <c r="E101" i="7"/>
  <c r="G100" i="5"/>
  <c r="H100" i="5" s="1"/>
  <c r="I100" i="5" s="1"/>
  <c r="G103" i="4"/>
  <c r="H103" i="4" s="1"/>
  <c r="I103" i="4" s="1"/>
  <c r="G105" i="8" l="1"/>
  <c r="H105" i="8" s="1"/>
  <c r="I105" i="8" s="1"/>
  <c r="G101" i="7"/>
  <c r="H101" i="7" s="1"/>
  <c r="I101" i="7" s="1"/>
  <c r="G101" i="5"/>
  <c r="H101" i="5" s="1"/>
  <c r="I101" i="5" s="1"/>
  <c r="G104" i="4"/>
  <c r="H104" i="4" s="1"/>
  <c r="I104" i="4" s="1"/>
  <c r="G106" i="8" l="1"/>
  <c r="H106" i="8" s="1"/>
  <c r="I106" i="8" s="1"/>
  <c r="I107" i="8" s="1"/>
  <c r="G102" i="7"/>
  <c r="H102" i="7" s="1"/>
  <c r="I102" i="7" s="1"/>
  <c r="G102" i="5"/>
  <c r="H102" i="5" s="1"/>
  <c r="I102" i="5" s="1"/>
  <c r="G105" i="4"/>
  <c r="H105" i="4" s="1"/>
  <c r="I105" i="4" s="1"/>
  <c r="G108" i="8" l="1"/>
  <c r="H108" i="8" s="1"/>
  <c r="I108" i="8" s="1"/>
  <c r="G103" i="7"/>
  <c r="H103" i="7" s="1"/>
  <c r="I103" i="7" s="1"/>
  <c r="G103" i="5"/>
  <c r="H103" i="5" s="1"/>
  <c r="I103" i="5" s="1"/>
  <c r="G106" i="4"/>
  <c r="H106" i="4" s="1"/>
  <c r="I106" i="4" s="1"/>
  <c r="G109" i="8" l="1"/>
  <c r="H109" i="8" s="1"/>
  <c r="I109" i="8" s="1"/>
  <c r="G104" i="7"/>
  <c r="H104" i="7" s="1"/>
  <c r="I104" i="7" s="1"/>
  <c r="G104" i="5"/>
  <c r="H104" i="5" s="1"/>
  <c r="I104" i="5" s="1"/>
  <c r="G107" i="4"/>
  <c r="H107" i="4" s="1"/>
  <c r="I107" i="4" s="1"/>
  <c r="G110" i="8" l="1"/>
  <c r="H110" i="8" s="1"/>
  <c r="I110" i="8" s="1"/>
  <c r="G105" i="7"/>
  <c r="H105" i="7" s="1"/>
  <c r="I105" i="7" s="1"/>
  <c r="G105" i="5"/>
  <c r="H105" i="5" s="1"/>
  <c r="I105" i="5" s="1"/>
  <c r="G108" i="4"/>
  <c r="H108" i="4" s="1"/>
  <c r="I108" i="4" s="1"/>
  <c r="G111" i="8" l="1"/>
  <c r="H111" i="8" s="1"/>
  <c r="I111" i="8" s="1"/>
  <c r="G106" i="7"/>
  <c r="H106" i="7" s="1"/>
  <c r="I106" i="7" s="1"/>
  <c r="G106" i="5"/>
  <c r="H106" i="5" s="1"/>
  <c r="I106" i="5" s="1"/>
  <c r="I107" i="5" s="1"/>
  <c r="G109" i="4"/>
  <c r="H109" i="4" s="1"/>
  <c r="I109" i="4" s="1"/>
  <c r="G112" i="8" l="1"/>
  <c r="H112" i="8" s="1"/>
  <c r="I112" i="8" s="1"/>
  <c r="G107" i="7"/>
  <c r="H107" i="7" s="1"/>
  <c r="I107" i="7" s="1"/>
  <c r="G108" i="5"/>
  <c r="H108" i="5" s="1"/>
  <c r="I108" i="5" s="1"/>
  <c r="G110" i="4"/>
  <c r="H110" i="4" s="1"/>
  <c r="I110" i="4" s="1"/>
  <c r="G113" i="8" l="1"/>
  <c r="H113" i="8" s="1"/>
  <c r="I113" i="8" s="1"/>
  <c r="G108" i="7"/>
  <c r="H108" i="7" s="1"/>
  <c r="I108" i="7" s="1"/>
  <c r="G109" i="5"/>
  <c r="H109" i="5" s="1"/>
  <c r="I109" i="5" s="1"/>
  <c r="G111" i="4"/>
  <c r="H111" i="4" s="1"/>
  <c r="I111" i="4" s="1"/>
  <c r="G114" i="8" l="1"/>
  <c r="H114" i="8" s="1"/>
  <c r="I114" i="8" s="1"/>
  <c r="G109" i="7"/>
  <c r="H109" i="7" s="1"/>
  <c r="I109" i="7" s="1"/>
  <c r="G110" i="5"/>
  <c r="H110" i="5" s="1"/>
  <c r="I110" i="5" s="1"/>
  <c r="G112" i="4"/>
  <c r="H112" i="4" s="1"/>
  <c r="I112" i="4" s="1"/>
  <c r="G115" i="8" l="1"/>
  <c r="H115" i="8" s="1"/>
  <c r="I115" i="8" s="1"/>
  <c r="G110" i="7"/>
  <c r="H110" i="7" s="1"/>
  <c r="I110" i="7" s="1"/>
  <c r="G111" i="5"/>
  <c r="H111" i="5" s="1"/>
  <c r="I111" i="5" s="1"/>
  <c r="G113" i="4"/>
  <c r="H113" i="4" s="1"/>
  <c r="I113" i="4" s="1"/>
  <c r="G116" i="8" l="1"/>
  <c r="H116" i="8" s="1"/>
  <c r="I116" i="8" s="1"/>
  <c r="G111" i="7"/>
  <c r="H111" i="7" s="1"/>
  <c r="I111" i="7" s="1"/>
  <c r="G112" i="5"/>
  <c r="H112" i="5" s="1"/>
  <c r="I112" i="5" s="1"/>
  <c r="G114" i="4"/>
  <c r="H114" i="4" s="1"/>
  <c r="I114" i="4" s="1"/>
  <c r="G117" i="8" l="1"/>
  <c r="H117" i="8" s="1"/>
  <c r="I117" i="8" s="1"/>
  <c r="G112" i="7"/>
  <c r="H112" i="7" s="1"/>
  <c r="I112" i="7" s="1"/>
  <c r="G113" i="5"/>
  <c r="H113" i="5" s="1"/>
  <c r="I113" i="5" s="1"/>
  <c r="G115" i="4"/>
  <c r="H115" i="4" s="1"/>
  <c r="I115" i="4" s="1"/>
  <c r="G118" i="8" l="1"/>
  <c r="H118" i="8" s="1"/>
  <c r="I118" i="8" s="1"/>
  <c r="G113" i="7"/>
  <c r="H113" i="7" s="1"/>
  <c r="I113" i="7" s="1"/>
  <c r="G114" i="5"/>
  <c r="H114" i="5" s="1"/>
  <c r="I114" i="5" s="1"/>
  <c r="G116" i="4"/>
  <c r="H116" i="4" s="1"/>
  <c r="I116" i="4" s="1"/>
  <c r="G119" i="8" l="1"/>
  <c r="H119" i="8" s="1"/>
  <c r="I119" i="8" s="1"/>
  <c r="I120" i="8" s="1"/>
  <c r="G114" i="7"/>
  <c r="H114" i="7" s="1"/>
  <c r="I114" i="7" s="1"/>
  <c r="G115" i="5"/>
  <c r="H115" i="5" s="1"/>
  <c r="I115" i="5" s="1"/>
  <c r="G117" i="4"/>
  <c r="H117" i="4" s="1"/>
  <c r="I117" i="4" s="1"/>
  <c r="G121" i="8" l="1"/>
  <c r="H121" i="8" s="1"/>
  <c r="I121" i="8" s="1"/>
  <c r="G115" i="7"/>
  <c r="H115" i="7" s="1"/>
  <c r="I115" i="7" s="1"/>
  <c r="G116" i="5"/>
  <c r="H116" i="5" s="1"/>
  <c r="I116" i="5" s="1"/>
  <c r="G118" i="4"/>
  <c r="H118" i="4" s="1"/>
  <c r="I118" i="4" s="1"/>
  <c r="G122" i="8" l="1"/>
  <c r="H122" i="8" s="1"/>
  <c r="I122" i="8" s="1"/>
  <c r="G116" i="7"/>
  <c r="H116" i="7" s="1"/>
  <c r="I116" i="7" s="1"/>
  <c r="G117" i="5"/>
  <c r="H117" i="5" s="1"/>
  <c r="I117" i="5" s="1"/>
  <c r="G119" i="4"/>
  <c r="H119" i="4" s="1"/>
  <c r="I119" i="4" s="1"/>
  <c r="G123" i="8" l="1"/>
  <c r="H123" i="8" s="1"/>
  <c r="I123" i="8" s="1"/>
  <c r="G117" i="7"/>
  <c r="H117" i="7" s="1"/>
  <c r="I117" i="7" s="1"/>
  <c r="G118" i="5"/>
  <c r="H118" i="5" s="1"/>
  <c r="I118" i="5" s="1"/>
  <c r="G120" i="4"/>
  <c r="H120" i="4" s="1"/>
  <c r="I120" i="4" s="1"/>
  <c r="G124" i="8" l="1"/>
  <c r="H124" i="8" s="1"/>
  <c r="I124" i="8" s="1"/>
  <c r="G118" i="7"/>
  <c r="H118" i="7" s="1"/>
  <c r="I118" i="7" s="1"/>
  <c r="G119" i="5"/>
  <c r="H119" i="5" s="1"/>
  <c r="I119" i="5" s="1"/>
  <c r="I120" i="5" s="1"/>
  <c r="G121" i="4"/>
  <c r="H121" i="4" s="1"/>
  <c r="I121" i="4" s="1"/>
  <c r="G125" i="8" l="1"/>
  <c r="H125" i="8" s="1"/>
  <c r="I125" i="8" s="1"/>
  <c r="G119" i="7"/>
  <c r="H119" i="7" s="1"/>
  <c r="I119" i="7" s="1"/>
  <c r="G121" i="5"/>
  <c r="H121" i="5" s="1"/>
  <c r="I121" i="5" s="1"/>
  <c r="G122" i="4"/>
  <c r="H122" i="4" s="1"/>
  <c r="I122" i="4" s="1"/>
  <c r="G126" i="8" l="1"/>
  <c r="H126" i="8" s="1"/>
  <c r="I126" i="8" s="1"/>
  <c r="G120" i="7"/>
  <c r="H120" i="7" s="1"/>
  <c r="I120" i="7" s="1"/>
  <c r="G122" i="5"/>
  <c r="H122" i="5" s="1"/>
  <c r="I122" i="5" s="1"/>
  <c r="G123" i="4"/>
  <c r="H123" i="4" s="1"/>
  <c r="I123" i="4" s="1"/>
  <c r="G127" i="8" l="1"/>
  <c r="H127" i="8" s="1"/>
  <c r="I127" i="8" s="1"/>
  <c r="G121" i="7"/>
  <c r="H121" i="7" s="1"/>
  <c r="I121" i="7" s="1"/>
  <c r="G123" i="5"/>
  <c r="H123" i="5" s="1"/>
  <c r="I123" i="5" s="1"/>
  <c r="G124" i="4"/>
  <c r="H124" i="4" s="1"/>
  <c r="I124" i="4" s="1"/>
  <c r="G128" i="8" l="1"/>
  <c r="H128" i="8" s="1"/>
  <c r="I128" i="8" s="1"/>
  <c r="G122" i="7"/>
  <c r="H122" i="7" s="1"/>
  <c r="I122" i="7" s="1"/>
  <c r="G124" i="5"/>
  <c r="H124" i="5" s="1"/>
  <c r="I124" i="5" s="1"/>
  <c r="G125" i="4"/>
  <c r="H125" i="4" s="1"/>
  <c r="I125" i="4" s="1"/>
  <c r="G129" i="8" l="1"/>
  <c r="H129" i="8" s="1"/>
  <c r="I129" i="8" s="1"/>
  <c r="G123" i="7"/>
  <c r="H123" i="7" s="1"/>
  <c r="I123" i="7" s="1"/>
  <c r="G125" i="5"/>
  <c r="H125" i="5" s="1"/>
  <c r="I125" i="5" s="1"/>
  <c r="G126" i="4"/>
  <c r="H126" i="4" s="1"/>
  <c r="I126" i="4" s="1"/>
  <c r="G130" i="8" l="1"/>
  <c r="H130" i="8" s="1"/>
  <c r="I130" i="8" s="1"/>
  <c r="G124" i="7"/>
  <c r="H124" i="7" s="1"/>
  <c r="I124" i="7" s="1"/>
  <c r="G126" i="5"/>
  <c r="H126" i="5" s="1"/>
  <c r="I126" i="5" s="1"/>
  <c r="G127" i="4"/>
  <c r="H127" i="4" s="1"/>
  <c r="I127" i="4" s="1"/>
  <c r="G131" i="8" l="1"/>
  <c r="H131" i="8" s="1"/>
  <c r="I131" i="8" s="1"/>
  <c r="G125" i="7"/>
  <c r="H125" i="7" s="1"/>
  <c r="I125" i="7" s="1"/>
  <c r="G127" i="5"/>
  <c r="H127" i="5" s="1"/>
  <c r="I127" i="5" s="1"/>
  <c r="G128" i="4"/>
  <c r="H128" i="4" s="1"/>
  <c r="I128" i="4" s="1"/>
  <c r="G132" i="8" l="1"/>
  <c r="H132" i="8" s="1"/>
  <c r="I132" i="8" s="1"/>
  <c r="I133" i="8" s="1"/>
  <c r="G126" i="7"/>
  <c r="H126" i="7" s="1"/>
  <c r="I126" i="7" s="1"/>
  <c r="G128" i="5"/>
  <c r="H128" i="5" s="1"/>
  <c r="I128" i="5" s="1"/>
  <c r="G129" i="4"/>
  <c r="H129" i="4" s="1"/>
  <c r="I129" i="4" s="1"/>
  <c r="G134" i="8" l="1"/>
  <c r="H134" i="8" s="1"/>
  <c r="I134" i="8" s="1"/>
  <c r="G127" i="7"/>
  <c r="H127" i="7" s="1"/>
  <c r="I127" i="7" s="1"/>
  <c r="G129" i="5"/>
  <c r="H129" i="5" s="1"/>
  <c r="I129" i="5" s="1"/>
  <c r="G130" i="4"/>
  <c r="H130" i="4" s="1"/>
  <c r="I130" i="4" s="1"/>
  <c r="G135" i="8" l="1"/>
  <c r="H135" i="8" s="1"/>
  <c r="I135" i="8" s="1"/>
  <c r="G128" i="7"/>
  <c r="H128" i="7" s="1"/>
  <c r="I128" i="7" s="1"/>
  <c r="G130" i="5"/>
  <c r="H130" i="5" s="1"/>
  <c r="I130" i="5" s="1"/>
  <c r="G131" i="4"/>
  <c r="H131" i="4" s="1"/>
  <c r="I131" i="4" s="1"/>
  <c r="G136" i="8" l="1"/>
  <c r="H136" i="8" s="1"/>
  <c r="I136" i="8" s="1"/>
  <c r="G129" i="7"/>
  <c r="H129" i="7" s="1"/>
  <c r="I129" i="7" s="1"/>
  <c r="G131" i="5"/>
  <c r="H131" i="5" s="1"/>
  <c r="I131" i="5" s="1"/>
  <c r="G132" i="4"/>
  <c r="H132" i="4" s="1"/>
  <c r="I132" i="4" s="1"/>
  <c r="G137" i="8" l="1"/>
  <c r="H137" i="8" s="1"/>
  <c r="I137" i="8" s="1"/>
  <c r="G130" i="7"/>
  <c r="H130" i="7" s="1"/>
  <c r="I130" i="7" s="1"/>
  <c r="G132" i="5"/>
  <c r="H132" i="5" s="1"/>
  <c r="I132" i="5" s="1"/>
  <c r="I133" i="5" s="1"/>
  <c r="G133" i="4"/>
  <c r="H133" i="4" s="1"/>
  <c r="I133" i="4" s="1"/>
  <c r="G138" i="8" l="1"/>
  <c r="H138" i="8" s="1"/>
  <c r="I138" i="8" s="1"/>
  <c r="G131" i="7"/>
  <c r="H131" i="7" s="1"/>
  <c r="I131" i="7" s="1"/>
  <c r="G134" i="5"/>
  <c r="H134" i="5" s="1"/>
  <c r="I134" i="5" s="1"/>
  <c r="G134" i="4"/>
  <c r="H134" i="4" s="1"/>
  <c r="I134" i="4" s="1"/>
  <c r="G139" i="8" l="1"/>
  <c r="H139" i="8" s="1"/>
  <c r="I139" i="8" s="1"/>
  <c r="G132" i="7"/>
  <c r="H132" i="7" s="1"/>
  <c r="I132" i="7" s="1"/>
  <c r="G135" i="5"/>
  <c r="H135" i="5" s="1"/>
  <c r="I135" i="5" s="1"/>
  <c r="G135" i="4"/>
  <c r="H135" i="4" s="1"/>
  <c r="I135" i="4" s="1"/>
  <c r="G140" i="8" l="1"/>
  <c r="H140" i="8" s="1"/>
  <c r="I140" i="8" s="1"/>
  <c r="G133" i="7"/>
  <c r="H133" i="7" s="1"/>
  <c r="I133" i="7" s="1"/>
  <c r="G136" i="5"/>
  <c r="H136" i="5" s="1"/>
  <c r="I136" i="5" s="1"/>
  <c r="G136" i="4"/>
  <c r="H136" i="4" s="1"/>
  <c r="I136" i="4" s="1"/>
  <c r="G141" i="8" l="1"/>
  <c r="H141" i="8" s="1"/>
  <c r="I141" i="8" s="1"/>
  <c r="G134" i="7"/>
  <c r="H134" i="7" s="1"/>
  <c r="I134" i="7" s="1"/>
  <c r="G137" i="5"/>
  <c r="H137" i="5" s="1"/>
  <c r="I137" i="5" s="1"/>
  <c r="G137" i="4"/>
  <c r="H137" i="4" s="1"/>
  <c r="I137" i="4" s="1"/>
  <c r="G142" i="8" l="1"/>
  <c r="H142" i="8" s="1"/>
  <c r="I142" i="8" s="1"/>
  <c r="G135" i="7"/>
  <c r="H135" i="7" s="1"/>
  <c r="I135" i="7" s="1"/>
  <c r="G138" i="5"/>
  <c r="H138" i="5" s="1"/>
  <c r="I138" i="5" s="1"/>
  <c r="G138" i="4"/>
  <c r="H138" i="4" s="1"/>
  <c r="I138" i="4" s="1"/>
  <c r="G143" i="8" l="1"/>
  <c r="H143" i="8" s="1"/>
  <c r="I143" i="8" s="1"/>
  <c r="G136" i="7"/>
  <c r="H136" i="7" s="1"/>
  <c r="I136" i="7" s="1"/>
  <c r="G139" i="5"/>
  <c r="H139" i="5" s="1"/>
  <c r="I139" i="5" s="1"/>
  <c r="G139" i="4"/>
  <c r="H139" i="4" s="1"/>
  <c r="I139" i="4" s="1"/>
  <c r="G144" i="8" l="1"/>
  <c r="H144" i="8" s="1"/>
  <c r="I144" i="8" s="1"/>
  <c r="G137" i="7"/>
  <c r="H137" i="7" s="1"/>
  <c r="I137" i="7" s="1"/>
  <c r="G140" i="5"/>
  <c r="H140" i="5" s="1"/>
  <c r="I140" i="5" s="1"/>
  <c r="G140" i="4"/>
  <c r="H140" i="4" s="1"/>
  <c r="I140" i="4" s="1"/>
  <c r="G145" i="8" l="1"/>
  <c r="H145" i="8" s="1"/>
  <c r="I145" i="8" s="1"/>
  <c r="I146" i="8" s="1"/>
  <c r="G138" i="7"/>
  <c r="H138" i="7" s="1"/>
  <c r="I138" i="7" s="1"/>
  <c r="G141" i="5"/>
  <c r="H141" i="5" s="1"/>
  <c r="I141" i="5" s="1"/>
  <c r="G141" i="4"/>
  <c r="H141" i="4" s="1"/>
  <c r="I141" i="4" s="1"/>
  <c r="G147" i="8" l="1"/>
  <c r="H147" i="8" s="1"/>
  <c r="I147" i="8" s="1"/>
  <c r="G139" i="7"/>
  <c r="H139" i="7" s="1"/>
  <c r="I139" i="7" s="1"/>
  <c r="G142" i="5"/>
  <c r="H142" i="5" s="1"/>
  <c r="I142" i="5" s="1"/>
  <c r="G142" i="4"/>
  <c r="H142" i="4" s="1"/>
  <c r="I142" i="4" s="1"/>
  <c r="G148" i="8" l="1"/>
  <c r="H148" i="8" s="1"/>
  <c r="I148" i="8" s="1"/>
  <c r="G140" i="7"/>
  <c r="H140" i="7" s="1"/>
  <c r="I140" i="7" s="1"/>
  <c r="G143" i="5"/>
  <c r="H143" i="5" s="1"/>
  <c r="I143" i="5" s="1"/>
  <c r="G143" i="4"/>
  <c r="H143" i="4" s="1"/>
  <c r="I143" i="4"/>
  <c r="G149" i="8" l="1"/>
  <c r="H149" i="8" s="1"/>
  <c r="I149" i="8" s="1"/>
  <c r="G141" i="7"/>
  <c r="H141" i="7" s="1"/>
  <c r="I141" i="7" s="1"/>
  <c r="G144" i="5"/>
  <c r="H144" i="5" s="1"/>
  <c r="I144" i="5" s="1"/>
  <c r="G144" i="4"/>
  <c r="H144" i="4" s="1"/>
  <c r="I144" i="4" s="1"/>
  <c r="G150" i="8" l="1"/>
  <c r="H150" i="8" s="1"/>
  <c r="I150" i="8" s="1"/>
  <c r="G142" i="7"/>
  <c r="H142" i="7" s="1"/>
  <c r="I142" i="7" s="1"/>
  <c r="G145" i="5"/>
  <c r="H145" i="5" s="1"/>
  <c r="I145" i="5" s="1"/>
  <c r="I146" i="5" s="1"/>
  <c r="G145" i="4"/>
  <c r="H145" i="4" s="1"/>
  <c r="I145" i="4" s="1"/>
  <c r="G151" i="8" l="1"/>
  <c r="H151" i="8" s="1"/>
  <c r="I151" i="8" s="1"/>
  <c r="G143" i="7"/>
  <c r="H143" i="7" s="1"/>
  <c r="I143" i="7" s="1"/>
  <c r="G147" i="5"/>
  <c r="H147" i="5" s="1"/>
  <c r="I147" i="5" s="1"/>
  <c r="G146" i="4"/>
  <c r="H146" i="4" s="1"/>
  <c r="I146" i="4" s="1"/>
  <c r="G152" i="8" l="1"/>
  <c r="H152" i="8" s="1"/>
  <c r="I152" i="8" s="1"/>
  <c r="G144" i="7"/>
  <c r="H144" i="7" s="1"/>
  <c r="I144" i="7" s="1"/>
  <c r="G148" i="5"/>
  <c r="H148" i="5" s="1"/>
  <c r="I148" i="5" s="1"/>
  <c r="G147" i="4"/>
  <c r="H147" i="4" s="1"/>
  <c r="I147" i="4"/>
  <c r="G153" i="8" l="1"/>
  <c r="H153" i="8" s="1"/>
  <c r="I153" i="8" s="1"/>
  <c r="G145" i="7"/>
  <c r="H145" i="7" s="1"/>
  <c r="I145" i="7" s="1"/>
  <c r="G149" i="5"/>
  <c r="H149" i="5" s="1"/>
  <c r="I149" i="5" s="1"/>
  <c r="G148" i="4"/>
  <c r="H148" i="4" s="1"/>
  <c r="I148" i="4" s="1"/>
  <c r="G154" i="8" l="1"/>
  <c r="H154" i="8" s="1"/>
  <c r="I154" i="8" s="1"/>
  <c r="G146" i="7"/>
  <c r="H146" i="7" s="1"/>
  <c r="I146" i="7" s="1"/>
  <c r="G150" i="5"/>
  <c r="H150" i="5" s="1"/>
  <c r="I150" i="5" s="1"/>
  <c r="G149" i="4"/>
  <c r="H149" i="4" s="1"/>
  <c r="I149" i="4" s="1"/>
  <c r="G155" i="8" l="1"/>
  <c r="H155" i="8" s="1"/>
  <c r="I155" i="8" s="1"/>
  <c r="G147" i="7"/>
  <c r="H147" i="7" s="1"/>
  <c r="I147" i="7" s="1"/>
  <c r="G151" i="5"/>
  <c r="H151" i="5" s="1"/>
  <c r="I151" i="5" s="1"/>
  <c r="G150" i="4"/>
  <c r="H150" i="4" s="1"/>
  <c r="I150" i="4" s="1"/>
  <c r="G156" i="8" l="1"/>
  <c r="H156" i="8" s="1"/>
  <c r="I156" i="8" s="1"/>
  <c r="G148" i="7"/>
  <c r="H148" i="7" s="1"/>
  <c r="I148" i="7" s="1"/>
  <c r="G152" i="5"/>
  <c r="H152" i="5" s="1"/>
  <c r="I152" i="5" s="1"/>
  <c r="G151" i="4"/>
  <c r="H151" i="4" s="1"/>
  <c r="I151" i="4" s="1"/>
  <c r="G157" i="8" l="1"/>
  <c r="H157" i="8" s="1"/>
  <c r="I157" i="8" s="1"/>
  <c r="G149" i="7"/>
  <c r="H149" i="7" s="1"/>
  <c r="I149" i="7" s="1"/>
  <c r="G153" i="5"/>
  <c r="H153" i="5" s="1"/>
  <c r="I153" i="5" s="1"/>
  <c r="G152" i="4"/>
  <c r="H152" i="4" s="1"/>
  <c r="I152" i="4" s="1"/>
  <c r="G158" i="8" l="1"/>
  <c r="H158" i="8" s="1"/>
  <c r="I158" i="8" s="1"/>
  <c r="I159" i="8" s="1"/>
  <c r="G150" i="7"/>
  <c r="H150" i="7" s="1"/>
  <c r="I150" i="7" s="1"/>
  <c r="G154" i="5"/>
  <c r="H154" i="5" s="1"/>
  <c r="I154" i="5" s="1"/>
  <c r="G153" i="4"/>
  <c r="H153" i="4" s="1"/>
  <c r="I153" i="4" s="1"/>
  <c r="G160" i="8" l="1"/>
  <c r="H160" i="8" s="1"/>
  <c r="I160" i="8" s="1"/>
  <c r="G151" i="7"/>
  <c r="H151" i="7" s="1"/>
  <c r="I151" i="7" s="1"/>
  <c r="G155" i="5"/>
  <c r="H155" i="5" s="1"/>
  <c r="I155" i="5" s="1"/>
  <c r="G154" i="4"/>
  <c r="H154" i="4" s="1"/>
  <c r="I154" i="4" s="1"/>
  <c r="G161" i="8" l="1"/>
  <c r="H161" i="8" s="1"/>
  <c r="I161" i="8" s="1"/>
  <c r="G152" i="7"/>
  <c r="H152" i="7" s="1"/>
  <c r="I152" i="7" s="1"/>
  <c r="G156" i="5"/>
  <c r="H156" i="5" s="1"/>
  <c r="I156" i="5" s="1"/>
  <c r="G155" i="4"/>
  <c r="H155" i="4" s="1"/>
  <c r="I155" i="4" s="1"/>
  <c r="G162" i="8" l="1"/>
  <c r="H162" i="8" s="1"/>
  <c r="I162" i="8" s="1"/>
  <c r="G153" i="7"/>
  <c r="H153" i="7" s="1"/>
  <c r="I153" i="7" s="1"/>
  <c r="G157" i="5"/>
  <c r="H157" i="5" s="1"/>
  <c r="I157" i="5" s="1"/>
  <c r="G156" i="4"/>
  <c r="H156" i="4" s="1"/>
  <c r="I156" i="4" s="1"/>
  <c r="G163" i="8" l="1"/>
  <c r="H163" i="8" s="1"/>
  <c r="I163" i="8" s="1"/>
  <c r="G154" i="7"/>
  <c r="H154" i="7" s="1"/>
  <c r="I154" i="7" s="1"/>
  <c r="G158" i="5"/>
  <c r="H158" i="5" s="1"/>
  <c r="I158" i="5" s="1"/>
  <c r="I159" i="5" s="1"/>
  <c r="G157" i="4"/>
  <c r="H157" i="4" s="1"/>
  <c r="I157" i="4" s="1"/>
  <c r="G164" i="8" l="1"/>
  <c r="H164" i="8" s="1"/>
  <c r="I164" i="8" s="1"/>
  <c r="G155" i="7"/>
  <c r="H155" i="7" s="1"/>
  <c r="I155" i="7" s="1"/>
  <c r="G160" i="5"/>
  <c r="H160" i="5" s="1"/>
  <c r="I160" i="5" s="1"/>
  <c r="G158" i="4"/>
  <c r="H158" i="4" s="1"/>
  <c r="I158" i="4" s="1"/>
  <c r="G165" i="8" l="1"/>
  <c r="H165" i="8" s="1"/>
  <c r="I165" i="8" s="1"/>
  <c r="G156" i="7"/>
  <c r="H156" i="7" s="1"/>
  <c r="I156" i="7" s="1"/>
  <c r="G161" i="5"/>
  <c r="H161" i="5" s="1"/>
  <c r="I161" i="5" s="1"/>
  <c r="G159" i="4"/>
  <c r="H159" i="4" s="1"/>
  <c r="I159" i="4" s="1"/>
  <c r="G166" i="8" l="1"/>
  <c r="H166" i="8" s="1"/>
  <c r="I166" i="8" s="1"/>
  <c r="G157" i="7"/>
  <c r="H157" i="7" s="1"/>
  <c r="I157" i="7" s="1"/>
  <c r="G162" i="5"/>
  <c r="H162" i="5" s="1"/>
  <c r="I162" i="5" s="1"/>
  <c r="G160" i="4"/>
  <c r="H160" i="4" s="1"/>
  <c r="I160" i="4" s="1"/>
  <c r="G167" i="8" l="1"/>
  <c r="H167" i="8" s="1"/>
  <c r="I167" i="8" s="1"/>
  <c r="G158" i="7"/>
  <c r="H158" i="7" s="1"/>
  <c r="I158" i="7" s="1"/>
  <c r="G163" i="5"/>
  <c r="H163" i="5" s="1"/>
  <c r="I163" i="5" s="1"/>
  <c r="G168" i="8" l="1"/>
  <c r="H168" i="8" s="1"/>
  <c r="I168" i="8" s="1"/>
  <c r="G159" i="7"/>
  <c r="H159" i="7" s="1"/>
  <c r="I159" i="7" s="1"/>
  <c r="G164" i="5"/>
  <c r="H164" i="5" s="1"/>
  <c r="I164" i="5" s="1"/>
  <c r="G169" i="8" l="1"/>
  <c r="H169" i="8" s="1"/>
  <c r="I169" i="8" s="1"/>
  <c r="G160" i="7"/>
  <c r="H160" i="7" s="1"/>
  <c r="I160" i="7" s="1"/>
  <c r="G165" i="5"/>
  <c r="H165" i="5" s="1"/>
  <c r="I165" i="5" s="1"/>
  <c r="G170" i="8" l="1"/>
  <c r="H170" i="8" s="1"/>
  <c r="I170" i="8" s="1"/>
  <c r="G166" i="5"/>
  <c r="H166" i="5" s="1"/>
  <c r="I166" i="5" s="1"/>
  <c r="G171" i="8" l="1"/>
  <c r="H171" i="8" s="1"/>
  <c r="I171" i="8" s="1"/>
  <c r="G167" i="5"/>
  <c r="H167" i="5" s="1"/>
  <c r="I167" i="5" s="1"/>
  <c r="G168" i="5" l="1"/>
  <c r="H168" i="5" s="1"/>
  <c r="I168" i="5" s="1"/>
  <c r="G169" i="5" l="1"/>
  <c r="H169" i="5" s="1"/>
  <c r="I169" i="5" s="1"/>
  <c r="G170" i="5" l="1"/>
  <c r="H170" i="5" s="1"/>
  <c r="I170" i="5" s="1"/>
  <c r="G171" i="5" l="1"/>
  <c r="H171" i="5" s="1"/>
  <c r="I171" i="5" s="1"/>
</calcChain>
</file>

<file path=xl/sharedStrings.xml><?xml version="1.0" encoding="utf-8"?>
<sst xmlns="http://schemas.openxmlformats.org/spreadsheetml/2006/main" count="852" uniqueCount="325">
  <si>
    <t>NW Natural</t>
  </si>
  <si>
    <t>Rates &amp; Regulatory Affairs</t>
  </si>
  <si>
    <t>2019-2020 PGA Filing - Washington: September Filing</t>
  </si>
  <si>
    <t>Billing</t>
  </si>
  <si>
    <t>PGA</t>
  </si>
  <si>
    <t>Proposed Amount:</t>
  </si>
  <si>
    <t>Volumes page,</t>
  </si>
  <si>
    <t>Total</t>
  </si>
  <si>
    <t>Revenue Sensitive Multiplier:</t>
  </si>
  <si>
    <t>add revenue sensitive factor</t>
  </si>
  <si>
    <t>N/A</t>
  </si>
  <si>
    <t>Column D</t>
  </si>
  <si>
    <t>Column A</t>
  </si>
  <si>
    <t>Charge</t>
  </si>
  <si>
    <t>Amount to Amortize:</t>
  </si>
  <si>
    <t>Multiplier</t>
  </si>
  <si>
    <t>Increment</t>
  </si>
  <si>
    <t>Schedule</t>
  </si>
  <si>
    <t>Block</t>
  </si>
  <si>
    <t>A</t>
  </si>
  <si>
    <t>B</t>
  </si>
  <si>
    <t>C</t>
  </si>
  <si>
    <t>D</t>
  </si>
  <si>
    <t>E</t>
  </si>
  <si>
    <t>G</t>
  </si>
  <si>
    <t>H</t>
  </si>
  <si>
    <t>J</t>
  </si>
  <si>
    <t>K</t>
  </si>
  <si>
    <t>L</t>
  </si>
  <si>
    <t>M</t>
  </si>
  <si>
    <t>N</t>
  </si>
  <si>
    <t>O</t>
  </si>
  <si>
    <t>P</t>
  </si>
  <si>
    <t>Q</t>
  </si>
  <si>
    <t>R</t>
  </si>
  <si>
    <t>1R</t>
  </si>
  <si>
    <t>1C</t>
  </si>
  <si>
    <t>2R</t>
  </si>
  <si>
    <t>3 CFS</t>
  </si>
  <si>
    <t>3 IFS</t>
  </si>
  <si>
    <t>41C Firm Sales</t>
  </si>
  <si>
    <t>Block 1</t>
  </si>
  <si>
    <t>Block 2</t>
  </si>
  <si>
    <t>41C Interr Sales</t>
  </si>
  <si>
    <t>41 Firm Trans</t>
  </si>
  <si>
    <t>41I Firm Sales</t>
  </si>
  <si>
    <t>41I Interr Sales</t>
  </si>
  <si>
    <t>42C Firm Sales</t>
  </si>
  <si>
    <t>Block 3</t>
  </si>
  <si>
    <t>Block 4</t>
  </si>
  <si>
    <t>Block 5</t>
  </si>
  <si>
    <t>Block 6</t>
  </si>
  <si>
    <t>42I Firm Sales</t>
  </si>
  <si>
    <t>42 Firm Trans</t>
  </si>
  <si>
    <t>42C Interr Sales</t>
  </si>
  <si>
    <t>42I Interr Sales</t>
  </si>
  <si>
    <t>42 Inter Trans</t>
  </si>
  <si>
    <t>43 Firm Trans</t>
  </si>
  <si>
    <t>43 Interr Trans</t>
  </si>
  <si>
    <t>Intentionally blank</t>
  </si>
  <si>
    <t>Totals</t>
  </si>
  <si>
    <t>Sources for line 2 above:</t>
  </si>
  <si>
    <t>Inputs page</t>
  </si>
  <si>
    <t>Column G</t>
  </si>
  <si>
    <t>Tariff Schedules:</t>
  </si>
  <si>
    <t>Schedule #</t>
  </si>
  <si>
    <t>I</t>
  </si>
  <si>
    <t>Calculation of Increments Allocated on the EQUAL CENT PER THERM BASIS</t>
  </si>
  <si>
    <t>Washington</t>
  </si>
  <si>
    <t>WACOG Deferral</t>
  </si>
  <si>
    <t>Demand Deferral - FIRM</t>
  </si>
  <si>
    <t>Demand Deferral - INTERRUPTIBLE</t>
  </si>
  <si>
    <t>HOLDING SPOT FOR NEW TEMPS/PERMS</t>
  </si>
  <si>
    <t>Temporary Increment</t>
  </si>
  <si>
    <t>Column F</t>
  </si>
  <si>
    <t>to all sales schedules</t>
  </si>
  <si>
    <t>to all firm sales</t>
  </si>
  <si>
    <t>to all Interruptible sales</t>
  </si>
  <si>
    <t>to all Firm sales</t>
  </si>
  <si>
    <t>Volumes</t>
  </si>
  <si>
    <t>F</t>
  </si>
  <si>
    <t>;</t>
  </si>
  <si>
    <t>Line 31</t>
  </si>
  <si>
    <t>Line 33</t>
  </si>
  <si>
    <t>Line 35</t>
  </si>
  <si>
    <t>Line 34</t>
  </si>
  <si>
    <t>Line 36</t>
  </si>
  <si>
    <t>Sched 201</t>
  </si>
  <si>
    <t>Summary of TEMPORARY Increments</t>
  </si>
  <si>
    <t>REMOVE</t>
  </si>
  <si>
    <t>ADD</t>
  </si>
  <si>
    <t>Current Temporaries</t>
  </si>
  <si>
    <t>PGA Current Temporaries</t>
  </si>
  <si>
    <t>Demand Deferral FIRM</t>
  </si>
  <si>
    <t>Demand Deferral INTERR</t>
  </si>
  <si>
    <t>Total Proposed PGA Temporaries</t>
  </si>
  <si>
    <t>Net Effect of PGA Temps</t>
  </si>
  <si>
    <t>E = B+C+D</t>
  </si>
  <si>
    <t>F = E-A</t>
  </si>
  <si>
    <t>Sources:</t>
  </si>
  <si>
    <t>Direct Inputs</t>
  </si>
  <si>
    <t>18-19 PGA</t>
  </si>
  <si>
    <t>Equal ¢ per therm</t>
  </si>
  <si>
    <t>Column J</t>
  </si>
  <si>
    <t>Equal % of margin</t>
  </si>
  <si>
    <t>Summary of Deferred Accounts</t>
  </si>
  <si>
    <t>Estimated</t>
  </si>
  <si>
    <t>Sep-Oct</t>
  </si>
  <si>
    <t>Interest</t>
  </si>
  <si>
    <t>Amount for</t>
  </si>
  <si>
    <t>Amounts</t>
  </si>
  <si>
    <t>Balance</t>
  </si>
  <si>
    <t>During</t>
  </si>
  <si>
    <t>(Refund) or</t>
  </si>
  <si>
    <t>Excluded from</t>
  </si>
  <si>
    <t>Included in</t>
  </si>
  <si>
    <t>Account</t>
  </si>
  <si>
    <t>Activity</t>
  </si>
  <si>
    <t>Amortization</t>
  </si>
  <si>
    <t>Collection</t>
  </si>
  <si>
    <t>PGA Filing</t>
  </si>
  <si>
    <t>E = sum B thru D</t>
  </si>
  <si>
    <t>G = E + F</t>
  </si>
  <si>
    <t>Excl. Rev Sens</t>
  </si>
  <si>
    <t>Gas Cost Deferrals and Amortizations</t>
  </si>
  <si>
    <t>191420 WACOG - ACCRUAL WA</t>
  </si>
  <si>
    <t>191421 AMORT OF WACOG - WA</t>
  </si>
  <si>
    <t>Subtotal</t>
  </si>
  <si>
    <t>191430 DEMAND ACCRUAL -  WA</t>
  </si>
  <si>
    <t>191431 AMORT OF DEMAND WA</t>
  </si>
  <si>
    <t>254302 MARGIN SHARING - WA</t>
  </si>
  <si>
    <t>Notes</t>
  </si>
  <si>
    <t>Please refer to NWN workpapers or electronic file "NWN 2019-20 Washington PGA rate development file September filing.xls" for application of revenue sensitive effect and calculation of rate increments.</t>
  </si>
  <si>
    <t>Company:</t>
  </si>
  <si>
    <t>Northwest Natural Gas Company</t>
  </si>
  <si>
    <t>State:</t>
  </si>
  <si>
    <t>Description:</t>
  </si>
  <si>
    <t>Washington WACOG Deferral</t>
  </si>
  <si>
    <t>Account Number:</t>
  </si>
  <si>
    <t>Program under Schedule P</t>
  </si>
  <si>
    <t>Temp Increment under Schedule 203</t>
  </si>
  <si>
    <t>Debit    (Credit)</t>
  </si>
  <si>
    <t xml:space="preserve">Month/Year </t>
  </si>
  <si>
    <t>Note</t>
  </si>
  <si>
    <t>Accumulation</t>
  </si>
  <si>
    <t>Transfers</t>
  </si>
  <si>
    <t>Interest Rate</t>
  </si>
  <si>
    <t>(a)</t>
  </si>
  <si>
    <t>(b)</t>
  </si>
  <si>
    <t>(c)</t>
  </si>
  <si>
    <t>(d)</t>
  </si>
  <si>
    <t>(e1)</t>
  </si>
  <si>
    <t>(e2)</t>
  </si>
  <si>
    <t>(f)</t>
  </si>
  <si>
    <t>(g)</t>
  </si>
  <si>
    <t>Beginning Balance</t>
  </si>
  <si>
    <t>a</t>
  </si>
  <si>
    <t>History truncated for ease of viewing</t>
  </si>
  <si>
    <r>
      <rPr>
        <b/>
        <sz val="10"/>
        <rFont val="Tahoma"/>
        <family val="2"/>
      </rPr>
      <t>1</t>
    </r>
    <r>
      <rPr>
        <sz val="10"/>
        <rFont val="Tahoma"/>
        <family val="2"/>
      </rPr>
      <t xml:space="preserve"> - Transferred authorized balance to account 191421 for amortization.</t>
    </r>
  </si>
  <si>
    <t>Washington Amortization of WACOG</t>
  </si>
  <si>
    <t>old rates \a</t>
  </si>
  <si>
    <t>new rates</t>
  </si>
  <si>
    <t>old rate</t>
  </si>
  <si>
    <r>
      <t xml:space="preserve">new rate </t>
    </r>
    <r>
      <rPr>
        <b/>
        <sz val="10"/>
        <rFont val="Tahoma"/>
        <family val="2"/>
      </rPr>
      <t>(1)</t>
    </r>
  </si>
  <si>
    <r>
      <t xml:space="preserve">new </t>
    </r>
    <r>
      <rPr>
        <b/>
        <sz val="10"/>
        <rFont val="Tahoma"/>
        <family val="2"/>
      </rPr>
      <t>(1)</t>
    </r>
  </si>
  <si>
    <t>old</t>
  </si>
  <si>
    <t>Forecasted</t>
  </si>
  <si>
    <r>
      <rPr>
        <b/>
        <sz val="10"/>
        <rFont val="Tahoma"/>
        <family val="2"/>
      </rPr>
      <t>1</t>
    </r>
    <r>
      <rPr>
        <sz val="10"/>
        <rFont val="Tahoma"/>
        <family val="2"/>
      </rPr>
      <t xml:space="preserve"> - Transfer in amounts from account 191420 approved for amortization.</t>
    </r>
  </si>
  <si>
    <r>
      <rPr>
        <b/>
        <sz val="10"/>
        <rFont val="Tahoma"/>
        <family val="2"/>
      </rPr>
      <t>2</t>
    </r>
    <r>
      <rPr>
        <sz val="10"/>
        <rFont val="Tahoma"/>
        <family val="2"/>
      </rPr>
      <t xml:space="preserve"> - Transfer amount is for true-up to GL.</t>
    </r>
  </si>
  <si>
    <t>Washington Demand Accrual</t>
  </si>
  <si>
    <t>\a</t>
  </si>
  <si>
    <t>\b</t>
  </si>
  <si>
    <r>
      <rPr>
        <b/>
        <sz val="10"/>
        <rFont val="Tahoma"/>
        <family val="2"/>
      </rPr>
      <t>1</t>
    </r>
    <r>
      <rPr>
        <sz val="10"/>
        <rFont val="Tahoma"/>
        <family val="2"/>
      </rPr>
      <t xml:space="preserve"> - Transferred authorized balance to account 191431 for amortization.</t>
    </r>
  </si>
  <si>
    <r>
      <rPr>
        <b/>
        <sz val="10"/>
        <rFont val="Tahoma"/>
        <family val="2"/>
      </rPr>
      <t xml:space="preserve">2 - </t>
    </r>
    <r>
      <rPr>
        <sz val="10"/>
        <rFont val="Tahoma"/>
        <family val="2"/>
      </rPr>
      <t>Transfer amount is for true-up to GL.</t>
    </r>
  </si>
  <si>
    <t>Washington Amortization of Demand</t>
  </si>
  <si>
    <t>(e)</t>
  </si>
  <si>
    <t>(h)</t>
  </si>
  <si>
    <r>
      <rPr>
        <b/>
        <sz val="10"/>
        <rFont val="Tahoma"/>
        <family val="2"/>
      </rPr>
      <t>1</t>
    </r>
    <r>
      <rPr>
        <sz val="10"/>
        <rFont val="Tahoma"/>
        <family val="2"/>
      </rPr>
      <t xml:space="preserve"> - Transfer in amounts from account 191430 approved for amortization.</t>
    </r>
  </si>
  <si>
    <r>
      <rPr>
        <b/>
        <sz val="10"/>
        <rFont val="Tahoma"/>
        <family val="2"/>
      </rPr>
      <t>2</t>
    </r>
    <r>
      <rPr>
        <sz val="10"/>
        <rFont val="Tahoma"/>
        <family val="2"/>
      </rPr>
      <t xml:space="preserve"> - Transfer in from account 254302 (storage and optimization revenue sharing).</t>
    </r>
  </si>
  <si>
    <t>Washington Storage Sharing</t>
  </si>
  <si>
    <t>254302</t>
  </si>
  <si>
    <t>Temp Increment under Schedule 220</t>
  </si>
  <si>
    <r>
      <rPr>
        <b/>
        <sz val="10"/>
        <rFont val="Tahoma"/>
        <family val="2"/>
      </rPr>
      <t>1</t>
    </r>
    <r>
      <rPr>
        <sz val="10"/>
        <rFont val="Tahoma"/>
        <family val="2"/>
      </rPr>
      <t xml:space="preserve"> - Transfer December balance to account 191431 for amortization.</t>
    </r>
  </si>
  <si>
    <t>PGA Effects on Average Bill by Rate Schedule</t>
  </si>
  <si>
    <t>Calculation of Effect on Customer Average Bill by Rate Schedule [1]</t>
  </si>
  <si>
    <t>Normal</t>
  </si>
  <si>
    <t>Current</t>
  </si>
  <si>
    <t>Proposed</t>
  </si>
  <si>
    <t>PGA Normalized</t>
  </si>
  <si>
    <t>Therms</t>
  </si>
  <si>
    <t>Minimum</t>
  </si>
  <si>
    <t>Therms in</t>
  </si>
  <si>
    <t>Monthly</t>
  </si>
  <si>
    <t>PGA Effects</t>
  </si>
  <si>
    <t>Average use</t>
  </si>
  <si>
    <t>Rates</t>
  </si>
  <si>
    <t>Average Bill</t>
  </si>
  <si>
    <t>% Bill Change</t>
  </si>
  <si>
    <t>F=D+(C * E)</t>
  </si>
  <si>
    <t>Q=D+(C*P)</t>
  </si>
  <si>
    <t>all additional</t>
  </si>
  <si>
    <t>TOTAL</t>
  </si>
  <si>
    <t>[1] Rate Schedule 41 and 42 customers may choose demand charges at a volumetric rate or based on MDDV.  For convenience of presentation, demand charges are not included in the calculations for those schedules.</t>
  </si>
  <si>
    <t>Rates in summary</t>
  </si>
  <si>
    <t>per Tariff</t>
  </si>
  <si>
    <t>2019-2020 PGA - SYSTEM: September Filing</t>
  </si>
  <si>
    <t>Summary of Total Commodity Cost</t>
  </si>
  <si>
    <t>ALL VOLUMES IN THERMS</t>
  </si>
  <si>
    <t>WASHINGTON COSTS</t>
  </si>
  <si>
    <t>(i)</t>
  </si>
  <si>
    <t>(j)</t>
  </si>
  <si>
    <t>(k)</t>
  </si>
  <si>
    <t>(l)</t>
  </si>
  <si>
    <t>(m)</t>
  </si>
  <si>
    <t>(n)</t>
  </si>
  <si>
    <t>(o)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</si>
  <si>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</si>
  <si>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</si>
  <si>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</si>
  <si>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</si>
  <si>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</si>
  <si>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</si>
  <si>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</si>
  <si>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</si>
  <si>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</si>
  <si>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</si>
  <si>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</si>
  <si>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</si>
  <si>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COSTS</t>
  </si>
  <si>
    <t>Commodity Cost from Supply</t>
  </si>
  <si>
    <t>tab commodity cost from supply, column cd, lines 93-104 plus gen input line 80; and</t>
  </si>
  <si>
    <t>tab commodity cost from gas reserve, column q, lines 59-70</t>
  </si>
  <si>
    <t>Volumetric Pipeline Chgs</t>
  </si>
  <si>
    <t>tab commodity cost from vol pipe, column e, line 78-89</t>
  </si>
  <si>
    <t>Commodity Cost from Storage</t>
  </si>
  <si>
    <t>tab Commodity Cost from Storage, column k, line 61-72</t>
  </si>
  <si>
    <t>Other Costs &amp; Miscellaneous Changes</t>
  </si>
  <si>
    <t>Commodity Cost from Gas Reserves</t>
  </si>
  <si>
    <t>tab Commodity Cost from Gas Reserve, column p, line 59-70</t>
  </si>
  <si>
    <t>Total Commodity Cost</t>
  </si>
  <si>
    <t>VOLUMES</t>
  </si>
  <si>
    <t>Commodity Volumes at Receipt Points</t>
  </si>
  <si>
    <t>Pipeline Fuel Use</t>
  </si>
  <si>
    <t>Gas Arriving at City Gate</t>
  </si>
  <si>
    <t>Storage Gas Withdrawals</t>
  </si>
  <si>
    <t>Pipeline Fuel Use for Off-site Storage</t>
  </si>
  <si>
    <t>Storage Gas Deliveries at City Gate</t>
  </si>
  <si>
    <t>Total Gas At City Gate (Storage and Commodity)</t>
  </si>
  <si>
    <t>Unaccounted for Gas</t>
  </si>
  <si>
    <t>Load Served</t>
  </si>
  <si>
    <t>WACOG Calculations</t>
  </si>
  <si>
    <t>Gas Reserves Supply:</t>
  </si>
  <si>
    <t>Total cost (line 12 above)</t>
  </si>
  <si>
    <t>Load served by gas reserves</t>
  </si>
  <si>
    <t>Total Load Served</t>
  </si>
  <si>
    <t>Total (same as line 25 +/- rounding)</t>
  </si>
  <si>
    <t>Washington WACOG Calculation</t>
  </si>
  <si>
    <t>Total Washington commodity cost</t>
  </si>
  <si>
    <t>Total commodity cost for Washington</t>
  </si>
  <si>
    <t>Washington Sales WACOG (line 41 ÷ line 35)</t>
  </si>
  <si>
    <t>WASHINGTON BILLING WACOG</t>
  </si>
  <si>
    <t>Summary of Total Demand Charges</t>
  </si>
  <si>
    <t>SYSTEM COSTS</t>
  </si>
  <si>
    <t>Transport charges by transporter (Washington):</t>
  </si>
  <si>
    <t>Northwest Pipeline</t>
  </si>
  <si>
    <t>Alberta: NOVA</t>
  </si>
  <si>
    <t>Alberta: Foothills</t>
  </si>
  <si>
    <t>Alberta: GTN</t>
  </si>
  <si>
    <t>BC: Southern Crossing</t>
  </si>
  <si>
    <t>BC: Spectra (Westcoast)</t>
  </si>
  <si>
    <t>KB Pipeline</t>
  </si>
  <si>
    <t>Total System Demand</t>
  </si>
  <si>
    <t/>
  </si>
  <si>
    <t>Derivation of Washington per therm Non-Commodity Charges</t>
  </si>
  <si>
    <t>Washington Derivation of Demand Increments</t>
  </si>
  <si>
    <t>Without</t>
  </si>
  <si>
    <t>WITH</t>
  </si>
  <si>
    <t>Revenue Sensitive</t>
  </si>
  <si>
    <t xml:space="preserve">System Demand  </t>
  </si>
  <si>
    <t>Washington Allocation Factor 1/</t>
  </si>
  <si>
    <t>Washington Demand</t>
  </si>
  <si>
    <t>Washington Firm Sales Forecasted Normal Volumes</t>
  </si>
  <si>
    <t>Washington Interruptible Sales Forecasted Normal Volumes</t>
  </si>
  <si>
    <t>Proposed Firm Demand Per Therm 2/</t>
  </si>
  <si>
    <t>Proposed Interruptible Demand 2/</t>
  </si>
  <si>
    <t>Proposed MDDV Demand Charge</t>
  </si>
  <si>
    <t>Current Firm Demand Per Therm</t>
  </si>
  <si>
    <t>Current Interruptible Demand</t>
  </si>
  <si>
    <t>Current MDDV Demand Charge</t>
  </si>
  <si>
    <t>Percent Change in Firm Demand</t>
  </si>
  <si>
    <t>1/Allocation Factor: 2019-20 PGA forecast firm sales volumes:</t>
  </si>
  <si>
    <t>Oregon</t>
  </si>
  <si>
    <t>System</t>
  </si>
  <si>
    <t>Firm Sales</t>
  </si>
  <si>
    <t>2/Calculation of Proposed Demand Rates:</t>
  </si>
  <si>
    <t>Demand change factor</t>
  </si>
  <si>
    <t>Firm Demand (line 16 * line 30)</t>
  </si>
  <si>
    <t>Interruptible Demand (line 17 * line 30)</t>
  </si>
  <si>
    <t>Calculation of Winter WACOG</t>
  </si>
  <si>
    <t>Prices are per therm</t>
  </si>
  <si>
    <t>Forecast price for AECO gas:</t>
  </si>
  <si>
    <t>AECO/NIT</t>
  </si>
  <si>
    <t>Average price, November-March</t>
  </si>
  <si>
    <t>average lines 5-9</t>
  </si>
  <si>
    <t>Annual average price, November-October</t>
  </si>
  <si>
    <t>average lines 5-16</t>
  </si>
  <si>
    <t>Ratio of winter to annual</t>
  </si>
  <si>
    <t>line 19 ÷ line 21</t>
  </si>
  <si>
    <t>Without Rev</t>
  </si>
  <si>
    <t>WITH Rev</t>
  </si>
  <si>
    <t>Sensitive</t>
  </si>
  <si>
    <t>WA</t>
  </si>
  <si>
    <t>Washington Annual WACOG</t>
  </si>
  <si>
    <t>Washington Winter WACOG</t>
  </si>
  <si>
    <t>line 23 * $0.19447</t>
  </si>
  <si>
    <t>2019-20 Washington: September Filing Updating Energy Efficiency Schedules 201 &amp; 203</t>
  </si>
  <si>
    <t>Tariff Advice 19-06: Schedules 201 &amp; 203 Effects on Revenue</t>
  </si>
  <si>
    <t>Amount</t>
  </si>
  <si>
    <t>Temporary Increments</t>
  </si>
  <si>
    <t>Removal of Current Temporary Increments</t>
  </si>
  <si>
    <t>Amortization of Annual PGA and Deferred Gas Costs</t>
  </si>
  <si>
    <t>Addition of Proposed Temporary Increments</t>
  </si>
  <si>
    <t>Permanent Rate Adjustments</t>
  </si>
  <si>
    <t>TOTAL OF ALL COMPONENTS OF RATE CHANGES</t>
  </si>
  <si>
    <t xml:space="preserve">Effect of this filing, as a percentage change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</si>
</sst>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_);\(#,##0.00000\)"/>
    <numFmt numFmtId="165" formatCode="0.000%"/>
    <numFmt numFmtId="166" formatCode="&quot;$&quot;#,##0.00000"/>
    <numFmt numFmtId="167" formatCode="#,##0.0_);\(#,##0.0\)"/>
    <numFmt numFmtId="168" formatCode="&quot;$&quot;#,##0.00000_);\(&quot;$&quot;#,##0.00000\)"/>
    <numFmt numFmtId="169" formatCode="0.00_);\(0.00\)"/>
    <numFmt numFmtId="170" formatCode="&quot;$&quot;#,##0.00"/>
    <numFmt numFmtId="171" formatCode="_(* #,##0_);_(* \(#,##0\);_(* &quot;-&quot;??_);_(@_)"/>
    <numFmt numFmtId="172" formatCode="[$-409]mmm\-yy;@"/>
    <numFmt numFmtId="173" formatCode="0.0%"/>
    <numFmt numFmtId="174" formatCode="General_)"/>
    <numFmt numFmtId="175" formatCode="0.0"/>
    <numFmt numFmtId="176" formatCode="0_)"/>
    <numFmt numFmtId="177" formatCode="mm/dd/yy"/>
    <numFmt numFmtId="178" formatCode="_(&quot;$&quot;* #,##0.00000_);_(&quot;$&quot;* \(#,##0.00000\);_(&quot;$&quot;* &quot;-&quot;??_);_(@_)"/>
    <numFmt numFmtId="179" formatCode="0.00000_)"/>
    <numFmt numFmtId="180" formatCode="0.000"/>
    <numFmt numFmtId="181" formatCode="0.000000000"/>
    <numFmt numFmtId="182" formatCode="&quot;$&quot;#,##0.00000;[Red]&quot;$&quot;#,##0.00000"/>
    <numFmt numFmtId="183" formatCode="&quot;$&quot;#,##0.00000_);[Red]\(&quot;$&quot;#,##0.0000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ahoma"/>
      <family val="2"/>
    </font>
    <font>
      <sz val="10"/>
      <name val="Tahoma"/>
      <family val="2"/>
    </font>
    <font>
      <sz val="10"/>
      <color indexed="12"/>
      <name val="Tahoma"/>
      <family val="2"/>
    </font>
    <font>
      <b/>
      <sz val="10"/>
      <color indexed="48"/>
      <name val="Tahoma"/>
      <family val="2"/>
    </font>
    <font>
      <b/>
      <sz val="10"/>
      <name val="Tahoma"/>
      <family val="2"/>
    </font>
    <font>
      <sz val="10"/>
      <name val="Times New Roman"/>
      <family val="1"/>
    </font>
    <font>
      <sz val="9"/>
      <name val="Tahoma"/>
      <family val="2"/>
    </font>
    <font>
      <sz val="8"/>
      <name val="Tahoma"/>
      <family val="2"/>
    </font>
    <font>
      <b/>
      <u/>
      <sz val="10"/>
      <name val="Tahoma"/>
      <family val="2"/>
    </font>
    <font>
      <sz val="10"/>
      <color rgb="FFFF0000"/>
      <name val="Tahoma"/>
      <family val="2"/>
    </font>
    <font>
      <sz val="10"/>
      <color rgb="FF0000FF"/>
      <name val="Tahoma"/>
      <family val="2"/>
    </font>
    <font>
      <sz val="10"/>
      <name val="Arial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b/>
      <sz val="8"/>
      <name val="Tahoma"/>
      <family val="2"/>
    </font>
    <font>
      <sz val="10"/>
      <name val="MS Sans Serif"/>
      <family val="2"/>
    </font>
    <font>
      <sz val="10"/>
      <color rgb="FF3333FF"/>
      <name val="Tahoma"/>
      <family val="2"/>
    </font>
    <font>
      <sz val="10"/>
      <color indexed="12"/>
      <name val="Arial"/>
      <family val="2"/>
    </font>
    <font>
      <i/>
      <sz val="10"/>
      <name val="Tahoma"/>
      <family val="2"/>
    </font>
    <font>
      <sz val="10"/>
      <color theme="0"/>
      <name val="Tahoma"/>
      <family val="2"/>
    </font>
    <font>
      <sz val="10"/>
      <color indexed="10"/>
      <name val="Tahoma"/>
      <family val="2"/>
    </font>
    <font>
      <sz val="11"/>
      <name val="Tahoma"/>
      <family val="2"/>
    </font>
    <font>
      <b/>
      <sz val="9"/>
      <name val="Tahoma"/>
      <family val="2"/>
    </font>
    <font>
      <sz val="8"/>
      <name val="Times New Roman"/>
      <family val="1"/>
    </font>
    <font>
      <sz val="11"/>
      <name val="Calibri"/>
      <family val="2"/>
      <scheme val="minor"/>
    </font>
    <font>
      <sz val="10"/>
      <name val="Helv"/>
    </font>
    <font>
      <sz val="6"/>
      <name val="Tahoma"/>
      <family val="2"/>
    </font>
    <font>
      <b/>
      <u/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2" fontId="13" fillId="0" borderId="0"/>
    <xf numFmtId="172" fontId="13" fillId="0" borderId="0">
      <alignment vertical="top"/>
    </xf>
    <xf numFmtId="172" fontId="17" fillId="0" borderId="0"/>
    <xf numFmtId="43" fontId="17" fillId="0" borderId="0" applyFont="0" applyFill="0" applyBorder="0" applyAlignment="0" applyProtection="0"/>
    <xf numFmtId="0" fontId="17" fillId="0" borderId="0"/>
    <xf numFmtId="172" fontId="17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7" fillId="0" borderId="0"/>
    <xf numFmtId="43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0" borderId="0"/>
    <xf numFmtId="172" fontId="13" fillId="0" borderId="0"/>
    <xf numFmtId="174" fontId="27" fillId="0" borderId="0"/>
    <xf numFmtId="0" fontId="1" fillId="0" borderId="0"/>
    <xf numFmtId="0" fontId="1" fillId="0" borderId="0"/>
  </cellStyleXfs>
  <cellXfs count="500">
    <xf numFmtId="0" fontId="0" fillId="0" borderId="0" xfId="0"/>
    <xf numFmtId="0" fontId="2" fillId="0" borderId="0" xfId="0" applyFont="1" applyBorder="1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5" fillId="0" borderId="0" xfId="0" applyFont="1" applyFill="1" applyBorder="1"/>
    <xf numFmtId="0" fontId="5" fillId="0" borderId="0" xfId="0" applyFont="1" applyFill="1"/>
    <xf numFmtId="0" fontId="3" fillId="0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7" fontId="6" fillId="0" borderId="1" xfId="0" applyNumberFormat="1" applyFont="1" applyBorder="1" applyAlignment="1">
      <alignment horizontal="centerContinuous"/>
    </xf>
    <xf numFmtId="0" fontId="6" fillId="0" borderId="2" xfId="0" applyNumberFormat="1" applyFont="1" applyBorder="1" applyAlignment="1">
      <alignment horizontal="centerContinuous"/>
    </xf>
    <xf numFmtId="0" fontId="3" fillId="0" borderId="5" xfId="0" applyFont="1" applyBorder="1"/>
    <xf numFmtId="37" fontId="3" fillId="0" borderId="6" xfId="0" applyNumberFormat="1" applyFont="1" applyBorder="1"/>
    <xf numFmtId="0" fontId="3" fillId="0" borderId="7" xfId="0" applyFont="1" applyBorder="1"/>
    <xf numFmtId="0" fontId="6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37" fontId="3" fillId="0" borderId="11" xfId="0" applyNumberFormat="1" applyFont="1" applyBorder="1"/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2" borderId="13" xfId="0" applyFont="1" applyFill="1" applyBorder="1" applyAlignment="1">
      <alignment horizontal="right"/>
    </xf>
    <xf numFmtId="0" fontId="6" fillId="0" borderId="1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37" fontId="3" fillId="0" borderId="16" xfId="0" applyNumberFormat="1" applyFont="1" applyBorder="1"/>
    <xf numFmtId="7" fontId="3" fillId="0" borderId="16" xfId="0" applyNumberFormat="1" applyFont="1" applyFill="1" applyBorder="1"/>
    <xf numFmtId="168" fontId="3" fillId="0" borderId="19" xfId="0" applyNumberFormat="1" applyFont="1" applyBorder="1"/>
    <xf numFmtId="168" fontId="3" fillId="0" borderId="16" xfId="0" applyNumberFormat="1" applyFont="1" applyBorder="1"/>
    <xf numFmtId="164" fontId="3" fillId="0" borderId="19" xfId="0" applyNumberFormat="1" applyFont="1" applyBorder="1"/>
    <xf numFmtId="168" fontId="3" fillId="0" borderId="0" xfId="0" applyNumberFormat="1" applyFont="1" applyBorder="1"/>
    <xf numFmtId="7" fontId="3" fillId="0" borderId="16" xfId="0" applyNumberFormat="1" applyFont="1" applyBorder="1"/>
    <xf numFmtId="0" fontId="3" fillId="0" borderId="16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9" fontId="8" fillId="0" borderId="0" xfId="0" applyNumberFormat="1" applyFont="1" applyFill="1" applyBorder="1" applyAlignment="1">
      <alignment horizontal="center"/>
    </xf>
    <xf numFmtId="37" fontId="3" fillId="0" borderId="0" xfId="0" applyNumberFormat="1" applyFont="1" applyBorder="1"/>
    <xf numFmtId="7" fontId="3" fillId="0" borderId="0" xfId="0" applyNumberFormat="1" applyFont="1" applyBorder="1"/>
    <xf numFmtId="169" fontId="8" fillId="0" borderId="16" xfId="0" applyNumberFormat="1" applyFont="1" applyFill="1" applyBorder="1" applyAlignment="1">
      <alignment horizontal="center"/>
    </xf>
    <xf numFmtId="5" fontId="3" fillId="0" borderId="0" xfId="0" applyNumberFormat="1" applyFont="1" applyBorder="1"/>
    <xf numFmtId="168" fontId="3" fillId="0" borderId="15" xfId="0" applyNumberFormat="1" applyFont="1" applyBorder="1"/>
    <xf numFmtId="164" fontId="3" fillId="0" borderId="15" xfId="0" applyNumberFormat="1" applyFont="1" applyBorder="1"/>
    <xf numFmtId="7" fontId="3" fillId="0" borderId="0" xfId="0" applyNumberFormat="1" applyFont="1" applyFill="1" applyBorder="1" applyAlignment="1"/>
    <xf numFmtId="7" fontId="3" fillId="0" borderId="20" xfId="0" applyNumberFormat="1" applyFont="1" applyFill="1" applyBorder="1" applyAlignment="1"/>
    <xf numFmtId="0" fontId="9" fillId="0" borderId="20" xfId="0" applyFont="1" applyFill="1" applyBorder="1" applyAlignment="1">
      <alignment horizontal="center"/>
    </xf>
    <xf numFmtId="37" fontId="3" fillId="0" borderId="0" xfId="0" applyNumberFormat="1" applyFont="1"/>
    <xf numFmtId="0" fontId="10" fillId="0" borderId="0" xfId="0" applyFont="1"/>
    <xf numFmtId="0" fontId="6" fillId="0" borderId="25" xfId="0" applyFont="1" applyBorder="1"/>
    <xf numFmtId="0" fontId="3" fillId="2" borderId="7" xfId="0" applyFont="1" applyFill="1" applyBorder="1"/>
    <xf numFmtId="0" fontId="3" fillId="0" borderId="7" xfId="0" applyFont="1" applyFill="1" applyBorder="1" applyAlignment="1">
      <alignment horizontal="center"/>
    </xf>
    <xf numFmtId="0" fontId="9" fillId="0" borderId="0" xfId="0" applyFont="1"/>
    <xf numFmtId="167" fontId="3" fillId="0" borderId="0" xfId="0" applyNumberFormat="1" applyFont="1" applyBorder="1"/>
    <xf numFmtId="0" fontId="8" fillId="0" borderId="0" xfId="0" applyFont="1" applyBorder="1" applyAlignment="1">
      <alignment horizontal="center"/>
    </xf>
    <xf numFmtId="0" fontId="6" fillId="0" borderId="0" xfId="0" applyFont="1"/>
    <xf numFmtId="0" fontId="3" fillId="0" borderId="3" xfId="0" applyFont="1" applyBorder="1" applyAlignment="1">
      <alignment horizontal="centerContinuous"/>
    </xf>
    <xf numFmtId="0" fontId="3" fillId="0" borderId="8" xfId="0" applyFont="1" applyBorder="1"/>
    <xf numFmtId="165" fontId="3" fillId="0" borderId="6" xfId="2" applyNumberFormat="1" applyFont="1" applyBorder="1"/>
    <xf numFmtId="0" fontId="3" fillId="0" borderId="26" xfId="0" applyFont="1" applyBorder="1"/>
    <xf numFmtId="37" fontId="3" fillId="0" borderId="10" xfId="0" applyNumberFormat="1" applyFont="1" applyBorder="1"/>
    <xf numFmtId="37" fontId="3" fillId="0" borderId="12" xfId="0" applyNumberFormat="1" applyFont="1" applyBorder="1"/>
    <xf numFmtId="37" fontId="6" fillId="0" borderId="0" xfId="0" applyNumberFormat="1" applyFont="1" applyBorder="1" applyAlignment="1">
      <alignment horizontal="right"/>
    </xf>
    <xf numFmtId="0" fontId="6" fillId="0" borderId="1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4" xfId="0" applyFont="1" applyBorder="1" applyAlignment="1">
      <alignment horizontal="right"/>
    </xf>
    <xf numFmtId="37" fontId="3" fillId="2" borderId="17" xfId="0" applyNumberFormat="1" applyFont="1" applyFill="1" applyBorder="1"/>
    <xf numFmtId="37" fontId="3" fillId="2" borderId="21" xfId="0" applyNumberFormat="1" applyFont="1" applyFill="1" applyBorder="1"/>
    <xf numFmtId="168" fontId="3" fillId="0" borderId="0" xfId="0" applyNumberFormat="1" applyFont="1"/>
    <xf numFmtId="0" fontId="6" fillId="0" borderId="25" xfId="0" applyFont="1" applyFill="1" applyBorder="1"/>
    <xf numFmtId="0" fontId="3" fillId="0" borderId="7" xfId="0" applyFont="1" applyFill="1" applyBorder="1"/>
    <xf numFmtId="167" fontId="3" fillId="0" borderId="7" xfId="0" applyNumberFormat="1" applyFont="1" applyFill="1" applyBorder="1" applyAlignment="1">
      <alignment horizontal="center"/>
    </xf>
    <xf numFmtId="0" fontId="3" fillId="2" borderId="27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37" fontId="3" fillId="0" borderId="6" xfId="0" applyNumberFormat="1" applyFont="1" applyBorder="1" applyAlignment="1">
      <alignment horizontal="center"/>
    </xf>
    <xf numFmtId="167" fontId="3" fillId="0" borderId="18" xfId="0" applyNumberFormat="1" applyFont="1" applyBorder="1" applyAlignment="1">
      <alignment horizontal="center"/>
    </xf>
    <xf numFmtId="167" fontId="3" fillId="0" borderId="14" xfId="0" applyNumberFormat="1" applyFont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171" fontId="3" fillId="0" borderId="0" xfId="1" applyNumberFormat="1" applyFont="1"/>
    <xf numFmtId="164" fontId="3" fillId="0" borderId="0" xfId="0" applyNumberFormat="1" applyFont="1" applyFill="1"/>
    <xf numFmtId="0" fontId="9" fillId="0" borderId="0" xfId="0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14" fontId="6" fillId="0" borderId="0" xfId="0" applyNumberFormat="1" applyFont="1" applyAlignment="1">
      <alignment horizontal="center"/>
    </xf>
    <xf numFmtId="14" fontId="6" fillId="0" borderId="0" xfId="0" applyNumberFormat="1" applyFont="1" applyFill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center"/>
    </xf>
    <xf numFmtId="164" fontId="3" fillId="0" borderId="16" xfId="0" applyNumberFormat="1" applyFont="1" applyFill="1" applyBorder="1"/>
    <xf numFmtId="164" fontId="3" fillId="0" borderId="0" xfId="0" applyNumberFormat="1" applyFont="1" applyFill="1" applyBorder="1"/>
    <xf numFmtId="164" fontId="3" fillId="0" borderId="20" xfId="0" applyNumberFormat="1" applyFont="1" applyFill="1" applyBorder="1" applyAlignment="1"/>
    <xf numFmtId="164" fontId="3" fillId="0" borderId="16" xfId="0" applyNumberFormat="1" applyFont="1" applyFill="1" applyBorder="1" applyAlignment="1"/>
    <xf numFmtId="168" fontId="3" fillId="0" borderId="16" xfId="0" applyNumberFormat="1" applyFont="1" applyFill="1" applyBorder="1" applyAlignment="1"/>
    <xf numFmtId="164" fontId="3" fillId="0" borderId="16" xfId="0" applyNumberFormat="1" applyFont="1" applyBorder="1" applyAlignment="1"/>
    <xf numFmtId="0" fontId="9" fillId="0" borderId="0" xfId="0" applyFont="1" applyFill="1" applyBorder="1" applyAlignment="1">
      <alignment horizontal="center"/>
    </xf>
    <xf numFmtId="0" fontId="10" fillId="0" borderId="0" xfId="0" applyFont="1" applyFill="1"/>
    <xf numFmtId="0" fontId="3" fillId="0" borderId="0" xfId="0" applyFont="1" applyFill="1" applyBorder="1"/>
    <xf numFmtId="0" fontId="9" fillId="0" borderId="0" xfId="0" applyFont="1" applyBorder="1"/>
    <xf numFmtId="172" fontId="6" fillId="0" borderId="0" xfId="4" applyFont="1" applyFill="1"/>
    <xf numFmtId="172" fontId="3" fillId="0" borderId="0" xfId="4" applyFont="1" applyFill="1"/>
    <xf numFmtId="10" fontId="3" fillId="0" borderId="0" xfId="4" applyNumberFormat="1" applyFont="1" applyFill="1" applyAlignment="1">
      <alignment horizontal="center"/>
    </xf>
    <xf numFmtId="172" fontId="6" fillId="0" borderId="0" xfId="4" applyFont="1" applyFill="1" applyAlignment="1">
      <alignment horizontal="center"/>
    </xf>
    <xf numFmtId="172" fontId="6" fillId="0" borderId="0" xfId="4" applyFont="1" applyFill="1" applyBorder="1"/>
    <xf numFmtId="172" fontId="6" fillId="0" borderId="0" xfId="4" applyFont="1" applyFill="1" applyBorder="1" applyAlignment="1">
      <alignment horizontal="center"/>
    </xf>
    <xf numFmtId="172" fontId="6" fillId="0" borderId="0" xfId="4" quotePrefix="1" applyFont="1" applyFill="1" applyBorder="1" applyAlignment="1">
      <alignment horizontal="center"/>
    </xf>
    <xf numFmtId="172" fontId="6" fillId="0" borderId="0" xfId="4" applyNumberFormat="1" applyFont="1" applyFill="1" applyAlignment="1">
      <alignment horizontal="center"/>
    </xf>
    <xf numFmtId="14" fontId="6" fillId="0" borderId="16" xfId="4" quotePrefix="1" applyNumberFormat="1" applyFont="1" applyFill="1" applyBorder="1" applyAlignment="1">
      <alignment horizontal="center"/>
    </xf>
    <xf numFmtId="172" fontId="6" fillId="0" borderId="16" xfId="4" applyFont="1" applyFill="1" applyBorder="1" applyAlignment="1">
      <alignment horizontal="center"/>
    </xf>
    <xf numFmtId="14" fontId="6" fillId="0" borderId="16" xfId="4" applyNumberFormat="1" applyFont="1" applyFill="1" applyBorder="1" applyAlignment="1">
      <alignment horizontal="center"/>
    </xf>
    <xf numFmtId="172" fontId="6" fillId="0" borderId="16" xfId="4" applyNumberFormat="1" applyFont="1" applyFill="1" applyBorder="1" applyAlignment="1">
      <alignment horizontal="center"/>
    </xf>
    <xf numFmtId="14" fontId="6" fillId="0" borderId="0" xfId="4" applyNumberFormat="1" applyFont="1" applyFill="1" applyBorder="1" applyAlignment="1">
      <alignment horizontal="center"/>
    </xf>
    <xf numFmtId="172" fontId="3" fillId="0" borderId="0" xfId="4" applyFont="1" applyFill="1" applyBorder="1"/>
    <xf numFmtId="172" fontId="9" fillId="0" borderId="0" xfId="4" applyFont="1" applyFill="1" applyAlignment="1">
      <alignment horizontal="center"/>
    </xf>
    <xf numFmtId="37" fontId="3" fillId="0" borderId="0" xfId="4" applyNumberFormat="1" applyFont="1" applyFill="1" applyBorder="1"/>
    <xf numFmtId="37" fontId="3" fillId="0" borderId="0" xfId="4" applyNumberFormat="1" applyFont="1" applyFill="1"/>
    <xf numFmtId="37" fontId="3" fillId="0" borderId="16" xfId="4" applyNumberFormat="1" applyFont="1" applyFill="1" applyBorder="1"/>
    <xf numFmtId="37" fontId="3" fillId="0" borderId="0" xfId="4" quotePrefix="1" applyNumberFormat="1" applyFont="1" applyFill="1" applyBorder="1"/>
    <xf numFmtId="37" fontId="3" fillId="0" borderId="0" xfId="5" applyNumberFormat="1" applyFont="1" applyFill="1" applyBorder="1">
      <alignment vertical="top"/>
    </xf>
    <xf numFmtId="37" fontId="3" fillId="0" borderId="16" xfId="4" quotePrefix="1" applyNumberFormat="1" applyFont="1" applyFill="1" applyBorder="1"/>
    <xf numFmtId="37" fontId="9" fillId="0" borderId="0" xfId="4" applyNumberFormat="1" applyFont="1" applyFill="1" applyBorder="1" applyAlignment="1">
      <alignment horizontal="center"/>
    </xf>
    <xf numFmtId="37" fontId="6" fillId="0" borderId="0" xfId="4" applyNumberFormat="1" applyFont="1" applyFill="1" applyBorder="1"/>
    <xf numFmtId="172" fontId="8" fillId="0" borderId="0" xfId="4" applyFont="1" applyFill="1"/>
    <xf numFmtId="0" fontId="3" fillId="0" borderId="0" xfId="4" applyNumberFormat="1" applyFont="1" applyFill="1"/>
    <xf numFmtId="15" fontId="6" fillId="0" borderId="0" xfId="4" applyNumberFormat="1" applyFont="1" applyFill="1"/>
    <xf numFmtId="15" fontId="6" fillId="0" borderId="0" xfId="4" quotePrefix="1" applyNumberFormat="1" applyFont="1" applyFill="1"/>
    <xf numFmtId="15" fontId="6" fillId="0" borderId="0" xfId="4" quotePrefix="1" applyNumberFormat="1" applyFont="1" applyFill="1" applyBorder="1"/>
    <xf numFmtId="172" fontId="6" fillId="0" borderId="20" xfId="4" applyFont="1" applyFill="1" applyBorder="1" applyAlignment="1">
      <alignment horizontal="left" indent="1"/>
    </xf>
    <xf numFmtId="172" fontId="3" fillId="0" borderId="0" xfId="4" applyFont="1" applyFill="1" applyBorder="1" applyAlignment="1">
      <alignment horizontal="left" indent="1"/>
    </xf>
    <xf numFmtId="37" fontId="3" fillId="0" borderId="0" xfId="5" applyNumberFormat="1" applyFont="1" applyFill="1" applyBorder="1" applyAlignment="1">
      <alignment horizontal="right" vertical="top"/>
    </xf>
    <xf numFmtId="172" fontId="6" fillId="0" borderId="0" xfId="4" quotePrefix="1" applyFont="1" applyFill="1" applyBorder="1" applyAlignment="1">
      <alignment horizontal="left" indent="1"/>
    </xf>
    <xf numFmtId="37" fontId="6" fillId="0" borderId="0" xfId="4" applyNumberFormat="1" applyFont="1" applyFill="1"/>
    <xf numFmtId="172" fontId="15" fillId="0" borderId="0" xfId="4" applyFont="1" applyFill="1"/>
    <xf numFmtId="39" fontId="3" fillId="0" borderId="0" xfId="4" applyNumberFormat="1" applyFont="1" applyFill="1"/>
    <xf numFmtId="4" fontId="6" fillId="0" borderId="0" xfId="4" applyNumberFormat="1" applyFont="1" applyFill="1" applyBorder="1"/>
    <xf numFmtId="0" fontId="6" fillId="0" borderId="0" xfId="4" applyNumberFormat="1" applyFont="1" applyFill="1" applyBorder="1"/>
    <xf numFmtId="172" fontId="9" fillId="0" borderId="0" xfId="4" applyFont="1" applyFill="1" applyBorder="1" applyAlignment="1">
      <alignment horizontal="center"/>
    </xf>
    <xf numFmtId="0" fontId="3" fillId="0" borderId="0" xfId="4" applyNumberFormat="1" applyFont="1" applyFill="1" applyBorder="1" applyAlignment="1">
      <alignment horizontal="left" indent="1"/>
    </xf>
    <xf numFmtId="0" fontId="3" fillId="0" borderId="0" xfId="4" applyNumberFormat="1" applyFont="1" applyFill="1" applyBorder="1"/>
    <xf numFmtId="172" fontId="2" fillId="0" borderId="0" xfId="4" applyFont="1" applyFill="1" applyBorder="1"/>
    <xf numFmtId="10" fontId="16" fillId="0" borderId="22" xfId="2" applyNumberFormat="1" applyFont="1" applyFill="1" applyBorder="1" applyAlignment="1">
      <alignment horizontal="center"/>
    </xf>
    <xf numFmtId="37" fontId="9" fillId="0" borderId="0" xfId="6" applyNumberFormat="1" applyFont="1"/>
    <xf numFmtId="172" fontId="3" fillId="0" borderId="0" xfId="6" applyFont="1"/>
    <xf numFmtId="39" fontId="3" fillId="0" borderId="0" xfId="6" applyNumberFormat="1" applyFont="1"/>
    <xf numFmtId="39" fontId="3" fillId="0" borderId="0" xfId="6" applyNumberFormat="1" applyFont="1" applyAlignment="1">
      <alignment horizontal="left"/>
    </xf>
    <xf numFmtId="0" fontId="3" fillId="0" borderId="0" xfId="6" applyNumberFormat="1" applyFont="1" applyFill="1" applyAlignment="1">
      <alignment horizontal="left"/>
    </xf>
    <xf numFmtId="39" fontId="3" fillId="0" borderId="0" xfId="6" applyNumberFormat="1" applyFont="1" applyFill="1"/>
    <xf numFmtId="172" fontId="3" fillId="0" borderId="0" xfId="6" applyFont="1" applyFill="1"/>
    <xf numFmtId="37" fontId="9" fillId="0" borderId="0" xfId="6" applyNumberFormat="1" applyFont="1" applyAlignment="1">
      <alignment horizontal="center"/>
    </xf>
    <xf numFmtId="39" fontId="3" fillId="0" borderId="0" xfId="6" applyNumberFormat="1" applyFont="1" applyFill="1" applyAlignment="1">
      <alignment horizontal="center"/>
    </xf>
    <xf numFmtId="172" fontId="3" fillId="0" borderId="0" xfId="6" applyFont="1" applyAlignment="1">
      <alignment horizontal="center"/>
    </xf>
    <xf numFmtId="172" fontId="3" fillId="0" borderId="16" xfId="6" applyFont="1" applyBorder="1" applyAlignment="1">
      <alignment horizontal="center"/>
    </xf>
    <xf numFmtId="39" fontId="3" fillId="0" borderId="16" xfId="6" applyNumberFormat="1" applyFont="1" applyFill="1" applyBorder="1" applyAlignment="1">
      <alignment horizontal="center"/>
    </xf>
    <xf numFmtId="39" fontId="3" fillId="0" borderId="0" xfId="6" applyNumberFormat="1" applyFont="1" applyAlignment="1">
      <alignment horizontal="center"/>
    </xf>
    <xf numFmtId="172" fontId="3" fillId="0" borderId="0" xfId="6" applyFont="1" applyAlignment="1">
      <alignment horizontal="left"/>
    </xf>
    <xf numFmtId="172" fontId="3" fillId="0" borderId="0" xfId="6" applyNumberFormat="1" applyFont="1"/>
    <xf numFmtId="39" fontId="4" fillId="0" borderId="0" xfId="6" applyNumberFormat="1" applyFont="1" applyFill="1"/>
    <xf numFmtId="39" fontId="3" fillId="0" borderId="0" xfId="1" applyNumberFormat="1" applyFont="1" applyFill="1"/>
    <xf numFmtId="39" fontId="4" fillId="0" borderId="0" xfId="1" applyNumberFormat="1" applyFont="1" applyFill="1"/>
    <xf numFmtId="172" fontId="4" fillId="0" borderId="0" xfId="6" applyFont="1"/>
    <xf numFmtId="39" fontId="4" fillId="0" borderId="0" xfId="6" applyNumberFormat="1" applyFont="1" applyFill="1" applyBorder="1"/>
    <xf numFmtId="39" fontId="3" fillId="0" borderId="0" xfId="6" applyNumberFormat="1" applyFont="1" applyFill="1" applyBorder="1"/>
    <xf numFmtId="39" fontId="4" fillId="0" borderId="0" xfId="1" applyNumberFormat="1" applyFont="1" applyFill="1" applyBorder="1"/>
    <xf numFmtId="39" fontId="3" fillId="0" borderId="0" xfId="1" applyNumberFormat="1" applyFont="1" applyFill="1" applyBorder="1"/>
    <xf numFmtId="39" fontId="18" fillId="0" borderId="0" xfId="6" applyNumberFormat="1" applyFont="1" applyFill="1"/>
    <xf numFmtId="10" fontId="3" fillId="0" borderId="0" xfId="6" applyNumberFormat="1" applyFont="1" applyFill="1"/>
    <xf numFmtId="3" fontId="6" fillId="0" borderId="0" xfId="6" applyNumberFormat="1" applyFont="1" applyAlignment="1">
      <alignment horizontal="center"/>
    </xf>
    <xf numFmtId="39" fontId="11" fillId="0" borderId="0" xfId="6" applyNumberFormat="1" applyFont="1" applyFill="1"/>
    <xf numFmtId="172" fontId="3" fillId="0" borderId="0" xfId="6" applyFont="1" applyBorder="1"/>
    <xf numFmtId="172" fontId="3" fillId="0" borderId="0" xfId="6" applyFont="1" applyFill="1" applyBorder="1"/>
    <xf numFmtId="43" fontId="19" fillId="0" borderId="0" xfId="7" applyNumberFormat="1" applyFont="1" applyFill="1" applyProtection="1">
      <protection locked="0"/>
    </xf>
    <xf numFmtId="3" fontId="6" fillId="0" borderId="0" xfId="6" applyNumberFormat="1" applyFont="1" applyBorder="1" applyAlignment="1">
      <alignment horizontal="center"/>
    </xf>
    <xf numFmtId="43" fontId="3" fillId="0" borderId="0" xfId="1" applyFont="1" applyFill="1" applyBorder="1"/>
    <xf numFmtId="0" fontId="20" fillId="0" borderId="0" xfId="8" applyFont="1"/>
    <xf numFmtId="4" fontId="3" fillId="0" borderId="0" xfId="6" applyNumberFormat="1" applyFont="1" applyFill="1" applyBorder="1"/>
    <xf numFmtId="3" fontId="3" fillId="0" borderId="0" xfId="6" applyNumberFormat="1" applyFont="1" applyFill="1" applyBorder="1"/>
    <xf numFmtId="172" fontId="3" fillId="0" borderId="0" xfId="8" applyNumberFormat="1" applyFont="1"/>
    <xf numFmtId="172" fontId="3" fillId="0" borderId="0" xfId="6" applyNumberFormat="1" applyFont="1" applyFill="1"/>
    <xf numFmtId="3" fontId="6" fillId="0" borderId="0" xfId="6" applyNumberFormat="1" applyFont="1" applyFill="1" applyBorder="1" applyAlignment="1">
      <alignment horizontal="center"/>
    </xf>
    <xf numFmtId="172" fontId="3" fillId="0" borderId="0" xfId="8" applyNumberFormat="1" applyFont="1" applyFill="1"/>
    <xf numFmtId="10" fontId="3" fillId="0" borderId="0" xfId="1" applyNumberFormat="1" applyFont="1" applyBorder="1"/>
    <xf numFmtId="10" fontId="3" fillId="0" borderId="0" xfId="1" applyNumberFormat="1" applyFont="1" applyFill="1" applyBorder="1"/>
    <xf numFmtId="10" fontId="4" fillId="0" borderId="0" xfId="6" applyNumberFormat="1" applyFont="1" applyFill="1"/>
    <xf numFmtId="172" fontId="6" fillId="0" borderId="0" xfId="6" applyNumberFormat="1" applyFont="1"/>
    <xf numFmtId="172" fontId="15" fillId="0" borderId="0" xfId="6" applyFont="1"/>
    <xf numFmtId="172" fontId="10" fillId="0" borderId="0" xfId="6" applyFont="1"/>
    <xf numFmtId="172" fontId="3" fillId="0" borderId="0" xfId="9" applyFont="1" applyFill="1"/>
    <xf numFmtId="43" fontId="13" fillId="0" borderId="0" xfId="7" applyNumberFormat="1" applyFont="1" applyFill="1" applyProtection="1">
      <protection locked="0"/>
    </xf>
    <xf numFmtId="172" fontId="14" fillId="0" borderId="0" xfId="6" applyFont="1" applyFill="1"/>
    <xf numFmtId="172" fontId="3" fillId="0" borderId="0" xfId="6" applyFont="1" applyFill="1" applyAlignment="1">
      <alignment horizontal="center"/>
    </xf>
    <xf numFmtId="172" fontId="3" fillId="0" borderId="16" xfId="6" applyFont="1" applyFill="1" applyBorder="1" applyAlignment="1">
      <alignment horizontal="center"/>
    </xf>
    <xf numFmtId="172" fontId="4" fillId="0" borderId="0" xfId="6" applyFont="1" applyAlignment="1">
      <alignment horizontal="center"/>
    </xf>
    <xf numFmtId="39" fontId="18" fillId="0" borderId="0" xfId="1" applyNumberFormat="1" applyFont="1" applyFill="1" applyBorder="1"/>
    <xf numFmtId="39" fontId="3" fillId="0" borderId="0" xfId="10" applyNumberFormat="1" applyFont="1" applyFill="1" applyBorder="1"/>
    <xf numFmtId="172" fontId="12" fillId="0" borderId="0" xfId="6" applyFont="1"/>
    <xf numFmtId="172" fontId="3" fillId="0" borderId="0" xfId="12" applyNumberFormat="1" applyFont="1"/>
    <xf numFmtId="172" fontId="3" fillId="0" borderId="0" xfId="12" applyNumberFormat="1" applyFont="1" applyProtection="1">
      <protection locked="0"/>
    </xf>
    <xf numFmtId="172" fontId="18" fillId="0" borderId="0" xfId="6" applyFont="1"/>
    <xf numFmtId="39" fontId="4" fillId="0" borderId="0" xfId="6" applyNumberFormat="1" applyFont="1"/>
    <xf numFmtId="10" fontId="3" fillId="0" borderId="0" xfId="6" applyNumberFormat="1" applyFont="1"/>
    <xf numFmtId="39" fontId="3" fillId="0" borderId="0" xfId="1" applyNumberFormat="1" applyFont="1" applyBorder="1"/>
    <xf numFmtId="39" fontId="3" fillId="0" borderId="0" xfId="6" applyNumberFormat="1" applyFont="1" applyBorder="1"/>
    <xf numFmtId="39" fontId="3" fillId="0" borderId="0" xfId="1" applyNumberFormat="1" applyFont="1"/>
    <xf numFmtId="43" fontId="3" fillId="0" borderId="0" xfId="1" applyFont="1"/>
    <xf numFmtId="43" fontId="3" fillId="0" borderId="0" xfId="13" applyFont="1" applyFill="1"/>
    <xf numFmtId="10" fontId="3" fillId="0" borderId="0" xfId="14" applyNumberFormat="1" applyFont="1" applyFill="1" applyBorder="1"/>
    <xf numFmtId="39" fontId="3" fillId="0" borderId="0" xfId="13" applyNumberFormat="1" applyFont="1" applyFill="1" applyBorder="1"/>
    <xf numFmtId="39" fontId="3" fillId="0" borderId="0" xfId="8" applyNumberFormat="1" applyFont="1" applyFill="1" applyBorder="1"/>
    <xf numFmtId="39" fontId="3" fillId="0" borderId="0" xfId="13" applyNumberFormat="1" applyFont="1" applyFill="1"/>
    <xf numFmtId="0" fontId="3" fillId="0" borderId="0" xfId="8" applyFont="1" applyFill="1"/>
    <xf numFmtId="0" fontId="20" fillId="0" borderId="0" xfId="8" applyFont="1" applyFill="1"/>
    <xf numFmtId="172" fontId="6" fillId="0" borderId="0" xfId="6" applyNumberFormat="1" applyFont="1" applyAlignment="1">
      <alignment horizontal="left"/>
    </xf>
    <xf numFmtId="39" fontId="21" fillId="0" borderId="0" xfId="6" applyNumberFormat="1" applyFont="1"/>
    <xf numFmtId="39" fontId="11" fillId="0" borderId="0" xfId="0" applyNumberFormat="1" applyFont="1"/>
    <xf numFmtId="39" fontId="3" fillId="0" borderId="0" xfId="0" applyNumberFormat="1" applyFont="1"/>
    <xf numFmtId="4" fontId="3" fillId="0" borderId="0" xfId="6" applyNumberFormat="1" applyFont="1"/>
    <xf numFmtId="172" fontId="3" fillId="0" borderId="0" xfId="6" quotePrefix="1" applyFont="1"/>
    <xf numFmtId="43" fontId="3" fillId="0" borderId="0" xfId="11" applyFont="1" applyFill="1"/>
    <xf numFmtId="43" fontId="3" fillId="0" borderId="0" xfId="13" quotePrefix="1" applyFont="1" applyFill="1"/>
    <xf numFmtId="39" fontId="3" fillId="0" borderId="0" xfId="0" applyNumberFormat="1" applyFont="1" applyFill="1"/>
    <xf numFmtId="39" fontId="12" fillId="0" borderId="0" xfId="6" applyNumberFormat="1" applyFont="1" applyFill="1"/>
    <xf numFmtId="39" fontId="12" fillId="0" borderId="0" xfId="0" applyNumberFormat="1" applyFont="1" applyFill="1"/>
    <xf numFmtId="4" fontId="3" fillId="0" borderId="0" xfId="6" applyNumberFormat="1" applyFont="1" applyFill="1"/>
    <xf numFmtId="43" fontId="3" fillId="0" borderId="0" xfId="1" applyNumberFormat="1" applyFont="1" applyFill="1"/>
    <xf numFmtId="43" fontId="3" fillId="0" borderId="0" xfId="1" applyFont="1" applyFill="1"/>
    <xf numFmtId="0" fontId="6" fillId="0" borderId="0" xfId="8" applyFont="1" applyFill="1" applyAlignment="1">
      <alignment horizontal="center"/>
    </xf>
    <xf numFmtId="0" fontId="3" fillId="0" borderId="0" xfId="6" applyNumberFormat="1" applyFont="1" applyAlignment="1">
      <alignment horizontal="left"/>
    </xf>
    <xf numFmtId="39" fontId="3" fillId="0" borderId="0" xfId="6" quotePrefix="1" applyNumberFormat="1" applyFont="1" applyFill="1"/>
    <xf numFmtId="43" fontId="3" fillId="0" borderId="0" xfId="6" applyNumberFormat="1" applyFont="1" applyFill="1"/>
    <xf numFmtId="43" fontId="4" fillId="0" borderId="0" xfId="1" applyFont="1" applyFill="1"/>
    <xf numFmtId="39" fontId="12" fillId="0" borderId="0" xfId="15" applyNumberFormat="1" applyFont="1" applyFill="1"/>
    <xf numFmtId="39" fontId="12" fillId="0" borderId="0" xfId="1" applyNumberFormat="1" applyFont="1" applyFill="1" applyBorder="1"/>
    <xf numFmtId="3" fontId="6" fillId="0" borderId="0" xfId="6" applyNumberFormat="1" applyFont="1" applyFill="1" applyAlignment="1">
      <alignment horizontal="center"/>
    </xf>
    <xf numFmtId="172" fontId="18" fillId="0" borderId="0" xfId="6" applyFont="1" applyFill="1"/>
    <xf numFmtId="39" fontId="3" fillId="0" borderId="0" xfId="8" applyNumberFormat="1" applyFont="1" applyFill="1"/>
    <xf numFmtId="39" fontId="22" fillId="0" borderId="0" xfId="6" applyNumberFormat="1" applyFont="1" applyFill="1"/>
    <xf numFmtId="10" fontId="4" fillId="0" borderId="0" xfId="6" applyNumberFormat="1" applyFont="1"/>
    <xf numFmtId="39" fontId="3" fillId="0" borderId="0" xfId="6" applyNumberFormat="1" applyFont="1" applyFill="1" applyAlignment="1">
      <alignment horizontal="left"/>
    </xf>
    <xf numFmtId="172" fontId="4" fillId="0" borderId="0" xfId="6" applyFont="1" applyFill="1"/>
    <xf numFmtId="39" fontId="4" fillId="0" borderId="0" xfId="16" applyNumberFormat="1" applyFont="1" applyFill="1" applyAlignment="1">
      <alignment horizontal="right"/>
    </xf>
    <xf numFmtId="39" fontId="4" fillId="0" borderId="0" xfId="0" applyNumberFormat="1" applyFont="1" applyFill="1"/>
    <xf numFmtId="39" fontId="3" fillId="0" borderId="0" xfId="0" quotePrefix="1" applyNumberFormat="1" applyFont="1"/>
    <xf numFmtId="39" fontId="3" fillId="0" borderId="0" xfId="6" quotePrefix="1" applyNumberFormat="1" applyFont="1"/>
    <xf numFmtId="39" fontId="3" fillId="0" borderId="0" xfId="0" quotePrefix="1" applyNumberFormat="1" applyFont="1" applyFill="1"/>
    <xf numFmtId="37" fontId="3" fillId="0" borderId="0" xfId="0" applyNumberFormat="1" applyFont="1" applyFill="1"/>
    <xf numFmtId="7" fontId="3" fillId="0" borderId="0" xfId="0" applyNumberFormat="1" applyFont="1" applyFill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Continuous"/>
    </xf>
    <xf numFmtId="7" fontId="2" fillId="0" borderId="0" xfId="0" applyNumberFormat="1" applyFont="1" applyBorder="1" applyAlignment="1">
      <alignment horizontal="center"/>
    </xf>
    <xf numFmtId="7" fontId="2" fillId="0" borderId="0" xfId="3" applyNumberFormat="1" applyFont="1" applyBorder="1" applyAlignment="1">
      <alignment horizontal="center"/>
    </xf>
    <xf numFmtId="0" fontId="23" fillId="0" borderId="0" xfId="0" applyFont="1" applyBorder="1"/>
    <xf numFmtId="0" fontId="23" fillId="0" borderId="0" xfId="0" applyFont="1"/>
    <xf numFmtId="14" fontId="3" fillId="0" borderId="0" xfId="0" applyNumberFormat="1" applyFont="1" applyAlignment="1">
      <alignment horizontal="center"/>
    </xf>
    <xf numFmtId="14" fontId="3" fillId="0" borderId="29" xfId="0" applyNumberFormat="1" applyFont="1" applyBorder="1" applyAlignment="1">
      <alignment horizontal="center"/>
    </xf>
    <xf numFmtId="14" fontId="3" fillId="0" borderId="0" xfId="0" applyNumberFormat="1" applyFont="1" applyFill="1" applyAlignment="1">
      <alignment horizontal="center"/>
    </xf>
    <xf numFmtId="14" fontId="3" fillId="0" borderId="30" xfId="0" applyNumberFormat="1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7" fontId="3" fillId="0" borderId="16" xfId="0" applyNumberFormat="1" applyFont="1" applyBorder="1"/>
    <xf numFmtId="173" fontId="3" fillId="0" borderId="33" xfId="14" applyNumberFormat="1" applyFont="1" applyBorder="1"/>
    <xf numFmtId="168" fontId="3" fillId="0" borderId="16" xfId="0" applyNumberFormat="1" applyFont="1" applyFill="1" applyBorder="1"/>
    <xf numFmtId="173" fontId="3" fillId="0" borderId="0" xfId="0" applyNumberFormat="1" applyFont="1" applyBorder="1"/>
    <xf numFmtId="39" fontId="3" fillId="0" borderId="16" xfId="0" applyNumberFormat="1" applyFont="1" applyBorder="1"/>
    <xf numFmtId="4" fontId="3" fillId="0" borderId="0" xfId="0" applyNumberFormat="1" applyFont="1" applyBorder="1"/>
    <xf numFmtId="37" fontId="3" fillId="0" borderId="0" xfId="0" applyNumberFormat="1" applyFont="1" applyBorder="1" applyAlignment="1">
      <alignment horizontal="center"/>
    </xf>
    <xf numFmtId="173" fontId="3" fillId="0" borderId="30" xfId="14" applyNumberFormat="1" applyFont="1" applyBorder="1"/>
    <xf numFmtId="168" fontId="3" fillId="0" borderId="0" xfId="0" applyNumberFormat="1" applyFont="1" applyFill="1" applyBorder="1"/>
    <xf numFmtId="169" fontId="24" fillId="0" borderId="16" xfId="0" applyNumberFormat="1" applyFont="1" applyFill="1" applyBorder="1" applyAlignment="1">
      <alignment horizontal="center"/>
    </xf>
    <xf numFmtId="37" fontId="6" fillId="0" borderId="16" xfId="0" applyNumberFormat="1" applyFont="1" applyBorder="1"/>
    <xf numFmtId="37" fontId="6" fillId="0" borderId="16" xfId="0" applyNumberFormat="1" applyFont="1" applyBorder="1" applyAlignment="1">
      <alignment horizontal="center"/>
    </xf>
    <xf numFmtId="167" fontId="6" fillId="0" borderId="16" xfId="0" applyNumberFormat="1" applyFont="1" applyBorder="1"/>
    <xf numFmtId="168" fontId="6" fillId="0" borderId="16" xfId="0" applyNumberFormat="1" applyFont="1" applyBorder="1"/>
    <xf numFmtId="7" fontId="6" fillId="0" borderId="16" xfId="0" applyNumberFormat="1" applyFont="1" applyBorder="1"/>
    <xf numFmtId="173" fontId="6" fillId="0" borderId="33" xfId="14" applyNumberFormat="1" applyFont="1" applyFill="1" applyBorder="1"/>
    <xf numFmtId="173" fontId="6" fillId="0" borderId="33" xfId="14" applyNumberFormat="1" applyFont="1" applyBorder="1"/>
    <xf numFmtId="168" fontId="6" fillId="0" borderId="16" xfId="0" applyNumberFormat="1" applyFont="1" applyFill="1" applyBorder="1"/>
    <xf numFmtId="173" fontId="6" fillId="0" borderId="30" xfId="14" applyNumberFormat="1" applyFont="1" applyBorder="1"/>
    <xf numFmtId="167" fontId="6" fillId="0" borderId="0" xfId="0" applyNumberFormat="1" applyFont="1" applyBorder="1"/>
    <xf numFmtId="37" fontId="3" fillId="0" borderId="0" xfId="0" applyNumberFormat="1" applyFont="1" applyBorder="1" applyAlignment="1"/>
    <xf numFmtId="167" fontId="3" fillId="0" borderId="0" xfId="0" applyNumberFormat="1" applyFont="1" applyBorder="1" applyAlignment="1"/>
    <xf numFmtId="168" fontId="3" fillId="0" borderId="0" xfId="0" applyNumberFormat="1" applyFont="1" applyBorder="1" applyAlignment="1"/>
    <xf numFmtId="37" fontId="3" fillId="0" borderId="0" xfId="0" applyNumberFormat="1" applyFont="1" applyFill="1" applyBorder="1" applyAlignment="1"/>
    <xf numFmtId="167" fontId="3" fillId="0" borderId="0" xfId="0" applyNumberFormat="1" applyFont="1" applyFill="1" applyBorder="1" applyAlignment="1"/>
    <xf numFmtId="168" fontId="3" fillId="0" borderId="0" xfId="0" applyNumberFormat="1" applyFont="1" applyFill="1" applyBorder="1" applyAlignment="1"/>
    <xf numFmtId="168" fontId="6" fillId="0" borderId="0" xfId="0" applyNumberFormat="1" applyFont="1" applyFill="1" applyBorder="1"/>
    <xf numFmtId="37" fontId="3" fillId="0" borderId="20" xfId="0" applyNumberFormat="1" applyFont="1" applyFill="1" applyBorder="1" applyAlignment="1"/>
    <xf numFmtId="164" fontId="3" fillId="0" borderId="20" xfId="0" applyNumberFormat="1" applyFont="1" applyFill="1" applyBorder="1" applyAlignment="1">
      <alignment horizontal="center"/>
    </xf>
    <xf numFmtId="167" fontId="3" fillId="0" borderId="20" xfId="0" applyNumberFormat="1" applyFont="1" applyFill="1" applyBorder="1" applyAlignment="1"/>
    <xf numFmtId="168" fontId="3" fillId="0" borderId="20" xfId="0" applyNumberFormat="1" applyFont="1" applyFill="1" applyBorder="1" applyAlignment="1"/>
    <xf numFmtId="173" fontId="3" fillId="0" borderId="34" xfId="14" applyNumberFormat="1" applyFont="1" applyBorder="1"/>
    <xf numFmtId="168" fontId="3" fillId="0" borderId="20" xfId="0" applyNumberFormat="1" applyFont="1" applyFill="1" applyBorder="1"/>
    <xf numFmtId="37" fontId="3" fillId="0" borderId="16" xfId="0" applyNumberFormat="1" applyFont="1" applyFill="1" applyBorder="1" applyAlignment="1"/>
    <xf numFmtId="167" fontId="3" fillId="0" borderId="16" xfId="0" applyNumberFormat="1" applyFont="1" applyFill="1" applyBorder="1" applyAlignment="1"/>
    <xf numFmtId="37" fontId="3" fillId="0" borderId="16" xfId="0" applyNumberFormat="1" applyFont="1" applyBorder="1" applyAlignment="1"/>
    <xf numFmtId="167" fontId="3" fillId="0" borderId="16" xfId="0" applyNumberFormat="1" applyFont="1" applyBorder="1" applyAlignment="1"/>
    <xf numFmtId="39" fontId="3" fillId="0" borderId="31" xfId="0" applyNumberFormat="1" applyFont="1" applyBorder="1"/>
    <xf numFmtId="39" fontId="3" fillId="0" borderId="16" xfId="0" applyNumberFormat="1" applyFont="1" applyFill="1" applyBorder="1"/>
    <xf numFmtId="0" fontId="25" fillId="0" borderId="0" xfId="0" applyFont="1" applyAlignment="1">
      <alignment wrapText="1"/>
    </xf>
    <xf numFmtId="0" fontId="3" fillId="0" borderId="25" xfId="0" applyFont="1" applyBorder="1"/>
    <xf numFmtId="0" fontId="3" fillId="2" borderId="7" xfId="0" applyFont="1" applyFill="1" applyBorder="1" applyAlignment="1">
      <alignment horizontal="center"/>
    </xf>
    <xf numFmtId="7" fontId="3" fillId="0" borderId="0" xfId="0" applyNumberFormat="1" applyFont="1" applyFill="1" applyBorder="1"/>
    <xf numFmtId="7" fontId="6" fillId="0" borderId="16" xfId="0" applyNumberFormat="1" applyFont="1" applyFill="1" applyBorder="1"/>
    <xf numFmtId="7" fontId="6" fillId="0" borderId="0" xfId="0" applyNumberFormat="1" applyFont="1" applyFill="1" applyBorder="1"/>
    <xf numFmtId="39" fontId="3" fillId="0" borderId="16" xfId="0" applyNumberFormat="1" applyFont="1" applyBorder="1" applyAlignment="1"/>
    <xf numFmtId="0" fontId="26" fillId="0" borderId="0" xfId="0" applyFont="1" applyAlignment="1">
      <alignment wrapText="1"/>
    </xf>
    <xf numFmtId="0" fontId="9" fillId="2" borderId="7" xfId="0" applyFont="1" applyFill="1" applyBorder="1" applyAlignment="1">
      <alignment horizontal="center"/>
    </xf>
    <xf numFmtId="0" fontId="8" fillId="0" borderId="0" xfId="0" applyFont="1" applyBorder="1"/>
    <xf numFmtId="9" fontId="3" fillId="0" borderId="0" xfId="2" applyFont="1" applyBorder="1"/>
    <xf numFmtId="9" fontId="3" fillId="0" borderId="0" xfId="2" applyNumberFormat="1" applyFont="1" applyBorder="1"/>
    <xf numFmtId="0" fontId="8" fillId="0" borderId="7" xfId="0" applyFont="1" applyBorder="1"/>
    <xf numFmtId="0" fontId="3" fillId="0" borderId="27" xfId="0" applyFont="1" applyBorder="1"/>
    <xf numFmtId="174" fontId="3" fillId="0" borderId="0" xfId="17" applyFont="1" applyBorder="1" applyAlignment="1"/>
    <xf numFmtId="0" fontId="3" fillId="0" borderId="0" xfId="0" applyFont="1" applyBorder="1" applyAlignment="1"/>
    <xf numFmtId="0" fontId="3" fillId="0" borderId="16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174" fontId="10" fillId="0" borderId="0" xfId="17" applyFont="1" applyBorder="1" applyAlignment="1"/>
    <xf numFmtId="174" fontId="6" fillId="0" borderId="0" xfId="17" applyFont="1" applyBorder="1" applyAlignment="1"/>
    <xf numFmtId="5" fontId="3" fillId="0" borderId="0" xfId="17" applyNumberFormat="1" applyFont="1" applyFill="1" applyBorder="1" applyAlignment="1"/>
    <xf numFmtId="5" fontId="3" fillId="0" borderId="30" xfId="17" applyNumberFormat="1" applyFont="1" applyBorder="1" applyAlignment="1"/>
    <xf numFmtId="174" fontId="3" fillId="0" borderId="0" xfId="0" applyNumberFormat="1" applyFont="1" applyBorder="1" applyAlignment="1" applyProtection="1">
      <alignment horizontal="center"/>
    </xf>
    <xf numFmtId="174" fontId="9" fillId="0" borderId="0" xfId="17" applyFont="1" applyBorder="1" applyAlignment="1"/>
    <xf numFmtId="174" fontId="3" fillId="0" borderId="0" xfId="17" applyNumberFormat="1" applyFont="1" applyBorder="1" applyAlignment="1" applyProtection="1"/>
    <xf numFmtId="5" fontId="3" fillId="0" borderId="0" xfId="17" applyNumberFormat="1" applyFont="1" applyBorder="1" applyAlignment="1" applyProtection="1"/>
    <xf numFmtId="5" fontId="3" fillId="0" borderId="30" xfId="0" applyNumberFormat="1" applyFont="1" applyBorder="1" applyAlignment="1" applyProtection="1"/>
    <xf numFmtId="5" fontId="3" fillId="0" borderId="0" xfId="17" applyNumberFormat="1" applyFont="1" applyBorder="1" applyAlignment="1"/>
    <xf numFmtId="5" fontId="3" fillId="0" borderId="0" xfId="0" applyNumberFormat="1" applyFont="1" applyBorder="1" applyAlignment="1" applyProtection="1"/>
    <xf numFmtId="5" fontId="3" fillId="0" borderId="0" xfId="0" applyNumberFormat="1" applyFont="1" applyBorder="1" applyAlignment="1"/>
    <xf numFmtId="5" fontId="3" fillId="0" borderId="30" xfId="0" applyNumberFormat="1" applyFont="1" applyBorder="1" applyAlignment="1"/>
    <xf numFmtId="174" fontId="28" fillId="0" borderId="0" xfId="17" applyFont="1" applyBorder="1" applyAlignment="1"/>
    <xf numFmtId="174" fontId="6" fillId="0" borderId="35" xfId="17" applyFont="1" applyBorder="1" applyAlignment="1"/>
    <xf numFmtId="174" fontId="3" fillId="0" borderId="35" xfId="17" applyFont="1" applyBorder="1" applyAlignment="1"/>
    <xf numFmtId="5" fontId="3" fillId="0" borderId="35" xfId="17" applyNumberFormat="1" applyFont="1" applyBorder="1" applyAlignment="1"/>
    <xf numFmtId="5" fontId="3" fillId="0" borderId="36" xfId="17" applyNumberFormat="1" applyFont="1" applyBorder="1" applyAlignment="1"/>
    <xf numFmtId="176" fontId="3" fillId="0" borderId="0" xfId="17" applyNumberFormat="1" applyFont="1" applyBorder="1" applyAlignment="1" applyProtection="1"/>
    <xf numFmtId="37" fontId="3" fillId="0" borderId="30" xfId="0" applyNumberFormat="1" applyFont="1" applyBorder="1" applyAlignment="1"/>
    <xf numFmtId="37" fontId="3" fillId="0" borderId="30" xfId="17" applyNumberFormat="1" applyFont="1" applyFill="1" applyBorder="1" applyAlignment="1"/>
    <xf numFmtId="37" fontId="3" fillId="0" borderId="0" xfId="17" applyNumberFormat="1" applyFont="1" applyBorder="1" applyAlignment="1"/>
    <xf numFmtId="174" fontId="3" fillId="0" borderId="16" xfId="17" applyFont="1" applyBorder="1" applyAlignment="1"/>
    <xf numFmtId="37" fontId="3" fillId="0" borderId="16" xfId="17" applyNumberFormat="1" applyFont="1" applyBorder="1" applyAlignment="1"/>
    <xf numFmtId="37" fontId="3" fillId="0" borderId="33" xfId="17" applyNumberFormat="1" applyFont="1" applyFill="1" applyBorder="1" applyAlignment="1"/>
    <xf numFmtId="43" fontId="3" fillId="0" borderId="0" xfId="0" applyNumberFormat="1" applyFont="1" applyFill="1" applyBorder="1"/>
    <xf numFmtId="37" fontId="3" fillId="0" borderId="0" xfId="0" applyNumberFormat="1" applyFont="1" applyFill="1" applyBorder="1"/>
    <xf numFmtId="174" fontId="3" fillId="0" borderId="0" xfId="0" applyNumberFormat="1" applyFont="1" applyFill="1" applyBorder="1"/>
    <xf numFmtId="177" fontId="3" fillId="0" borderId="0" xfId="17" applyNumberFormat="1" applyFont="1" applyBorder="1" applyAlignment="1"/>
    <xf numFmtId="165" fontId="3" fillId="0" borderId="0" xfId="2" applyNumberFormat="1" applyFont="1" applyBorder="1" applyAlignment="1"/>
    <xf numFmtId="165" fontId="3" fillId="0" borderId="30" xfId="2" applyNumberFormat="1" applyFont="1" applyFill="1" applyBorder="1" applyAlignment="1"/>
    <xf numFmtId="174" fontId="3" fillId="0" borderId="28" xfId="17" applyFont="1" applyBorder="1" applyAlignment="1"/>
    <xf numFmtId="37" fontId="3" fillId="0" borderId="28" xfId="17" applyNumberFormat="1" applyFont="1" applyBorder="1" applyAlignment="1"/>
    <xf numFmtId="37" fontId="3" fillId="0" borderId="37" xfId="17" applyNumberFormat="1" applyFont="1" applyBorder="1" applyAlignment="1"/>
    <xf numFmtId="171" fontId="3" fillId="0" borderId="0" xfId="1" applyNumberFormat="1" applyFont="1" applyFill="1" applyBorder="1" applyAlignment="1" applyProtection="1">
      <alignment horizontal="center"/>
    </xf>
    <xf numFmtId="37" fontId="3" fillId="0" borderId="0" xfId="17" applyNumberFormat="1" applyFont="1" applyFill="1" applyBorder="1" applyAlignment="1"/>
    <xf numFmtId="0" fontId="6" fillId="0" borderId="0" xfId="0" applyFont="1" applyBorder="1"/>
    <xf numFmtId="171" fontId="3" fillId="0" borderId="0" xfId="1" applyNumberFormat="1" applyFont="1" applyBorder="1" applyAlignment="1" applyProtection="1">
      <alignment horizontal="center"/>
    </xf>
    <xf numFmtId="174" fontId="3" fillId="0" borderId="0" xfId="17" applyFont="1" applyFill="1" applyBorder="1" applyAlignment="1"/>
    <xf numFmtId="166" fontId="3" fillId="0" borderId="0" xfId="17" applyNumberFormat="1" applyFont="1" applyBorder="1" applyAlignment="1" applyProtection="1"/>
    <xf numFmtId="0" fontId="24" fillId="0" borderId="0" xfId="0" applyFont="1" applyBorder="1"/>
    <xf numFmtId="176" fontId="3" fillId="0" borderId="0" xfId="17" applyNumberFormat="1" applyFont="1" applyBorder="1" applyAlignment="1" applyProtection="1">
      <alignment horizontal="left"/>
    </xf>
    <xf numFmtId="168" fontId="3" fillId="0" borderId="0" xfId="0" applyNumberFormat="1" applyFont="1" applyBorder="1" applyAlignment="1">
      <alignment horizontal="right"/>
    </xf>
    <xf numFmtId="5" fontId="3" fillId="0" borderId="0" xfId="0" applyNumberFormat="1" applyFont="1" applyBorder="1" applyAlignment="1">
      <alignment horizontal="right"/>
    </xf>
    <xf numFmtId="177" fontId="3" fillId="0" borderId="0" xfId="17" applyNumberFormat="1" applyFont="1" applyBorder="1"/>
    <xf numFmtId="176" fontId="3" fillId="0" borderId="0" xfId="17" applyNumberFormat="1" applyFont="1" applyBorder="1" applyProtection="1"/>
    <xf numFmtId="0" fontId="3" fillId="0" borderId="0" xfId="0" quotePrefix="1" applyFont="1"/>
    <xf numFmtId="0" fontId="8" fillId="0" borderId="0" xfId="0" quotePrefix="1" applyFont="1" applyAlignment="1">
      <alignment horizontal="center"/>
    </xf>
    <xf numFmtId="0" fontId="8" fillId="0" borderId="0" xfId="0" quotePrefix="1" applyFont="1" applyBorder="1" applyAlignment="1">
      <alignment horizontal="center"/>
    </xf>
    <xf numFmtId="0" fontId="8" fillId="0" borderId="29" xfId="0" quotePrefix="1" applyFont="1" applyBorder="1" applyAlignment="1">
      <alignment horizontal="center"/>
    </xf>
    <xf numFmtId="174" fontId="16" fillId="0" borderId="0" xfId="17" applyFont="1" applyBorder="1" applyAlignment="1"/>
    <xf numFmtId="0" fontId="26" fillId="0" borderId="0" xfId="0" applyFont="1" applyBorder="1" applyAlignment="1"/>
    <xf numFmtId="0" fontId="26" fillId="0" borderId="0" xfId="0" applyFont="1" applyBorder="1"/>
    <xf numFmtId="171" fontId="3" fillId="0" borderId="0" xfId="1" applyNumberFormat="1" applyFont="1" applyFill="1"/>
    <xf numFmtId="165" fontId="3" fillId="0" borderId="0" xfId="17" applyNumberFormat="1" applyFont="1" applyBorder="1" applyAlignment="1" applyProtection="1"/>
    <xf numFmtId="174" fontId="3" fillId="0" borderId="0" xfId="0" applyNumberFormat="1" applyFont="1" applyFill="1" applyBorder="1" applyAlignment="1" applyProtection="1">
      <alignment horizontal="center"/>
    </xf>
    <xf numFmtId="37" fontId="6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/>
    <xf numFmtId="37" fontId="3" fillId="0" borderId="0" xfId="0" applyNumberFormat="1" applyFont="1" applyFill="1" applyBorder="1" applyAlignment="1">
      <alignment horizontal="center"/>
    </xf>
    <xf numFmtId="178" fontId="3" fillId="0" borderId="0" xfId="3" applyNumberFormat="1" applyFont="1" applyFill="1" applyBorder="1" applyAlignment="1">
      <alignment horizontal="center"/>
    </xf>
    <xf numFmtId="166" fontId="3" fillId="0" borderId="0" xfId="0" applyNumberFormat="1" applyFont="1" applyFill="1" applyBorder="1"/>
    <xf numFmtId="165" fontId="3" fillId="0" borderId="0" xfId="2" applyNumberFormat="1" applyFont="1" applyFill="1" applyBorder="1" applyAlignment="1">
      <alignment horizontal="center"/>
    </xf>
    <xf numFmtId="10" fontId="3" fillId="0" borderId="0" xfId="2" applyNumberFormat="1" applyFont="1" applyFill="1" applyBorder="1"/>
    <xf numFmtId="0" fontId="3" fillId="0" borderId="0" xfId="0" applyFont="1" applyFill="1" applyBorder="1" applyAlignment="1"/>
    <xf numFmtId="168" fontId="3" fillId="0" borderId="0" xfId="0" applyNumberFormat="1" applyFont="1" applyFill="1" applyBorder="1" applyAlignment="1">
      <alignment horizontal="center"/>
    </xf>
    <xf numFmtId="5" fontId="3" fillId="0" borderId="0" xfId="0" applyNumberFormat="1" applyFont="1" applyFill="1" applyBorder="1" applyAlignment="1">
      <alignment horizontal="center"/>
    </xf>
    <xf numFmtId="0" fontId="3" fillId="0" borderId="30" xfId="0" applyFont="1" applyFill="1" applyBorder="1"/>
    <xf numFmtId="177" fontId="3" fillId="0" borderId="0" xfId="17" applyNumberFormat="1" applyFont="1" applyFill="1" applyBorder="1" applyAlignment="1"/>
    <xf numFmtId="176" fontId="3" fillId="0" borderId="0" xfId="17" applyNumberFormat="1" applyFont="1" applyFill="1" applyBorder="1" applyAlignment="1" applyProtection="1">
      <alignment horizontal="left"/>
    </xf>
    <xf numFmtId="176" fontId="3" fillId="0" borderId="0" xfId="17" applyNumberFormat="1" applyFont="1" applyFill="1" applyBorder="1" applyAlignment="1" applyProtection="1"/>
    <xf numFmtId="165" fontId="3" fillId="0" borderId="0" xfId="2" applyNumberFormat="1" applyFont="1" applyFill="1" applyBorder="1" applyAlignment="1"/>
    <xf numFmtId="0" fontId="15" fillId="0" borderId="0" xfId="0" applyFont="1" applyFill="1" applyBorder="1"/>
    <xf numFmtId="179" fontId="3" fillId="0" borderId="0" xfId="17" applyNumberFormat="1" applyFont="1" applyFill="1" applyBorder="1" applyAlignment="1" applyProtection="1"/>
    <xf numFmtId="166" fontId="3" fillId="0" borderId="30" xfId="17" applyNumberFormat="1" applyFont="1" applyFill="1" applyBorder="1" applyAlignment="1" applyProtection="1"/>
    <xf numFmtId="37" fontId="3" fillId="0" borderId="0" xfId="17" applyNumberFormat="1" applyFont="1" applyFill="1" applyBorder="1" applyAlignment="1" applyProtection="1"/>
    <xf numFmtId="5" fontId="3" fillId="0" borderId="0" xfId="17" applyNumberFormat="1" applyFont="1" applyFill="1" applyBorder="1" applyAlignment="1" applyProtection="1"/>
    <xf numFmtId="37" fontId="3" fillId="0" borderId="0" xfId="0" applyNumberFormat="1" applyFont="1" applyFill="1" applyBorder="1" applyAlignment="1">
      <alignment horizontal="right"/>
    </xf>
    <xf numFmtId="166" fontId="3" fillId="0" borderId="0" xfId="17" applyNumberFormat="1" applyFont="1" applyFill="1" applyBorder="1" applyAlignment="1" applyProtection="1"/>
    <xf numFmtId="0" fontId="24" fillId="0" borderId="0" xfId="0" applyFont="1" applyFill="1" applyBorder="1"/>
    <xf numFmtId="170" fontId="3" fillId="0" borderId="0" xfId="17" applyNumberFormat="1" applyFont="1" applyFill="1" applyBorder="1" applyAlignment="1" applyProtection="1"/>
    <xf numFmtId="10" fontId="3" fillId="0" borderId="0" xfId="2" applyNumberFormat="1" applyFont="1" applyFill="1" applyBorder="1" applyAlignment="1" applyProtection="1"/>
    <xf numFmtId="175" fontId="3" fillId="0" borderId="0" xfId="0" applyNumberFormat="1" applyFont="1" applyFill="1" applyBorder="1" applyAlignment="1" applyProtection="1">
      <alignment horizontal="center"/>
    </xf>
    <xf numFmtId="0" fontId="26" fillId="0" borderId="0" xfId="0" applyFont="1" applyFill="1" applyBorder="1"/>
    <xf numFmtId="0" fontId="23" fillId="0" borderId="0" xfId="0" applyFont="1" applyFill="1" applyBorder="1"/>
    <xf numFmtId="0" fontId="8" fillId="0" borderId="0" xfId="0" applyFont="1" applyFill="1" applyBorder="1"/>
    <xf numFmtId="9" fontId="3" fillId="0" borderId="0" xfId="2" applyFont="1" applyFill="1" applyBorder="1"/>
    <xf numFmtId="9" fontId="3" fillId="0" borderId="0" xfId="2" applyNumberFormat="1" applyFont="1" applyFill="1" applyBorder="1"/>
    <xf numFmtId="0" fontId="3" fillId="0" borderId="0" xfId="0" quotePrefix="1" applyFont="1" applyFill="1"/>
    <xf numFmtId="0" fontId="8" fillId="0" borderId="7" xfId="0" applyFont="1" applyFill="1" applyBorder="1"/>
    <xf numFmtId="0" fontId="3" fillId="0" borderId="27" xfId="0" applyFont="1" applyFill="1" applyBorder="1"/>
    <xf numFmtId="0" fontId="29" fillId="0" borderId="0" xfId="0" applyFont="1" applyFill="1" applyBorder="1"/>
    <xf numFmtId="5" fontId="3" fillId="0" borderId="30" xfId="17" applyNumberFormat="1" applyFont="1" applyFill="1" applyBorder="1" applyAlignment="1"/>
    <xf numFmtId="3" fontId="26" fillId="0" borderId="0" xfId="18" applyNumberFormat="1" applyFont="1" applyFill="1"/>
    <xf numFmtId="3" fontId="26" fillId="0" borderId="0" xfId="19" applyNumberFormat="1" applyFont="1" applyFill="1"/>
    <xf numFmtId="37" fontId="3" fillId="0" borderId="30" xfId="17" applyNumberFormat="1" applyFont="1" applyFill="1" applyBorder="1" applyAlignment="1" applyProtection="1"/>
    <xf numFmtId="174" fontId="3" fillId="0" borderId="4" xfId="17" applyFont="1" applyFill="1" applyBorder="1" applyAlignment="1"/>
    <xf numFmtId="37" fontId="3" fillId="0" borderId="4" xfId="17" applyNumberFormat="1" applyFont="1" applyFill="1" applyBorder="1" applyAlignment="1"/>
    <xf numFmtId="37" fontId="3" fillId="0" borderId="38" xfId="17" applyNumberFormat="1" applyFont="1" applyFill="1" applyBorder="1" applyAlignment="1" applyProtection="1"/>
    <xf numFmtId="174" fontId="6" fillId="0" borderId="23" xfId="17" applyFont="1" applyFill="1" applyBorder="1" applyAlignment="1"/>
    <xf numFmtId="165" fontId="3" fillId="0" borderId="24" xfId="17" applyNumberFormat="1" applyFont="1" applyFill="1" applyBorder="1" applyAlignment="1" applyProtection="1"/>
    <xf numFmtId="165" fontId="3" fillId="0" borderId="0" xfId="17" applyNumberFormat="1" applyFont="1" applyFill="1" applyBorder="1" applyAlignment="1" applyProtection="1"/>
    <xf numFmtId="0" fontId="3" fillId="0" borderId="4" xfId="0" applyFont="1" applyFill="1" applyBorder="1"/>
    <xf numFmtId="165" fontId="3" fillId="0" borderId="4" xfId="17" applyNumberFormat="1" applyFont="1" applyFill="1" applyBorder="1" applyAlignment="1" applyProtection="1"/>
    <xf numFmtId="5" fontId="3" fillId="0" borderId="4" xfId="17" applyNumberFormat="1" applyFont="1" applyFill="1" applyBorder="1" applyAlignment="1"/>
    <xf numFmtId="5" fontId="3" fillId="0" borderId="38" xfId="17" applyNumberFormat="1" applyFont="1" applyFill="1" applyBorder="1" applyAlignment="1"/>
    <xf numFmtId="0" fontId="24" fillId="0" borderId="28" xfId="0" applyFont="1" applyFill="1" applyBorder="1"/>
    <xf numFmtId="0" fontId="26" fillId="0" borderId="28" xfId="0" applyFont="1" applyFill="1" applyBorder="1"/>
    <xf numFmtId="166" fontId="3" fillId="0" borderId="28" xfId="17" applyNumberFormat="1" applyFont="1" applyFill="1" applyBorder="1" applyAlignment="1" applyProtection="1"/>
    <xf numFmtId="166" fontId="3" fillId="0" borderId="37" xfId="17" applyNumberFormat="1" applyFont="1" applyFill="1" applyBorder="1" applyAlignment="1" applyProtection="1"/>
    <xf numFmtId="168" fontId="3" fillId="0" borderId="0" xfId="0" applyNumberFormat="1" applyFont="1" applyFill="1" applyBorder="1" applyAlignment="1">
      <alignment horizontal="right"/>
    </xf>
    <xf numFmtId="5" fontId="3" fillId="0" borderId="0" xfId="0" applyNumberFormat="1" applyFont="1" applyFill="1" applyBorder="1" applyAlignment="1"/>
    <xf numFmtId="5" fontId="3" fillId="0" borderId="0" xfId="0" applyNumberFormat="1" applyFont="1" applyFill="1" applyBorder="1" applyAlignment="1">
      <alignment horizontal="right"/>
    </xf>
    <xf numFmtId="177" fontId="3" fillId="0" borderId="0" xfId="17" applyNumberFormat="1" applyFont="1" applyFill="1" applyBorder="1"/>
    <xf numFmtId="176" fontId="3" fillId="0" borderId="0" xfId="17" applyNumberFormat="1" applyFont="1" applyFill="1" applyBorder="1" applyProtection="1"/>
    <xf numFmtId="0" fontId="3" fillId="0" borderId="33" xfId="0" applyFont="1" applyFill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174" fontId="6" fillId="0" borderId="0" xfId="0" applyNumberFormat="1" applyFont="1" applyBorder="1" applyAlignment="1" applyProtection="1">
      <alignment horizontal="center"/>
    </xf>
    <xf numFmtId="10" fontId="3" fillId="0" borderId="0" xfId="2" applyNumberFormat="1" applyFont="1" applyBorder="1" applyAlignment="1" applyProtection="1"/>
    <xf numFmtId="0" fontId="13" fillId="0" borderId="0" xfId="0" applyFont="1"/>
    <xf numFmtId="171" fontId="3" fillId="0" borderId="0" xfId="1" applyNumberFormat="1" applyFont="1" applyFill="1" applyBorder="1"/>
    <xf numFmtId="0" fontId="26" fillId="0" borderId="0" xfId="0" applyFont="1"/>
    <xf numFmtId="171" fontId="3" fillId="0" borderId="0" xfId="1" applyNumberFormat="1" applyFont="1" applyFill="1" applyBorder="1" applyAlignment="1"/>
    <xf numFmtId="0" fontId="15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3" fillId="0" borderId="0" xfId="0" quotePrefix="1" applyFont="1" applyBorder="1"/>
    <xf numFmtId="0" fontId="26" fillId="0" borderId="0" xfId="0" applyFont="1" applyBorder="1" applyAlignment="1">
      <alignment horizontal="center"/>
    </xf>
    <xf numFmtId="5" fontId="26" fillId="0" borderId="0" xfId="0" applyNumberFormat="1" applyFont="1" applyBorder="1"/>
    <xf numFmtId="10" fontId="26" fillId="0" borderId="0" xfId="0" applyNumberFormat="1" applyFont="1" applyFill="1" applyBorder="1"/>
    <xf numFmtId="5" fontId="26" fillId="0" borderId="0" xfId="0" applyNumberFormat="1" applyFont="1" applyFill="1" applyBorder="1"/>
    <xf numFmtId="37" fontId="26" fillId="0" borderId="0" xfId="0" applyNumberFormat="1" applyFont="1" applyBorder="1"/>
    <xf numFmtId="168" fontId="26" fillId="0" borderId="0" xfId="0" applyNumberFormat="1" applyFont="1" applyBorder="1"/>
    <xf numFmtId="168" fontId="26" fillId="0" borderId="0" xfId="0" applyNumberFormat="1" applyFont="1"/>
    <xf numFmtId="7" fontId="26" fillId="0" borderId="0" xfId="0" applyNumberFormat="1" applyFont="1" applyBorder="1"/>
    <xf numFmtId="10" fontId="26" fillId="0" borderId="0" xfId="2" applyNumberFormat="1" applyFont="1" applyFill="1" applyBorder="1"/>
    <xf numFmtId="10" fontId="26" fillId="0" borderId="0" xfId="2" applyNumberFormat="1" applyFont="1" applyBorder="1"/>
    <xf numFmtId="37" fontId="26" fillId="0" borderId="0" xfId="0" applyNumberFormat="1" applyFont="1" applyFill="1" applyBorder="1"/>
    <xf numFmtId="10" fontId="26" fillId="0" borderId="0" xfId="0" applyNumberFormat="1" applyFont="1" applyBorder="1"/>
    <xf numFmtId="180" fontId="3" fillId="0" borderId="0" xfId="0" applyNumberFormat="1" applyFont="1" applyFill="1" applyBorder="1"/>
    <xf numFmtId="168" fontId="26" fillId="0" borderId="0" xfId="0" applyNumberFormat="1" applyFont="1" applyFill="1" applyBorder="1"/>
    <xf numFmtId="5" fontId="26" fillId="0" borderId="16" xfId="0" applyNumberFormat="1" applyFont="1" applyBorder="1"/>
    <xf numFmtId="181" fontId="26" fillId="0" borderId="0" xfId="0" applyNumberFormat="1" applyFont="1"/>
    <xf numFmtId="0" fontId="9" fillId="0" borderId="0" xfId="0" applyFont="1" applyAlignment="1">
      <alignment horizontal="center"/>
    </xf>
    <xf numFmtId="182" fontId="3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5" fontId="26" fillId="0" borderId="0" xfId="0" applyNumberFormat="1" applyFont="1" applyAlignment="1" applyProtection="1">
      <alignment horizontal="center"/>
    </xf>
    <xf numFmtId="0" fontId="26" fillId="0" borderId="16" xfId="0" applyFont="1" applyBorder="1" applyAlignment="1">
      <alignment horizontal="center"/>
    </xf>
    <xf numFmtId="0" fontId="26" fillId="0" borderId="0" xfId="0" applyFont="1" applyAlignment="1">
      <alignment horizontal="right"/>
    </xf>
    <xf numFmtId="182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182" fontId="26" fillId="0" borderId="0" xfId="0" applyNumberFormat="1" applyFont="1"/>
    <xf numFmtId="183" fontId="26" fillId="0" borderId="0" xfId="0" applyNumberFormat="1" applyFont="1"/>
    <xf numFmtId="0" fontId="26" fillId="0" borderId="0" xfId="0" applyFont="1" applyFill="1" applyBorder="1" applyAlignment="1">
      <alignment horizontal="center"/>
    </xf>
    <xf numFmtId="172" fontId="3" fillId="0" borderId="0" xfId="6" applyNumberFormat="1" applyFont="1" applyAlignment="1">
      <alignment horizontal="center"/>
    </xf>
    <xf numFmtId="172" fontId="3" fillId="0" borderId="0" xfId="4" applyFont="1" applyFill="1" applyAlignment="1">
      <alignment horizontal="center"/>
    </xf>
    <xf numFmtId="0" fontId="16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9" fillId="0" borderId="0" xfId="0" applyFont="1" applyFill="1"/>
    <xf numFmtId="37" fontId="3" fillId="0" borderId="16" xfId="0" applyNumberFormat="1" applyFont="1" applyFill="1" applyBorder="1"/>
    <xf numFmtId="5" fontId="6" fillId="0" borderId="28" xfId="0" applyNumberFormat="1" applyFont="1" applyBorder="1"/>
    <xf numFmtId="0" fontId="6" fillId="0" borderId="0" xfId="0" quotePrefix="1" applyFont="1"/>
    <xf numFmtId="5" fontId="6" fillId="0" borderId="0" xfId="3" applyNumberFormat="1" applyFont="1"/>
    <xf numFmtId="37" fontId="6" fillId="0" borderId="0" xfId="0" applyNumberFormat="1" applyFont="1"/>
    <xf numFmtId="10" fontId="6" fillId="0" borderId="0" xfId="14" applyNumberFormat="1" applyFont="1"/>
    <xf numFmtId="0" fontId="2" fillId="0" borderId="0" xfId="0" applyFont="1" applyFill="1" applyBorder="1"/>
    <xf numFmtId="37" fontId="6" fillId="3" borderId="1" xfId="0" applyNumberFormat="1" applyFont="1" applyFill="1" applyBorder="1" applyAlignment="1">
      <alignment horizontal="center"/>
    </xf>
    <xf numFmtId="37" fontId="6" fillId="3" borderId="2" xfId="0" applyNumberFormat="1" applyFont="1" applyFill="1" applyBorder="1" applyAlignment="1">
      <alignment horizontal="center"/>
    </xf>
    <xf numFmtId="37" fontId="6" fillId="3" borderId="3" xfId="0" applyNumberFormat="1" applyFont="1" applyFill="1" applyBorder="1" applyAlignment="1">
      <alignment horizontal="center"/>
    </xf>
    <xf numFmtId="37" fontId="16" fillId="0" borderId="0" xfId="0" applyNumberFormat="1" applyFont="1" applyAlignment="1" applyProtection="1">
      <alignment horizontal="left" wrapText="1"/>
    </xf>
    <xf numFmtId="0" fontId="26" fillId="0" borderId="0" xfId="0" applyFont="1" applyAlignment="1">
      <alignment wrapText="1"/>
    </xf>
    <xf numFmtId="0" fontId="6" fillId="0" borderId="0" xfId="0" applyFont="1" applyBorder="1" applyAlignment="1">
      <alignment horizontal="center"/>
    </xf>
    <xf numFmtId="37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7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20">
    <cellStyle name="Comma" xfId="1" builtinId="3"/>
    <cellStyle name="Comma 10 2" xfId="13"/>
    <cellStyle name="Comma 11" xfId="11"/>
    <cellStyle name="Comma 2 2" xfId="10"/>
    <cellStyle name="Comma 3" xfId="7"/>
    <cellStyle name="Currency" xfId="3" builtinId="4"/>
    <cellStyle name="Normal" xfId="0" builtinId="0"/>
    <cellStyle name="Normal 32" xfId="18"/>
    <cellStyle name="Normal 33" xfId="19"/>
    <cellStyle name="Normal_186302" xfId="16"/>
    <cellStyle name="Normal_2007-08 Flowing dispatch" xfId="17"/>
    <cellStyle name="Normal_4qtr e-workpapers Gas Cost Deferral section pgs1-6" xfId="9"/>
    <cellStyle name="Normal_4th quarter corrections with staff expanded" xfId="6"/>
    <cellStyle name="Normal_4th quarter corrections with staff expanded 2" xfId="12"/>
    <cellStyle name="Normal_4th quarter corrections with staff expanded 2 3" xfId="8"/>
    <cellStyle name="Normal_4th quarter corrections with staff expanded 3" xfId="15"/>
    <cellStyle name="Normal_Deferred Accounts Summary 02qtr06" xfId="4"/>
    <cellStyle name="Normal_oregon technical incr for August 2002 filing" xfId="5"/>
    <cellStyle name="Percent" xfId="2" builtinId="5"/>
    <cellStyle name="Percent 3" xfId="14"/>
  </cellStyles>
  <dxfs count="12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f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_Affairs/PGA%20-%20WASHINGTON/2019/4%20-%20Gas%20Costs%20Development/NWN%202019-20%20PGA%20gas%20cost%20development%20file%20September%20filing_W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_Affairs/PGA%20-%20WASHINGTON/2019/5%20-%20Rate%20Development/Proposed_Temps_2019-2020_Washington_Sept_fil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_Affairs/PGA%20-%20WASHINGTON/2019/5%20-%20Rate%20Development/NWN%202019-20%20Washington%20PGA%20summary%20effects%20September%20fil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to current WA"/>
      <sheetName val="Winter WACOG WA"/>
      <sheetName val="Derivation of Demand rates WA"/>
      <sheetName val="Demand Charges"/>
      <sheetName val="Total Commodity Summary"/>
      <sheetName val="Commodity Cost from Vol Pipe"/>
      <sheetName val="Hedged Spot Dispatch &amp; Cost"/>
      <sheetName val="Commodity Cost from Supply"/>
      <sheetName val="Commodity Supply Dispatch"/>
      <sheetName val="download for JV28A"/>
      <sheetName val="Commodity Cost from Supply VERT"/>
      <sheetName val="Commodity Cost from Storage"/>
      <sheetName val="Storage Dispatch"/>
      <sheetName val="Index Prices"/>
      <sheetName val="Line loss"/>
      <sheetName val="Fuel factors"/>
      <sheetName val="General Inputs"/>
      <sheetName val="Spot contracts"/>
      <sheetName val="Supply Contr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E10">
            <v>4.1579999999999999E-2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A Summary"/>
      <sheetName val="WA Amort Rates  1819"/>
      <sheetName val="PGA Summary by Month"/>
      <sheetName val="186234 GREAT"/>
      <sheetName val="186235 GREAT AMORT"/>
      <sheetName val="186314 WA-LIEE"/>
      <sheetName val="186315 WA-LIEE  AMORT"/>
      <sheetName val="186310 Energy Eff General"/>
      <sheetName val="186312 Energy Eff Res &amp; Comm"/>
      <sheetName val="186311 Furnace Program"/>
      <sheetName val="186316 DSM Amort"/>
      <sheetName val="254307 PROP SALES"/>
      <sheetName val="254317 PROP SLS AMORT"/>
      <sheetName val="191420 Defer WACOG"/>
      <sheetName val="191421 Amort WACOG"/>
      <sheetName val="191430 Defer Demand"/>
      <sheetName val="191431 Amort Demand"/>
      <sheetName val="191432"/>
      <sheetName val="254302 Storage Shar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6">
          <cell r="E16">
            <v>572607</v>
          </cell>
        </row>
        <row r="28">
          <cell r="E28">
            <v>5713797</v>
          </cell>
        </row>
        <row r="40">
          <cell r="E40">
            <v>-2262733</v>
          </cell>
        </row>
        <row r="47">
          <cell r="E47">
            <v>4072328.88</v>
          </cell>
        </row>
        <row r="52">
          <cell r="E52">
            <v>4409571.21</v>
          </cell>
        </row>
        <row r="65">
          <cell r="E65">
            <v>2005890.9999999995</v>
          </cell>
        </row>
        <row r="77">
          <cell r="E77">
            <v>2015200.6750000003</v>
          </cell>
        </row>
        <row r="84">
          <cell r="E84">
            <v>4061107</v>
          </cell>
        </row>
        <row r="101">
          <cell r="E101">
            <v>436116</v>
          </cell>
        </row>
        <row r="113">
          <cell r="E113">
            <v>-2916751</v>
          </cell>
        </row>
      </sheetData>
      <sheetData sheetId="14"/>
      <sheetData sheetId="15">
        <row r="16">
          <cell r="E16">
            <v>-6815.73</v>
          </cell>
        </row>
        <row r="28">
          <cell r="E28">
            <v>-630795.54999999993</v>
          </cell>
        </row>
        <row r="40">
          <cell r="E40">
            <v>155793</v>
          </cell>
        </row>
        <row r="52">
          <cell r="E52">
            <v>165202.62999999966</v>
          </cell>
        </row>
        <row r="65">
          <cell r="E65">
            <v>-679617.74000000011</v>
          </cell>
        </row>
        <row r="77">
          <cell r="E77">
            <v>-374550.56</v>
          </cell>
        </row>
        <row r="101">
          <cell r="E101">
            <v>3932.9151639997581</v>
          </cell>
        </row>
        <row r="113">
          <cell r="E113">
            <v>919526.23519000201</v>
          </cell>
        </row>
      </sheetData>
      <sheetData sheetId="16"/>
      <sheetData sheetId="17">
        <row r="16">
          <cell r="E16">
            <v>80446.39</v>
          </cell>
        </row>
        <row r="28">
          <cell r="E28">
            <v>518825.06999999995</v>
          </cell>
        </row>
        <row r="40">
          <cell r="E40">
            <v>542317.63000000035</v>
          </cell>
        </row>
        <row r="45">
          <cell r="E45">
            <v>2012245.2499999998</v>
          </cell>
        </row>
      </sheetData>
      <sheetData sheetId="18">
        <row r="20">
          <cell r="E20">
            <v>826323.97</v>
          </cell>
        </row>
        <row r="32">
          <cell r="E32">
            <v>1219943.5699999998</v>
          </cell>
        </row>
        <row r="42">
          <cell r="E42">
            <v>1233337.7</v>
          </cell>
        </row>
        <row r="54">
          <cell r="E54">
            <v>1500827.06</v>
          </cell>
        </row>
        <row r="66">
          <cell r="E66">
            <v>1611884.3800000001</v>
          </cell>
        </row>
        <row r="78">
          <cell r="E78">
            <v>1222077.5699999998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4A PGA"/>
      <sheetName val="19-03 R&amp;C Eng. Effic."/>
      <sheetName val="19-04 GREAT &amp; WA-LIEE"/>
      <sheetName val="19-06 Sch. 201 &amp; 203"/>
      <sheetName val="19-05 HoldCo Credit"/>
      <sheetName val="19-07 Combined"/>
      <sheetName val="Revenue Senstive"/>
    </sheetNames>
    <sheetDataSet>
      <sheetData sheetId="0"/>
      <sheetData sheetId="1"/>
      <sheetData sheetId="2"/>
      <sheetData sheetId="3"/>
      <sheetData sheetId="4"/>
      <sheetData sheetId="5">
        <row r="32">
          <cell r="B32" t="str">
            <v>2018 Washington CBR Normalized Total Revenues</v>
          </cell>
          <cell r="F32">
            <v>66182522</v>
          </cell>
        </row>
      </sheetData>
      <sheetData sheetId="6">
        <row r="7">
          <cell r="D7">
            <v>548974.35362367227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5"/>
  <sheetViews>
    <sheetView showGridLines="0" tabSelected="1" zoomScaleNormal="100" workbookViewId="0">
      <selection activeCell="N29" sqref="N29"/>
    </sheetView>
  </sheetViews>
  <sheetFormatPr defaultColWidth="8" defaultRowHeight="13.2" x14ac:dyDescent="0.25"/>
  <cols>
    <col min="1" max="1" width="4.109375" style="4" customWidth="1"/>
    <col min="2" max="2" width="13" style="2" customWidth="1"/>
    <col min="3" max="3" width="8" style="2"/>
    <col min="4" max="4" width="12.6640625" style="2" customWidth="1"/>
    <col min="5" max="10" width="12.6640625" style="7" customWidth="1"/>
    <col min="11" max="18" width="13.5546875" style="4" customWidth="1"/>
    <col min="19" max="16384" width="8" style="4"/>
  </cols>
  <sheetData>
    <row r="1" spans="1:10" ht="13.8" x14ac:dyDescent="0.25">
      <c r="A1" s="1" t="s">
        <v>0</v>
      </c>
    </row>
    <row r="2" spans="1:10" ht="13.8" x14ac:dyDescent="0.25">
      <c r="A2" s="1" t="s">
        <v>1</v>
      </c>
    </row>
    <row r="3" spans="1:10" ht="13.8" x14ac:dyDescent="0.25">
      <c r="A3" s="1" t="s">
        <v>2</v>
      </c>
    </row>
    <row r="4" spans="1:10" ht="13.8" x14ac:dyDescent="0.25">
      <c r="A4" s="1" t="s">
        <v>88</v>
      </c>
    </row>
    <row r="6" spans="1:10" x14ac:dyDescent="0.25">
      <c r="A6" s="5"/>
      <c r="B6" s="6"/>
      <c r="C6" s="6"/>
      <c r="D6" s="79"/>
      <c r="E6" s="79"/>
      <c r="F6" s="85"/>
      <c r="H6" s="85"/>
    </row>
    <row r="7" spans="1:10" ht="12.75" customHeight="1" x14ac:dyDescent="0.25">
      <c r="A7" s="86">
        <v>1</v>
      </c>
      <c r="F7" s="85"/>
      <c r="G7" s="85"/>
    </row>
    <row r="8" spans="1:10" x14ac:dyDescent="0.25">
      <c r="A8" s="86">
        <v>2</v>
      </c>
      <c r="D8" s="88"/>
      <c r="E8" s="89"/>
      <c r="F8" s="85"/>
    </row>
    <row r="9" spans="1:10" x14ac:dyDescent="0.25">
      <c r="A9" s="86">
        <v>3</v>
      </c>
      <c r="D9" s="10" t="s">
        <v>89</v>
      </c>
      <c r="E9" s="87" t="s">
        <v>89</v>
      </c>
      <c r="F9" s="87" t="s">
        <v>90</v>
      </c>
      <c r="G9" s="87" t="s">
        <v>90</v>
      </c>
      <c r="H9" s="87" t="s">
        <v>90</v>
      </c>
      <c r="I9" s="87"/>
      <c r="J9" s="87"/>
    </row>
    <row r="10" spans="1:10" s="20" customFormat="1" ht="51.75" customHeight="1" thickBot="1" x14ac:dyDescent="0.3">
      <c r="A10" s="86">
        <v>4</v>
      </c>
      <c r="B10" s="2"/>
      <c r="C10" s="2"/>
      <c r="D10" s="90" t="s">
        <v>91</v>
      </c>
      <c r="E10" s="91" t="s">
        <v>92</v>
      </c>
      <c r="F10" s="91" t="s">
        <v>69</v>
      </c>
      <c r="G10" s="91" t="s">
        <v>93</v>
      </c>
      <c r="H10" s="91" t="s">
        <v>94</v>
      </c>
      <c r="I10" s="91" t="s">
        <v>95</v>
      </c>
      <c r="J10" s="91" t="s">
        <v>96</v>
      </c>
    </row>
    <row r="11" spans="1:10" s="20" customFormat="1" ht="12.75" customHeight="1" x14ac:dyDescent="0.25">
      <c r="A11" s="86">
        <v>5</v>
      </c>
      <c r="B11" s="2"/>
      <c r="C11" s="2"/>
      <c r="D11" s="21"/>
      <c r="E11" s="92"/>
      <c r="F11" s="92"/>
      <c r="G11" s="92"/>
      <c r="H11" s="93"/>
      <c r="I11" s="93" t="s">
        <v>97</v>
      </c>
      <c r="J11" s="93" t="s">
        <v>98</v>
      </c>
    </row>
    <row r="12" spans="1:10" s="20" customFormat="1" x14ac:dyDescent="0.25">
      <c r="A12" s="86">
        <v>6</v>
      </c>
      <c r="B12" s="25" t="s">
        <v>17</v>
      </c>
      <c r="C12" s="25" t="s">
        <v>18</v>
      </c>
      <c r="D12" s="26" t="s">
        <v>19</v>
      </c>
      <c r="E12" s="27"/>
      <c r="F12" s="27" t="s">
        <v>20</v>
      </c>
      <c r="G12" s="27" t="s">
        <v>21</v>
      </c>
      <c r="H12" s="27" t="s">
        <v>22</v>
      </c>
      <c r="I12" s="27" t="s">
        <v>23</v>
      </c>
      <c r="J12" s="27" t="s">
        <v>80</v>
      </c>
    </row>
    <row r="13" spans="1:10" x14ac:dyDescent="0.25">
      <c r="A13" s="86">
        <v>7</v>
      </c>
      <c r="B13" s="30" t="s">
        <v>35</v>
      </c>
      <c r="C13" s="31"/>
      <c r="D13" s="94">
        <v>9.8399999999999876E-3</v>
      </c>
      <c r="E13" s="94">
        <v>-5.3129999999999997E-2</v>
      </c>
      <c r="F13" s="94">
        <v>3.5499999999999997E-2</v>
      </c>
      <c r="G13" s="94">
        <v>-2.912E-2</v>
      </c>
      <c r="H13" s="94">
        <v>0</v>
      </c>
      <c r="I13" s="94">
        <v>6.3799999999999968E-3</v>
      </c>
      <c r="J13" s="94">
        <v>5.9509999999999993E-2</v>
      </c>
    </row>
    <row r="14" spans="1:10" x14ac:dyDescent="0.25">
      <c r="A14" s="86">
        <v>8</v>
      </c>
      <c r="B14" s="30" t="s">
        <v>36</v>
      </c>
      <c r="C14" s="31"/>
      <c r="D14" s="94">
        <v>-1.9999999999999879E-4</v>
      </c>
      <c r="E14" s="94">
        <v>-5.3129999999999997E-2</v>
      </c>
      <c r="F14" s="94">
        <v>3.5499999999999997E-2</v>
      </c>
      <c r="G14" s="94">
        <v>-2.912E-2</v>
      </c>
      <c r="H14" s="94">
        <v>0</v>
      </c>
      <c r="I14" s="94">
        <v>6.3799999999999968E-3</v>
      </c>
      <c r="J14" s="94">
        <v>5.9509999999999993E-2</v>
      </c>
    </row>
    <row r="15" spans="1:10" x14ac:dyDescent="0.25">
      <c r="A15" s="86">
        <v>9</v>
      </c>
      <c r="B15" s="30" t="s">
        <v>37</v>
      </c>
      <c r="C15" s="31"/>
      <c r="D15" s="94">
        <v>-1.3939999999999994E-2</v>
      </c>
      <c r="E15" s="94">
        <v>-5.3129999999999997E-2</v>
      </c>
      <c r="F15" s="94">
        <v>3.5499999999999997E-2</v>
      </c>
      <c r="G15" s="94">
        <v>-2.912E-2</v>
      </c>
      <c r="H15" s="94">
        <v>0</v>
      </c>
      <c r="I15" s="94">
        <v>6.3799999999999968E-3</v>
      </c>
      <c r="J15" s="94">
        <v>5.9509999999999993E-2</v>
      </c>
    </row>
    <row r="16" spans="1:10" x14ac:dyDescent="0.25">
      <c r="A16" s="86">
        <v>10</v>
      </c>
      <c r="B16" s="30" t="s">
        <v>38</v>
      </c>
      <c r="C16" s="31"/>
      <c r="D16" s="94">
        <v>-1.8099999999999991E-2</v>
      </c>
      <c r="E16" s="94">
        <v>-5.3129999999999997E-2</v>
      </c>
      <c r="F16" s="94">
        <v>3.5499999999999997E-2</v>
      </c>
      <c r="G16" s="94">
        <v>-2.912E-2</v>
      </c>
      <c r="H16" s="94">
        <v>0</v>
      </c>
      <c r="I16" s="94">
        <v>6.3799999999999968E-3</v>
      </c>
      <c r="J16" s="94">
        <v>5.9509999999999993E-2</v>
      </c>
    </row>
    <row r="17" spans="1:10" x14ac:dyDescent="0.25">
      <c r="A17" s="86">
        <v>11</v>
      </c>
      <c r="B17" s="30" t="s">
        <v>39</v>
      </c>
      <c r="C17" s="31"/>
      <c r="D17" s="94">
        <v>-4.8729999999999996E-2</v>
      </c>
      <c r="E17" s="94">
        <v>-5.3129999999999997E-2</v>
      </c>
      <c r="F17" s="94">
        <v>3.5499999999999997E-2</v>
      </c>
      <c r="G17" s="94">
        <v>-2.912E-2</v>
      </c>
      <c r="H17" s="94">
        <v>0</v>
      </c>
      <c r="I17" s="94">
        <v>6.3799999999999968E-3</v>
      </c>
      <c r="J17" s="94">
        <v>5.9509999999999993E-2</v>
      </c>
    </row>
    <row r="18" spans="1:10" x14ac:dyDescent="0.25">
      <c r="A18" s="86">
        <v>12</v>
      </c>
      <c r="B18" s="39">
        <v>27</v>
      </c>
      <c r="C18" s="40"/>
      <c r="D18" s="94">
        <v>-2.6839999999999999E-2</v>
      </c>
      <c r="E18" s="94">
        <v>-5.3129999999999997E-2</v>
      </c>
      <c r="F18" s="94">
        <v>3.5499999999999997E-2</v>
      </c>
      <c r="G18" s="94">
        <v>-2.912E-2</v>
      </c>
      <c r="H18" s="94">
        <v>0</v>
      </c>
      <c r="I18" s="94">
        <v>6.3799999999999968E-3</v>
      </c>
      <c r="J18" s="94">
        <v>5.9509999999999993E-2</v>
      </c>
    </row>
    <row r="19" spans="1:10" x14ac:dyDescent="0.25">
      <c r="A19" s="86">
        <v>13</v>
      </c>
      <c r="B19" s="41" t="s">
        <v>40</v>
      </c>
      <c r="C19" s="42" t="s">
        <v>41</v>
      </c>
      <c r="D19" s="95">
        <v>-2.5939999999999998E-2</v>
      </c>
      <c r="E19" s="95">
        <v>-5.3129999999999997E-2</v>
      </c>
      <c r="F19" s="95">
        <v>3.5499999999999997E-2</v>
      </c>
      <c r="G19" s="95">
        <v>-2.912E-2</v>
      </c>
      <c r="H19" s="95">
        <v>0</v>
      </c>
      <c r="I19" s="95">
        <v>6.3799999999999968E-3</v>
      </c>
      <c r="J19" s="95">
        <v>5.9509999999999993E-2</v>
      </c>
    </row>
    <row r="20" spans="1:10" x14ac:dyDescent="0.25">
      <c r="A20" s="86">
        <v>14</v>
      </c>
      <c r="B20" s="39"/>
      <c r="C20" s="45" t="s">
        <v>42</v>
      </c>
      <c r="D20" s="94">
        <v>-2.9169999999999995E-2</v>
      </c>
      <c r="E20" s="94">
        <v>-5.3129999999999997E-2</v>
      </c>
      <c r="F20" s="94">
        <v>3.5499999999999997E-2</v>
      </c>
      <c r="G20" s="94">
        <v>-2.912E-2</v>
      </c>
      <c r="H20" s="94">
        <v>0</v>
      </c>
      <c r="I20" s="94">
        <v>6.3799999999999968E-3</v>
      </c>
      <c r="J20" s="94">
        <v>5.9509999999999993E-2</v>
      </c>
    </row>
    <row r="21" spans="1:10" x14ac:dyDescent="0.25">
      <c r="A21" s="86">
        <v>15</v>
      </c>
      <c r="B21" s="41" t="s">
        <v>43</v>
      </c>
      <c r="C21" s="42" t="s">
        <v>41</v>
      </c>
      <c r="D21" s="95">
        <v>-9.779999999999997E-3</v>
      </c>
      <c r="E21" s="95">
        <v>-3.5659999999999997E-2</v>
      </c>
      <c r="F21" s="95">
        <v>3.5499999999999997E-2</v>
      </c>
      <c r="G21" s="95">
        <v>0</v>
      </c>
      <c r="H21" s="95">
        <v>-1.017E-2</v>
      </c>
      <c r="I21" s="95">
        <v>2.5329999999999998E-2</v>
      </c>
      <c r="J21" s="95">
        <v>6.0989999999999996E-2</v>
      </c>
    </row>
    <row r="22" spans="1:10" x14ac:dyDescent="0.25">
      <c r="A22" s="86">
        <v>16</v>
      </c>
      <c r="B22" s="39"/>
      <c r="C22" s="45" t="s">
        <v>42</v>
      </c>
      <c r="D22" s="94">
        <v>-1.286E-2</v>
      </c>
      <c r="E22" s="94">
        <v>-3.5659999999999997E-2</v>
      </c>
      <c r="F22" s="94">
        <v>3.5499999999999997E-2</v>
      </c>
      <c r="G22" s="94">
        <v>0</v>
      </c>
      <c r="H22" s="94">
        <v>-1.017E-2</v>
      </c>
      <c r="I22" s="94">
        <v>2.5329999999999998E-2</v>
      </c>
      <c r="J22" s="94">
        <v>6.0989999999999996E-2</v>
      </c>
    </row>
    <row r="23" spans="1:10" x14ac:dyDescent="0.25">
      <c r="A23" s="86">
        <v>17</v>
      </c>
      <c r="B23" s="41" t="s">
        <v>44</v>
      </c>
      <c r="C23" s="42" t="s">
        <v>41</v>
      </c>
      <c r="D23" s="95">
        <v>-5.8E-4</v>
      </c>
      <c r="E23" s="95">
        <v>0</v>
      </c>
      <c r="F23" s="95">
        <v>0</v>
      </c>
      <c r="G23" s="95">
        <v>0</v>
      </c>
      <c r="H23" s="95">
        <v>0</v>
      </c>
      <c r="I23" s="95">
        <v>0</v>
      </c>
      <c r="J23" s="95">
        <v>0</v>
      </c>
    </row>
    <row r="24" spans="1:10" x14ac:dyDescent="0.25">
      <c r="A24" s="86">
        <v>18</v>
      </c>
      <c r="B24" s="39"/>
      <c r="C24" s="45" t="s">
        <v>42</v>
      </c>
      <c r="D24" s="94">
        <v>-5.1000000000000004E-4</v>
      </c>
      <c r="E24" s="94">
        <v>0</v>
      </c>
      <c r="F24" s="94">
        <v>0</v>
      </c>
      <c r="G24" s="94">
        <v>0</v>
      </c>
      <c r="H24" s="94">
        <v>0</v>
      </c>
      <c r="I24" s="94">
        <v>0</v>
      </c>
      <c r="J24" s="94">
        <v>0</v>
      </c>
    </row>
    <row r="25" spans="1:10" x14ac:dyDescent="0.25">
      <c r="A25" s="86">
        <v>19</v>
      </c>
      <c r="B25" s="41" t="s">
        <v>45</v>
      </c>
      <c r="C25" s="42" t="s">
        <v>41</v>
      </c>
      <c r="D25" s="95">
        <v>-4.9319999999999996E-2</v>
      </c>
      <c r="E25" s="95">
        <v>-5.3129999999999997E-2</v>
      </c>
      <c r="F25" s="95">
        <v>3.5499999999999997E-2</v>
      </c>
      <c r="G25" s="95">
        <v>-2.912E-2</v>
      </c>
      <c r="H25" s="95">
        <v>0</v>
      </c>
      <c r="I25" s="95">
        <v>6.3799999999999968E-3</v>
      </c>
      <c r="J25" s="95">
        <v>5.9509999999999993E-2</v>
      </c>
    </row>
    <row r="26" spans="1:10" x14ac:dyDescent="0.25">
      <c r="A26" s="86">
        <v>20</v>
      </c>
      <c r="B26" s="39"/>
      <c r="C26" s="45" t="s">
        <v>42</v>
      </c>
      <c r="D26" s="94">
        <v>-4.9779999999999998E-2</v>
      </c>
      <c r="E26" s="94">
        <v>-5.3129999999999997E-2</v>
      </c>
      <c r="F26" s="94">
        <v>3.5499999999999997E-2</v>
      </c>
      <c r="G26" s="94">
        <v>-2.912E-2</v>
      </c>
      <c r="H26" s="94">
        <v>0</v>
      </c>
      <c r="I26" s="94">
        <v>6.3799999999999968E-3</v>
      </c>
      <c r="J26" s="94">
        <v>5.9509999999999993E-2</v>
      </c>
    </row>
    <row r="27" spans="1:10" x14ac:dyDescent="0.25">
      <c r="A27" s="86">
        <v>21</v>
      </c>
      <c r="B27" s="41" t="s">
        <v>46</v>
      </c>
      <c r="C27" s="42" t="s">
        <v>41</v>
      </c>
      <c r="D27" s="95">
        <v>-3.1969999999999998E-2</v>
      </c>
      <c r="E27" s="95">
        <v>-3.5659999999999997E-2</v>
      </c>
      <c r="F27" s="95">
        <v>3.5499999999999997E-2</v>
      </c>
      <c r="G27" s="95">
        <v>0</v>
      </c>
      <c r="H27" s="95">
        <v>-1.017E-2</v>
      </c>
      <c r="I27" s="95">
        <v>2.5329999999999998E-2</v>
      </c>
      <c r="J27" s="95">
        <v>6.0989999999999996E-2</v>
      </c>
    </row>
    <row r="28" spans="1:10" x14ac:dyDescent="0.25">
      <c r="A28" s="86">
        <v>22</v>
      </c>
      <c r="B28" s="39"/>
      <c r="C28" s="45" t="s">
        <v>42</v>
      </c>
      <c r="D28" s="94">
        <v>-3.2409999999999994E-2</v>
      </c>
      <c r="E28" s="94">
        <v>-3.5659999999999997E-2</v>
      </c>
      <c r="F28" s="94">
        <v>3.5499999999999997E-2</v>
      </c>
      <c r="G28" s="94">
        <v>0</v>
      </c>
      <c r="H28" s="94">
        <v>-1.017E-2</v>
      </c>
      <c r="I28" s="94">
        <v>2.5329999999999998E-2</v>
      </c>
      <c r="J28" s="94">
        <v>6.0989999999999996E-2</v>
      </c>
    </row>
    <row r="29" spans="1:10" x14ac:dyDescent="0.25">
      <c r="A29" s="86">
        <v>23</v>
      </c>
      <c r="B29" s="41" t="s">
        <v>47</v>
      </c>
      <c r="C29" s="42" t="s">
        <v>41</v>
      </c>
      <c r="D29" s="95">
        <v>-3.7989999999999996E-2</v>
      </c>
      <c r="E29" s="95">
        <v>-5.3129999999999997E-2</v>
      </c>
      <c r="F29" s="95">
        <v>3.5499999999999997E-2</v>
      </c>
      <c r="G29" s="95">
        <v>-2.912E-2</v>
      </c>
      <c r="H29" s="95">
        <v>0</v>
      </c>
      <c r="I29" s="95">
        <v>6.3799999999999968E-3</v>
      </c>
      <c r="J29" s="95">
        <v>5.9509999999999993E-2</v>
      </c>
    </row>
    <row r="30" spans="1:10" x14ac:dyDescent="0.25">
      <c r="A30" s="86">
        <v>24</v>
      </c>
      <c r="B30" s="41"/>
      <c r="C30" s="42" t="s">
        <v>42</v>
      </c>
      <c r="D30" s="95">
        <v>-3.9579999999999997E-2</v>
      </c>
      <c r="E30" s="95">
        <v>-5.3129999999999997E-2</v>
      </c>
      <c r="F30" s="95">
        <v>3.5499999999999997E-2</v>
      </c>
      <c r="G30" s="95">
        <v>-2.912E-2</v>
      </c>
      <c r="H30" s="95">
        <v>0</v>
      </c>
      <c r="I30" s="95">
        <v>6.3799999999999968E-3</v>
      </c>
      <c r="J30" s="95">
        <v>5.9509999999999993E-2</v>
      </c>
    </row>
    <row r="31" spans="1:10" x14ac:dyDescent="0.25">
      <c r="A31" s="86">
        <v>25</v>
      </c>
      <c r="B31" s="41"/>
      <c r="C31" s="42" t="s">
        <v>48</v>
      </c>
      <c r="D31" s="95">
        <v>-4.2729999999999997E-2</v>
      </c>
      <c r="E31" s="95">
        <v>-5.3129999999999997E-2</v>
      </c>
      <c r="F31" s="95">
        <v>3.5499999999999997E-2</v>
      </c>
      <c r="G31" s="95">
        <v>-2.912E-2</v>
      </c>
      <c r="H31" s="95">
        <v>0</v>
      </c>
      <c r="I31" s="95">
        <v>6.3799999999999968E-3</v>
      </c>
      <c r="J31" s="95">
        <v>5.9509999999999993E-2</v>
      </c>
    </row>
    <row r="32" spans="1:10" x14ac:dyDescent="0.25">
      <c r="A32" s="86">
        <v>26</v>
      </c>
      <c r="B32" s="41"/>
      <c r="C32" s="42" t="s">
        <v>49</v>
      </c>
      <c r="D32" s="95">
        <v>-4.4809999999999996E-2</v>
      </c>
      <c r="E32" s="95">
        <v>-5.3129999999999997E-2</v>
      </c>
      <c r="F32" s="95">
        <v>3.5499999999999997E-2</v>
      </c>
      <c r="G32" s="95">
        <v>-2.912E-2</v>
      </c>
      <c r="H32" s="95">
        <v>0</v>
      </c>
      <c r="I32" s="95">
        <v>6.3799999999999968E-3</v>
      </c>
      <c r="J32" s="95">
        <v>5.9509999999999993E-2</v>
      </c>
    </row>
    <row r="33" spans="1:10" x14ac:dyDescent="0.25">
      <c r="A33" s="86">
        <v>27</v>
      </c>
      <c r="B33" s="41"/>
      <c r="C33" s="42" t="s">
        <v>50</v>
      </c>
      <c r="D33" s="95">
        <v>-4.7589999999999993E-2</v>
      </c>
      <c r="E33" s="95">
        <v>-5.3129999999999997E-2</v>
      </c>
      <c r="F33" s="95">
        <v>3.5499999999999997E-2</v>
      </c>
      <c r="G33" s="95">
        <v>-2.912E-2</v>
      </c>
      <c r="H33" s="95">
        <v>0</v>
      </c>
      <c r="I33" s="95">
        <v>6.3799999999999968E-3</v>
      </c>
      <c r="J33" s="95">
        <v>5.9509999999999993E-2</v>
      </c>
    </row>
    <row r="34" spans="1:10" x14ac:dyDescent="0.25">
      <c r="A34" s="86">
        <v>28</v>
      </c>
      <c r="B34" s="39"/>
      <c r="C34" s="45" t="s">
        <v>51</v>
      </c>
      <c r="D34" s="94">
        <v>-5.1049999999999998E-2</v>
      </c>
      <c r="E34" s="94">
        <v>-5.3129999999999997E-2</v>
      </c>
      <c r="F34" s="94">
        <v>3.5499999999999997E-2</v>
      </c>
      <c r="G34" s="94">
        <v>-2.912E-2</v>
      </c>
      <c r="H34" s="94">
        <v>0</v>
      </c>
      <c r="I34" s="94">
        <v>6.3799999999999968E-3</v>
      </c>
      <c r="J34" s="94">
        <v>5.9509999999999993E-2</v>
      </c>
    </row>
    <row r="35" spans="1:10" x14ac:dyDescent="0.25">
      <c r="A35" s="86">
        <v>29</v>
      </c>
      <c r="B35" s="41" t="s">
        <v>52</v>
      </c>
      <c r="C35" s="42" t="s">
        <v>41</v>
      </c>
      <c r="D35" s="95">
        <v>-5.0869999999999999E-2</v>
      </c>
      <c r="E35" s="95">
        <v>-5.3129999999999997E-2</v>
      </c>
      <c r="F35" s="95">
        <v>3.5499999999999997E-2</v>
      </c>
      <c r="G35" s="95">
        <v>-2.912E-2</v>
      </c>
      <c r="H35" s="95">
        <v>0</v>
      </c>
      <c r="I35" s="95">
        <v>6.3799999999999968E-3</v>
      </c>
      <c r="J35" s="95">
        <v>5.9509999999999993E-2</v>
      </c>
    </row>
    <row r="36" spans="1:10" x14ac:dyDescent="0.25">
      <c r="A36" s="86">
        <v>30</v>
      </c>
      <c r="B36" s="41"/>
      <c r="C36" s="42" t="s">
        <v>42</v>
      </c>
      <c r="D36" s="95">
        <v>-5.11E-2</v>
      </c>
      <c r="E36" s="95">
        <v>-5.3129999999999997E-2</v>
      </c>
      <c r="F36" s="95">
        <v>3.5499999999999997E-2</v>
      </c>
      <c r="G36" s="95">
        <v>-2.912E-2</v>
      </c>
      <c r="H36" s="95">
        <v>0</v>
      </c>
      <c r="I36" s="95">
        <v>6.3799999999999968E-3</v>
      </c>
      <c r="J36" s="95">
        <v>5.9509999999999993E-2</v>
      </c>
    </row>
    <row r="37" spans="1:10" x14ac:dyDescent="0.25">
      <c r="A37" s="86">
        <v>31</v>
      </c>
      <c r="B37" s="41"/>
      <c r="C37" s="42" t="s">
        <v>48</v>
      </c>
      <c r="D37" s="95">
        <v>-5.1579999999999994E-2</v>
      </c>
      <c r="E37" s="95">
        <v>-5.3129999999999997E-2</v>
      </c>
      <c r="F37" s="95">
        <v>3.5499999999999997E-2</v>
      </c>
      <c r="G37" s="95">
        <v>-2.912E-2</v>
      </c>
      <c r="H37" s="95">
        <v>0</v>
      </c>
      <c r="I37" s="95">
        <v>6.3799999999999968E-3</v>
      </c>
      <c r="J37" s="95">
        <v>5.9509999999999993E-2</v>
      </c>
    </row>
    <row r="38" spans="1:10" x14ac:dyDescent="0.25">
      <c r="A38" s="86">
        <v>32</v>
      </c>
      <c r="B38" s="41"/>
      <c r="C38" s="42" t="s">
        <v>49</v>
      </c>
      <c r="D38" s="95">
        <v>-5.1889999999999999E-2</v>
      </c>
      <c r="E38" s="95">
        <v>-5.3129999999999997E-2</v>
      </c>
      <c r="F38" s="95">
        <v>3.5499999999999997E-2</v>
      </c>
      <c r="G38" s="95">
        <v>-2.912E-2</v>
      </c>
      <c r="H38" s="95">
        <v>0</v>
      </c>
      <c r="I38" s="95">
        <v>6.3799999999999968E-3</v>
      </c>
      <c r="J38" s="95">
        <v>5.9509999999999993E-2</v>
      </c>
    </row>
    <row r="39" spans="1:10" x14ac:dyDescent="0.25">
      <c r="A39" s="86">
        <v>33</v>
      </c>
      <c r="B39" s="41"/>
      <c r="C39" s="42" t="s">
        <v>50</v>
      </c>
      <c r="D39" s="95">
        <v>-5.2299999999999999E-2</v>
      </c>
      <c r="E39" s="95">
        <v>-5.3129999999999997E-2</v>
      </c>
      <c r="F39" s="95">
        <v>3.5499999999999997E-2</v>
      </c>
      <c r="G39" s="95">
        <v>-2.912E-2</v>
      </c>
      <c r="H39" s="95">
        <v>0</v>
      </c>
      <c r="I39" s="95">
        <v>6.3799999999999968E-3</v>
      </c>
      <c r="J39" s="95">
        <v>5.9509999999999993E-2</v>
      </c>
    </row>
    <row r="40" spans="1:10" x14ac:dyDescent="0.25">
      <c r="A40" s="86">
        <v>34</v>
      </c>
      <c r="B40" s="39"/>
      <c r="C40" s="45" t="s">
        <v>51</v>
      </c>
      <c r="D40" s="94">
        <v>-5.2809999999999996E-2</v>
      </c>
      <c r="E40" s="94">
        <v>-5.3129999999999997E-2</v>
      </c>
      <c r="F40" s="94">
        <v>3.5499999999999997E-2</v>
      </c>
      <c r="G40" s="94">
        <v>-2.912E-2</v>
      </c>
      <c r="H40" s="94">
        <v>0</v>
      </c>
      <c r="I40" s="94">
        <v>6.3799999999999968E-3</v>
      </c>
      <c r="J40" s="94">
        <v>5.9509999999999993E-2</v>
      </c>
    </row>
    <row r="41" spans="1:10" x14ac:dyDescent="0.25">
      <c r="A41" s="86">
        <v>35</v>
      </c>
      <c r="B41" s="41" t="s">
        <v>53</v>
      </c>
      <c r="C41" s="42" t="s">
        <v>41</v>
      </c>
      <c r="D41" s="95">
        <v>-2.3000000000000001E-4</v>
      </c>
      <c r="E41" s="95">
        <v>0</v>
      </c>
      <c r="F41" s="95">
        <v>0</v>
      </c>
      <c r="G41" s="95">
        <v>0</v>
      </c>
      <c r="H41" s="95">
        <v>0</v>
      </c>
      <c r="I41" s="95">
        <v>0</v>
      </c>
      <c r="J41" s="95">
        <v>0</v>
      </c>
    </row>
    <row r="42" spans="1:10" x14ac:dyDescent="0.25">
      <c r="A42" s="86">
        <v>36</v>
      </c>
      <c r="B42" s="41"/>
      <c r="C42" s="42" t="s">
        <v>42</v>
      </c>
      <c r="D42" s="95">
        <v>-2.1000000000000001E-4</v>
      </c>
      <c r="E42" s="95">
        <v>0</v>
      </c>
      <c r="F42" s="95">
        <v>0</v>
      </c>
      <c r="G42" s="95">
        <v>0</v>
      </c>
      <c r="H42" s="95">
        <v>0</v>
      </c>
      <c r="I42" s="95">
        <v>0</v>
      </c>
      <c r="J42" s="95">
        <v>0</v>
      </c>
    </row>
    <row r="43" spans="1:10" x14ac:dyDescent="0.25">
      <c r="A43" s="86">
        <v>37</v>
      </c>
      <c r="B43" s="41"/>
      <c r="C43" s="42" t="s">
        <v>48</v>
      </c>
      <c r="D43" s="95">
        <v>-1.6000000000000001E-4</v>
      </c>
      <c r="E43" s="95">
        <v>0</v>
      </c>
      <c r="F43" s="95">
        <v>0</v>
      </c>
      <c r="G43" s="95">
        <v>0</v>
      </c>
      <c r="H43" s="95">
        <v>0</v>
      </c>
      <c r="I43" s="95">
        <v>0</v>
      </c>
      <c r="J43" s="95">
        <v>0</v>
      </c>
    </row>
    <row r="44" spans="1:10" x14ac:dyDescent="0.25">
      <c r="A44" s="86">
        <v>38</v>
      </c>
      <c r="B44" s="41"/>
      <c r="C44" s="42" t="s">
        <v>49</v>
      </c>
      <c r="D44" s="95">
        <v>-1.2999999999999999E-4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</row>
    <row r="45" spans="1:10" x14ac:dyDescent="0.25">
      <c r="A45" s="86">
        <v>39</v>
      </c>
      <c r="B45" s="41"/>
      <c r="C45" s="42" t="s">
        <v>50</v>
      </c>
      <c r="D45" s="95">
        <v>-9.0000000000000006E-5</v>
      </c>
      <c r="E45" s="95">
        <v>0</v>
      </c>
      <c r="F45" s="95">
        <v>0</v>
      </c>
      <c r="G45" s="95">
        <v>0</v>
      </c>
      <c r="H45" s="95">
        <v>0</v>
      </c>
      <c r="I45" s="95">
        <v>0</v>
      </c>
      <c r="J45" s="95">
        <v>0</v>
      </c>
    </row>
    <row r="46" spans="1:10" x14ac:dyDescent="0.25">
      <c r="A46" s="86">
        <v>40</v>
      </c>
      <c r="B46" s="39"/>
      <c r="C46" s="45" t="s">
        <v>51</v>
      </c>
      <c r="D46" s="94">
        <v>-3.0000000000000001E-5</v>
      </c>
      <c r="E46" s="94">
        <v>0</v>
      </c>
      <c r="F46" s="94">
        <v>0</v>
      </c>
      <c r="G46" s="94">
        <v>0</v>
      </c>
      <c r="H46" s="94">
        <v>0</v>
      </c>
      <c r="I46" s="94">
        <v>0</v>
      </c>
      <c r="J46" s="94">
        <v>0</v>
      </c>
    </row>
    <row r="47" spans="1:10" x14ac:dyDescent="0.25">
      <c r="A47" s="86">
        <v>41</v>
      </c>
      <c r="B47" s="41" t="s">
        <v>54</v>
      </c>
      <c r="C47" s="42" t="s">
        <v>41</v>
      </c>
      <c r="D47" s="95">
        <v>-2.3139999999999997E-2</v>
      </c>
      <c r="E47" s="95">
        <v>-3.5659999999999997E-2</v>
      </c>
      <c r="F47" s="95">
        <v>3.5499999999999997E-2</v>
      </c>
      <c r="G47" s="95">
        <v>0</v>
      </c>
      <c r="H47" s="95">
        <v>-1.017E-2</v>
      </c>
      <c r="I47" s="95">
        <v>2.5329999999999998E-2</v>
      </c>
      <c r="J47" s="95">
        <v>6.0989999999999996E-2</v>
      </c>
    </row>
    <row r="48" spans="1:10" x14ac:dyDescent="0.25">
      <c r="A48" s="86">
        <v>42</v>
      </c>
      <c r="B48" s="41"/>
      <c r="C48" s="42" t="s">
        <v>42</v>
      </c>
      <c r="D48" s="95">
        <v>-2.445E-2</v>
      </c>
      <c r="E48" s="95">
        <v>-3.5659999999999997E-2</v>
      </c>
      <c r="F48" s="95">
        <v>3.5499999999999997E-2</v>
      </c>
      <c r="G48" s="95">
        <v>0</v>
      </c>
      <c r="H48" s="95">
        <v>-1.017E-2</v>
      </c>
      <c r="I48" s="95">
        <v>2.5329999999999998E-2</v>
      </c>
      <c r="J48" s="95">
        <v>6.0989999999999996E-2</v>
      </c>
    </row>
    <row r="49" spans="1:10" x14ac:dyDescent="0.25">
      <c r="A49" s="86">
        <v>43</v>
      </c>
      <c r="B49" s="41"/>
      <c r="C49" s="42" t="s">
        <v>48</v>
      </c>
      <c r="D49" s="95">
        <v>-2.7069999999999997E-2</v>
      </c>
      <c r="E49" s="95">
        <v>-3.5659999999999997E-2</v>
      </c>
      <c r="F49" s="95">
        <v>3.5499999999999997E-2</v>
      </c>
      <c r="G49" s="95">
        <v>0</v>
      </c>
      <c r="H49" s="95">
        <v>-1.017E-2</v>
      </c>
      <c r="I49" s="95">
        <v>2.5329999999999998E-2</v>
      </c>
      <c r="J49" s="95">
        <v>6.0989999999999996E-2</v>
      </c>
    </row>
    <row r="50" spans="1:10" x14ac:dyDescent="0.25">
      <c r="A50" s="86">
        <v>44</v>
      </c>
      <c r="B50" s="41"/>
      <c r="C50" s="42" t="s">
        <v>49</v>
      </c>
      <c r="D50" s="95">
        <v>-2.8779999999999997E-2</v>
      </c>
      <c r="E50" s="95">
        <v>-3.5659999999999997E-2</v>
      </c>
      <c r="F50" s="95">
        <v>3.5499999999999997E-2</v>
      </c>
      <c r="G50" s="95">
        <v>0</v>
      </c>
      <c r="H50" s="95">
        <v>-1.017E-2</v>
      </c>
      <c r="I50" s="95">
        <v>2.5329999999999998E-2</v>
      </c>
      <c r="J50" s="95">
        <v>6.0989999999999996E-2</v>
      </c>
    </row>
    <row r="51" spans="1:10" x14ac:dyDescent="0.25">
      <c r="A51" s="86">
        <v>45</v>
      </c>
      <c r="B51" s="41"/>
      <c r="C51" s="42" t="s">
        <v>50</v>
      </c>
      <c r="D51" s="95">
        <v>-3.1079999999999997E-2</v>
      </c>
      <c r="E51" s="95">
        <v>-3.5659999999999997E-2</v>
      </c>
      <c r="F51" s="95">
        <v>3.5499999999999997E-2</v>
      </c>
      <c r="G51" s="95">
        <v>0</v>
      </c>
      <c r="H51" s="95">
        <v>-1.017E-2</v>
      </c>
      <c r="I51" s="95">
        <v>2.5329999999999998E-2</v>
      </c>
      <c r="J51" s="95">
        <v>6.0989999999999996E-2</v>
      </c>
    </row>
    <row r="52" spans="1:10" x14ac:dyDescent="0.25">
      <c r="A52" s="86">
        <v>46</v>
      </c>
      <c r="B52" s="39"/>
      <c r="C52" s="45" t="s">
        <v>51</v>
      </c>
      <c r="D52" s="94">
        <v>-3.3939999999999998E-2</v>
      </c>
      <c r="E52" s="94">
        <v>-3.5659999999999997E-2</v>
      </c>
      <c r="F52" s="94">
        <v>3.5499999999999997E-2</v>
      </c>
      <c r="G52" s="94">
        <v>0</v>
      </c>
      <c r="H52" s="94">
        <v>-1.017E-2</v>
      </c>
      <c r="I52" s="94">
        <v>2.5329999999999998E-2</v>
      </c>
      <c r="J52" s="94">
        <v>6.0989999999999996E-2</v>
      </c>
    </row>
    <row r="53" spans="1:10" x14ac:dyDescent="0.25">
      <c r="A53" s="86">
        <v>47</v>
      </c>
      <c r="B53" s="41" t="s">
        <v>55</v>
      </c>
      <c r="C53" s="42" t="s">
        <v>41</v>
      </c>
      <c r="D53" s="95">
        <v>-3.3389999999999996E-2</v>
      </c>
      <c r="E53" s="95">
        <v>-3.5659999999999997E-2</v>
      </c>
      <c r="F53" s="95">
        <v>3.5499999999999997E-2</v>
      </c>
      <c r="G53" s="95">
        <v>0</v>
      </c>
      <c r="H53" s="95">
        <v>-1.017E-2</v>
      </c>
      <c r="I53" s="95">
        <v>2.5329999999999998E-2</v>
      </c>
      <c r="J53" s="95">
        <v>6.0989999999999996E-2</v>
      </c>
    </row>
    <row r="54" spans="1:10" x14ac:dyDescent="0.25">
      <c r="A54" s="86">
        <v>48</v>
      </c>
      <c r="B54" s="41"/>
      <c r="C54" s="42" t="s">
        <v>42</v>
      </c>
      <c r="D54" s="95">
        <v>-3.363E-2</v>
      </c>
      <c r="E54" s="95">
        <v>-3.5659999999999997E-2</v>
      </c>
      <c r="F54" s="95">
        <v>3.5499999999999997E-2</v>
      </c>
      <c r="G54" s="95">
        <v>0</v>
      </c>
      <c r="H54" s="95">
        <v>-1.017E-2</v>
      </c>
      <c r="I54" s="95">
        <v>2.5329999999999998E-2</v>
      </c>
      <c r="J54" s="95">
        <v>6.0989999999999996E-2</v>
      </c>
    </row>
    <row r="55" spans="1:10" x14ac:dyDescent="0.25">
      <c r="A55" s="86">
        <v>49</v>
      </c>
      <c r="B55" s="41"/>
      <c r="C55" s="42" t="s">
        <v>48</v>
      </c>
      <c r="D55" s="95">
        <v>-3.4099999999999998E-2</v>
      </c>
      <c r="E55" s="95">
        <v>-3.5659999999999997E-2</v>
      </c>
      <c r="F55" s="95">
        <v>3.5499999999999997E-2</v>
      </c>
      <c r="G55" s="95">
        <v>0</v>
      </c>
      <c r="H55" s="95">
        <v>-1.017E-2</v>
      </c>
      <c r="I55" s="95">
        <v>2.5329999999999998E-2</v>
      </c>
      <c r="J55" s="95">
        <v>6.0989999999999996E-2</v>
      </c>
    </row>
    <row r="56" spans="1:10" x14ac:dyDescent="0.25">
      <c r="A56" s="86">
        <v>50</v>
      </c>
      <c r="B56" s="41"/>
      <c r="C56" s="42" t="s">
        <v>49</v>
      </c>
      <c r="D56" s="95">
        <v>-3.4409999999999996E-2</v>
      </c>
      <c r="E56" s="95">
        <v>-3.5659999999999997E-2</v>
      </c>
      <c r="F56" s="95">
        <v>3.5499999999999997E-2</v>
      </c>
      <c r="G56" s="95">
        <v>0</v>
      </c>
      <c r="H56" s="95">
        <v>-1.017E-2</v>
      </c>
      <c r="I56" s="95">
        <v>2.5329999999999998E-2</v>
      </c>
      <c r="J56" s="95">
        <v>6.0989999999999996E-2</v>
      </c>
    </row>
    <row r="57" spans="1:10" x14ac:dyDescent="0.25">
      <c r="A57" s="86">
        <v>51</v>
      </c>
      <c r="B57" s="41"/>
      <c r="C57" s="42" t="s">
        <v>50</v>
      </c>
      <c r="D57" s="95">
        <v>-3.483E-2</v>
      </c>
      <c r="E57" s="95">
        <v>-3.5659999999999997E-2</v>
      </c>
      <c r="F57" s="95">
        <v>3.5499999999999997E-2</v>
      </c>
      <c r="G57" s="95">
        <v>0</v>
      </c>
      <c r="H57" s="95">
        <v>-1.017E-2</v>
      </c>
      <c r="I57" s="95">
        <v>2.5329999999999998E-2</v>
      </c>
      <c r="J57" s="95">
        <v>6.0989999999999996E-2</v>
      </c>
    </row>
    <row r="58" spans="1:10" x14ac:dyDescent="0.25">
      <c r="A58" s="86">
        <v>52</v>
      </c>
      <c r="B58" s="39"/>
      <c r="C58" s="45" t="s">
        <v>51</v>
      </c>
      <c r="D58" s="94">
        <v>-3.5339999999999996E-2</v>
      </c>
      <c r="E58" s="94">
        <v>-3.5659999999999997E-2</v>
      </c>
      <c r="F58" s="94">
        <v>3.5499999999999997E-2</v>
      </c>
      <c r="G58" s="94">
        <v>0</v>
      </c>
      <c r="H58" s="94">
        <v>-1.017E-2</v>
      </c>
      <c r="I58" s="94">
        <v>2.5329999999999998E-2</v>
      </c>
      <c r="J58" s="94">
        <v>6.0989999999999996E-2</v>
      </c>
    </row>
    <row r="59" spans="1:10" x14ac:dyDescent="0.25">
      <c r="A59" s="86">
        <v>53</v>
      </c>
      <c r="B59" s="41" t="s">
        <v>56</v>
      </c>
      <c r="C59" s="42" t="s">
        <v>41</v>
      </c>
      <c r="D59" s="95">
        <v>-2.1000000000000001E-4</v>
      </c>
      <c r="E59" s="95">
        <v>0</v>
      </c>
      <c r="F59" s="95">
        <v>0</v>
      </c>
      <c r="G59" s="95">
        <v>0</v>
      </c>
      <c r="H59" s="95">
        <v>0</v>
      </c>
      <c r="I59" s="95">
        <v>0</v>
      </c>
      <c r="J59" s="95">
        <v>0</v>
      </c>
    </row>
    <row r="60" spans="1:10" x14ac:dyDescent="0.25">
      <c r="A60" s="86">
        <v>54</v>
      </c>
      <c r="B60" s="41"/>
      <c r="C60" s="42" t="s">
        <v>42</v>
      </c>
      <c r="D60" s="95">
        <v>-1.9000000000000001E-4</v>
      </c>
      <c r="E60" s="95">
        <v>0</v>
      </c>
      <c r="F60" s="95">
        <v>0</v>
      </c>
      <c r="G60" s="95">
        <v>0</v>
      </c>
      <c r="H60" s="95">
        <v>0</v>
      </c>
      <c r="I60" s="95">
        <v>0</v>
      </c>
      <c r="J60" s="95">
        <v>0</v>
      </c>
    </row>
    <row r="61" spans="1:10" x14ac:dyDescent="0.25">
      <c r="A61" s="86">
        <v>55</v>
      </c>
      <c r="B61" s="41"/>
      <c r="C61" s="42" t="s">
        <v>48</v>
      </c>
      <c r="D61" s="95">
        <v>-1.3999999999999999E-4</v>
      </c>
      <c r="E61" s="95">
        <v>0</v>
      </c>
      <c r="F61" s="95">
        <v>0</v>
      </c>
      <c r="G61" s="95">
        <v>0</v>
      </c>
      <c r="H61" s="95">
        <v>0</v>
      </c>
      <c r="I61" s="95">
        <v>0</v>
      </c>
      <c r="J61" s="95">
        <v>0</v>
      </c>
    </row>
    <row r="62" spans="1:10" x14ac:dyDescent="0.25">
      <c r="A62" s="86">
        <v>56</v>
      </c>
      <c r="B62" s="41"/>
      <c r="C62" s="42" t="s">
        <v>49</v>
      </c>
      <c r="D62" s="95">
        <v>-1.1E-4</v>
      </c>
      <c r="E62" s="95">
        <v>0</v>
      </c>
      <c r="F62" s="95">
        <v>0</v>
      </c>
      <c r="G62" s="95">
        <v>0</v>
      </c>
      <c r="H62" s="95">
        <v>0</v>
      </c>
      <c r="I62" s="95">
        <v>0</v>
      </c>
      <c r="J62" s="95">
        <v>0</v>
      </c>
    </row>
    <row r="63" spans="1:10" x14ac:dyDescent="0.25">
      <c r="A63" s="86">
        <v>57</v>
      </c>
      <c r="B63" s="41"/>
      <c r="C63" s="42" t="s">
        <v>50</v>
      </c>
      <c r="D63" s="95">
        <v>-8.0000000000000007E-5</v>
      </c>
      <c r="E63" s="95">
        <v>0</v>
      </c>
      <c r="F63" s="95">
        <v>0</v>
      </c>
      <c r="G63" s="95">
        <v>0</v>
      </c>
      <c r="H63" s="95">
        <v>0</v>
      </c>
      <c r="I63" s="95">
        <v>0</v>
      </c>
      <c r="J63" s="95">
        <v>0</v>
      </c>
    </row>
    <row r="64" spans="1:10" x14ac:dyDescent="0.25">
      <c r="A64" s="86">
        <v>58</v>
      </c>
      <c r="B64" s="39"/>
      <c r="C64" s="45" t="s">
        <v>51</v>
      </c>
      <c r="D64" s="94">
        <v>-3.0000000000000001E-5</v>
      </c>
      <c r="E64" s="94">
        <v>0</v>
      </c>
      <c r="F64" s="94">
        <v>0</v>
      </c>
      <c r="G64" s="94">
        <v>0</v>
      </c>
      <c r="H64" s="94">
        <v>0</v>
      </c>
      <c r="I64" s="94">
        <v>0</v>
      </c>
      <c r="J64" s="94">
        <v>0</v>
      </c>
    </row>
    <row r="65" spans="1:10" x14ac:dyDescent="0.25">
      <c r="A65" s="86">
        <v>59</v>
      </c>
      <c r="B65" s="39" t="s">
        <v>57</v>
      </c>
      <c r="C65" s="40"/>
      <c r="D65" s="96">
        <v>-1.0000000000000001E-5</v>
      </c>
      <c r="E65" s="96">
        <v>0</v>
      </c>
      <c r="F65" s="96">
        <v>0</v>
      </c>
      <c r="G65" s="96">
        <v>0</v>
      </c>
      <c r="H65" s="96">
        <v>0</v>
      </c>
      <c r="I65" s="96">
        <v>0</v>
      </c>
      <c r="J65" s="96">
        <v>0</v>
      </c>
    </row>
    <row r="66" spans="1:10" x14ac:dyDescent="0.25">
      <c r="A66" s="86">
        <v>60</v>
      </c>
      <c r="B66" s="30" t="s">
        <v>58</v>
      </c>
      <c r="C66" s="31"/>
      <c r="D66" s="97">
        <v>-1.0000000000000001E-5</v>
      </c>
      <c r="E66" s="97">
        <v>0</v>
      </c>
      <c r="F66" s="97">
        <v>0</v>
      </c>
      <c r="G66" s="97">
        <v>0</v>
      </c>
      <c r="H66" s="97">
        <v>0</v>
      </c>
      <c r="I66" s="97">
        <v>0</v>
      </c>
      <c r="J66" s="97">
        <v>0</v>
      </c>
    </row>
    <row r="67" spans="1:10" x14ac:dyDescent="0.25">
      <c r="A67" s="86">
        <v>61</v>
      </c>
      <c r="B67" s="51" t="s">
        <v>59</v>
      </c>
      <c r="C67" s="31"/>
      <c r="D67" s="99"/>
      <c r="E67" s="97"/>
      <c r="F67" s="98"/>
      <c r="G67" s="98"/>
      <c r="H67" s="97"/>
      <c r="I67" s="97"/>
      <c r="J67" s="97"/>
    </row>
    <row r="68" spans="1:10" x14ac:dyDescent="0.25">
      <c r="A68" s="86">
        <v>62</v>
      </c>
    </row>
    <row r="69" spans="1:10" ht="13.8" thickBot="1" x14ac:dyDescent="0.3">
      <c r="A69" s="86">
        <v>63</v>
      </c>
      <c r="B69" s="53" t="s">
        <v>99</v>
      </c>
    </row>
    <row r="70" spans="1:10" ht="13.8" thickBot="1" x14ac:dyDescent="0.3">
      <c r="A70" s="86">
        <v>64</v>
      </c>
      <c r="B70" s="54" t="s">
        <v>100</v>
      </c>
      <c r="C70" s="15"/>
      <c r="D70" s="56" t="s">
        <v>101</v>
      </c>
      <c r="E70" s="56"/>
      <c r="F70" s="75"/>
      <c r="G70" s="75"/>
      <c r="H70" s="75"/>
      <c r="I70" s="75"/>
      <c r="J70" s="75"/>
    </row>
    <row r="71" spans="1:10" ht="13.8" thickBot="1" x14ac:dyDescent="0.3">
      <c r="A71" s="86">
        <v>65</v>
      </c>
    </row>
    <row r="72" spans="1:10" ht="13.8" thickBot="1" x14ac:dyDescent="0.3">
      <c r="A72" s="86">
        <v>66</v>
      </c>
      <c r="B72" s="54" t="s">
        <v>102</v>
      </c>
      <c r="C72" s="15"/>
      <c r="D72" s="55"/>
      <c r="E72" s="75"/>
      <c r="F72" s="56" t="s">
        <v>11</v>
      </c>
      <c r="G72" s="56" t="s">
        <v>63</v>
      </c>
      <c r="H72" s="56" t="s">
        <v>103</v>
      </c>
      <c r="I72" s="56"/>
      <c r="J72" s="56"/>
    </row>
    <row r="73" spans="1:10" ht="13.8" thickBot="1" x14ac:dyDescent="0.3">
      <c r="A73" s="86">
        <v>67</v>
      </c>
      <c r="B73" s="54" t="s">
        <v>104</v>
      </c>
      <c r="C73" s="15"/>
      <c r="D73" s="55"/>
      <c r="E73" s="75"/>
      <c r="F73" s="75"/>
      <c r="G73" s="75"/>
      <c r="H73" s="75"/>
      <c r="I73" s="75"/>
      <c r="J73" s="75"/>
    </row>
    <row r="74" spans="1:10" s="102" customFormat="1" ht="13.8" thickBot="1" x14ac:dyDescent="0.3">
      <c r="A74" s="100">
        <v>68</v>
      </c>
      <c r="B74" s="101" t="s">
        <v>64</v>
      </c>
    </row>
    <row r="75" spans="1:10" ht="13.8" thickBot="1" x14ac:dyDescent="0.3">
      <c r="A75" s="86">
        <v>69</v>
      </c>
      <c r="B75" s="54" t="s">
        <v>65</v>
      </c>
      <c r="C75" s="15"/>
      <c r="D75" s="55"/>
      <c r="E75" s="75"/>
      <c r="F75" s="56" t="s">
        <v>87</v>
      </c>
      <c r="G75" s="56" t="s">
        <v>87</v>
      </c>
      <c r="H75" s="56" t="s">
        <v>87</v>
      </c>
      <c r="I75" s="56"/>
      <c r="J75" s="56"/>
    </row>
    <row r="76" spans="1:10" x14ac:dyDescent="0.25">
      <c r="A76" s="103"/>
    </row>
    <row r="77" spans="1:10" x14ac:dyDescent="0.25">
      <c r="A77" s="103"/>
    </row>
    <row r="78" spans="1:10" x14ac:dyDescent="0.25">
      <c r="A78" s="103"/>
    </row>
    <row r="79" spans="1:10" x14ac:dyDescent="0.25">
      <c r="A79" s="103"/>
    </row>
    <row r="80" spans="1:10" x14ac:dyDescent="0.25">
      <c r="A80" s="103"/>
    </row>
    <row r="81" spans="1:2" x14ac:dyDescent="0.25">
      <c r="A81" s="103"/>
      <c r="B81" s="9"/>
    </row>
    <row r="82" spans="1:2" x14ac:dyDescent="0.25">
      <c r="A82" s="103"/>
    </row>
    <row r="83" spans="1:2" x14ac:dyDescent="0.25">
      <c r="A83" s="103"/>
    </row>
    <row r="84" spans="1:2" x14ac:dyDescent="0.25">
      <c r="A84" s="103"/>
    </row>
    <row r="85" spans="1:2" x14ac:dyDescent="0.25">
      <c r="A85" s="103"/>
    </row>
    <row r="86" spans="1:2" x14ac:dyDescent="0.25">
      <c r="A86" s="103"/>
    </row>
    <row r="87" spans="1:2" x14ac:dyDescent="0.25">
      <c r="A87" s="103"/>
    </row>
    <row r="88" spans="1:2" x14ac:dyDescent="0.25">
      <c r="A88" s="103"/>
    </row>
    <row r="89" spans="1:2" x14ac:dyDescent="0.25">
      <c r="A89" s="103"/>
    </row>
    <row r="90" spans="1:2" x14ac:dyDescent="0.25">
      <c r="A90" s="103"/>
    </row>
    <row r="91" spans="1:2" x14ac:dyDescent="0.25">
      <c r="A91" s="103"/>
    </row>
    <row r="92" spans="1:2" x14ac:dyDescent="0.25">
      <c r="A92" s="103"/>
    </row>
    <row r="93" spans="1:2" x14ac:dyDescent="0.25">
      <c r="A93" s="103"/>
    </row>
    <row r="94" spans="1:2" x14ac:dyDescent="0.25">
      <c r="A94" s="103"/>
    </row>
    <row r="95" spans="1:2" x14ac:dyDescent="0.25">
      <c r="A95" s="103"/>
    </row>
    <row r="96" spans="1:2" x14ac:dyDescent="0.25">
      <c r="A96" s="103"/>
    </row>
    <row r="97" spans="1:1" x14ac:dyDescent="0.25">
      <c r="A97" s="103"/>
    </row>
    <row r="98" spans="1:1" x14ac:dyDescent="0.25">
      <c r="A98" s="103"/>
    </row>
    <row r="99" spans="1:1" x14ac:dyDescent="0.25">
      <c r="A99" s="103"/>
    </row>
    <row r="100" spans="1:1" x14ac:dyDescent="0.25">
      <c r="A100" s="103"/>
    </row>
    <row r="101" spans="1:1" x14ac:dyDescent="0.25">
      <c r="A101" s="103"/>
    </row>
    <row r="102" spans="1:1" x14ac:dyDescent="0.25">
      <c r="A102" s="103"/>
    </row>
    <row r="103" spans="1:1" x14ac:dyDescent="0.25">
      <c r="A103" s="103"/>
    </row>
    <row r="104" spans="1:1" x14ac:dyDescent="0.25">
      <c r="A104" s="103"/>
    </row>
    <row r="105" spans="1:1" x14ac:dyDescent="0.25">
      <c r="A105" s="103"/>
    </row>
    <row r="106" spans="1:1" x14ac:dyDescent="0.25">
      <c r="A106" s="103"/>
    </row>
    <row r="107" spans="1:1" x14ac:dyDescent="0.25">
      <c r="A107" s="103"/>
    </row>
    <row r="108" spans="1:1" x14ac:dyDescent="0.25">
      <c r="A108" s="103"/>
    </row>
    <row r="109" spans="1:1" x14ac:dyDescent="0.25">
      <c r="A109" s="103"/>
    </row>
    <row r="110" spans="1:1" x14ac:dyDescent="0.25">
      <c r="A110" s="103"/>
    </row>
    <row r="111" spans="1:1" x14ac:dyDescent="0.25">
      <c r="A111" s="103"/>
    </row>
    <row r="112" spans="1:1" x14ac:dyDescent="0.25">
      <c r="A112" s="103"/>
    </row>
    <row r="113" spans="1:1" x14ac:dyDescent="0.25">
      <c r="A113" s="103"/>
    </row>
    <row r="114" spans="1:1" x14ac:dyDescent="0.25">
      <c r="A114" s="103"/>
    </row>
    <row r="115" spans="1:1" x14ac:dyDescent="0.25">
      <c r="A115" s="103"/>
    </row>
    <row r="116" spans="1:1" x14ac:dyDescent="0.25">
      <c r="A116" s="103"/>
    </row>
    <row r="117" spans="1:1" x14ac:dyDescent="0.25">
      <c r="A117" s="103"/>
    </row>
    <row r="118" spans="1:1" x14ac:dyDescent="0.25">
      <c r="A118" s="103"/>
    </row>
    <row r="119" spans="1:1" x14ac:dyDescent="0.25">
      <c r="A119" s="103"/>
    </row>
    <row r="120" spans="1:1" x14ac:dyDescent="0.25">
      <c r="A120" s="103"/>
    </row>
    <row r="121" spans="1:1" x14ac:dyDescent="0.25">
      <c r="A121" s="103"/>
    </row>
    <row r="122" spans="1:1" x14ac:dyDescent="0.25">
      <c r="A122" s="103"/>
    </row>
    <row r="123" spans="1:1" x14ac:dyDescent="0.25">
      <c r="A123" s="103"/>
    </row>
    <row r="124" spans="1:1" x14ac:dyDescent="0.25">
      <c r="A124" s="103"/>
    </row>
    <row r="125" spans="1:1" x14ac:dyDescent="0.25">
      <c r="A125" s="103"/>
    </row>
    <row r="126" spans="1:1" x14ac:dyDescent="0.25">
      <c r="A126" s="103"/>
    </row>
    <row r="127" spans="1:1" x14ac:dyDescent="0.25">
      <c r="A127" s="103"/>
    </row>
    <row r="128" spans="1:1" x14ac:dyDescent="0.25">
      <c r="A128" s="103"/>
    </row>
    <row r="129" spans="1:1" x14ac:dyDescent="0.25">
      <c r="A129" s="103"/>
    </row>
    <row r="130" spans="1:1" x14ac:dyDescent="0.25">
      <c r="A130" s="103"/>
    </row>
    <row r="131" spans="1:1" x14ac:dyDescent="0.25">
      <c r="A131" s="103"/>
    </row>
    <row r="132" spans="1:1" x14ac:dyDescent="0.25">
      <c r="A132" s="103"/>
    </row>
    <row r="133" spans="1:1" x14ac:dyDescent="0.25">
      <c r="A133" s="103"/>
    </row>
    <row r="134" spans="1:1" x14ac:dyDescent="0.25">
      <c r="A134" s="103"/>
    </row>
    <row r="135" spans="1:1" x14ac:dyDescent="0.25">
      <c r="A135" s="103"/>
    </row>
  </sheetData>
  <pageMargins left="0.7" right="0.7" top="0.75" bottom="0.75" header="0.3" footer="0.3"/>
  <pageSetup scale="66" orientation="portrait" horizontalDpi="300" verticalDpi="300" r:id="rId1"/>
  <headerFooter>
    <oddHeader>&amp;RNWN's Advice 19-06A
Exhibit A - Supporting Materials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0"/>
  <sheetViews>
    <sheetView showGridLines="0" topLeftCell="C1" zoomScaleNormal="100" zoomScalePageLayoutView="80" workbookViewId="0">
      <selection activeCell="M10" sqref="M10"/>
    </sheetView>
  </sheetViews>
  <sheetFormatPr defaultColWidth="8.88671875" defaultRowHeight="13.2" outlineLevelRow="1" x14ac:dyDescent="0.25"/>
  <cols>
    <col min="1" max="1" width="5.88671875" style="4" customWidth="1"/>
    <col min="2" max="2" width="29.6640625" style="314" customWidth="1"/>
    <col min="3" max="3" width="25.33203125" style="4" customWidth="1"/>
    <col min="4" max="16" width="15.33203125" style="4" customWidth="1"/>
    <col min="17" max="17" width="4.88671875" style="4" customWidth="1"/>
    <col min="18" max="18" width="13.5546875" style="8" customWidth="1"/>
    <col min="19" max="19" width="16.109375" style="4" customWidth="1"/>
    <col min="20" max="20" width="14.6640625" style="4" customWidth="1"/>
    <col min="21" max="39" width="12.6640625" style="4" customWidth="1"/>
    <col min="40" max="16384" width="8.88671875" style="4"/>
  </cols>
  <sheetData>
    <row r="1" spans="1:18" ht="13.8" x14ac:dyDescent="0.25">
      <c r="A1" s="255" t="s">
        <v>0</v>
      </c>
      <c r="D1" s="315"/>
      <c r="F1" s="316"/>
    </row>
    <row r="2" spans="1:18" ht="13.8" x14ac:dyDescent="0.25">
      <c r="A2" s="255" t="s">
        <v>205</v>
      </c>
      <c r="D2" s="315"/>
      <c r="F2" s="494"/>
      <c r="G2" s="494"/>
      <c r="H2" s="494"/>
      <c r="J2" s="494"/>
      <c r="K2" s="494"/>
    </row>
    <row r="3" spans="1:18" ht="13.8" x14ac:dyDescent="0.25">
      <c r="A3" s="255" t="s">
        <v>206</v>
      </c>
      <c r="D3" s="315"/>
      <c r="F3" s="495"/>
      <c r="G3" s="496"/>
      <c r="H3" s="496"/>
      <c r="J3" s="495"/>
      <c r="K3" s="496"/>
    </row>
    <row r="4" spans="1:18" x14ac:dyDescent="0.25">
      <c r="A4" s="370" t="s">
        <v>207</v>
      </c>
    </row>
    <row r="5" spans="1:18" ht="13.8" thickBot="1" x14ac:dyDescent="0.3"/>
    <row r="6" spans="1:18" ht="13.8" thickBot="1" x14ac:dyDescent="0.3">
      <c r="A6" s="54" t="s">
        <v>208</v>
      </c>
      <c r="B6" s="317"/>
      <c r="C6" s="318"/>
    </row>
    <row r="7" spans="1:18" x14ac:dyDescent="0.25">
      <c r="A7" s="86">
        <v>1</v>
      </c>
      <c r="B7" s="371" t="s">
        <v>147</v>
      </c>
      <c r="C7" s="371" t="s">
        <v>148</v>
      </c>
      <c r="D7" s="371" t="s">
        <v>149</v>
      </c>
      <c r="E7" s="371" t="s">
        <v>150</v>
      </c>
      <c r="F7" s="371" t="s">
        <v>175</v>
      </c>
      <c r="G7" s="372" t="s">
        <v>153</v>
      </c>
      <c r="H7" s="372" t="s">
        <v>154</v>
      </c>
      <c r="I7" s="372" t="s">
        <v>176</v>
      </c>
      <c r="J7" s="371" t="s">
        <v>209</v>
      </c>
      <c r="K7" s="371" t="s">
        <v>210</v>
      </c>
      <c r="L7" s="371" t="s">
        <v>211</v>
      </c>
      <c r="M7" s="371" t="s">
        <v>212</v>
      </c>
      <c r="N7" s="371" t="s">
        <v>213</v>
      </c>
      <c r="O7" s="371" t="s">
        <v>214</v>
      </c>
      <c r="P7" s="373" t="s">
        <v>215</v>
      </c>
      <c r="Q7" s="371"/>
      <c r="R7" s="371"/>
    </row>
    <row r="8" spans="1:18" x14ac:dyDescent="0.25">
      <c r="A8" s="86">
        <v>2</v>
      </c>
      <c r="B8" s="319"/>
      <c r="C8" s="320"/>
      <c r="D8" s="321" t="s">
        <v>216</v>
      </c>
      <c r="E8" s="321" t="s">
        <v>217</v>
      </c>
      <c r="F8" s="321" t="s">
        <v>218</v>
      </c>
      <c r="G8" s="321" t="s">
        <v>219</v>
      </c>
      <c r="H8" s="321" t="s">
        <v>220</v>
      </c>
      <c r="I8" s="321" t="s">
        <v>221</v>
      </c>
      <c r="J8" s="321" t="s">
        <v>222</v>
      </c>
      <c r="K8" s="321" t="s">
        <v>223</v>
      </c>
      <c r="L8" s="321" t="s">
        <v>224</v>
      </c>
      <c r="M8" s="321" t="s">
        <v>225</v>
      </c>
      <c r="N8" s="321" t="s">
        <v>226</v>
      </c>
      <c r="O8" s="321" t="s">
        <v>227</v>
      </c>
      <c r="P8" s="322" t="s">
        <v>201</v>
      </c>
      <c r="Q8" s="8"/>
    </row>
    <row r="9" spans="1:18" x14ac:dyDescent="0.25">
      <c r="A9" s="86">
        <v>3</v>
      </c>
      <c r="B9" s="319"/>
      <c r="C9" s="320"/>
      <c r="D9" s="86">
        <v>1</v>
      </c>
      <c r="E9" s="86">
        <v>2</v>
      </c>
      <c r="F9" s="86">
        <v>3</v>
      </c>
      <c r="G9" s="86">
        <v>4</v>
      </c>
      <c r="H9" s="86">
        <v>5</v>
      </c>
      <c r="I9" s="86">
        <v>6</v>
      </c>
      <c r="J9" s="86">
        <v>7</v>
      </c>
      <c r="K9" s="86">
        <v>8</v>
      </c>
      <c r="L9" s="86">
        <v>9</v>
      </c>
      <c r="M9" s="86">
        <v>10</v>
      </c>
      <c r="N9" s="86">
        <v>11</v>
      </c>
      <c r="O9" s="86">
        <v>12</v>
      </c>
      <c r="P9" s="323"/>
      <c r="Q9" s="8"/>
      <c r="R9" s="4"/>
    </row>
    <row r="10" spans="1:18" x14ac:dyDescent="0.25">
      <c r="A10" s="86">
        <v>4</v>
      </c>
      <c r="B10" s="324" t="s">
        <v>228</v>
      </c>
      <c r="C10" s="320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323"/>
      <c r="Q10" s="8"/>
      <c r="R10" s="4"/>
    </row>
    <row r="11" spans="1:18" x14ac:dyDescent="0.25">
      <c r="A11" s="86">
        <v>5</v>
      </c>
      <c r="B11" s="325" t="s">
        <v>229</v>
      </c>
      <c r="C11" s="374"/>
      <c r="D11" s="326">
        <v>1765996.3174249092</v>
      </c>
      <c r="E11" s="326">
        <v>1975666.9710040316</v>
      </c>
      <c r="F11" s="326">
        <v>2595512.4221617323</v>
      </c>
      <c r="G11" s="326">
        <v>1685232.1762202324</v>
      </c>
      <c r="H11" s="326">
        <v>1529328.2113750791</v>
      </c>
      <c r="I11" s="326">
        <v>872987.37274451181</v>
      </c>
      <c r="J11" s="326">
        <v>534263.59440412815</v>
      </c>
      <c r="K11" s="326">
        <v>409586.98284751165</v>
      </c>
      <c r="L11" s="326">
        <v>418200.86822929489</v>
      </c>
      <c r="M11" s="326">
        <v>424273.27005262818</v>
      </c>
      <c r="N11" s="326">
        <v>418929.70115751168</v>
      </c>
      <c r="O11" s="326">
        <v>788021.48006036144</v>
      </c>
      <c r="P11" s="327">
        <v>13417999.367681934</v>
      </c>
      <c r="Q11" s="328"/>
      <c r="R11" s="4"/>
    </row>
    <row r="12" spans="1:18" x14ac:dyDescent="0.25">
      <c r="A12" s="86">
        <v>6</v>
      </c>
      <c r="B12" s="329" t="s">
        <v>230</v>
      </c>
      <c r="C12" s="330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2"/>
      <c r="Q12" s="328"/>
      <c r="R12" s="4"/>
    </row>
    <row r="13" spans="1:18" x14ac:dyDescent="0.25">
      <c r="A13" s="86">
        <v>7</v>
      </c>
      <c r="B13" s="329" t="s">
        <v>231</v>
      </c>
      <c r="C13" s="330"/>
      <c r="D13" s="331"/>
      <c r="E13" s="333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2"/>
      <c r="Q13" s="328"/>
      <c r="R13" s="4"/>
    </row>
    <row r="14" spans="1:18" x14ac:dyDescent="0.25">
      <c r="A14" s="86">
        <v>8</v>
      </c>
      <c r="B14" s="325" t="s">
        <v>232</v>
      </c>
      <c r="C14" s="329"/>
      <c r="D14" s="333">
        <v>9798</v>
      </c>
      <c r="E14" s="333">
        <v>10891</v>
      </c>
      <c r="F14" s="333">
        <v>13519</v>
      </c>
      <c r="G14" s="333">
        <v>8849</v>
      </c>
      <c r="H14" s="333">
        <v>9772</v>
      </c>
      <c r="I14" s="333">
        <v>7808</v>
      </c>
      <c r="J14" s="333">
        <v>4686</v>
      </c>
      <c r="K14" s="333">
        <v>3028</v>
      </c>
      <c r="L14" s="333">
        <v>2604</v>
      </c>
      <c r="M14" s="333">
        <v>2618</v>
      </c>
      <c r="N14" s="333">
        <v>2770</v>
      </c>
      <c r="O14" s="333">
        <v>6033</v>
      </c>
      <c r="P14" s="327">
        <v>82376</v>
      </c>
      <c r="Q14" s="328"/>
      <c r="R14" s="4"/>
    </row>
    <row r="15" spans="1:18" ht="14.4" x14ac:dyDescent="0.3">
      <c r="A15" s="86">
        <v>9</v>
      </c>
      <c r="B15" s="329" t="s">
        <v>233</v>
      </c>
      <c r="C15" s="375"/>
      <c r="D15" s="331"/>
      <c r="E15" s="335"/>
      <c r="F15" s="335"/>
      <c r="G15" s="335"/>
      <c r="H15" s="335"/>
      <c r="I15" s="335"/>
      <c r="J15" s="335"/>
      <c r="K15" s="335"/>
      <c r="L15" s="335"/>
      <c r="M15" s="335"/>
      <c r="N15" s="335"/>
      <c r="O15" s="335"/>
      <c r="P15" s="336"/>
      <c r="Q15" s="286"/>
      <c r="R15" s="4"/>
    </row>
    <row r="16" spans="1:18" x14ac:dyDescent="0.25">
      <c r="A16" s="86">
        <v>10</v>
      </c>
      <c r="B16" s="325" t="s">
        <v>234</v>
      </c>
      <c r="C16" s="319"/>
      <c r="D16" s="333">
        <v>54628</v>
      </c>
      <c r="E16" s="333">
        <v>922104</v>
      </c>
      <c r="F16" s="333">
        <v>425459</v>
      </c>
      <c r="G16" s="333">
        <v>792873</v>
      </c>
      <c r="H16" s="333">
        <v>243727</v>
      </c>
      <c r="I16" s="333">
        <v>7032</v>
      </c>
      <c r="J16" s="333">
        <v>7286</v>
      </c>
      <c r="K16" s="333">
        <v>7051</v>
      </c>
      <c r="L16" s="333">
        <v>7286</v>
      </c>
      <c r="M16" s="333">
        <v>7286</v>
      </c>
      <c r="N16" s="333">
        <v>7051</v>
      </c>
      <c r="O16" s="333">
        <v>23624</v>
      </c>
      <c r="P16" s="327">
        <v>2505407</v>
      </c>
      <c r="Q16" s="328"/>
      <c r="R16" s="4"/>
    </row>
    <row r="17" spans="1:19" ht="14.4" x14ac:dyDescent="0.3">
      <c r="A17" s="86">
        <v>11</v>
      </c>
      <c r="B17" s="329" t="s">
        <v>235</v>
      </c>
      <c r="C17" s="375"/>
      <c r="D17" s="331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6"/>
      <c r="Q17" s="286"/>
      <c r="R17" s="4"/>
    </row>
    <row r="18" spans="1:19" ht="14.4" hidden="1" x14ac:dyDescent="0.3">
      <c r="A18" s="86">
        <v>12</v>
      </c>
      <c r="B18" s="319" t="s">
        <v>236</v>
      </c>
      <c r="C18" s="375"/>
      <c r="D18" s="331"/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35"/>
      <c r="P18" s="336"/>
      <c r="Q18" s="286"/>
      <c r="R18" s="4"/>
    </row>
    <row r="19" spans="1:19" ht="14.4" hidden="1" x14ac:dyDescent="0.3">
      <c r="A19" s="86">
        <v>13</v>
      </c>
      <c r="B19" s="337"/>
      <c r="C19" s="375"/>
      <c r="D19" s="331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6"/>
      <c r="Q19" s="286"/>
      <c r="R19" s="4"/>
    </row>
    <row r="20" spans="1:19" ht="14.4" outlineLevel="1" x14ac:dyDescent="0.3">
      <c r="A20" s="86">
        <v>12</v>
      </c>
      <c r="B20" s="325" t="s">
        <v>237</v>
      </c>
      <c r="C20" s="375"/>
      <c r="D20" s="333">
        <v>0</v>
      </c>
      <c r="E20" s="333">
        <v>0</v>
      </c>
      <c r="F20" s="333">
        <v>0</v>
      </c>
      <c r="G20" s="333">
        <v>0</v>
      </c>
      <c r="H20" s="333">
        <v>0</v>
      </c>
      <c r="I20" s="333">
        <v>0</v>
      </c>
      <c r="J20" s="333">
        <v>0</v>
      </c>
      <c r="K20" s="333">
        <v>0</v>
      </c>
      <c r="L20" s="333">
        <v>0</v>
      </c>
      <c r="M20" s="333">
        <v>0</v>
      </c>
      <c r="N20" s="333">
        <v>0</v>
      </c>
      <c r="O20" s="333">
        <v>0</v>
      </c>
      <c r="P20" s="327">
        <v>0</v>
      </c>
      <c r="Q20" s="286"/>
      <c r="R20" s="4"/>
    </row>
    <row r="21" spans="1:19" ht="14.4" outlineLevel="1" x14ac:dyDescent="0.3">
      <c r="A21" s="86">
        <v>13</v>
      </c>
      <c r="B21" s="329" t="s">
        <v>238</v>
      </c>
      <c r="C21" s="375"/>
      <c r="D21" s="331"/>
      <c r="E21" s="335"/>
      <c r="F21" s="335"/>
      <c r="G21" s="335"/>
      <c r="H21" s="335"/>
      <c r="I21" s="335"/>
      <c r="J21" s="335"/>
      <c r="K21" s="335"/>
      <c r="L21" s="335"/>
      <c r="M21" s="335"/>
      <c r="N21" s="335"/>
      <c r="O21" s="335"/>
      <c r="P21" s="336"/>
      <c r="Q21" s="286"/>
      <c r="R21" s="4"/>
    </row>
    <row r="22" spans="1:19" ht="13.8" thickBot="1" x14ac:dyDescent="0.3">
      <c r="A22" s="86">
        <v>14</v>
      </c>
      <c r="B22" s="338" t="s">
        <v>239</v>
      </c>
      <c r="C22" s="339"/>
      <c r="D22" s="340">
        <v>1830422.3174249092</v>
      </c>
      <c r="E22" s="340">
        <v>2908661.9710040316</v>
      </c>
      <c r="F22" s="340">
        <v>3034490.4221617323</v>
      </c>
      <c r="G22" s="340">
        <v>2486954.1762202326</v>
      </c>
      <c r="H22" s="340">
        <v>1782827.2113750791</v>
      </c>
      <c r="I22" s="340">
        <v>887827.37274451181</v>
      </c>
      <c r="J22" s="340">
        <v>546235.59440412815</v>
      </c>
      <c r="K22" s="340">
        <v>419665.98284751165</v>
      </c>
      <c r="L22" s="340">
        <v>428090.86822929489</v>
      </c>
      <c r="M22" s="340">
        <v>434177.27005262818</v>
      </c>
      <c r="N22" s="340">
        <v>428750.70115751168</v>
      </c>
      <c r="O22" s="340">
        <v>817678.48006036144</v>
      </c>
      <c r="P22" s="341">
        <v>16005782.367681934</v>
      </c>
      <c r="Q22" s="328"/>
      <c r="R22" s="4"/>
    </row>
    <row r="23" spans="1:19" ht="15" thickTop="1" x14ac:dyDescent="0.3">
      <c r="A23" s="86">
        <v>15</v>
      </c>
      <c r="B23" s="320"/>
      <c r="C23" s="375"/>
      <c r="D23" s="342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343"/>
      <c r="Q23" s="286"/>
      <c r="R23" s="4"/>
    </row>
    <row r="24" spans="1:19" ht="14.4" x14ac:dyDescent="0.3">
      <c r="A24" s="86">
        <v>16</v>
      </c>
      <c r="B24" s="324" t="s">
        <v>240</v>
      </c>
      <c r="C24" s="375"/>
      <c r="D24" s="342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344"/>
      <c r="Q24" s="286"/>
      <c r="R24" s="4"/>
    </row>
    <row r="25" spans="1:19" x14ac:dyDescent="0.25">
      <c r="A25" s="86">
        <v>17</v>
      </c>
      <c r="B25" s="319" t="s">
        <v>241</v>
      </c>
      <c r="C25" s="319"/>
      <c r="D25" s="345">
        <v>9398972.0659725592</v>
      </c>
      <c r="E25" s="345">
        <v>9121116.5202248115</v>
      </c>
      <c r="F25" s="345">
        <v>11410964.43483831</v>
      </c>
      <c r="G25" s="345">
        <v>7746015.6971068066</v>
      </c>
      <c r="H25" s="345">
        <v>8508737.4348383099</v>
      </c>
      <c r="I25" s="345">
        <v>6843184.0659725582</v>
      </c>
      <c r="J25" s="345">
        <v>4224268.4348383099</v>
      </c>
      <c r="K25" s="345">
        <v>2938608.0659725582</v>
      </c>
      <c r="L25" s="345">
        <v>2479159.4348383103</v>
      </c>
      <c r="M25" s="345">
        <v>2493278.4348383103</v>
      </c>
      <c r="N25" s="345">
        <v>2664191.0659725582</v>
      </c>
      <c r="O25" s="345">
        <v>5375122.4348383099</v>
      </c>
      <c r="P25" s="344">
        <v>73203618.090251714</v>
      </c>
      <c r="Q25" s="328"/>
      <c r="R25" s="4"/>
    </row>
    <row r="26" spans="1:19" x14ac:dyDescent="0.25">
      <c r="A26" s="86">
        <v>18</v>
      </c>
      <c r="B26" s="346" t="s">
        <v>242</v>
      </c>
      <c r="C26" s="346"/>
      <c r="D26" s="347">
        <v>212314.84521592781</v>
      </c>
      <c r="E26" s="347">
        <v>236148.91943974607</v>
      </c>
      <c r="F26" s="347">
        <v>290061.4073242601</v>
      </c>
      <c r="G26" s="347">
        <v>185315.06944739074</v>
      </c>
      <c r="H26" s="347">
        <v>205155.17639503814</v>
      </c>
      <c r="I26" s="347">
        <v>178203.91201955546</v>
      </c>
      <c r="J26" s="347">
        <v>102658.23043281306</v>
      </c>
      <c r="K26" s="347">
        <v>63291.777271717787</v>
      </c>
      <c r="L26" s="347">
        <v>52522.660373334307</v>
      </c>
      <c r="M26" s="347">
        <v>52849.745751224924</v>
      </c>
      <c r="N26" s="347">
        <v>56952.523492920212</v>
      </c>
      <c r="O26" s="347">
        <v>135136.87391038612</v>
      </c>
      <c r="P26" s="348">
        <v>1770611.1410743147</v>
      </c>
      <c r="Q26" s="328"/>
      <c r="R26" s="102"/>
      <c r="S26" s="102"/>
    </row>
    <row r="27" spans="1:19" x14ac:dyDescent="0.25">
      <c r="A27" s="86">
        <v>19</v>
      </c>
      <c r="B27" s="319" t="s">
        <v>243</v>
      </c>
      <c r="C27" s="319"/>
      <c r="D27" s="345">
        <v>9186657.2207566313</v>
      </c>
      <c r="E27" s="345">
        <v>8884967.6007850654</v>
      </c>
      <c r="F27" s="345">
        <v>11120903.02751405</v>
      </c>
      <c r="G27" s="345">
        <v>7560700.6276594158</v>
      </c>
      <c r="H27" s="345">
        <v>8303582.2584432717</v>
      </c>
      <c r="I27" s="345">
        <v>6664980.1539530028</v>
      </c>
      <c r="J27" s="345">
        <v>4121610.2044054968</v>
      </c>
      <c r="K27" s="345">
        <v>2875316.2887008404</v>
      </c>
      <c r="L27" s="345">
        <v>2426636.774464976</v>
      </c>
      <c r="M27" s="345">
        <v>2440428.6890870854</v>
      </c>
      <c r="N27" s="345">
        <v>2607238.542479638</v>
      </c>
      <c r="O27" s="345">
        <v>5239985.5609279238</v>
      </c>
      <c r="P27" s="344">
        <v>71433006.949177399</v>
      </c>
      <c r="Q27" s="328"/>
      <c r="R27" s="349"/>
      <c r="S27" s="349"/>
    </row>
    <row r="28" spans="1:19" x14ac:dyDescent="0.25">
      <c r="A28" s="86">
        <v>20</v>
      </c>
      <c r="B28" s="319"/>
      <c r="C28" s="319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344"/>
      <c r="Q28" s="328"/>
      <c r="R28" s="349"/>
      <c r="S28" s="350"/>
    </row>
    <row r="29" spans="1:19" x14ac:dyDescent="0.25">
      <c r="A29" s="86">
        <v>21</v>
      </c>
      <c r="B29" s="319" t="s">
        <v>244</v>
      </c>
      <c r="C29" s="319"/>
      <c r="D29" s="345">
        <v>246130.50534200785</v>
      </c>
      <c r="E29" s="345">
        <v>4150547.8396169585</v>
      </c>
      <c r="F29" s="345">
        <v>1920094.3730699306</v>
      </c>
      <c r="G29" s="345">
        <v>3570815.8761525713</v>
      </c>
      <c r="H29" s="345">
        <v>1162650.8674141152</v>
      </c>
      <c r="I29" s="345">
        <v>31810.997300646206</v>
      </c>
      <c r="J29" s="345">
        <v>32970.935684925535</v>
      </c>
      <c r="K29" s="345">
        <v>31907.357114444068</v>
      </c>
      <c r="L29" s="345">
        <v>32970.935684925535</v>
      </c>
      <c r="M29" s="345">
        <v>32970.935684925535</v>
      </c>
      <c r="N29" s="345">
        <v>31907.357114444068</v>
      </c>
      <c r="O29" s="345">
        <v>106505.31395635515</v>
      </c>
      <c r="P29" s="344">
        <v>11351283.294136247</v>
      </c>
      <c r="Q29" s="328"/>
      <c r="R29" s="350"/>
      <c r="S29" s="102"/>
    </row>
    <row r="30" spans="1:19" x14ac:dyDescent="0.25">
      <c r="A30" s="86">
        <v>22</v>
      </c>
      <c r="B30" s="346" t="s">
        <v>245</v>
      </c>
      <c r="C30" s="346"/>
      <c r="D30" s="347">
        <v>0</v>
      </c>
      <c r="E30" s="347">
        <v>0</v>
      </c>
      <c r="F30" s="347">
        <v>5461.1311010486097</v>
      </c>
      <c r="G30" s="347">
        <v>2007.4208791723358</v>
      </c>
      <c r="H30" s="347">
        <v>4818.9941188322264</v>
      </c>
      <c r="I30" s="347">
        <v>0</v>
      </c>
      <c r="J30" s="347">
        <v>0</v>
      </c>
      <c r="K30" s="347">
        <v>0</v>
      </c>
      <c r="L30" s="347">
        <v>0</v>
      </c>
      <c r="M30" s="347">
        <v>0</v>
      </c>
      <c r="N30" s="347">
        <v>0</v>
      </c>
      <c r="O30" s="347">
        <v>0</v>
      </c>
      <c r="P30" s="348">
        <v>12287.546099053172</v>
      </c>
      <c r="Q30" s="328"/>
      <c r="R30" s="102"/>
      <c r="S30" s="102"/>
    </row>
    <row r="31" spans="1:19" x14ac:dyDescent="0.25">
      <c r="A31" s="86">
        <v>23</v>
      </c>
      <c r="B31" s="319" t="s">
        <v>246</v>
      </c>
      <c r="C31" s="319"/>
      <c r="D31" s="345">
        <v>246130.50534200785</v>
      </c>
      <c r="E31" s="345">
        <v>4150547.8396169585</v>
      </c>
      <c r="F31" s="345">
        <v>1914633.241968882</v>
      </c>
      <c r="G31" s="345">
        <v>3568808.4552733991</v>
      </c>
      <c r="H31" s="345">
        <v>1157831.8732952829</v>
      </c>
      <c r="I31" s="345">
        <v>31810.997300646206</v>
      </c>
      <c r="J31" s="345">
        <v>32970.935684925535</v>
      </c>
      <c r="K31" s="345">
        <v>31907.357114444068</v>
      </c>
      <c r="L31" s="345">
        <v>32970.935684925535</v>
      </c>
      <c r="M31" s="345">
        <v>32970.935684925535</v>
      </c>
      <c r="N31" s="345">
        <v>31907.357114444068</v>
      </c>
      <c r="O31" s="345">
        <v>106505.31395635515</v>
      </c>
      <c r="P31" s="344">
        <v>11338995.748037193</v>
      </c>
      <c r="Q31" s="328"/>
      <c r="R31" s="351"/>
      <c r="S31" s="102"/>
    </row>
    <row r="32" spans="1:19" x14ac:dyDescent="0.25">
      <c r="A32" s="86">
        <v>24</v>
      </c>
      <c r="B32" s="319"/>
      <c r="C32" s="319"/>
      <c r="D32" s="345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345"/>
      <c r="P32" s="344"/>
      <c r="Q32" s="328"/>
      <c r="R32" s="102"/>
      <c r="S32" s="102"/>
    </row>
    <row r="33" spans="1:19" x14ac:dyDescent="0.25">
      <c r="A33" s="86">
        <v>25</v>
      </c>
      <c r="B33" s="319" t="s">
        <v>247</v>
      </c>
      <c r="C33" s="319"/>
      <c r="D33" s="345">
        <v>9432787.7260986399</v>
      </c>
      <c r="E33" s="345">
        <v>13035515.440402023</v>
      </c>
      <c r="F33" s="345">
        <v>13035536.269482931</v>
      </c>
      <c r="G33" s="345">
        <v>11129509.082932815</v>
      </c>
      <c r="H33" s="345">
        <v>9461414.1317385547</v>
      </c>
      <c r="I33" s="345">
        <v>6696791.151253649</v>
      </c>
      <c r="J33" s="345">
        <v>4154581.1400904222</v>
      </c>
      <c r="K33" s="345">
        <v>2907223.6458152845</v>
      </c>
      <c r="L33" s="345">
        <v>2459607.7101499015</v>
      </c>
      <c r="M33" s="345">
        <v>2473399.6247720108</v>
      </c>
      <c r="N33" s="345">
        <v>2639145.899594082</v>
      </c>
      <c r="O33" s="345">
        <v>5346490.8748842785</v>
      </c>
      <c r="P33" s="344">
        <v>82772002.697214603</v>
      </c>
      <c r="Q33" s="328"/>
      <c r="R33" s="102"/>
      <c r="S33" s="102"/>
    </row>
    <row r="34" spans="1:19" ht="14.4" x14ac:dyDescent="0.3">
      <c r="A34" s="86">
        <v>26</v>
      </c>
      <c r="B34" s="376"/>
      <c r="C34" s="376"/>
      <c r="D34" s="342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344"/>
      <c r="Q34" s="286"/>
      <c r="R34" s="102"/>
      <c r="S34" s="102"/>
    </row>
    <row r="35" spans="1:19" x14ac:dyDescent="0.25">
      <c r="A35" s="86">
        <v>27</v>
      </c>
      <c r="B35" s="319" t="s">
        <v>248</v>
      </c>
      <c r="C35" s="319"/>
      <c r="D35" s="345">
        <v>60143.748322067782</v>
      </c>
      <c r="E35" s="345">
        <v>58168.628957219422</v>
      </c>
      <c r="F35" s="345">
        <v>72806.982641052455</v>
      </c>
      <c r="G35" s="345">
        <v>49498.839976419695</v>
      </c>
      <c r="H35" s="345">
        <v>54362.381171142682</v>
      </c>
      <c r="I35" s="345">
        <v>43634.684447050095</v>
      </c>
      <c r="J35" s="345">
        <v>26983.600330199115</v>
      </c>
      <c r="K35" s="345">
        <v>18824.289952088147</v>
      </c>
      <c r="L35" s="345">
        <v>15886.848494002596</v>
      </c>
      <c r="M35" s="345">
        <v>15977.142212596722</v>
      </c>
      <c r="N35" s="345">
        <v>17069.222781077959</v>
      </c>
      <c r="O35" s="345">
        <v>34305.44595434051</v>
      </c>
      <c r="P35" s="344">
        <v>467661.82</v>
      </c>
      <c r="Q35" s="328"/>
      <c r="R35" s="102"/>
      <c r="S35" s="102"/>
    </row>
    <row r="36" spans="1:19" x14ac:dyDescent="0.25">
      <c r="A36" s="86">
        <v>28</v>
      </c>
      <c r="B36" s="352"/>
      <c r="C36" s="342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4"/>
      <c r="Q36" s="286"/>
      <c r="R36" s="102"/>
      <c r="S36" s="102"/>
    </row>
    <row r="37" spans="1:19" ht="13.8" thickBot="1" x14ac:dyDescent="0.3">
      <c r="A37" s="86">
        <v>29</v>
      </c>
      <c r="B37" s="355" t="s">
        <v>249</v>
      </c>
      <c r="C37" s="355"/>
      <c r="D37" s="356">
        <v>9372643.9777765721</v>
      </c>
      <c r="E37" s="356">
        <v>12977346.811444804</v>
      </c>
      <c r="F37" s="356">
        <v>12962729.286841879</v>
      </c>
      <c r="G37" s="356">
        <v>11080010.242956396</v>
      </c>
      <c r="H37" s="356">
        <v>9407051.750567412</v>
      </c>
      <c r="I37" s="356">
        <v>6653156.4668065989</v>
      </c>
      <c r="J37" s="356">
        <v>4127597.5397602231</v>
      </c>
      <c r="K37" s="356">
        <v>2888399.3558631963</v>
      </c>
      <c r="L37" s="356">
        <v>2443720.8616558989</v>
      </c>
      <c r="M37" s="356">
        <v>2457422.4825594141</v>
      </c>
      <c r="N37" s="356">
        <v>2622076.6768130041</v>
      </c>
      <c r="O37" s="356">
        <v>5312185.428929938</v>
      </c>
      <c r="P37" s="357">
        <v>82304340.881975338</v>
      </c>
      <c r="Q37" s="328"/>
      <c r="R37" s="358"/>
      <c r="S37" s="349"/>
    </row>
    <row r="38" spans="1:19" s="320" customFormat="1" ht="15" thickTop="1" x14ac:dyDescent="0.3">
      <c r="A38" s="86"/>
      <c r="B38" s="376"/>
      <c r="C38" s="376"/>
      <c r="D38" s="342"/>
      <c r="E38" s="288"/>
      <c r="F38" s="366"/>
      <c r="G38" s="288"/>
      <c r="H38" s="366"/>
      <c r="I38" s="288"/>
      <c r="J38" s="366"/>
      <c r="K38" s="366"/>
      <c r="L38" s="366"/>
      <c r="M38" s="288"/>
      <c r="N38" s="288"/>
      <c r="O38" s="288"/>
      <c r="P38" s="288"/>
      <c r="Q38" s="288"/>
    </row>
    <row r="39" spans="1:19" s="320" customFormat="1" ht="14.4" x14ac:dyDescent="0.3">
      <c r="A39" s="86"/>
      <c r="B39" s="376"/>
      <c r="C39" s="376"/>
      <c r="D39" s="342"/>
      <c r="E39" s="288"/>
      <c r="F39" s="366"/>
      <c r="G39" s="288"/>
      <c r="H39" s="288"/>
      <c r="I39" s="288"/>
      <c r="J39" s="288"/>
      <c r="K39" s="366"/>
      <c r="L39" s="288"/>
      <c r="M39" s="288"/>
      <c r="N39" s="288"/>
      <c r="O39" s="288"/>
      <c r="P39" s="288"/>
      <c r="Q39" s="288"/>
    </row>
    <row r="40" spans="1:19" s="320" customFormat="1" x14ac:dyDescent="0.25">
      <c r="A40" s="86"/>
      <c r="B40" s="352"/>
      <c r="C40" s="342"/>
      <c r="D40" s="342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</row>
    <row r="41" spans="1:19" s="320" customFormat="1" x14ac:dyDescent="0.25">
      <c r="A41" s="86"/>
      <c r="B41" s="352"/>
      <c r="C41" s="342"/>
      <c r="D41" s="342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6"/>
      <c r="Q41" s="286"/>
    </row>
    <row r="42" spans="1:19" s="320" customFormat="1" ht="14.4" x14ac:dyDescent="0.3">
      <c r="A42" s="86"/>
      <c r="B42" s="364"/>
      <c r="C42" s="376"/>
      <c r="D42" s="342"/>
      <c r="E42" s="286"/>
      <c r="F42" s="286"/>
      <c r="G42" s="286"/>
      <c r="H42" s="286"/>
      <c r="I42" s="286"/>
      <c r="J42" s="286"/>
      <c r="K42" s="286"/>
      <c r="L42" s="286"/>
      <c r="M42" s="286"/>
      <c r="N42" s="286"/>
      <c r="O42" s="286"/>
      <c r="P42" s="286"/>
      <c r="Q42" s="286"/>
    </row>
    <row r="43" spans="1:19" s="320" customFormat="1" x14ac:dyDescent="0.25">
      <c r="A43" s="86"/>
      <c r="B43" s="352"/>
      <c r="C43" s="342"/>
      <c r="D43" s="342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</row>
    <row r="44" spans="1:19" s="320" customFormat="1" ht="14.4" x14ac:dyDescent="0.3">
      <c r="A44" s="86"/>
      <c r="B44" s="376"/>
      <c r="C44" s="376"/>
      <c r="D44" s="342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</row>
    <row r="45" spans="1:19" s="320" customFormat="1" ht="14.4" x14ac:dyDescent="0.3">
      <c r="A45" s="86"/>
      <c r="B45" s="376"/>
      <c r="C45" s="376"/>
      <c r="D45" s="342"/>
      <c r="E45" s="335"/>
      <c r="F45" s="335"/>
      <c r="G45" s="335"/>
      <c r="H45" s="335"/>
      <c r="I45" s="335"/>
      <c r="J45" s="335"/>
      <c r="K45" s="335"/>
      <c r="L45" s="335"/>
      <c r="M45" s="335"/>
      <c r="N45" s="335"/>
      <c r="O45" s="335"/>
      <c r="P45" s="335"/>
      <c r="Q45" s="335"/>
    </row>
    <row r="46" spans="1:19" s="320" customFormat="1" ht="14.4" x14ac:dyDescent="0.3">
      <c r="A46" s="86"/>
      <c r="B46" s="376"/>
      <c r="C46" s="376"/>
      <c r="D46" s="342"/>
      <c r="E46" s="335"/>
      <c r="F46" s="335"/>
      <c r="G46" s="335"/>
      <c r="H46" s="335"/>
      <c r="I46" s="335"/>
      <c r="J46" s="335"/>
      <c r="K46" s="335"/>
      <c r="L46" s="335"/>
      <c r="M46" s="335"/>
      <c r="N46" s="335"/>
      <c r="O46" s="335"/>
      <c r="P46" s="335"/>
      <c r="Q46" s="335"/>
    </row>
    <row r="47" spans="1:19" s="320" customFormat="1" ht="14.4" x14ac:dyDescent="0.3">
      <c r="A47" s="86"/>
      <c r="B47" s="376"/>
      <c r="C47" s="376"/>
      <c r="D47" s="342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</row>
    <row r="48" spans="1:19" s="320" customFormat="1" x14ac:dyDescent="0.25">
      <c r="A48" s="86"/>
      <c r="B48" s="335"/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335"/>
      <c r="Q48" s="335"/>
    </row>
    <row r="49" spans="1:17" s="320" customFormat="1" x14ac:dyDescent="0.25">
      <c r="A49" s="86"/>
      <c r="B49" s="335"/>
      <c r="C49" s="335"/>
      <c r="D49" s="335"/>
      <c r="E49" s="335"/>
      <c r="F49" s="335"/>
      <c r="G49" s="335"/>
      <c r="H49" s="335"/>
      <c r="I49" s="335"/>
      <c r="J49" s="335"/>
      <c r="K49" s="335"/>
      <c r="L49" s="335"/>
      <c r="M49" s="335"/>
      <c r="N49" s="335"/>
      <c r="O49" s="335"/>
      <c r="P49" s="335"/>
      <c r="Q49" s="335"/>
    </row>
    <row r="50" spans="1:17" s="320" customFormat="1" x14ac:dyDescent="0.25">
      <c r="A50" s="86"/>
      <c r="B50" s="335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</row>
    <row r="51" spans="1:17" s="320" customFormat="1" x14ac:dyDescent="0.25">
      <c r="A51" s="86"/>
      <c r="B51" s="335"/>
      <c r="C51" s="335"/>
      <c r="D51" s="335"/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35"/>
      <c r="P51" s="335"/>
      <c r="Q51" s="335"/>
    </row>
    <row r="52" spans="1:17" s="320" customFormat="1" x14ac:dyDescent="0.25">
      <c r="A52" s="86"/>
      <c r="B52" s="335"/>
      <c r="C52" s="335"/>
      <c r="D52" s="335"/>
      <c r="E52" s="335"/>
      <c r="F52" s="335"/>
      <c r="G52" s="335"/>
      <c r="H52" s="335"/>
      <c r="I52" s="335"/>
      <c r="J52" s="335"/>
      <c r="K52" s="335"/>
      <c r="L52" s="335"/>
      <c r="M52" s="335"/>
      <c r="N52" s="335"/>
      <c r="O52" s="335"/>
      <c r="P52" s="335"/>
      <c r="Q52" s="335"/>
    </row>
    <row r="53" spans="1:17" s="320" customFormat="1" x14ac:dyDescent="0.25">
      <c r="A53" s="86"/>
      <c r="B53" s="335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</row>
    <row r="54" spans="1:17" s="320" customFormat="1" x14ac:dyDescent="0.25">
      <c r="A54" s="86"/>
      <c r="B54" s="335"/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  <c r="Q54" s="335"/>
    </row>
    <row r="55" spans="1:17" s="320" customFormat="1" x14ac:dyDescent="0.25">
      <c r="A55" s="86"/>
      <c r="B55" s="335"/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  <c r="P55" s="335"/>
      <c r="Q55" s="335"/>
    </row>
    <row r="56" spans="1:17" s="320" customFormat="1" x14ac:dyDescent="0.25">
      <c r="A56" s="86"/>
      <c r="B56" s="335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</row>
    <row r="57" spans="1:17" s="320" customFormat="1" x14ac:dyDescent="0.25">
      <c r="A57" s="86"/>
      <c r="B57" s="286"/>
      <c r="C57" s="286"/>
      <c r="D57" s="286"/>
      <c r="E57" s="286"/>
      <c r="F57" s="286"/>
      <c r="G57" s="286"/>
      <c r="H57" s="286"/>
      <c r="I57" s="286"/>
      <c r="J57" s="286"/>
      <c r="K57" s="286"/>
      <c r="L57" s="286"/>
      <c r="M57" s="286"/>
      <c r="N57" s="286"/>
      <c r="O57" s="286"/>
      <c r="P57" s="286"/>
      <c r="Q57" s="286"/>
    </row>
    <row r="58" spans="1:17" s="320" customFormat="1" x14ac:dyDescent="0.25">
      <c r="A58" s="86"/>
      <c r="B58" s="286"/>
      <c r="C58" s="286"/>
      <c r="D58" s="286"/>
      <c r="E58" s="286"/>
      <c r="F58" s="286"/>
      <c r="G58" s="286"/>
      <c r="H58" s="286"/>
      <c r="I58" s="286"/>
      <c r="J58" s="286"/>
      <c r="K58" s="286"/>
      <c r="L58" s="286"/>
      <c r="M58" s="286"/>
      <c r="N58" s="286"/>
      <c r="O58" s="286"/>
      <c r="P58" s="286"/>
      <c r="Q58" s="286"/>
    </row>
    <row r="59" spans="1:17" s="320" customFormat="1" x14ac:dyDescent="0.25">
      <c r="A59" s="86"/>
      <c r="B59" s="286"/>
      <c r="C59" s="286"/>
      <c r="D59" s="286"/>
      <c r="E59" s="286"/>
      <c r="F59" s="286"/>
      <c r="G59" s="286"/>
      <c r="H59" s="286"/>
      <c r="I59" s="286"/>
      <c r="J59" s="286"/>
      <c r="K59" s="286"/>
      <c r="L59" s="286"/>
      <c r="M59" s="286"/>
      <c r="N59" s="286"/>
      <c r="O59" s="286"/>
      <c r="P59" s="286"/>
      <c r="Q59" s="286"/>
    </row>
    <row r="60" spans="1:17" s="320" customFormat="1" x14ac:dyDescent="0.25">
      <c r="A60" s="86"/>
      <c r="B60" s="352"/>
      <c r="C60" s="342"/>
      <c r="D60" s="342"/>
      <c r="E60" s="286"/>
      <c r="F60" s="286"/>
      <c r="G60" s="286"/>
      <c r="H60" s="286"/>
      <c r="I60" s="286"/>
      <c r="J60" s="286"/>
      <c r="K60" s="286"/>
      <c r="L60" s="286"/>
      <c r="M60" s="286"/>
      <c r="N60" s="286"/>
      <c r="O60" s="286"/>
      <c r="P60" s="286"/>
      <c r="Q60" s="286"/>
    </row>
    <row r="61" spans="1:17" s="320" customFormat="1" ht="14.4" x14ac:dyDescent="0.3">
      <c r="A61" s="86"/>
      <c r="B61" s="376"/>
      <c r="C61" s="376"/>
      <c r="D61" s="342"/>
      <c r="E61" s="367"/>
      <c r="F61" s="335"/>
      <c r="G61" s="335"/>
      <c r="H61" s="335"/>
      <c r="I61" s="335"/>
      <c r="J61" s="335"/>
      <c r="K61" s="335"/>
      <c r="L61" s="335"/>
      <c r="M61" s="335"/>
      <c r="N61" s="335"/>
      <c r="O61" s="335"/>
      <c r="P61" s="335"/>
      <c r="Q61" s="335"/>
    </row>
    <row r="62" spans="1:17" s="320" customFormat="1" ht="14.4" x14ac:dyDescent="0.3">
      <c r="A62" s="86"/>
      <c r="B62" s="376"/>
      <c r="C62" s="376"/>
      <c r="D62" s="342"/>
      <c r="E62" s="367"/>
      <c r="F62" s="335"/>
      <c r="G62" s="335"/>
      <c r="H62" s="335"/>
      <c r="I62" s="335"/>
      <c r="J62" s="335"/>
      <c r="K62" s="335"/>
      <c r="L62" s="335"/>
      <c r="M62" s="335"/>
      <c r="N62" s="335"/>
      <c r="O62" s="335"/>
      <c r="P62" s="335"/>
      <c r="Q62" s="335"/>
    </row>
    <row r="63" spans="1:17" s="320" customFormat="1" ht="14.4" x14ac:dyDescent="0.3">
      <c r="A63" s="86"/>
      <c r="B63" s="376"/>
      <c r="C63" s="376"/>
      <c r="D63" s="342"/>
      <c r="E63" s="367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  <c r="Q63" s="335"/>
    </row>
    <row r="64" spans="1:17" s="320" customFormat="1" ht="14.4" x14ac:dyDescent="0.3">
      <c r="A64" s="86"/>
      <c r="B64" s="376"/>
      <c r="C64" s="376"/>
      <c r="D64" s="342"/>
      <c r="E64" s="367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  <c r="Q64" s="335"/>
    </row>
    <row r="65" spans="1:17" s="320" customFormat="1" ht="14.4" x14ac:dyDescent="0.3">
      <c r="A65" s="86"/>
      <c r="B65" s="376"/>
      <c r="C65" s="376"/>
      <c r="D65" s="342"/>
      <c r="E65" s="367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335"/>
      <c r="Q65" s="335"/>
    </row>
    <row r="66" spans="1:17" s="320" customFormat="1" ht="14.4" x14ac:dyDescent="0.3">
      <c r="A66" s="86"/>
      <c r="B66" s="376"/>
      <c r="C66" s="376"/>
      <c r="D66" s="342"/>
      <c r="E66" s="367"/>
      <c r="F66" s="367"/>
      <c r="G66" s="367"/>
      <c r="H66" s="367"/>
      <c r="I66" s="367"/>
      <c r="J66" s="367"/>
      <c r="K66" s="367"/>
      <c r="L66" s="367"/>
      <c r="M66" s="367"/>
      <c r="N66" s="367"/>
      <c r="O66" s="367"/>
      <c r="P66" s="367"/>
      <c r="Q66" s="335"/>
    </row>
    <row r="67" spans="1:17" s="320" customFormat="1" ht="14.4" x14ac:dyDescent="0.3">
      <c r="A67" s="86"/>
      <c r="B67" s="376"/>
      <c r="C67" s="376"/>
      <c r="D67" s="342"/>
      <c r="E67" s="367"/>
      <c r="F67" s="367"/>
      <c r="G67" s="367"/>
      <c r="H67" s="367"/>
      <c r="I67" s="367"/>
      <c r="J67" s="367"/>
      <c r="K67" s="367"/>
      <c r="L67" s="367"/>
      <c r="M67" s="367"/>
      <c r="N67" s="367"/>
      <c r="O67" s="367"/>
      <c r="P67" s="367"/>
      <c r="Q67" s="335"/>
    </row>
    <row r="68" spans="1:17" s="320" customFormat="1" ht="14.4" x14ac:dyDescent="0.3">
      <c r="A68" s="86"/>
      <c r="B68" s="376"/>
      <c r="C68" s="376"/>
      <c r="D68" s="342"/>
      <c r="E68" s="367"/>
      <c r="F68" s="367"/>
      <c r="G68" s="367"/>
      <c r="H68" s="367"/>
      <c r="I68" s="367"/>
      <c r="J68" s="367"/>
      <c r="K68" s="367"/>
      <c r="L68" s="367"/>
      <c r="M68" s="367"/>
      <c r="N68" s="367"/>
      <c r="O68" s="367"/>
      <c r="P68" s="367"/>
      <c r="Q68" s="335"/>
    </row>
    <row r="69" spans="1:17" s="320" customFormat="1" ht="14.4" x14ac:dyDescent="0.3">
      <c r="A69" s="86"/>
      <c r="B69" s="376"/>
      <c r="C69" s="376"/>
      <c r="D69" s="342"/>
      <c r="E69" s="367"/>
      <c r="F69" s="367"/>
      <c r="G69" s="367"/>
      <c r="H69" s="367"/>
      <c r="I69" s="367"/>
      <c r="J69" s="367"/>
      <c r="K69" s="367"/>
      <c r="L69" s="367"/>
      <c r="M69" s="367"/>
      <c r="N69" s="367"/>
      <c r="O69" s="367"/>
      <c r="P69" s="367"/>
      <c r="Q69" s="335"/>
    </row>
    <row r="70" spans="1:17" s="320" customFormat="1" ht="14.4" x14ac:dyDescent="0.3">
      <c r="A70" s="86"/>
      <c r="B70" s="376"/>
      <c r="C70" s="376"/>
      <c r="D70" s="342"/>
      <c r="E70" s="367"/>
      <c r="F70" s="367"/>
      <c r="G70" s="367"/>
      <c r="H70" s="367"/>
      <c r="I70" s="367"/>
      <c r="J70" s="367"/>
      <c r="K70" s="367"/>
      <c r="L70" s="367"/>
      <c r="M70" s="367"/>
      <c r="N70" s="367"/>
      <c r="O70" s="367"/>
      <c r="P70" s="367"/>
      <c r="Q70" s="335"/>
    </row>
    <row r="71" spans="1:17" s="320" customFormat="1" ht="14.4" x14ac:dyDescent="0.3">
      <c r="A71" s="86"/>
      <c r="B71" s="376"/>
      <c r="C71" s="376"/>
      <c r="D71" s="342"/>
      <c r="E71" s="367"/>
      <c r="F71" s="367"/>
      <c r="G71" s="367"/>
      <c r="H71" s="367"/>
      <c r="I71" s="367"/>
      <c r="J71" s="367"/>
      <c r="K71" s="367"/>
      <c r="L71" s="367"/>
      <c r="M71" s="367"/>
      <c r="N71" s="367"/>
      <c r="O71" s="367"/>
      <c r="P71" s="367"/>
      <c r="Q71" s="335"/>
    </row>
    <row r="72" spans="1:17" s="320" customFormat="1" ht="14.4" x14ac:dyDescent="0.3">
      <c r="A72" s="86"/>
      <c r="B72" s="376"/>
      <c r="C72" s="376"/>
      <c r="D72" s="342"/>
      <c r="E72" s="367"/>
      <c r="F72" s="367"/>
      <c r="G72" s="367"/>
      <c r="H72" s="367"/>
      <c r="I72" s="367"/>
      <c r="J72" s="367"/>
      <c r="K72" s="367"/>
      <c r="L72" s="367"/>
      <c r="M72" s="367"/>
      <c r="N72" s="367"/>
      <c r="O72" s="367"/>
      <c r="P72" s="367"/>
      <c r="Q72" s="335"/>
    </row>
    <row r="73" spans="1:17" s="320" customFormat="1" x14ac:dyDescent="0.25">
      <c r="A73" s="86"/>
      <c r="B73" s="352"/>
      <c r="C73" s="342"/>
      <c r="D73" s="342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335"/>
      <c r="Q73" s="335"/>
    </row>
    <row r="74" spans="1:17" s="320" customFormat="1" x14ac:dyDescent="0.25">
      <c r="A74" s="86"/>
      <c r="B74" s="352"/>
      <c r="C74" s="342"/>
      <c r="D74" s="342"/>
      <c r="E74" s="286"/>
      <c r="F74" s="286"/>
      <c r="G74" s="286"/>
      <c r="H74" s="286"/>
      <c r="I74" s="286"/>
      <c r="J74" s="286"/>
      <c r="K74" s="286"/>
      <c r="L74" s="286"/>
      <c r="M74" s="286"/>
      <c r="N74" s="286"/>
      <c r="O74" s="286"/>
      <c r="P74" s="286"/>
      <c r="Q74" s="286"/>
    </row>
    <row r="75" spans="1:17" s="320" customFormat="1" x14ac:dyDescent="0.25">
      <c r="A75" s="86"/>
      <c r="B75" s="352"/>
      <c r="C75" s="342"/>
      <c r="D75" s="342"/>
      <c r="E75" s="286"/>
      <c r="F75" s="286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</row>
    <row r="76" spans="1:17" s="320" customFormat="1" ht="14.4" x14ac:dyDescent="0.3">
      <c r="A76" s="86"/>
      <c r="B76" s="364"/>
      <c r="C76" s="376"/>
      <c r="D76" s="342"/>
      <c r="E76" s="286"/>
      <c r="F76" s="286"/>
      <c r="G76" s="286"/>
      <c r="H76" s="286"/>
      <c r="I76" s="286"/>
      <c r="J76" s="286"/>
      <c r="K76" s="286"/>
      <c r="L76" s="286"/>
      <c r="M76" s="286"/>
      <c r="N76" s="286"/>
      <c r="O76" s="286"/>
      <c r="P76" s="286"/>
      <c r="Q76" s="286"/>
    </row>
    <row r="77" spans="1:17" s="320" customFormat="1" x14ac:dyDescent="0.25">
      <c r="A77" s="86"/>
      <c r="B77" s="352"/>
      <c r="C77" s="342"/>
      <c r="D77" s="342"/>
      <c r="E77" s="286"/>
      <c r="F77" s="286"/>
      <c r="G77" s="286"/>
      <c r="H77" s="286"/>
      <c r="I77" s="286"/>
      <c r="J77" s="286"/>
      <c r="K77" s="286"/>
      <c r="L77" s="286"/>
      <c r="M77" s="286"/>
      <c r="N77" s="286"/>
      <c r="O77" s="286"/>
      <c r="P77" s="286"/>
      <c r="Q77" s="286"/>
    </row>
    <row r="78" spans="1:17" s="320" customFormat="1" ht="14.4" x14ac:dyDescent="0.3">
      <c r="A78" s="86"/>
      <c r="B78" s="376"/>
      <c r="C78" s="376"/>
      <c r="D78" s="342"/>
      <c r="E78" s="367"/>
      <c r="F78" s="367"/>
      <c r="G78" s="367"/>
      <c r="H78" s="367"/>
      <c r="I78" s="367"/>
      <c r="J78" s="367"/>
      <c r="K78" s="367"/>
      <c r="L78" s="367"/>
      <c r="M78" s="367"/>
      <c r="N78" s="367"/>
      <c r="O78" s="367"/>
      <c r="P78" s="367"/>
      <c r="Q78" s="335"/>
    </row>
    <row r="79" spans="1:17" s="320" customFormat="1" ht="14.4" x14ac:dyDescent="0.3">
      <c r="A79" s="86"/>
      <c r="B79" s="376"/>
      <c r="C79" s="376"/>
      <c r="D79" s="342"/>
      <c r="E79" s="367"/>
      <c r="F79" s="367"/>
      <c r="G79" s="367"/>
      <c r="H79" s="367"/>
      <c r="I79" s="367"/>
      <c r="J79" s="367"/>
      <c r="K79" s="367"/>
      <c r="L79" s="367"/>
      <c r="M79" s="367"/>
      <c r="N79" s="367"/>
      <c r="O79" s="367"/>
      <c r="P79" s="367"/>
      <c r="Q79" s="335"/>
    </row>
    <row r="80" spans="1:17" s="320" customFormat="1" ht="14.4" x14ac:dyDescent="0.3">
      <c r="A80" s="86"/>
      <c r="B80" s="376"/>
      <c r="C80" s="376"/>
      <c r="D80" s="342"/>
      <c r="E80" s="367"/>
      <c r="F80" s="367"/>
      <c r="G80" s="367"/>
      <c r="H80" s="367"/>
      <c r="I80" s="367"/>
      <c r="J80" s="367"/>
      <c r="K80" s="367"/>
      <c r="L80" s="367"/>
      <c r="M80" s="367"/>
      <c r="N80" s="367"/>
      <c r="O80" s="367"/>
      <c r="P80" s="367"/>
      <c r="Q80" s="335"/>
    </row>
    <row r="81" spans="1:18" s="320" customFormat="1" ht="14.4" x14ac:dyDescent="0.3">
      <c r="A81" s="86"/>
      <c r="B81" s="449"/>
      <c r="C81" s="376"/>
      <c r="D81" s="342"/>
      <c r="E81" s="367"/>
      <c r="F81" s="367"/>
      <c r="G81" s="367"/>
      <c r="H81" s="367"/>
      <c r="I81" s="367"/>
      <c r="J81" s="367"/>
      <c r="K81" s="367"/>
      <c r="L81" s="367"/>
      <c r="M81" s="367"/>
      <c r="N81" s="367"/>
      <c r="O81" s="367"/>
      <c r="P81" s="367"/>
      <c r="Q81" s="335"/>
    </row>
    <row r="82" spans="1:18" s="320" customFormat="1" ht="14.4" x14ac:dyDescent="0.3">
      <c r="A82" s="86"/>
      <c r="B82" s="376"/>
      <c r="C82" s="376"/>
      <c r="D82" s="342"/>
      <c r="E82" s="367"/>
      <c r="F82" s="367"/>
      <c r="G82" s="367"/>
      <c r="H82" s="367"/>
      <c r="I82" s="367"/>
      <c r="J82" s="367"/>
      <c r="K82" s="367"/>
      <c r="L82" s="367"/>
      <c r="M82" s="367"/>
      <c r="N82" s="367"/>
      <c r="O82" s="367"/>
      <c r="P82" s="367"/>
      <c r="Q82" s="335"/>
    </row>
    <row r="83" spans="1:18" s="320" customFormat="1" ht="14.4" x14ac:dyDescent="0.3">
      <c r="A83" s="86"/>
      <c r="B83" s="376"/>
      <c r="C83" s="376"/>
      <c r="D83" s="342"/>
      <c r="E83" s="367"/>
      <c r="F83" s="367"/>
      <c r="G83" s="367"/>
      <c r="H83" s="367"/>
      <c r="I83" s="367"/>
      <c r="J83" s="367"/>
      <c r="K83" s="367"/>
      <c r="L83" s="367"/>
      <c r="M83" s="367"/>
      <c r="N83" s="367"/>
      <c r="O83" s="367"/>
      <c r="P83" s="367"/>
      <c r="Q83" s="335"/>
    </row>
    <row r="84" spans="1:18" s="320" customFormat="1" ht="14.4" x14ac:dyDescent="0.3">
      <c r="A84" s="86"/>
      <c r="B84" s="376"/>
      <c r="C84" s="376"/>
      <c r="D84" s="342"/>
      <c r="E84" s="367"/>
      <c r="F84" s="367"/>
      <c r="G84" s="367"/>
      <c r="H84" s="367"/>
      <c r="I84" s="367"/>
      <c r="J84" s="367"/>
      <c r="K84" s="367"/>
      <c r="L84" s="367"/>
      <c r="M84" s="367"/>
      <c r="N84" s="367"/>
      <c r="O84" s="367"/>
      <c r="P84" s="367"/>
      <c r="Q84" s="335"/>
    </row>
    <row r="85" spans="1:18" s="320" customFormat="1" ht="14.4" x14ac:dyDescent="0.3">
      <c r="A85" s="86"/>
      <c r="B85" s="376"/>
      <c r="C85" s="376"/>
      <c r="D85" s="342"/>
      <c r="E85" s="367"/>
      <c r="F85" s="367"/>
      <c r="G85" s="367"/>
      <c r="H85" s="367"/>
      <c r="I85" s="367"/>
      <c r="J85" s="367"/>
      <c r="K85" s="367"/>
      <c r="L85" s="367"/>
      <c r="M85" s="367"/>
      <c r="N85" s="367"/>
      <c r="O85" s="367"/>
      <c r="P85" s="367"/>
      <c r="Q85" s="335"/>
    </row>
    <row r="86" spans="1:18" s="320" customFormat="1" ht="14.4" x14ac:dyDescent="0.3">
      <c r="A86" s="86"/>
      <c r="B86" s="376"/>
      <c r="C86" s="376"/>
      <c r="D86" s="342"/>
      <c r="E86" s="367"/>
      <c r="F86" s="367"/>
      <c r="G86" s="367"/>
      <c r="H86" s="367"/>
      <c r="I86" s="367"/>
      <c r="J86" s="367"/>
      <c r="K86" s="367"/>
      <c r="L86" s="367"/>
      <c r="M86" s="367"/>
      <c r="N86" s="367"/>
      <c r="O86" s="367"/>
      <c r="P86" s="367"/>
      <c r="Q86" s="335"/>
    </row>
    <row r="87" spans="1:18" s="320" customFormat="1" ht="14.4" x14ac:dyDescent="0.3">
      <c r="A87" s="86"/>
      <c r="B87" s="376"/>
      <c r="C87" s="376"/>
      <c r="D87" s="342"/>
      <c r="E87" s="367"/>
      <c r="F87" s="367"/>
      <c r="G87" s="367"/>
      <c r="H87" s="367"/>
      <c r="I87" s="367"/>
      <c r="J87" s="367"/>
      <c r="K87" s="367"/>
      <c r="L87" s="367"/>
      <c r="M87" s="367"/>
      <c r="N87" s="367"/>
      <c r="O87" s="367"/>
      <c r="P87" s="367"/>
      <c r="Q87" s="335"/>
    </row>
    <row r="88" spans="1:18" s="320" customFormat="1" ht="14.4" x14ac:dyDescent="0.3">
      <c r="A88" s="86"/>
      <c r="B88" s="376"/>
      <c r="C88" s="376"/>
      <c r="D88" s="342"/>
      <c r="E88" s="367"/>
      <c r="F88" s="367"/>
      <c r="G88" s="367"/>
      <c r="H88" s="367"/>
      <c r="I88" s="367"/>
      <c r="J88" s="367"/>
      <c r="K88" s="367"/>
      <c r="L88" s="367"/>
      <c r="M88" s="367"/>
      <c r="N88" s="367"/>
      <c r="O88" s="367"/>
      <c r="P88" s="367"/>
      <c r="Q88" s="335"/>
    </row>
    <row r="89" spans="1:18" s="320" customFormat="1" ht="14.4" x14ac:dyDescent="0.3">
      <c r="A89" s="86"/>
      <c r="B89" s="376"/>
      <c r="C89" s="376"/>
      <c r="D89" s="342"/>
      <c r="E89" s="367"/>
      <c r="F89" s="367"/>
      <c r="G89" s="367"/>
      <c r="H89" s="367"/>
      <c r="I89" s="367"/>
      <c r="J89" s="367"/>
      <c r="K89" s="367"/>
      <c r="L89" s="367"/>
      <c r="M89" s="367"/>
      <c r="N89" s="367"/>
      <c r="O89" s="367"/>
      <c r="P89" s="367"/>
      <c r="Q89" s="335"/>
    </row>
    <row r="90" spans="1:18" s="320" customFormat="1" x14ac:dyDescent="0.25">
      <c r="A90" s="86"/>
      <c r="B90" s="352"/>
      <c r="C90" s="342"/>
      <c r="D90" s="342"/>
      <c r="E90" s="335"/>
      <c r="F90" s="335"/>
      <c r="G90" s="335"/>
      <c r="H90" s="335"/>
      <c r="I90" s="335"/>
      <c r="J90" s="335"/>
      <c r="K90" s="335"/>
      <c r="L90" s="335"/>
      <c r="M90" s="335"/>
      <c r="N90" s="335"/>
      <c r="O90" s="335"/>
      <c r="P90" s="335"/>
      <c r="Q90" s="335"/>
    </row>
    <row r="91" spans="1:18" x14ac:dyDescent="0.25">
      <c r="A91" s="86"/>
      <c r="B91" s="368"/>
      <c r="C91" s="369"/>
      <c r="D91" s="369"/>
      <c r="E91" s="286"/>
      <c r="F91" s="286"/>
      <c r="G91" s="286"/>
      <c r="H91" s="286"/>
      <c r="I91" s="286"/>
      <c r="J91" s="286"/>
      <c r="K91" s="286"/>
      <c r="L91" s="286"/>
      <c r="M91" s="286"/>
      <c r="N91" s="286"/>
      <c r="O91" s="286"/>
      <c r="P91" s="286"/>
      <c r="Q91" s="286"/>
      <c r="R91" s="4"/>
    </row>
    <row r="92" spans="1:18" x14ac:dyDescent="0.25">
      <c r="A92" s="86"/>
      <c r="B92" s="368"/>
      <c r="C92" s="369"/>
      <c r="D92" s="369"/>
      <c r="E92" s="286"/>
      <c r="F92" s="286"/>
      <c r="G92" s="286"/>
      <c r="H92" s="286"/>
      <c r="I92" s="286"/>
      <c r="J92" s="286"/>
      <c r="K92" s="286"/>
      <c r="L92" s="286"/>
      <c r="M92" s="286"/>
      <c r="N92" s="286"/>
      <c r="O92" s="286"/>
      <c r="P92" s="286"/>
      <c r="Q92" s="286"/>
      <c r="R92" s="4"/>
    </row>
    <row r="93" spans="1:18" x14ac:dyDescent="0.25">
      <c r="A93" s="86"/>
      <c r="B93" s="368"/>
      <c r="C93" s="369"/>
      <c r="D93" s="369"/>
      <c r="E93" s="286"/>
      <c r="F93" s="286"/>
      <c r="G93" s="286"/>
      <c r="H93" s="286"/>
      <c r="I93" s="286"/>
      <c r="J93" s="286"/>
      <c r="K93" s="286"/>
      <c r="L93" s="286"/>
      <c r="M93" s="286"/>
      <c r="N93" s="286"/>
      <c r="O93" s="286"/>
      <c r="P93" s="286"/>
      <c r="Q93" s="286"/>
      <c r="R93" s="4"/>
    </row>
    <row r="94" spans="1:18" x14ac:dyDescent="0.25">
      <c r="B94" s="368"/>
      <c r="C94" s="369"/>
      <c r="D94" s="369"/>
      <c r="E94" s="286"/>
      <c r="F94" s="286"/>
      <c r="G94" s="286"/>
      <c r="H94" s="286"/>
      <c r="I94" s="286"/>
      <c r="J94" s="286"/>
      <c r="K94" s="286"/>
      <c r="L94" s="286"/>
      <c r="M94" s="286"/>
      <c r="N94" s="286"/>
      <c r="O94" s="286"/>
      <c r="P94" s="286"/>
      <c r="Q94" s="286"/>
      <c r="R94" s="4"/>
    </row>
    <row r="95" spans="1:18" x14ac:dyDescent="0.25">
      <c r="B95" s="368"/>
      <c r="C95" s="369"/>
      <c r="D95" s="369"/>
      <c r="E95" s="286"/>
      <c r="F95" s="286"/>
      <c r="G95" s="286"/>
      <c r="H95" s="286"/>
      <c r="I95" s="286"/>
      <c r="J95" s="286"/>
      <c r="K95" s="286"/>
      <c r="L95" s="286"/>
      <c r="M95" s="286"/>
      <c r="N95" s="286"/>
      <c r="O95" s="286"/>
      <c r="P95" s="286"/>
      <c r="Q95" s="286"/>
      <c r="R95" s="4"/>
    </row>
    <row r="96" spans="1:18" x14ac:dyDescent="0.25">
      <c r="B96" s="368"/>
      <c r="C96" s="369"/>
      <c r="D96" s="369"/>
      <c r="E96" s="286"/>
      <c r="F96" s="286"/>
      <c r="G96" s="286"/>
      <c r="H96" s="286"/>
      <c r="I96" s="286"/>
      <c r="J96" s="286"/>
      <c r="K96" s="286"/>
      <c r="L96" s="286"/>
      <c r="M96" s="286"/>
      <c r="N96" s="286"/>
      <c r="O96" s="286"/>
      <c r="P96" s="286"/>
      <c r="Q96" s="286"/>
      <c r="R96" s="4"/>
    </row>
    <row r="97" spans="2:18" x14ac:dyDescent="0.25">
      <c r="B97" s="368"/>
      <c r="C97" s="369"/>
      <c r="D97" s="369"/>
      <c r="E97" s="286"/>
      <c r="F97" s="286"/>
      <c r="G97" s="286"/>
      <c r="H97" s="286"/>
      <c r="I97" s="286"/>
      <c r="J97" s="286"/>
      <c r="K97" s="286"/>
      <c r="L97" s="286"/>
      <c r="M97" s="286"/>
      <c r="N97" s="286"/>
      <c r="O97" s="286"/>
      <c r="P97" s="286"/>
      <c r="Q97" s="286"/>
      <c r="R97" s="4"/>
    </row>
    <row r="98" spans="2:18" x14ac:dyDescent="0.25">
      <c r="B98" s="368"/>
      <c r="C98" s="369"/>
      <c r="D98" s="369"/>
      <c r="E98" s="286"/>
      <c r="F98" s="286"/>
      <c r="G98" s="286"/>
      <c r="H98" s="286"/>
      <c r="I98" s="286"/>
      <c r="J98" s="286"/>
      <c r="K98" s="286"/>
      <c r="L98" s="286"/>
      <c r="M98" s="286"/>
      <c r="N98" s="286"/>
      <c r="O98" s="286"/>
      <c r="P98" s="286"/>
      <c r="Q98" s="286"/>
      <c r="R98" s="4"/>
    </row>
    <row r="99" spans="2:18" x14ac:dyDescent="0.25">
      <c r="B99" s="368"/>
      <c r="C99" s="369"/>
      <c r="D99" s="369"/>
      <c r="E99" s="286"/>
      <c r="F99" s="286"/>
      <c r="G99" s="286"/>
      <c r="H99" s="286"/>
      <c r="I99" s="286"/>
      <c r="J99" s="286"/>
      <c r="K99" s="286"/>
      <c r="L99" s="286"/>
      <c r="M99" s="286"/>
      <c r="N99" s="286"/>
      <c r="O99" s="286"/>
      <c r="P99" s="286"/>
      <c r="Q99" s="286"/>
      <c r="R99" s="4"/>
    </row>
    <row r="100" spans="2:18" x14ac:dyDescent="0.25">
      <c r="B100" s="368"/>
      <c r="C100" s="369"/>
      <c r="D100" s="369"/>
      <c r="E100" s="286"/>
      <c r="F100" s="286"/>
      <c r="G100" s="286"/>
      <c r="H100" s="286"/>
      <c r="I100" s="286"/>
      <c r="J100" s="286"/>
      <c r="K100" s="286"/>
      <c r="L100" s="286"/>
      <c r="M100" s="286"/>
      <c r="N100" s="286"/>
      <c r="O100" s="286"/>
      <c r="P100" s="286"/>
      <c r="Q100" s="286"/>
      <c r="R100" s="4"/>
    </row>
    <row r="101" spans="2:18" x14ac:dyDescent="0.25">
      <c r="B101" s="368"/>
      <c r="C101" s="369"/>
      <c r="D101" s="369"/>
      <c r="E101" s="286"/>
      <c r="F101" s="286"/>
      <c r="G101" s="286"/>
      <c r="H101" s="286"/>
      <c r="I101" s="286"/>
      <c r="J101" s="286"/>
      <c r="K101" s="286"/>
      <c r="L101" s="286"/>
      <c r="M101" s="286"/>
      <c r="N101" s="286"/>
      <c r="O101" s="286"/>
      <c r="P101" s="286"/>
      <c r="Q101" s="286"/>
      <c r="R101" s="4"/>
    </row>
    <row r="102" spans="2:18" x14ac:dyDescent="0.25">
      <c r="B102" s="368"/>
      <c r="C102" s="369"/>
      <c r="D102" s="369"/>
      <c r="E102" s="286"/>
      <c r="F102" s="286"/>
      <c r="G102" s="286"/>
      <c r="H102" s="286"/>
      <c r="I102" s="286"/>
      <c r="J102" s="286"/>
      <c r="K102" s="286"/>
      <c r="L102" s="286"/>
      <c r="M102" s="286"/>
      <c r="N102" s="286"/>
      <c r="O102" s="286"/>
      <c r="P102" s="286"/>
      <c r="Q102" s="286"/>
      <c r="R102" s="4"/>
    </row>
    <row r="103" spans="2:18" x14ac:dyDescent="0.25">
      <c r="B103" s="368"/>
      <c r="C103" s="369"/>
      <c r="D103" s="369"/>
      <c r="E103" s="286"/>
      <c r="F103" s="286"/>
      <c r="G103" s="286"/>
      <c r="H103" s="286"/>
      <c r="I103" s="286"/>
      <c r="J103" s="286"/>
      <c r="K103" s="286"/>
      <c r="L103" s="286"/>
      <c r="M103" s="286"/>
      <c r="N103" s="286"/>
      <c r="O103" s="286"/>
      <c r="P103" s="286"/>
      <c r="Q103" s="286"/>
      <c r="R103" s="4"/>
    </row>
    <row r="104" spans="2:18" x14ac:dyDescent="0.25">
      <c r="B104" s="368"/>
      <c r="C104" s="369"/>
      <c r="D104" s="369"/>
      <c r="E104" s="286"/>
      <c r="F104" s="286"/>
      <c r="G104" s="286"/>
      <c r="H104" s="286"/>
      <c r="I104" s="286"/>
      <c r="J104" s="286"/>
      <c r="K104" s="286"/>
      <c r="L104" s="286"/>
      <c r="M104" s="286"/>
      <c r="N104" s="286"/>
      <c r="O104" s="286"/>
      <c r="P104" s="286"/>
      <c r="Q104" s="286"/>
      <c r="R104" s="4"/>
    </row>
    <row r="105" spans="2:18" x14ac:dyDescent="0.25">
      <c r="B105" s="368"/>
      <c r="C105" s="369"/>
      <c r="D105" s="369"/>
      <c r="E105" s="286"/>
      <c r="F105" s="286"/>
      <c r="G105" s="286"/>
      <c r="H105" s="286"/>
      <c r="I105" s="286"/>
      <c r="J105" s="286"/>
      <c r="K105" s="286"/>
      <c r="L105" s="286"/>
      <c r="M105" s="286"/>
      <c r="N105" s="286"/>
      <c r="O105" s="286"/>
      <c r="P105" s="286"/>
      <c r="Q105" s="286"/>
      <c r="R105" s="4"/>
    </row>
    <row r="106" spans="2:18" x14ac:dyDescent="0.25">
      <c r="B106" s="368"/>
      <c r="C106" s="369"/>
      <c r="D106" s="369"/>
      <c r="E106" s="286"/>
      <c r="F106" s="286"/>
      <c r="G106" s="286"/>
      <c r="H106" s="286"/>
      <c r="I106" s="286"/>
      <c r="J106" s="286"/>
      <c r="K106" s="286"/>
      <c r="L106" s="286"/>
      <c r="M106" s="286"/>
      <c r="N106" s="286"/>
      <c r="O106" s="286"/>
      <c r="P106" s="286"/>
      <c r="Q106" s="286"/>
      <c r="R106" s="4"/>
    </row>
    <row r="107" spans="2:18" x14ac:dyDescent="0.25">
      <c r="B107" s="368"/>
      <c r="C107" s="369"/>
      <c r="D107" s="369"/>
      <c r="E107" s="286"/>
      <c r="F107" s="286"/>
      <c r="G107" s="286"/>
      <c r="H107" s="286"/>
      <c r="I107" s="286"/>
      <c r="J107" s="286"/>
      <c r="K107" s="286"/>
      <c r="L107" s="286"/>
      <c r="M107" s="286"/>
      <c r="N107" s="286"/>
      <c r="O107" s="286"/>
      <c r="P107" s="286"/>
      <c r="Q107" s="286"/>
      <c r="R107" s="4"/>
    </row>
    <row r="108" spans="2:18" x14ac:dyDescent="0.25">
      <c r="B108" s="368"/>
      <c r="C108" s="369"/>
      <c r="D108" s="369"/>
      <c r="E108" s="286"/>
      <c r="F108" s="286"/>
      <c r="G108" s="286"/>
      <c r="H108" s="286"/>
      <c r="I108" s="286"/>
      <c r="J108" s="286"/>
      <c r="K108" s="286"/>
      <c r="L108" s="286"/>
      <c r="M108" s="286"/>
      <c r="N108" s="286"/>
      <c r="O108" s="286"/>
      <c r="P108" s="286"/>
      <c r="Q108" s="286"/>
      <c r="R108" s="4"/>
    </row>
    <row r="109" spans="2:18" x14ac:dyDescent="0.25">
      <c r="B109" s="368"/>
      <c r="C109" s="369"/>
      <c r="D109" s="369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286"/>
      <c r="R109" s="4"/>
    </row>
    <row r="110" spans="2:18" x14ac:dyDescent="0.25">
      <c r="B110" s="368"/>
      <c r="C110" s="369"/>
      <c r="D110" s="369"/>
      <c r="E110" s="286"/>
      <c r="F110" s="286"/>
      <c r="G110" s="286"/>
      <c r="H110" s="286"/>
      <c r="I110" s="286"/>
      <c r="J110" s="286"/>
      <c r="K110" s="286"/>
      <c r="L110" s="286"/>
      <c r="M110" s="286"/>
      <c r="N110" s="286"/>
      <c r="O110" s="286"/>
      <c r="P110" s="286"/>
      <c r="Q110" s="286"/>
      <c r="R110" s="4"/>
    </row>
    <row r="111" spans="2:18" x14ac:dyDescent="0.25">
      <c r="B111" s="368"/>
      <c r="C111" s="369"/>
      <c r="D111" s="369"/>
      <c r="E111" s="286"/>
      <c r="F111" s="286"/>
      <c r="G111" s="286"/>
      <c r="H111" s="286"/>
      <c r="I111" s="286"/>
      <c r="J111" s="286"/>
      <c r="K111" s="286"/>
      <c r="L111" s="286"/>
      <c r="M111" s="286"/>
      <c r="N111" s="286"/>
      <c r="O111" s="286"/>
      <c r="P111" s="286"/>
      <c r="Q111" s="286"/>
      <c r="R111" s="4"/>
    </row>
    <row r="112" spans="2:18" x14ac:dyDescent="0.25">
      <c r="B112" s="368"/>
      <c r="C112" s="369"/>
      <c r="D112" s="369"/>
      <c r="E112" s="286"/>
      <c r="F112" s="286"/>
      <c r="G112" s="286"/>
      <c r="H112" s="286"/>
      <c r="I112" s="286"/>
      <c r="J112" s="286"/>
      <c r="K112" s="286"/>
      <c r="L112" s="286"/>
      <c r="M112" s="286"/>
      <c r="N112" s="286"/>
      <c r="O112" s="286"/>
      <c r="P112" s="286"/>
      <c r="Q112" s="286"/>
      <c r="R112" s="4"/>
    </row>
    <row r="113" spans="2:18" x14ac:dyDescent="0.25">
      <c r="B113" s="368"/>
      <c r="C113" s="369"/>
      <c r="D113" s="369"/>
      <c r="E113" s="286"/>
      <c r="F113" s="286"/>
      <c r="G113" s="286"/>
      <c r="H113" s="286"/>
      <c r="I113" s="286"/>
      <c r="J113" s="286"/>
      <c r="K113" s="286"/>
      <c r="L113" s="286"/>
      <c r="M113" s="286"/>
      <c r="N113" s="286"/>
      <c r="O113" s="286"/>
      <c r="P113" s="286"/>
      <c r="Q113" s="286"/>
      <c r="R113" s="4"/>
    </row>
    <row r="114" spans="2:18" x14ac:dyDescent="0.25">
      <c r="B114" s="368"/>
      <c r="C114" s="369"/>
      <c r="D114" s="369"/>
      <c r="E114" s="286"/>
      <c r="F114" s="286"/>
      <c r="G114" s="286"/>
      <c r="H114" s="286"/>
      <c r="I114" s="286"/>
      <c r="J114" s="286"/>
      <c r="K114" s="286"/>
      <c r="L114" s="286"/>
      <c r="M114" s="286"/>
      <c r="N114" s="286"/>
      <c r="O114" s="286"/>
      <c r="P114" s="286"/>
      <c r="Q114" s="286"/>
      <c r="R114" s="4"/>
    </row>
    <row r="115" spans="2:18" x14ac:dyDescent="0.25">
      <c r="B115" s="368"/>
      <c r="C115" s="369"/>
      <c r="D115" s="369"/>
      <c r="E115" s="286"/>
      <c r="F115" s="286"/>
      <c r="G115" s="286"/>
      <c r="H115" s="286"/>
      <c r="I115" s="286"/>
      <c r="J115" s="286"/>
      <c r="K115" s="286"/>
      <c r="L115" s="286"/>
      <c r="M115" s="286"/>
      <c r="N115" s="286"/>
      <c r="O115" s="286"/>
      <c r="P115" s="286"/>
      <c r="Q115" s="286"/>
      <c r="R115" s="4"/>
    </row>
    <row r="116" spans="2:18" x14ac:dyDescent="0.25">
      <c r="B116" s="368"/>
      <c r="C116" s="369"/>
      <c r="D116" s="369"/>
      <c r="E116" s="286"/>
      <c r="F116" s="286"/>
      <c r="G116" s="286"/>
      <c r="H116" s="286"/>
      <c r="I116" s="286"/>
      <c r="J116" s="286"/>
      <c r="K116" s="286"/>
      <c r="L116" s="286"/>
      <c r="M116" s="286"/>
      <c r="N116" s="286"/>
      <c r="O116" s="286"/>
      <c r="P116" s="286"/>
      <c r="Q116" s="286"/>
      <c r="R116" s="4"/>
    </row>
    <row r="117" spans="2:18" x14ac:dyDescent="0.25">
      <c r="B117" s="368"/>
      <c r="C117" s="369"/>
      <c r="D117" s="369"/>
      <c r="E117" s="286"/>
      <c r="F117" s="286"/>
      <c r="G117" s="286"/>
      <c r="H117" s="286"/>
      <c r="I117" s="286"/>
      <c r="J117" s="286"/>
      <c r="K117" s="286"/>
      <c r="L117" s="286"/>
      <c r="M117" s="286"/>
      <c r="N117" s="286"/>
      <c r="O117" s="286"/>
      <c r="P117" s="286"/>
      <c r="Q117" s="286"/>
      <c r="R117" s="4"/>
    </row>
    <row r="118" spans="2:18" x14ac:dyDescent="0.25">
      <c r="B118" s="368"/>
      <c r="C118" s="369"/>
      <c r="D118" s="369"/>
      <c r="E118" s="286"/>
      <c r="F118" s="286"/>
      <c r="G118" s="286"/>
      <c r="H118" s="286"/>
      <c r="I118" s="286"/>
      <c r="J118" s="286"/>
      <c r="K118" s="286"/>
      <c r="L118" s="286"/>
      <c r="M118" s="286"/>
      <c r="N118" s="286"/>
      <c r="O118" s="286"/>
      <c r="P118" s="286"/>
      <c r="Q118" s="286"/>
      <c r="R118" s="4"/>
    </row>
    <row r="119" spans="2:18" x14ac:dyDescent="0.25">
      <c r="B119" s="368"/>
      <c r="C119" s="369"/>
      <c r="D119" s="369"/>
      <c r="E119" s="286"/>
      <c r="F119" s="286"/>
      <c r="G119" s="286"/>
      <c r="H119" s="286"/>
      <c r="I119" s="286"/>
      <c r="J119" s="286"/>
      <c r="K119" s="286"/>
      <c r="L119" s="286"/>
      <c r="M119" s="286"/>
      <c r="N119" s="286"/>
      <c r="O119" s="286"/>
      <c r="P119" s="286"/>
      <c r="Q119" s="286"/>
      <c r="R119" s="4"/>
    </row>
    <row r="120" spans="2:18" x14ac:dyDescent="0.25">
      <c r="B120" s="368"/>
      <c r="C120" s="369"/>
      <c r="D120" s="369"/>
      <c r="E120" s="286"/>
      <c r="F120" s="286"/>
      <c r="G120" s="286"/>
      <c r="H120" s="286"/>
      <c r="I120" s="286"/>
      <c r="J120" s="286"/>
      <c r="K120" s="286"/>
      <c r="L120" s="286"/>
      <c r="M120" s="286"/>
      <c r="N120" s="286"/>
      <c r="O120" s="286"/>
      <c r="P120" s="286"/>
      <c r="Q120" s="286"/>
      <c r="R120" s="4"/>
    </row>
    <row r="121" spans="2:18" x14ac:dyDescent="0.25">
      <c r="B121" s="368"/>
      <c r="C121" s="369"/>
      <c r="D121" s="369"/>
      <c r="E121" s="286"/>
      <c r="F121" s="286"/>
      <c r="G121" s="286"/>
      <c r="H121" s="286"/>
      <c r="I121" s="286"/>
      <c r="J121" s="286"/>
      <c r="K121" s="286"/>
      <c r="L121" s="286"/>
      <c r="M121" s="286"/>
      <c r="N121" s="286"/>
      <c r="O121" s="286"/>
      <c r="P121" s="286"/>
      <c r="Q121" s="286"/>
      <c r="R121" s="4"/>
    </row>
    <row r="122" spans="2:18" x14ac:dyDescent="0.25">
      <c r="B122" s="368"/>
      <c r="C122" s="369"/>
      <c r="D122" s="369"/>
      <c r="E122" s="286"/>
      <c r="F122" s="286"/>
      <c r="G122" s="286"/>
      <c r="H122" s="286"/>
      <c r="I122" s="286"/>
      <c r="J122" s="286"/>
      <c r="K122" s="286"/>
      <c r="L122" s="286"/>
      <c r="M122" s="286"/>
      <c r="N122" s="286"/>
      <c r="O122" s="286"/>
      <c r="P122" s="286"/>
      <c r="Q122" s="286"/>
      <c r="R122" s="4"/>
    </row>
    <row r="123" spans="2:18" x14ac:dyDescent="0.25">
      <c r="B123" s="368"/>
      <c r="C123" s="369"/>
      <c r="D123" s="369"/>
      <c r="E123" s="286"/>
      <c r="F123" s="286"/>
      <c r="G123" s="286"/>
      <c r="H123" s="286"/>
      <c r="I123" s="286"/>
      <c r="J123" s="286"/>
      <c r="K123" s="286"/>
      <c r="L123" s="286"/>
      <c r="M123" s="286"/>
      <c r="N123" s="286"/>
      <c r="O123" s="286"/>
      <c r="P123" s="286"/>
      <c r="Q123" s="286"/>
      <c r="R123" s="4"/>
    </row>
    <row r="124" spans="2:18" x14ac:dyDescent="0.25">
      <c r="B124" s="368"/>
      <c r="C124" s="369"/>
      <c r="D124" s="369"/>
      <c r="E124" s="286"/>
      <c r="F124" s="286"/>
      <c r="G124" s="286"/>
      <c r="H124" s="286"/>
      <c r="I124" s="286"/>
      <c r="J124" s="286"/>
      <c r="K124" s="286"/>
      <c r="L124" s="286"/>
      <c r="M124" s="286"/>
      <c r="N124" s="286"/>
      <c r="O124" s="286"/>
      <c r="P124" s="286"/>
      <c r="Q124" s="286"/>
      <c r="R124" s="4"/>
    </row>
    <row r="125" spans="2:18" x14ac:dyDescent="0.25">
      <c r="B125" s="368"/>
      <c r="C125" s="369"/>
      <c r="D125" s="369"/>
      <c r="E125" s="286"/>
      <c r="F125" s="286"/>
      <c r="G125" s="286"/>
      <c r="H125" s="286"/>
      <c r="I125" s="286"/>
      <c r="J125" s="286"/>
      <c r="K125" s="286"/>
      <c r="L125" s="286"/>
      <c r="M125" s="286"/>
      <c r="N125" s="286"/>
      <c r="O125" s="286"/>
      <c r="P125" s="286"/>
      <c r="Q125" s="286"/>
      <c r="R125" s="4"/>
    </row>
    <row r="126" spans="2:18" x14ac:dyDescent="0.25">
      <c r="B126" s="368"/>
      <c r="C126" s="369"/>
      <c r="D126" s="369"/>
      <c r="E126" s="286"/>
      <c r="F126" s="286"/>
      <c r="G126" s="286"/>
      <c r="H126" s="286"/>
      <c r="I126" s="286"/>
      <c r="J126" s="286"/>
      <c r="K126" s="286"/>
      <c r="L126" s="286"/>
      <c r="M126" s="286"/>
      <c r="N126" s="286"/>
      <c r="O126" s="286"/>
      <c r="P126" s="286"/>
      <c r="Q126" s="286"/>
      <c r="R126" s="4"/>
    </row>
    <row r="127" spans="2:18" x14ac:dyDescent="0.25">
      <c r="B127" s="368"/>
      <c r="C127" s="369"/>
      <c r="D127" s="369"/>
      <c r="E127" s="286"/>
      <c r="F127" s="286"/>
      <c r="G127" s="286"/>
      <c r="H127" s="286"/>
      <c r="I127" s="286"/>
      <c r="J127" s="286"/>
      <c r="K127" s="286"/>
      <c r="L127" s="286"/>
      <c r="M127" s="286"/>
      <c r="N127" s="286"/>
      <c r="O127" s="286"/>
      <c r="P127" s="286"/>
      <c r="Q127" s="286"/>
      <c r="R127" s="4"/>
    </row>
    <row r="128" spans="2:18" x14ac:dyDescent="0.25">
      <c r="B128" s="368"/>
      <c r="C128" s="369"/>
      <c r="D128" s="369"/>
      <c r="E128" s="286"/>
      <c r="F128" s="286"/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4"/>
    </row>
    <row r="129" spans="2:18" x14ac:dyDescent="0.25">
      <c r="B129" s="368"/>
      <c r="C129" s="369"/>
      <c r="D129" s="369"/>
      <c r="E129" s="286"/>
      <c r="F129" s="286"/>
      <c r="G129" s="286"/>
      <c r="H129" s="286"/>
      <c r="I129" s="286"/>
      <c r="J129" s="286"/>
      <c r="K129" s="286"/>
      <c r="L129" s="286"/>
      <c r="M129" s="286"/>
      <c r="N129" s="286"/>
      <c r="O129" s="286"/>
      <c r="P129" s="286"/>
      <c r="Q129" s="286"/>
      <c r="R129" s="4"/>
    </row>
    <row r="130" spans="2:18" x14ac:dyDescent="0.25">
      <c r="B130" s="368"/>
      <c r="C130" s="369"/>
      <c r="D130" s="369"/>
      <c r="E130" s="286"/>
      <c r="F130" s="286"/>
      <c r="G130" s="286"/>
      <c r="H130" s="286"/>
      <c r="I130" s="286"/>
      <c r="J130" s="286"/>
      <c r="K130" s="286"/>
      <c r="L130" s="286"/>
      <c r="M130" s="286"/>
      <c r="N130" s="286"/>
      <c r="O130" s="286"/>
      <c r="P130" s="286"/>
      <c r="Q130" s="286"/>
      <c r="R130" s="4"/>
    </row>
    <row r="131" spans="2:18" x14ac:dyDescent="0.25">
      <c r="B131" s="368"/>
      <c r="C131" s="369"/>
      <c r="D131" s="369"/>
      <c r="E131" s="286"/>
      <c r="F131" s="286"/>
      <c r="G131" s="286"/>
      <c r="H131" s="286"/>
      <c r="I131" s="286"/>
      <c r="J131" s="286"/>
      <c r="K131" s="286"/>
      <c r="L131" s="286"/>
      <c r="M131" s="286"/>
      <c r="N131" s="286"/>
      <c r="O131" s="286"/>
      <c r="P131" s="286"/>
      <c r="Q131" s="286"/>
      <c r="R131" s="4"/>
    </row>
    <row r="132" spans="2:18" x14ac:dyDescent="0.25">
      <c r="B132" s="368"/>
      <c r="C132" s="369"/>
      <c r="D132" s="369"/>
      <c r="E132" s="286"/>
      <c r="F132" s="286"/>
      <c r="G132" s="286"/>
      <c r="H132" s="286"/>
      <c r="I132" s="286"/>
      <c r="J132" s="286"/>
      <c r="K132" s="286"/>
      <c r="L132" s="286"/>
      <c r="M132" s="286"/>
      <c r="N132" s="286"/>
      <c r="O132" s="286"/>
      <c r="P132" s="286"/>
      <c r="Q132" s="286"/>
      <c r="R132" s="4"/>
    </row>
    <row r="133" spans="2:18" x14ac:dyDescent="0.25">
      <c r="B133" s="368"/>
      <c r="C133" s="369"/>
      <c r="D133" s="369"/>
      <c r="E133" s="286"/>
      <c r="F133" s="286"/>
      <c r="G133" s="286"/>
      <c r="H133" s="286"/>
      <c r="I133" s="286"/>
      <c r="J133" s="286"/>
      <c r="K133" s="286"/>
      <c r="L133" s="286"/>
      <c r="M133" s="286"/>
      <c r="N133" s="286"/>
      <c r="O133" s="286"/>
      <c r="P133" s="286"/>
      <c r="Q133" s="286"/>
      <c r="R133" s="4"/>
    </row>
    <row r="134" spans="2:18" x14ac:dyDescent="0.25">
      <c r="B134" s="368"/>
      <c r="C134" s="369"/>
      <c r="D134" s="369"/>
      <c r="E134" s="286"/>
      <c r="F134" s="286"/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4"/>
    </row>
    <row r="135" spans="2:18" x14ac:dyDescent="0.25">
      <c r="B135" s="368"/>
      <c r="C135" s="369"/>
      <c r="D135" s="369"/>
      <c r="E135" s="286"/>
      <c r="F135" s="286"/>
      <c r="G135" s="286"/>
      <c r="H135" s="286"/>
      <c r="I135" s="286"/>
      <c r="J135" s="286"/>
      <c r="K135" s="286"/>
      <c r="L135" s="286"/>
      <c r="M135" s="286"/>
      <c r="N135" s="286"/>
      <c r="O135" s="286"/>
      <c r="P135" s="286"/>
      <c r="Q135" s="286"/>
      <c r="R135" s="4"/>
    </row>
    <row r="136" spans="2:18" x14ac:dyDescent="0.25">
      <c r="B136" s="368"/>
      <c r="C136" s="369"/>
      <c r="D136" s="369"/>
      <c r="E136" s="286"/>
      <c r="F136" s="286"/>
      <c r="G136" s="286"/>
      <c r="H136" s="286"/>
      <c r="I136" s="286"/>
      <c r="J136" s="286"/>
      <c r="K136" s="286"/>
      <c r="L136" s="286"/>
      <c r="M136" s="286"/>
      <c r="N136" s="286"/>
      <c r="O136" s="286"/>
      <c r="P136" s="286"/>
      <c r="Q136" s="286"/>
      <c r="R136" s="4"/>
    </row>
    <row r="137" spans="2:18" x14ac:dyDescent="0.25">
      <c r="B137" s="368"/>
      <c r="C137" s="369"/>
      <c r="D137" s="369"/>
      <c r="E137" s="286"/>
      <c r="F137" s="286"/>
      <c r="G137" s="286"/>
      <c r="H137" s="286"/>
      <c r="I137" s="286"/>
      <c r="J137" s="286"/>
      <c r="K137" s="286"/>
      <c r="L137" s="286"/>
      <c r="M137" s="286"/>
      <c r="N137" s="286"/>
      <c r="O137" s="286"/>
      <c r="P137" s="286"/>
      <c r="Q137" s="286"/>
      <c r="R137" s="4"/>
    </row>
    <row r="138" spans="2:18" x14ac:dyDescent="0.25">
      <c r="B138" s="368"/>
      <c r="C138" s="369"/>
      <c r="D138" s="369"/>
      <c r="E138" s="286"/>
      <c r="F138" s="286"/>
      <c r="G138" s="286"/>
      <c r="H138" s="286"/>
      <c r="I138" s="286"/>
      <c r="J138" s="286"/>
      <c r="K138" s="286"/>
      <c r="L138" s="286"/>
      <c r="M138" s="286"/>
      <c r="N138" s="286"/>
      <c r="O138" s="286"/>
      <c r="P138" s="286"/>
      <c r="Q138" s="286"/>
      <c r="R138" s="4"/>
    </row>
    <row r="139" spans="2:18" x14ac:dyDescent="0.25">
      <c r="B139" s="368"/>
      <c r="C139" s="369"/>
      <c r="D139" s="369"/>
      <c r="E139" s="286"/>
      <c r="F139" s="286"/>
      <c r="G139" s="286"/>
      <c r="H139" s="286"/>
      <c r="I139" s="286"/>
      <c r="J139" s="286"/>
      <c r="K139" s="286"/>
      <c r="L139" s="286"/>
      <c r="M139" s="286"/>
      <c r="N139" s="286"/>
      <c r="O139" s="286"/>
      <c r="P139" s="286"/>
      <c r="Q139" s="286"/>
      <c r="R139" s="4"/>
    </row>
    <row r="140" spans="2:18" x14ac:dyDescent="0.25">
      <c r="B140" s="368"/>
      <c r="C140" s="369"/>
      <c r="D140" s="369"/>
      <c r="E140" s="286"/>
      <c r="F140" s="286"/>
      <c r="G140" s="286"/>
      <c r="H140" s="286"/>
      <c r="I140" s="286"/>
      <c r="J140" s="286"/>
      <c r="K140" s="286"/>
      <c r="L140" s="286"/>
      <c r="M140" s="286"/>
      <c r="N140" s="286"/>
      <c r="O140" s="286"/>
      <c r="P140" s="286"/>
      <c r="Q140" s="286"/>
      <c r="R140" s="4"/>
    </row>
    <row r="141" spans="2:18" x14ac:dyDescent="0.25">
      <c r="B141" s="368"/>
      <c r="C141" s="369"/>
      <c r="D141" s="369"/>
      <c r="E141" s="286"/>
      <c r="F141" s="286"/>
      <c r="G141" s="286"/>
      <c r="H141" s="286"/>
      <c r="I141" s="286"/>
      <c r="J141" s="286"/>
      <c r="K141" s="286"/>
      <c r="L141" s="286"/>
      <c r="M141" s="286"/>
      <c r="N141" s="286"/>
      <c r="O141" s="286"/>
      <c r="P141" s="286"/>
      <c r="Q141" s="286"/>
      <c r="R141" s="4"/>
    </row>
    <row r="142" spans="2:18" x14ac:dyDescent="0.25">
      <c r="B142" s="368"/>
      <c r="C142" s="369"/>
      <c r="D142" s="369"/>
      <c r="E142" s="286"/>
      <c r="F142" s="286"/>
      <c r="G142" s="286"/>
      <c r="H142" s="286"/>
      <c r="I142" s="286"/>
      <c r="J142" s="286"/>
      <c r="K142" s="286"/>
      <c r="L142" s="286"/>
      <c r="M142" s="286"/>
      <c r="N142" s="286"/>
      <c r="O142" s="286"/>
      <c r="P142" s="286"/>
      <c r="Q142" s="286"/>
      <c r="R142" s="4"/>
    </row>
    <row r="143" spans="2:18" x14ac:dyDescent="0.25">
      <c r="B143" s="368"/>
      <c r="C143" s="369"/>
      <c r="D143" s="369"/>
      <c r="E143" s="286"/>
      <c r="F143" s="286"/>
      <c r="G143" s="286"/>
      <c r="H143" s="286"/>
      <c r="I143" s="286"/>
      <c r="J143" s="286"/>
      <c r="K143" s="286"/>
      <c r="L143" s="286"/>
      <c r="M143" s="286"/>
      <c r="N143" s="286"/>
      <c r="O143" s="286"/>
      <c r="P143" s="286"/>
      <c r="Q143" s="286"/>
      <c r="R143" s="4"/>
    </row>
    <row r="144" spans="2:18" x14ac:dyDescent="0.25">
      <c r="B144" s="368"/>
      <c r="C144" s="369"/>
      <c r="D144" s="369"/>
      <c r="E144" s="286"/>
      <c r="F144" s="286"/>
      <c r="G144" s="286"/>
      <c r="H144" s="286"/>
      <c r="I144" s="286"/>
      <c r="J144" s="286"/>
      <c r="K144" s="286"/>
      <c r="L144" s="286"/>
      <c r="M144" s="286"/>
      <c r="N144" s="286"/>
      <c r="O144" s="286"/>
      <c r="P144" s="286"/>
      <c r="Q144" s="286"/>
      <c r="R144" s="4"/>
    </row>
    <row r="145" spans="2:18" x14ac:dyDescent="0.25">
      <c r="B145" s="368"/>
      <c r="C145" s="369"/>
      <c r="D145" s="369"/>
      <c r="E145" s="286"/>
      <c r="F145" s="286"/>
      <c r="G145" s="286"/>
      <c r="H145" s="286"/>
      <c r="I145" s="286"/>
      <c r="J145" s="286"/>
      <c r="K145" s="286"/>
      <c r="L145" s="286"/>
      <c r="M145" s="286"/>
      <c r="N145" s="286"/>
      <c r="O145" s="286"/>
      <c r="P145" s="286"/>
      <c r="Q145" s="286"/>
      <c r="R145" s="4"/>
    </row>
    <row r="146" spans="2:18" x14ac:dyDescent="0.25">
      <c r="B146" s="368"/>
      <c r="C146" s="369"/>
      <c r="D146" s="369"/>
      <c r="E146" s="286"/>
      <c r="F146" s="286"/>
      <c r="G146" s="286"/>
      <c r="H146" s="286"/>
      <c r="I146" s="286"/>
      <c r="J146" s="286"/>
      <c r="K146" s="286"/>
      <c r="L146" s="286"/>
      <c r="M146" s="286"/>
      <c r="N146" s="286"/>
      <c r="O146" s="286"/>
      <c r="P146" s="286"/>
      <c r="Q146" s="286"/>
      <c r="R146" s="4"/>
    </row>
    <row r="147" spans="2:18" x14ac:dyDescent="0.25">
      <c r="B147" s="368"/>
      <c r="C147" s="369"/>
      <c r="D147" s="369"/>
      <c r="E147" s="286"/>
      <c r="F147" s="286"/>
      <c r="G147" s="286"/>
      <c r="H147" s="286"/>
      <c r="I147" s="286"/>
      <c r="J147" s="286"/>
      <c r="K147" s="286"/>
      <c r="L147" s="286"/>
      <c r="M147" s="286"/>
      <c r="N147" s="286"/>
      <c r="O147" s="286"/>
      <c r="P147" s="286"/>
      <c r="Q147" s="286"/>
      <c r="R147" s="4"/>
    </row>
    <row r="148" spans="2:18" x14ac:dyDescent="0.25">
      <c r="B148" s="368"/>
      <c r="C148" s="369"/>
      <c r="D148" s="369"/>
      <c r="E148" s="286"/>
      <c r="F148" s="286"/>
      <c r="G148" s="286"/>
      <c r="H148" s="286"/>
      <c r="I148" s="286"/>
      <c r="J148" s="286"/>
      <c r="K148" s="286"/>
      <c r="L148" s="286"/>
      <c r="M148" s="286"/>
      <c r="N148" s="286"/>
      <c r="O148" s="286"/>
      <c r="P148" s="286"/>
      <c r="Q148" s="286"/>
      <c r="R148" s="4"/>
    </row>
    <row r="149" spans="2:18" x14ac:dyDescent="0.25">
      <c r="B149" s="368"/>
      <c r="C149" s="369"/>
      <c r="D149" s="369"/>
      <c r="E149" s="286"/>
      <c r="F149" s="286"/>
      <c r="G149" s="286"/>
      <c r="H149" s="286"/>
      <c r="I149" s="286"/>
      <c r="J149" s="286"/>
      <c r="K149" s="286"/>
      <c r="L149" s="286"/>
      <c r="M149" s="286"/>
      <c r="N149" s="286"/>
      <c r="O149" s="286"/>
      <c r="P149" s="286"/>
      <c r="Q149" s="286"/>
      <c r="R149" s="4"/>
    </row>
    <row r="150" spans="2:18" x14ac:dyDescent="0.25">
      <c r="B150" s="368"/>
      <c r="C150" s="369"/>
      <c r="D150" s="369"/>
      <c r="E150" s="286"/>
      <c r="F150" s="286"/>
      <c r="G150" s="286"/>
      <c r="H150" s="286"/>
      <c r="I150" s="286"/>
      <c r="J150" s="286"/>
      <c r="K150" s="286"/>
      <c r="L150" s="286"/>
      <c r="M150" s="286"/>
      <c r="N150" s="286"/>
      <c r="O150" s="286"/>
      <c r="P150" s="286"/>
      <c r="Q150" s="286"/>
      <c r="R150" s="4"/>
    </row>
    <row r="151" spans="2:18" x14ac:dyDescent="0.25">
      <c r="B151" s="368"/>
      <c r="C151" s="369"/>
      <c r="D151" s="369"/>
      <c r="E151" s="286"/>
      <c r="F151" s="286"/>
      <c r="G151" s="286"/>
      <c r="H151" s="286"/>
      <c r="I151" s="286"/>
      <c r="J151" s="286"/>
      <c r="K151" s="286"/>
      <c r="L151" s="286"/>
      <c r="M151" s="286"/>
      <c r="N151" s="286"/>
      <c r="O151" s="286"/>
      <c r="P151" s="286"/>
      <c r="Q151" s="286"/>
      <c r="R151" s="4"/>
    </row>
    <row r="152" spans="2:18" x14ac:dyDescent="0.25">
      <c r="B152" s="368"/>
      <c r="C152" s="369"/>
      <c r="D152" s="369"/>
      <c r="E152" s="286"/>
      <c r="F152" s="286"/>
      <c r="G152" s="286"/>
      <c r="H152" s="286"/>
      <c r="I152" s="286"/>
      <c r="J152" s="286"/>
      <c r="K152" s="286"/>
      <c r="L152" s="286"/>
      <c r="M152" s="286"/>
      <c r="N152" s="286"/>
      <c r="O152" s="286"/>
      <c r="P152" s="286"/>
      <c r="Q152" s="286"/>
      <c r="R152" s="4"/>
    </row>
    <row r="153" spans="2:18" x14ac:dyDescent="0.25">
      <c r="B153" s="368"/>
      <c r="C153" s="369"/>
      <c r="D153" s="369"/>
      <c r="E153" s="286"/>
      <c r="F153" s="286"/>
      <c r="G153" s="286"/>
      <c r="H153" s="286"/>
      <c r="I153" s="286"/>
      <c r="J153" s="286"/>
      <c r="K153" s="286"/>
      <c r="L153" s="286"/>
      <c r="M153" s="286"/>
      <c r="N153" s="286"/>
      <c r="O153" s="286"/>
      <c r="P153" s="286"/>
      <c r="Q153" s="286"/>
      <c r="R153" s="4"/>
    </row>
    <row r="154" spans="2:18" x14ac:dyDescent="0.25">
      <c r="B154" s="368"/>
      <c r="C154" s="369"/>
      <c r="D154" s="369"/>
      <c r="E154" s="286"/>
      <c r="F154" s="286"/>
      <c r="G154" s="286"/>
      <c r="H154" s="286"/>
      <c r="I154" s="286"/>
      <c r="J154" s="286"/>
      <c r="K154" s="286"/>
      <c r="L154" s="286"/>
      <c r="M154" s="286"/>
      <c r="N154" s="286"/>
      <c r="O154" s="286"/>
      <c r="P154" s="286"/>
      <c r="Q154" s="286"/>
      <c r="R154" s="4"/>
    </row>
    <row r="155" spans="2:18" x14ac:dyDescent="0.25">
      <c r="B155" s="368"/>
      <c r="C155" s="369"/>
      <c r="D155" s="369"/>
      <c r="E155" s="286"/>
      <c r="F155" s="286"/>
      <c r="G155" s="286"/>
      <c r="H155" s="286"/>
      <c r="I155" s="286"/>
      <c r="J155" s="286"/>
      <c r="K155" s="286"/>
      <c r="L155" s="286"/>
      <c r="M155" s="286"/>
      <c r="N155" s="286"/>
      <c r="O155" s="286"/>
      <c r="P155" s="286"/>
      <c r="Q155" s="286"/>
      <c r="R155" s="4"/>
    </row>
    <row r="156" spans="2:18" x14ac:dyDescent="0.25">
      <c r="B156" s="368"/>
      <c r="C156" s="369"/>
      <c r="D156" s="369"/>
      <c r="E156" s="286"/>
      <c r="F156" s="286"/>
      <c r="G156" s="286"/>
      <c r="H156" s="286"/>
      <c r="I156" s="286"/>
      <c r="J156" s="286"/>
      <c r="K156" s="286"/>
      <c r="L156" s="286"/>
      <c r="M156" s="286"/>
      <c r="N156" s="286"/>
      <c r="O156" s="286"/>
      <c r="P156" s="286"/>
      <c r="Q156" s="286"/>
      <c r="R156" s="4"/>
    </row>
    <row r="157" spans="2:18" x14ac:dyDescent="0.25">
      <c r="B157" s="368"/>
      <c r="C157" s="369"/>
      <c r="D157" s="369"/>
      <c r="E157" s="286"/>
      <c r="F157" s="286"/>
      <c r="G157" s="286"/>
      <c r="H157" s="286"/>
      <c r="I157" s="286"/>
      <c r="J157" s="286"/>
      <c r="K157" s="286"/>
      <c r="L157" s="286"/>
      <c r="M157" s="286"/>
      <c r="N157" s="286"/>
      <c r="O157" s="286"/>
      <c r="P157" s="286"/>
      <c r="Q157" s="286"/>
      <c r="R157" s="4"/>
    </row>
    <row r="158" spans="2:18" x14ac:dyDescent="0.25">
      <c r="B158" s="368"/>
      <c r="C158" s="369"/>
      <c r="D158" s="369"/>
      <c r="E158" s="286"/>
      <c r="F158" s="286"/>
      <c r="G158" s="286"/>
      <c r="H158" s="286"/>
      <c r="I158" s="286"/>
      <c r="J158" s="286"/>
      <c r="K158" s="286"/>
      <c r="L158" s="286"/>
      <c r="M158" s="286"/>
      <c r="N158" s="286"/>
      <c r="O158" s="286"/>
      <c r="P158" s="286"/>
      <c r="Q158" s="286"/>
      <c r="R158" s="4"/>
    </row>
    <row r="159" spans="2:18" x14ac:dyDescent="0.25">
      <c r="B159" s="368"/>
      <c r="C159" s="369"/>
      <c r="D159" s="369"/>
      <c r="E159" s="286"/>
      <c r="F159" s="286"/>
      <c r="G159" s="286"/>
      <c r="H159" s="286"/>
      <c r="I159" s="286"/>
      <c r="J159" s="286"/>
      <c r="K159" s="286"/>
      <c r="L159" s="286"/>
      <c r="M159" s="286"/>
      <c r="N159" s="286"/>
      <c r="O159" s="286"/>
      <c r="P159" s="286"/>
      <c r="Q159" s="286"/>
      <c r="R159" s="4"/>
    </row>
    <row r="160" spans="2:18" x14ac:dyDescent="0.25">
      <c r="B160" s="368"/>
      <c r="C160" s="369"/>
      <c r="D160" s="369"/>
      <c r="E160" s="286"/>
      <c r="F160" s="286"/>
      <c r="G160" s="286"/>
      <c r="H160" s="286"/>
      <c r="I160" s="286"/>
      <c r="J160" s="286"/>
      <c r="K160" s="286"/>
      <c r="L160" s="286"/>
      <c r="M160" s="286"/>
      <c r="N160" s="286"/>
      <c r="O160" s="286"/>
      <c r="P160" s="286"/>
      <c r="Q160" s="286"/>
      <c r="R160" s="4"/>
    </row>
    <row r="161" spans="2:18" x14ac:dyDescent="0.25">
      <c r="B161" s="368"/>
      <c r="C161" s="369"/>
      <c r="D161" s="369"/>
      <c r="E161" s="286"/>
      <c r="F161" s="286"/>
      <c r="G161" s="286"/>
      <c r="H161" s="286"/>
      <c r="I161" s="286"/>
      <c r="J161" s="286"/>
      <c r="K161" s="286"/>
      <c r="L161" s="286"/>
      <c r="M161" s="286"/>
      <c r="N161" s="286"/>
      <c r="O161" s="286"/>
      <c r="P161" s="286"/>
      <c r="Q161" s="286"/>
      <c r="R161" s="4"/>
    </row>
    <row r="162" spans="2:18" x14ac:dyDescent="0.25">
      <c r="B162" s="368"/>
      <c r="C162" s="369"/>
      <c r="D162" s="369"/>
      <c r="E162" s="286"/>
      <c r="F162" s="286"/>
      <c r="G162" s="286"/>
      <c r="H162" s="286"/>
      <c r="I162" s="286"/>
      <c r="J162" s="286"/>
      <c r="K162" s="286"/>
      <c r="L162" s="286"/>
      <c r="M162" s="286"/>
      <c r="N162" s="286"/>
      <c r="O162" s="286"/>
      <c r="P162" s="286"/>
      <c r="Q162" s="286"/>
      <c r="R162" s="4"/>
    </row>
    <row r="163" spans="2:18" x14ac:dyDescent="0.25">
      <c r="B163" s="368"/>
      <c r="C163" s="369"/>
      <c r="D163" s="369"/>
      <c r="E163" s="286"/>
      <c r="F163" s="286"/>
      <c r="G163" s="286"/>
      <c r="H163" s="286"/>
      <c r="I163" s="286"/>
      <c r="J163" s="286"/>
      <c r="K163" s="286"/>
      <c r="L163" s="286"/>
      <c r="M163" s="286"/>
      <c r="N163" s="286"/>
      <c r="O163" s="286"/>
      <c r="P163" s="286"/>
      <c r="Q163" s="286"/>
      <c r="R163" s="4"/>
    </row>
    <row r="164" spans="2:18" x14ac:dyDescent="0.25">
      <c r="B164" s="368"/>
      <c r="C164" s="369"/>
      <c r="D164" s="369"/>
      <c r="E164" s="286"/>
      <c r="F164" s="286"/>
      <c r="G164" s="286"/>
      <c r="H164" s="286"/>
      <c r="I164" s="286"/>
      <c r="J164" s="286"/>
      <c r="K164" s="286"/>
      <c r="L164" s="286"/>
      <c r="M164" s="286"/>
      <c r="N164" s="286"/>
      <c r="O164" s="286"/>
      <c r="P164" s="286"/>
      <c r="Q164" s="286"/>
      <c r="R164" s="4"/>
    </row>
    <row r="165" spans="2:18" x14ac:dyDescent="0.25">
      <c r="B165" s="368"/>
      <c r="C165" s="369"/>
      <c r="D165" s="369"/>
      <c r="E165" s="286"/>
      <c r="F165" s="286"/>
      <c r="G165" s="286"/>
      <c r="H165" s="286"/>
      <c r="I165" s="286"/>
      <c r="J165" s="286"/>
      <c r="K165" s="286"/>
      <c r="L165" s="286"/>
      <c r="M165" s="286"/>
      <c r="N165" s="286"/>
      <c r="O165" s="286"/>
      <c r="P165" s="286"/>
      <c r="Q165" s="286"/>
      <c r="R165" s="4"/>
    </row>
    <row r="166" spans="2:18" x14ac:dyDescent="0.25">
      <c r="B166" s="368"/>
      <c r="C166" s="369"/>
      <c r="D166" s="369"/>
      <c r="E166" s="286"/>
      <c r="F166" s="286"/>
      <c r="G166" s="286"/>
      <c r="H166" s="286"/>
      <c r="I166" s="286"/>
      <c r="J166" s="286"/>
      <c r="K166" s="286"/>
      <c r="L166" s="286"/>
      <c r="M166" s="286"/>
      <c r="N166" s="286"/>
      <c r="O166" s="286"/>
      <c r="P166" s="286"/>
      <c r="Q166" s="286"/>
      <c r="R166" s="4"/>
    </row>
    <row r="167" spans="2:18" x14ac:dyDescent="0.25">
      <c r="B167" s="368"/>
      <c r="C167" s="369"/>
      <c r="D167" s="369"/>
      <c r="E167" s="286"/>
      <c r="F167" s="286"/>
      <c r="G167" s="286"/>
      <c r="H167" s="286"/>
      <c r="I167" s="286"/>
      <c r="J167" s="286"/>
      <c r="K167" s="286"/>
      <c r="L167" s="286"/>
      <c r="M167" s="286"/>
      <c r="N167" s="286"/>
      <c r="O167" s="286"/>
      <c r="P167" s="286"/>
      <c r="Q167" s="286"/>
      <c r="R167" s="4"/>
    </row>
    <row r="168" spans="2:18" x14ac:dyDescent="0.25">
      <c r="B168" s="368"/>
      <c r="C168" s="369"/>
      <c r="D168" s="369"/>
      <c r="E168" s="286"/>
      <c r="F168" s="286"/>
      <c r="G168" s="286"/>
      <c r="H168" s="286"/>
      <c r="I168" s="286"/>
      <c r="J168" s="286"/>
      <c r="K168" s="286"/>
      <c r="L168" s="286"/>
      <c r="M168" s="286"/>
      <c r="N168" s="286"/>
      <c r="O168" s="286"/>
      <c r="P168" s="286"/>
      <c r="Q168" s="286"/>
      <c r="R168" s="4"/>
    </row>
    <row r="169" spans="2:18" x14ac:dyDescent="0.25">
      <c r="B169" s="368"/>
      <c r="C169" s="369"/>
      <c r="D169" s="369"/>
      <c r="E169" s="286"/>
      <c r="F169" s="286"/>
      <c r="G169" s="286"/>
      <c r="H169" s="286"/>
      <c r="I169" s="286"/>
      <c r="J169" s="286"/>
      <c r="K169" s="286"/>
      <c r="L169" s="286"/>
      <c r="M169" s="286"/>
      <c r="N169" s="286"/>
      <c r="O169" s="286"/>
      <c r="P169" s="286"/>
      <c r="Q169" s="286"/>
      <c r="R169" s="4"/>
    </row>
    <row r="170" spans="2:18" x14ac:dyDescent="0.25">
      <c r="B170" s="368"/>
      <c r="C170" s="369"/>
      <c r="D170" s="369"/>
      <c r="E170" s="286"/>
      <c r="F170" s="286"/>
      <c r="G170" s="286"/>
      <c r="H170" s="286"/>
      <c r="I170" s="286"/>
      <c r="J170" s="286"/>
      <c r="K170" s="286"/>
      <c r="L170" s="286"/>
      <c r="M170" s="286"/>
      <c r="N170" s="286"/>
      <c r="O170" s="286"/>
      <c r="P170" s="286"/>
      <c r="Q170" s="286"/>
      <c r="R170" s="4"/>
    </row>
    <row r="171" spans="2:18" x14ac:dyDescent="0.25">
      <c r="B171" s="368"/>
      <c r="C171" s="369"/>
      <c r="D171" s="369"/>
      <c r="E171" s="286"/>
      <c r="F171" s="286"/>
      <c r="G171" s="286"/>
      <c r="H171" s="286"/>
      <c r="I171" s="286"/>
      <c r="J171" s="286"/>
      <c r="K171" s="286"/>
      <c r="L171" s="286"/>
      <c r="M171" s="286"/>
      <c r="N171" s="286"/>
      <c r="O171" s="286"/>
      <c r="P171" s="286"/>
      <c r="Q171" s="286"/>
      <c r="R171" s="4"/>
    </row>
    <row r="172" spans="2:18" x14ac:dyDescent="0.25">
      <c r="B172" s="368"/>
      <c r="C172" s="369"/>
      <c r="D172" s="369"/>
      <c r="E172" s="286"/>
      <c r="F172" s="286"/>
      <c r="G172" s="286"/>
      <c r="H172" s="286"/>
      <c r="I172" s="286"/>
      <c r="J172" s="286"/>
      <c r="K172" s="286"/>
      <c r="L172" s="286"/>
      <c r="M172" s="286"/>
      <c r="N172" s="286"/>
      <c r="O172" s="286"/>
      <c r="P172" s="286"/>
      <c r="Q172" s="286"/>
      <c r="R172" s="4"/>
    </row>
    <row r="173" spans="2:18" x14ac:dyDescent="0.25">
      <c r="B173" s="368"/>
      <c r="C173" s="369"/>
      <c r="D173" s="369"/>
      <c r="E173" s="286"/>
      <c r="F173" s="286"/>
      <c r="G173" s="286"/>
      <c r="H173" s="286"/>
      <c r="I173" s="286"/>
      <c r="J173" s="286"/>
      <c r="K173" s="286"/>
      <c r="L173" s="286"/>
      <c r="M173" s="286"/>
      <c r="N173" s="286"/>
      <c r="O173" s="286"/>
      <c r="P173" s="286"/>
      <c r="Q173" s="286"/>
      <c r="R173" s="4"/>
    </row>
    <row r="174" spans="2:18" x14ac:dyDescent="0.25">
      <c r="B174" s="368"/>
      <c r="C174" s="369"/>
      <c r="D174" s="369"/>
      <c r="E174" s="286"/>
      <c r="F174" s="286"/>
      <c r="G174" s="286"/>
      <c r="H174" s="286"/>
      <c r="I174" s="286"/>
      <c r="J174" s="286"/>
      <c r="K174" s="286"/>
      <c r="L174" s="286"/>
      <c r="M174" s="286"/>
      <c r="N174" s="286"/>
      <c r="O174" s="286"/>
      <c r="P174" s="286"/>
      <c r="Q174" s="286"/>
      <c r="R174" s="4"/>
    </row>
    <row r="175" spans="2:18" x14ac:dyDescent="0.25">
      <c r="B175" s="368"/>
      <c r="C175" s="369"/>
      <c r="D175" s="369"/>
      <c r="E175" s="286"/>
      <c r="F175" s="286"/>
      <c r="G175" s="286"/>
      <c r="H175" s="286"/>
      <c r="I175" s="286"/>
      <c r="J175" s="286"/>
      <c r="K175" s="286"/>
      <c r="L175" s="286"/>
      <c r="M175" s="286"/>
      <c r="N175" s="286"/>
      <c r="O175" s="286"/>
      <c r="P175" s="286"/>
      <c r="Q175" s="286"/>
      <c r="R175" s="4"/>
    </row>
    <row r="176" spans="2:18" x14ac:dyDescent="0.25">
      <c r="B176" s="368"/>
      <c r="C176" s="369"/>
      <c r="D176" s="369"/>
      <c r="E176" s="286"/>
      <c r="F176" s="286"/>
      <c r="G176" s="286"/>
      <c r="H176" s="286"/>
      <c r="I176" s="286"/>
      <c r="J176" s="286"/>
      <c r="K176" s="286"/>
      <c r="L176" s="286"/>
      <c r="M176" s="286"/>
      <c r="N176" s="286"/>
      <c r="O176" s="286"/>
      <c r="P176" s="286"/>
      <c r="Q176" s="286"/>
      <c r="R176" s="4"/>
    </row>
    <row r="177" spans="2:18" x14ac:dyDescent="0.25">
      <c r="B177" s="368"/>
      <c r="C177" s="369"/>
      <c r="D177" s="369"/>
      <c r="E177" s="286"/>
      <c r="F177" s="286"/>
      <c r="G177" s="286"/>
      <c r="H177" s="286"/>
      <c r="I177" s="286"/>
      <c r="J177" s="286"/>
      <c r="K177" s="286"/>
      <c r="L177" s="286"/>
      <c r="M177" s="286"/>
      <c r="N177" s="286"/>
      <c r="O177" s="286"/>
      <c r="P177" s="286"/>
      <c r="Q177" s="286"/>
      <c r="R177" s="4"/>
    </row>
    <row r="178" spans="2:18" x14ac:dyDescent="0.25">
      <c r="B178" s="368"/>
      <c r="C178" s="369"/>
      <c r="D178" s="369"/>
      <c r="E178" s="286"/>
      <c r="F178" s="286"/>
      <c r="G178" s="286"/>
      <c r="H178" s="286"/>
      <c r="I178" s="286"/>
      <c r="J178" s="286"/>
      <c r="K178" s="286"/>
      <c r="L178" s="286"/>
      <c r="M178" s="286"/>
      <c r="N178" s="286"/>
      <c r="O178" s="286"/>
      <c r="P178" s="286"/>
      <c r="Q178" s="286"/>
      <c r="R178" s="4"/>
    </row>
    <row r="179" spans="2:18" x14ac:dyDescent="0.25">
      <c r="B179" s="368"/>
      <c r="C179" s="369"/>
      <c r="D179" s="369"/>
      <c r="E179" s="286"/>
      <c r="F179" s="286"/>
      <c r="G179" s="286"/>
      <c r="H179" s="286"/>
      <c r="I179" s="286"/>
      <c r="J179" s="286"/>
      <c r="K179" s="286"/>
      <c r="L179" s="286"/>
      <c r="M179" s="286"/>
      <c r="N179" s="286"/>
      <c r="O179" s="286"/>
      <c r="P179" s="286"/>
      <c r="Q179" s="286"/>
      <c r="R179" s="4"/>
    </row>
    <row r="180" spans="2:18" x14ac:dyDescent="0.25">
      <c r="B180" s="368"/>
      <c r="C180" s="369"/>
      <c r="D180" s="369"/>
      <c r="E180" s="286"/>
      <c r="F180" s="286"/>
      <c r="G180" s="286"/>
      <c r="H180" s="286"/>
      <c r="I180" s="286"/>
      <c r="J180" s="286"/>
      <c r="K180" s="286"/>
      <c r="L180" s="286"/>
      <c r="M180" s="286"/>
      <c r="N180" s="286"/>
      <c r="O180" s="286"/>
      <c r="P180" s="286"/>
      <c r="Q180" s="286"/>
      <c r="R180" s="4"/>
    </row>
    <row r="181" spans="2:18" x14ac:dyDescent="0.25">
      <c r="B181" s="368"/>
      <c r="C181" s="369"/>
      <c r="D181" s="369"/>
      <c r="E181" s="286"/>
      <c r="F181" s="286"/>
      <c r="G181" s="286"/>
      <c r="H181" s="286"/>
      <c r="I181" s="286"/>
      <c r="J181" s="286"/>
      <c r="K181" s="286"/>
      <c r="L181" s="286"/>
      <c r="M181" s="286"/>
      <c r="N181" s="286"/>
      <c r="O181" s="286"/>
      <c r="P181" s="286"/>
      <c r="Q181" s="286"/>
      <c r="R181" s="4"/>
    </row>
    <row r="182" spans="2:18" x14ac:dyDescent="0.25">
      <c r="B182" s="368"/>
      <c r="C182" s="369"/>
      <c r="D182" s="369"/>
      <c r="E182" s="286"/>
      <c r="F182" s="286"/>
      <c r="G182" s="286"/>
      <c r="H182" s="286"/>
      <c r="I182" s="286"/>
      <c r="J182" s="286"/>
      <c r="K182" s="286"/>
      <c r="L182" s="286"/>
      <c r="M182" s="286"/>
      <c r="N182" s="286"/>
      <c r="O182" s="286"/>
      <c r="P182" s="286"/>
      <c r="Q182" s="286"/>
      <c r="R182" s="4"/>
    </row>
    <row r="183" spans="2:18" x14ac:dyDescent="0.25">
      <c r="B183" s="368"/>
      <c r="C183" s="369"/>
      <c r="D183" s="369"/>
      <c r="E183" s="286"/>
      <c r="F183" s="286"/>
      <c r="G183" s="286"/>
      <c r="H183" s="286"/>
      <c r="I183" s="286"/>
      <c r="J183" s="286"/>
      <c r="K183" s="286"/>
      <c r="L183" s="286"/>
      <c r="M183" s="286"/>
      <c r="N183" s="286"/>
      <c r="O183" s="286"/>
      <c r="P183" s="286"/>
      <c r="Q183" s="286"/>
      <c r="R183" s="4"/>
    </row>
    <row r="184" spans="2:18" x14ac:dyDescent="0.25">
      <c r="B184" s="368"/>
      <c r="C184" s="369"/>
      <c r="D184" s="369"/>
      <c r="E184" s="286"/>
      <c r="F184" s="286"/>
      <c r="G184" s="286"/>
      <c r="H184" s="286"/>
      <c r="I184" s="286"/>
      <c r="J184" s="286"/>
      <c r="K184" s="286"/>
      <c r="L184" s="286"/>
      <c r="M184" s="286"/>
      <c r="N184" s="286"/>
      <c r="O184" s="286"/>
      <c r="P184" s="286"/>
      <c r="Q184" s="286"/>
      <c r="R184" s="4"/>
    </row>
    <row r="185" spans="2:18" x14ac:dyDescent="0.25">
      <c r="B185" s="368"/>
      <c r="C185" s="369"/>
      <c r="D185" s="369"/>
      <c r="E185" s="286"/>
      <c r="F185" s="286"/>
      <c r="G185" s="286"/>
      <c r="H185" s="286"/>
      <c r="I185" s="286"/>
      <c r="J185" s="286"/>
      <c r="K185" s="286"/>
      <c r="L185" s="286"/>
      <c r="M185" s="286"/>
      <c r="N185" s="286"/>
      <c r="O185" s="286"/>
      <c r="P185" s="286"/>
      <c r="Q185" s="286"/>
      <c r="R185" s="4"/>
    </row>
    <row r="186" spans="2:18" x14ac:dyDescent="0.25">
      <c r="B186" s="368"/>
      <c r="C186" s="369"/>
      <c r="D186" s="369"/>
      <c r="E186" s="286"/>
      <c r="F186" s="286"/>
      <c r="G186" s="286"/>
      <c r="H186" s="286"/>
      <c r="I186" s="286"/>
      <c r="J186" s="286"/>
      <c r="K186" s="286"/>
      <c r="L186" s="286"/>
      <c r="M186" s="286"/>
      <c r="N186" s="286"/>
      <c r="O186" s="286"/>
      <c r="P186" s="286"/>
      <c r="Q186" s="286"/>
      <c r="R186" s="4"/>
    </row>
    <row r="187" spans="2:18" x14ac:dyDescent="0.25">
      <c r="B187" s="368"/>
      <c r="C187" s="369"/>
      <c r="D187" s="369"/>
      <c r="E187" s="286"/>
      <c r="F187" s="286"/>
      <c r="G187" s="286"/>
      <c r="H187" s="286"/>
      <c r="I187" s="286"/>
      <c r="J187" s="286"/>
      <c r="K187" s="286"/>
      <c r="L187" s="286"/>
      <c r="M187" s="286"/>
      <c r="N187" s="286"/>
      <c r="O187" s="286"/>
      <c r="P187" s="286"/>
      <c r="Q187" s="286"/>
      <c r="R187" s="4"/>
    </row>
    <row r="188" spans="2:18" x14ac:dyDescent="0.25">
      <c r="B188" s="368"/>
      <c r="C188" s="369"/>
      <c r="D188" s="369"/>
      <c r="E188" s="286"/>
      <c r="F188" s="286"/>
      <c r="G188" s="286"/>
      <c r="H188" s="286"/>
      <c r="I188" s="286"/>
      <c r="J188" s="286"/>
      <c r="K188" s="286"/>
      <c r="L188" s="286"/>
      <c r="M188" s="286"/>
      <c r="N188" s="286"/>
      <c r="O188" s="286"/>
      <c r="P188" s="286"/>
      <c r="Q188" s="286"/>
      <c r="R188" s="4"/>
    </row>
    <row r="189" spans="2:18" x14ac:dyDescent="0.25">
      <c r="B189" s="368"/>
      <c r="C189" s="369"/>
      <c r="D189" s="369"/>
      <c r="E189" s="286"/>
      <c r="F189" s="286"/>
      <c r="G189" s="286"/>
      <c r="H189" s="286"/>
      <c r="I189" s="286"/>
      <c r="J189" s="286"/>
      <c r="K189" s="286"/>
      <c r="L189" s="286"/>
      <c r="M189" s="286"/>
      <c r="N189" s="286"/>
      <c r="O189" s="286"/>
      <c r="P189" s="286"/>
      <c r="Q189" s="286"/>
      <c r="R189" s="4"/>
    </row>
    <row r="190" spans="2:18" x14ac:dyDescent="0.25">
      <c r="B190" s="368"/>
      <c r="C190" s="369"/>
      <c r="D190" s="369"/>
      <c r="E190" s="286"/>
      <c r="F190" s="286"/>
      <c r="G190" s="286"/>
      <c r="H190" s="286"/>
      <c r="I190" s="286"/>
      <c r="J190" s="286"/>
      <c r="K190" s="286"/>
      <c r="L190" s="286"/>
      <c r="M190" s="286"/>
      <c r="N190" s="286"/>
      <c r="O190" s="286"/>
      <c r="P190" s="286"/>
      <c r="Q190" s="286"/>
      <c r="R190" s="4"/>
    </row>
    <row r="191" spans="2:18" x14ac:dyDescent="0.25">
      <c r="B191" s="368"/>
      <c r="C191" s="369"/>
      <c r="D191" s="369"/>
      <c r="E191" s="286"/>
      <c r="F191" s="286"/>
      <c r="G191" s="286"/>
      <c r="H191" s="286"/>
      <c r="I191" s="286"/>
      <c r="J191" s="286"/>
      <c r="K191" s="286"/>
      <c r="L191" s="286"/>
      <c r="M191" s="286"/>
      <c r="N191" s="286"/>
      <c r="O191" s="286"/>
      <c r="P191" s="286"/>
      <c r="Q191" s="286"/>
      <c r="R191" s="4"/>
    </row>
    <row r="192" spans="2:18" x14ac:dyDescent="0.25">
      <c r="B192" s="368"/>
      <c r="C192" s="369"/>
      <c r="D192" s="369"/>
      <c r="E192" s="286"/>
      <c r="F192" s="286"/>
      <c r="G192" s="286"/>
      <c r="H192" s="286"/>
      <c r="I192" s="286"/>
      <c r="J192" s="286"/>
      <c r="K192" s="286"/>
      <c r="L192" s="286"/>
      <c r="M192" s="286"/>
      <c r="N192" s="286"/>
      <c r="O192" s="286"/>
      <c r="P192" s="286"/>
      <c r="Q192" s="286"/>
      <c r="R192" s="4"/>
    </row>
    <row r="193" spans="2:18" x14ac:dyDescent="0.25">
      <c r="B193" s="368"/>
      <c r="C193" s="369"/>
      <c r="D193" s="369"/>
      <c r="E193" s="286"/>
      <c r="F193" s="286"/>
      <c r="G193" s="286"/>
      <c r="H193" s="286"/>
      <c r="I193" s="286"/>
      <c r="J193" s="286"/>
      <c r="K193" s="286"/>
      <c r="L193" s="286"/>
      <c r="M193" s="286"/>
      <c r="N193" s="286"/>
      <c r="O193" s="286"/>
      <c r="P193" s="286"/>
      <c r="Q193" s="286"/>
      <c r="R193" s="4"/>
    </row>
    <row r="194" spans="2:18" x14ac:dyDescent="0.25">
      <c r="B194" s="368"/>
      <c r="C194" s="369"/>
      <c r="D194" s="369"/>
      <c r="E194" s="286"/>
      <c r="F194" s="286"/>
      <c r="G194" s="286"/>
      <c r="H194" s="286"/>
      <c r="I194" s="286"/>
      <c r="J194" s="286"/>
      <c r="K194" s="286"/>
      <c r="L194" s="286"/>
      <c r="M194" s="286"/>
      <c r="N194" s="286"/>
      <c r="O194" s="286"/>
      <c r="P194" s="286"/>
      <c r="Q194" s="286"/>
      <c r="R194" s="4"/>
    </row>
    <row r="195" spans="2:18" x14ac:dyDescent="0.25">
      <c r="B195" s="368"/>
      <c r="C195" s="369"/>
      <c r="D195" s="369"/>
      <c r="E195" s="286"/>
      <c r="F195" s="286"/>
      <c r="G195" s="286"/>
      <c r="H195" s="286"/>
      <c r="I195" s="286"/>
      <c r="J195" s="286"/>
      <c r="K195" s="286"/>
      <c r="L195" s="286"/>
      <c r="M195" s="286"/>
      <c r="N195" s="286"/>
      <c r="O195" s="286"/>
      <c r="P195" s="286"/>
      <c r="Q195" s="286"/>
      <c r="R195" s="4"/>
    </row>
    <row r="196" spans="2:18" x14ac:dyDescent="0.25">
      <c r="B196" s="368"/>
      <c r="C196" s="369"/>
      <c r="D196" s="369"/>
      <c r="E196" s="286"/>
      <c r="F196" s="286"/>
      <c r="G196" s="286"/>
      <c r="H196" s="286"/>
      <c r="I196" s="286"/>
      <c r="J196" s="286"/>
      <c r="K196" s="286"/>
      <c r="L196" s="286"/>
      <c r="M196" s="286"/>
      <c r="N196" s="286"/>
      <c r="O196" s="286"/>
      <c r="P196" s="286"/>
      <c r="Q196" s="286"/>
      <c r="R196" s="4"/>
    </row>
    <row r="197" spans="2:18" x14ac:dyDescent="0.25">
      <c r="B197" s="368"/>
      <c r="C197" s="369"/>
      <c r="D197" s="369"/>
      <c r="E197" s="286"/>
      <c r="F197" s="286"/>
      <c r="G197" s="286"/>
      <c r="H197" s="286"/>
      <c r="I197" s="286"/>
      <c r="J197" s="286"/>
      <c r="K197" s="286"/>
      <c r="L197" s="286"/>
      <c r="M197" s="286"/>
      <c r="N197" s="286"/>
      <c r="O197" s="286"/>
      <c r="P197" s="286"/>
      <c r="Q197" s="286"/>
      <c r="R197" s="4"/>
    </row>
    <row r="198" spans="2:18" x14ac:dyDescent="0.25">
      <c r="B198" s="368"/>
      <c r="C198" s="369"/>
      <c r="D198" s="369"/>
      <c r="E198" s="286"/>
      <c r="F198" s="286"/>
      <c r="G198" s="286"/>
      <c r="H198" s="286"/>
      <c r="I198" s="286"/>
      <c r="J198" s="286"/>
      <c r="K198" s="286"/>
      <c r="L198" s="286"/>
      <c r="M198" s="286"/>
      <c r="N198" s="286"/>
      <c r="O198" s="286"/>
      <c r="P198" s="286"/>
      <c r="Q198" s="286"/>
      <c r="R198" s="4"/>
    </row>
    <row r="199" spans="2:18" x14ac:dyDescent="0.25">
      <c r="B199" s="368"/>
      <c r="C199" s="369"/>
      <c r="D199" s="369"/>
      <c r="E199" s="286"/>
      <c r="F199" s="286"/>
      <c r="G199" s="286"/>
      <c r="H199" s="286"/>
      <c r="I199" s="286"/>
      <c r="J199" s="286"/>
      <c r="K199" s="286"/>
      <c r="L199" s="286"/>
      <c r="M199" s="286"/>
      <c r="N199" s="286"/>
      <c r="O199" s="286"/>
      <c r="P199" s="286"/>
      <c r="Q199" s="286"/>
      <c r="R199" s="4"/>
    </row>
    <row r="200" spans="2:18" x14ac:dyDescent="0.25">
      <c r="B200" s="368"/>
      <c r="C200" s="369"/>
      <c r="D200" s="369"/>
      <c r="E200" s="286"/>
      <c r="F200" s="286"/>
      <c r="G200" s="286"/>
      <c r="H200" s="286"/>
      <c r="I200" s="286"/>
      <c r="J200" s="286"/>
      <c r="K200" s="286"/>
      <c r="L200" s="286"/>
      <c r="M200" s="286"/>
      <c r="N200" s="286"/>
      <c r="O200" s="286"/>
      <c r="P200" s="286"/>
      <c r="Q200" s="286"/>
      <c r="R200" s="4"/>
    </row>
    <row r="201" spans="2:18" x14ac:dyDescent="0.25">
      <c r="B201" s="368"/>
      <c r="C201" s="369"/>
      <c r="D201" s="369"/>
      <c r="E201" s="286"/>
      <c r="F201" s="286"/>
      <c r="G201" s="286"/>
      <c r="H201" s="286"/>
      <c r="I201" s="286"/>
      <c r="J201" s="286"/>
      <c r="K201" s="286"/>
      <c r="L201" s="286"/>
      <c r="M201" s="286"/>
      <c r="N201" s="286"/>
      <c r="O201" s="286"/>
      <c r="P201" s="286"/>
      <c r="Q201" s="286"/>
      <c r="R201" s="4"/>
    </row>
    <row r="202" spans="2:18" x14ac:dyDescent="0.25">
      <c r="B202" s="368"/>
      <c r="C202" s="369"/>
      <c r="D202" s="369"/>
      <c r="E202" s="286"/>
      <c r="F202" s="286"/>
      <c r="G202" s="286"/>
      <c r="H202" s="286"/>
      <c r="I202" s="286"/>
      <c r="J202" s="286"/>
      <c r="K202" s="286"/>
      <c r="L202" s="286"/>
      <c r="M202" s="286"/>
      <c r="N202" s="286"/>
      <c r="O202" s="286"/>
      <c r="P202" s="286"/>
      <c r="Q202" s="286"/>
      <c r="R202" s="4"/>
    </row>
    <row r="203" spans="2:18" x14ac:dyDescent="0.25">
      <c r="B203" s="368"/>
      <c r="C203" s="369"/>
      <c r="D203" s="369"/>
      <c r="E203" s="286"/>
      <c r="F203" s="286"/>
      <c r="G203" s="286"/>
      <c r="H203" s="286"/>
      <c r="I203" s="286"/>
      <c r="J203" s="286"/>
      <c r="K203" s="286"/>
      <c r="L203" s="286"/>
      <c r="M203" s="286"/>
      <c r="N203" s="286"/>
      <c r="O203" s="286"/>
      <c r="P203" s="286"/>
      <c r="Q203" s="286"/>
      <c r="R203" s="4"/>
    </row>
    <row r="204" spans="2:18" x14ac:dyDescent="0.25">
      <c r="B204" s="368"/>
      <c r="C204" s="369"/>
      <c r="D204" s="369"/>
      <c r="E204" s="286"/>
      <c r="F204" s="286"/>
      <c r="G204" s="286"/>
      <c r="H204" s="286"/>
      <c r="I204" s="286"/>
      <c r="J204" s="286"/>
      <c r="K204" s="286"/>
      <c r="L204" s="286"/>
      <c r="M204" s="286"/>
      <c r="N204" s="286"/>
      <c r="O204" s="286"/>
      <c r="P204" s="286"/>
      <c r="Q204" s="286"/>
      <c r="R204" s="4"/>
    </row>
    <row r="205" spans="2:18" x14ac:dyDescent="0.25">
      <c r="B205" s="368"/>
      <c r="C205" s="369"/>
      <c r="D205" s="369"/>
      <c r="E205" s="286"/>
      <c r="F205" s="286"/>
      <c r="G205" s="286"/>
      <c r="H205" s="286"/>
      <c r="I205" s="286"/>
      <c r="J205" s="286"/>
      <c r="K205" s="286"/>
      <c r="L205" s="286"/>
      <c r="M205" s="286"/>
      <c r="N205" s="286"/>
      <c r="O205" s="286"/>
      <c r="P205" s="286"/>
      <c r="Q205" s="286"/>
      <c r="R205" s="4"/>
    </row>
    <row r="206" spans="2:18" x14ac:dyDescent="0.25">
      <c r="B206" s="368"/>
      <c r="C206" s="369"/>
      <c r="D206" s="369"/>
      <c r="E206" s="286"/>
      <c r="F206" s="286"/>
      <c r="G206" s="286"/>
      <c r="H206" s="286"/>
      <c r="I206" s="286"/>
      <c r="J206" s="286"/>
      <c r="K206" s="286"/>
      <c r="L206" s="286"/>
      <c r="M206" s="286"/>
      <c r="N206" s="286"/>
      <c r="O206" s="286"/>
      <c r="P206" s="286"/>
      <c r="Q206" s="286"/>
      <c r="R206" s="4"/>
    </row>
    <row r="207" spans="2:18" x14ac:dyDescent="0.25">
      <c r="B207" s="368"/>
      <c r="C207" s="369"/>
      <c r="D207" s="369"/>
      <c r="E207" s="286"/>
      <c r="F207" s="286"/>
      <c r="G207" s="286"/>
      <c r="H207" s="286"/>
      <c r="I207" s="286"/>
      <c r="J207" s="286"/>
      <c r="K207" s="286"/>
      <c r="L207" s="286"/>
      <c r="M207" s="286"/>
      <c r="N207" s="286"/>
      <c r="O207" s="286"/>
      <c r="P207" s="286"/>
      <c r="Q207" s="286"/>
      <c r="R207" s="4"/>
    </row>
    <row r="208" spans="2:18" x14ac:dyDescent="0.25">
      <c r="B208" s="368"/>
      <c r="C208" s="369"/>
      <c r="D208" s="369"/>
      <c r="E208" s="286"/>
      <c r="F208" s="286"/>
      <c r="G208" s="286"/>
      <c r="H208" s="286"/>
      <c r="I208" s="286"/>
      <c r="J208" s="286"/>
      <c r="K208" s="286"/>
      <c r="L208" s="286"/>
      <c r="M208" s="286"/>
      <c r="N208" s="286"/>
      <c r="O208" s="286"/>
      <c r="P208" s="286"/>
      <c r="Q208" s="286"/>
      <c r="R208" s="4"/>
    </row>
    <row r="209" spans="2:18" x14ac:dyDescent="0.25">
      <c r="B209" s="368"/>
      <c r="C209" s="369"/>
      <c r="D209" s="369"/>
      <c r="E209" s="286"/>
      <c r="F209" s="286"/>
      <c r="G209" s="286"/>
      <c r="H209" s="286"/>
      <c r="I209" s="286"/>
      <c r="J209" s="286"/>
      <c r="K209" s="286"/>
      <c r="L209" s="286"/>
      <c r="M209" s="286"/>
      <c r="N209" s="286"/>
      <c r="O209" s="286"/>
      <c r="P209" s="286"/>
      <c r="Q209" s="286"/>
      <c r="R209" s="4"/>
    </row>
    <row r="210" spans="2:18" x14ac:dyDescent="0.25">
      <c r="B210" s="368"/>
      <c r="C210" s="369"/>
      <c r="D210" s="369"/>
      <c r="E210" s="286"/>
      <c r="F210" s="286"/>
      <c r="G210" s="286"/>
      <c r="H210" s="286"/>
      <c r="I210" s="286"/>
      <c r="J210" s="286"/>
      <c r="K210" s="286"/>
      <c r="L210" s="286"/>
      <c r="M210" s="286"/>
      <c r="N210" s="286"/>
      <c r="O210" s="286"/>
      <c r="P210" s="286"/>
      <c r="Q210" s="286"/>
      <c r="R210" s="4"/>
    </row>
    <row r="211" spans="2:18" x14ac:dyDescent="0.25">
      <c r="B211" s="368"/>
      <c r="C211" s="369"/>
      <c r="D211" s="369"/>
      <c r="E211" s="286"/>
      <c r="F211" s="286"/>
      <c r="G211" s="286"/>
      <c r="H211" s="286"/>
      <c r="I211" s="286"/>
      <c r="J211" s="286"/>
      <c r="K211" s="286"/>
      <c r="L211" s="286"/>
      <c r="M211" s="286"/>
      <c r="N211" s="286"/>
      <c r="O211" s="286"/>
      <c r="P211" s="286"/>
      <c r="Q211" s="286"/>
      <c r="R211" s="4"/>
    </row>
    <row r="212" spans="2:18" x14ac:dyDescent="0.25">
      <c r="B212" s="368"/>
      <c r="C212" s="369"/>
      <c r="D212" s="369"/>
      <c r="E212" s="286"/>
      <c r="F212" s="286"/>
      <c r="G212" s="286"/>
      <c r="H212" s="286"/>
      <c r="I212" s="286"/>
      <c r="J212" s="286"/>
      <c r="K212" s="286"/>
      <c r="L212" s="286"/>
      <c r="M212" s="286"/>
      <c r="N212" s="286"/>
      <c r="O212" s="286"/>
      <c r="P212" s="286"/>
      <c r="Q212" s="286"/>
      <c r="R212" s="4"/>
    </row>
    <row r="213" spans="2:18" x14ac:dyDescent="0.25">
      <c r="B213" s="368"/>
      <c r="C213" s="369"/>
      <c r="D213" s="369"/>
      <c r="E213" s="286"/>
      <c r="F213" s="286"/>
      <c r="G213" s="286"/>
      <c r="H213" s="286"/>
      <c r="I213" s="286"/>
      <c r="J213" s="286"/>
      <c r="K213" s="286"/>
      <c r="L213" s="286"/>
      <c r="M213" s="286"/>
      <c r="N213" s="286"/>
      <c r="O213" s="286"/>
      <c r="P213" s="286"/>
      <c r="Q213" s="286"/>
      <c r="R213" s="4"/>
    </row>
    <row r="214" spans="2:18" x14ac:dyDescent="0.25">
      <c r="B214" s="368"/>
      <c r="C214" s="369"/>
      <c r="D214" s="369"/>
      <c r="E214" s="286"/>
      <c r="F214" s="286"/>
      <c r="G214" s="286"/>
      <c r="H214" s="286"/>
      <c r="I214" s="286"/>
      <c r="J214" s="286"/>
      <c r="K214" s="286"/>
      <c r="L214" s="286"/>
      <c r="M214" s="286"/>
      <c r="N214" s="286"/>
      <c r="O214" s="286"/>
      <c r="P214" s="286"/>
      <c r="Q214" s="286"/>
      <c r="R214" s="4"/>
    </row>
    <row r="215" spans="2:18" x14ac:dyDescent="0.25">
      <c r="B215" s="368"/>
      <c r="C215" s="369"/>
      <c r="D215" s="369"/>
      <c r="E215" s="286"/>
      <c r="F215" s="286"/>
      <c r="G215" s="286"/>
      <c r="H215" s="286"/>
      <c r="I215" s="286"/>
      <c r="J215" s="286"/>
      <c r="K215" s="286"/>
      <c r="L215" s="286"/>
      <c r="M215" s="286"/>
      <c r="N215" s="286"/>
      <c r="O215" s="286"/>
      <c r="P215" s="286"/>
      <c r="Q215" s="286"/>
      <c r="R215" s="4"/>
    </row>
    <row r="216" spans="2:18" x14ac:dyDescent="0.25">
      <c r="B216" s="368"/>
      <c r="C216" s="369"/>
      <c r="D216" s="369"/>
      <c r="E216" s="286"/>
      <c r="F216" s="286"/>
      <c r="G216" s="286"/>
      <c r="H216" s="286"/>
      <c r="I216" s="286"/>
      <c r="J216" s="286"/>
      <c r="K216" s="286"/>
      <c r="L216" s="286"/>
      <c r="M216" s="286"/>
      <c r="N216" s="286"/>
      <c r="O216" s="286"/>
      <c r="P216" s="286"/>
      <c r="Q216" s="286"/>
      <c r="R216" s="4"/>
    </row>
    <row r="217" spans="2:18" x14ac:dyDescent="0.25">
      <c r="B217" s="368"/>
      <c r="C217" s="369"/>
      <c r="D217" s="369"/>
      <c r="E217" s="286"/>
      <c r="F217" s="286"/>
      <c r="G217" s="286"/>
      <c r="H217" s="286"/>
      <c r="I217" s="286"/>
      <c r="J217" s="286"/>
      <c r="K217" s="286"/>
      <c r="L217" s="286"/>
      <c r="M217" s="286"/>
      <c r="N217" s="286"/>
      <c r="O217" s="286"/>
      <c r="P217" s="286"/>
      <c r="Q217" s="286"/>
      <c r="R217" s="4"/>
    </row>
    <row r="218" spans="2:18" x14ac:dyDescent="0.25">
      <c r="B218" s="368"/>
      <c r="C218" s="369"/>
      <c r="D218" s="369"/>
      <c r="E218" s="286"/>
      <c r="F218" s="286"/>
      <c r="G218" s="286"/>
      <c r="H218" s="286"/>
      <c r="I218" s="286"/>
      <c r="J218" s="286"/>
      <c r="K218" s="286"/>
      <c r="L218" s="286"/>
      <c r="M218" s="286"/>
      <c r="N218" s="286"/>
      <c r="O218" s="286"/>
      <c r="P218" s="286"/>
      <c r="Q218" s="286"/>
      <c r="R218" s="4"/>
    </row>
    <row r="219" spans="2:18" x14ac:dyDescent="0.25">
      <c r="B219" s="368"/>
      <c r="C219" s="369"/>
      <c r="D219" s="369"/>
      <c r="E219" s="286"/>
      <c r="F219" s="286"/>
      <c r="G219" s="286"/>
      <c r="H219" s="286"/>
      <c r="I219" s="286"/>
      <c r="J219" s="286"/>
      <c r="K219" s="286"/>
      <c r="L219" s="286"/>
      <c r="M219" s="286"/>
      <c r="N219" s="286"/>
      <c r="O219" s="286"/>
      <c r="P219" s="286"/>
      <c r="Q219" s="286"/>
      <c r="R219" s="4"/>
    </row>
    <row r="220" spans="2:18" x14ac:dyDescent="0.25">
      <c r="B220" s="368"/>
      <c r="C220" s="369"/>
      <c r="D220" s="369"/>
      <c r="E220" s="286"/>
      <c r="F220" s="286"/>
      <c r="G220" s="286"/>
      <c r="H220" s="286"/>
      <c r="I220" s="286"/>
      <c r="J220" s="286"/>
      <c r="K220" s="286"/>
      <c r="L220" s="286"/>
      <c r="M220" s="286"/>
      <c r="N220" s="286"/>
      <c r="O220" s="286"/>
      <c r="P220" s="286"/>
      <c r="Q220" s="286"/>
      <c r="R220" s="4"/>
    </row>
    <row r="221" spans="2:18" x14ac:dyDescent="0.25">
      <c r="B221" s="368"/>
      <c r="C221" s="369"/>
      <c r="D221" s="369"/>
      <c r="E221" s="286"/>
      <c r="F221" s="286"/>
      <c r="G221" s="286"/>
      <c r="H221" s="286"/>
      <c r="I221" s="286"/>
      <c r="J221" s="286"/>
      <c r="K221" s="286"/>
      <c r="L221" s="286"/>
      <c r="M221" s="286"/>
      <c r="N221" s="286"/>
      <c r="O221" s="286"/>
      <c r="P221" s="286"/>
      <c r="Q221" s="286"/>
      <c r="R221" s="4"/>
    </row>
    <row r="222" spans="2:18" x14ac:dyDescent="0.25">
      <c r="B222" s="368"/>
      <c r="C222" s="369"/>
      <c r="D222" s="369"/>
      <c r="E222" s="286"/>
      <c r="F222" s="286"/>
      <c r="G222" s="286"/>
      <c r="H222" s="286"/>
      <c r="I222" s="286"/>
      <c r="J222" s="286"/>
      <c r="K222" s="286"/>
      <c r="L222" s="286"/>
      <c r="M222" s="286"/>
      <c r="N222" s="286"/>
      <c r="O222" s="286"/>
      <c r="P222" s="286"/>
      <c r="Q222" s="286"/>
      <c r="R222" s="4"/>
    </row>
    <row r="223" spans="2:18" x14ac:dyDescent="0.25">
      <c r="B223" s="368"/>
      <c r="C223" s="369"/>
      <c r="D223" s="369"/>
      <c r="E223" s="286"/>
      <c r="F223" s="286"/>
      <c r="G223" s="286"/>
      <c r="H223" s="286"/>
      <c r="I223" s="286"/>
      <c r="J223" s="286"/>
      <c r="K223" s="286"/>
      <c r="L223" s="286"/>
      <c r="M223" s="286"/>
      <c r="N223" s="286"/>
      <c r="O223" s="286"/>
      <c r="P223" s="286"/>
      <c r="Q223" s="286"/>
      <c r="R223" s="4"/>
    </row>
    <row r="224" spans="2:18" x14ac:dyDescent="0.25">
      <c r="B224" s="368"/>
      <c r="C224" s="369"/>
      <c r="D224" s="369"/>
      <c r="E224" s="286"/>
      <c r="F224" s="286"/>
      <c r="G224" s="286"/>
      <c r="H224" s="286"/>
      <c r="I224" s="286"/>
      <c r="J224" s="286"/>
      <c r="K224" s="286"/>
      <c r="L224" s="286"/>
      <c r="M224" s="286"/>
      <c r="N224" s="286"/>
      <c r="O224" s="286"/>
      <c r="P224" s="286"/>
      <c r="Q224" s="286"/>
      <c r="R224" s="4"/>
    </row>
    <row r="225" spans="2:18" x14ac:dyDescent="0.25">
      <c r="B225" s="368"/>
      <c r="C225" s="369"/>
      <c r="D225" s="369"/>
      <c r="E225" s="286"/>
      <c r="F225" s="286"/>
      <c r="G225" s="286"/>
      <c r="H225" s="286"/>
      <c r="I225" s="286"/>
      <c r="J225" s="286"/>
      <c r="K225" s="286"/>
      <c r="L225" s="286"/>
      <c r="M225" s="286"/>
      <c r="N225" s="286"/>
      <c r="O225" s="286"/>
      <c r="P225" s="286"/>
      <c r="Q225" s="286"/>
      <c r="R225" s="4"/>
    </row>
    <row r="226" spans="2:18" x14ac:dyDescent="0.25">
      <c r="B226" s="368"/>
      <c r="C226" s="369"/>
      <c r="D226" s="369"/>
      <c r="E226" s="286"/>
      <c r="F226" s="286"/>
      <c r="G226" s="286"/>
      <c r="H226" s="286"/>
      <c r="I226" s="286"/>
      <c r="J226" s="286"/>
      <c r="K226" s="286"/>
      <c r="L226" s="286"/>
      <c r="M226" s="286"/>
      <c r="N226" s="286"/>
      <c r="O226" s="286"/>
      <c r="P226" s="286"/>
      <c r="Q226" s="286"/>
      <c r="R226" s="4"/>
    </row>
    <row r="227" spans="2:18" x14ac:dyDescent="0.25">
      <c r="B227" s="368"/>
      <c r="C227" s="369"/>
      <c r="D227" s="369"/>
      <c r="E227" s="286"/>
      <c r="F227" s="286"/>
      <c r="G227" s="286"/>
      <c r="H227" s="286"/>
      <c r="I227" s="286"/>
      <c r="J227" s="286"/>
      <c r="K227" s="286"/>
      <c r="L227" s="286"/>
      <c r="M227" s="286"/>
      <c r="N227" s="286"/>
      <c r="O227" s="286"/>
      <c r="P227" s="286"/>
      <c r="Q227" s="286"/>
      <c r="R227" s="4"/>
    </row>
    <row r="228" spans="2:18" x14ac:dyDescent="0.25">
      <c r="B228" s="368"/>
      <c r="C228" s="369"/>
      <c r="D228" s="369"/>
      <c r="E228" s="286"/>
      <c r="F228" s="286"/>
      <c r="G228" s="286"/>
      <c r="H228" s="286"/>
      <c r="I228" s="286"/>
      <c r="J228" s="286"/>
      <c r="K228" s="286"/>
      <c r="L228" s="286"/>
      <c r="M228" s="286"/>
      <c r="N228" s="286"/>
      <c r="O228" s="286"/>
      <c r="P228" s="286"/>
      <c r="Q228" s="286"/>
      <c r="R228" s="4"/>
    </row>
    <row r="229" spans="2:18" x14ac:dyDescent="0.25">
      <c r="B229" s="368"/>
      <c r="C229" s="369"/>
      <c r="D229" s="369"/>
      <c r="E229" s="286"/>
      <c r="F229" s="286"/>
      <c r="G229" s="286"/>
      <c r="H229" s="286"/>
      <c r="I229" s="286"/>
      <c r="J229" s="286"/>
      <c r="K229" s="286"/>
      <c r="L229" s="286"/>
      <c r="M229" s="286"/>
      <c r="N229" s="286"/>
      <c r="O229" s="286"/>
      <c r="P229" s="286"/>
      <c r="Q229" s="286"/>
      <c r="R229" s="4"/>
    </row>
    <row r="230" spans="2:18" x14ac:dyDescent="0.25">
      <c r="B230" s="368"/>
      <c r="C230" s="369"/>
      <c r="D230" s="369"/>
      <c r="E230" s="286"/>
      <c r="F230" s="286"/>
      <c r="G230" s="286"/>
      <c r="H230" s="286"/>
      <c r="I230" s="286"/>
      <c r="J230" s="286"/>
      <c r="K230" s="286"/>
      <c r="L230" s="286"/>
      <c r="M230" s="286"/>
      <c r="N230" s="286"/>
      <c r="O230" s="286"/>
      <c r="P230" s="286"/>
      <c r="Q230" s="286"/>
      <c r="R230" s="4"/>
    </row>
    <row r="231" spans="2:18" x14ac:dyDescent="0.25">
      <c r="B231" s="368"/>
      <c r="C231" s="369"/>
      <c r="D231" s="369"/>
      <c r="E231" s="286"/>
      <c r="F231" s="286"/>
      <c r="G231" s="286"/>
      <c r="H231" s="286"/>
      <c r="I231" s="286"/>
      <c r="J231" s="286"/>
      <c r="K231" s="286"/>
      <c r="L231" s="286"/>
      <c r="M231" s="286"/>
      <c r="N231" s="286"/>
      <c r="O231" s="286"/>
      <c r="P231" s="286"/>
      <c r="Q231" s="286"/>
      <c r="R231" s="4"/>
    </row>
    <row r="232" spans="2:18" x14ac:dyDescent="0.25">
      <c r="B232" s="368"/>
      <c r="C232" s="369"/>
      <c r="D232" s="369"/>
      <c r="E232" s="286"/>
      <c r="F232" s="286"/>
      <c r="G232" s="286"/>
      <c r="H232" s="286"/>
      <c r="I232" s="286"/>
      <c r="J232" s="286"/>
      <c r="K232" s="286"/>
      <c r="L232" s="286"/>
      <c r="M232" s="286"/>
      <c r="N232" s="286"/>
      <c r="O232" s="286"/>
      <c r="P232" s="286"/>
      <c r="Q232" s="286"/>
      <c r="R232" s="4"/>
    </row>
    <row r="233" spans="2:18" x14ac:dyDescent="0.25">
      <c r="B233" s="368"/>
      <c r="C233" s="369"/>
      <c r="D233" s="369"/>
      <c r="E233" s="286"/>
      <c r="F233" s="286"/>
      <c r="G233" s="286"/>
      <c r="H233" s="286"/>
      <c r="I233" s="286"/>
      <c r="J233" s="286"/>
      <c r="K233" s="286"/>
      <c r="L233" s="286"/>
      <c r="M233" s="286"/>
      <c r="N233" s="286"/>
      <c r="O233" s="286"/>
      <c r="P233" s="286"/>
      <c r="Q233" s="286"/>
      <c r="R233" s="4"/>
    </row>
    <row r="234" spans="2:18" x14ac:dyDescent="0.25">
      <c r="B234" s="368"/>
      <c r="C234" s="369"/>
      <c r="D234" s="369"/>
      <c r="E234" s="286"/>
      <c r="F234" s="286"/>
      <c r="G234" s="286"/>
      <c r="H234" s="286"/>
      <c r="I234" s="286"/>
      <c r="J234" s="286"/>
      <c r="K234" s="286"/>
      <c r="L234" s="286"/>
      <c r="M234" s="286"/>
      <c r="N234" s="286"/>
      <c r="O234" s="286"/>
      <c r="P234" s="286"/>
      <c r="Q234" s="286"/>
      <c r="R234" s="4"/>
    </row>
    <row r="235" spans="2:18" x14ac:dyDescent="0.25">
      <c r="B235" s="368"/>
      <c r="C235" s="369"/>
      <c r="D235" s="369"/>
      <c r="E235" s="286"/>
      <c r="F235" s="286"/>
      <c r="G235" s="286"/>
      <c r="H235" s="286"/>
      <c r="I235" s="286"/>
      <c r="J235" s="286"/>
      <c r="K235" s="286"/>
      <c r="L235" s="286"/>
      <c r="M235" s="286"/>
      <c r="N235" s="286"/>
      <c r="O235" s="286"/>
      <c r="P235" s="286"/>
      <c r="Q235" s="286"/>
      <c r="R235" s="4"/>
    </row>
    <row r="236" spans="2:18" x14ac:dyDescent="0.25">
      <c r="B236" s="368"/>
      <c r="C236" s="369"/>
      <c r="D236" s="369"/>
      <c r="E236" s="286"/>
      <c r="F236" s="286"/>
      <c r="G236" s="286"/>
      <c r="H236" s="286"/>
      <c r="I236" s="286"/>
      <c r="J236" s="286"/>
      <c r="K236" s="286"/>
      <c r="L236" s="286"/>
      <c r="M236" s="286"/>
      <c r="N236" s="286"/>
      <c r="O236" s="286"/>
      <c r="P236" s="286"/>
      <c r="Q236" s="286"/>
      <c r="R236" s="4"/>
    </row>
    <row r="237" spans="2:18" x14ac:dyDescent="0.25">
      <c r="B237" s="368"/>
      <c r="C237" s="369"/>
      <c r="D237" s="369"/>
      <c r="E237" s="286"/>
      <c r="F237" s="286"/>
      <c r="G237" s="286"/>
      <c r="H237" s="286"/>
      <c r="I237" s="286"/>
      <c r="J237" s="286"/>
      <c r="K237" s="286"/>
      <c r="L237" s="286"/>
      <c r="M237" s="286"/>
      <c r="N237" s="286"/>
      <c r="O237" s="286"/>
      <c r="P237" s="286"/>
      <c r="Q237" s="286"/>
      <c r="R237" s="4"/>
    </row>
    <row r="238" spans="2:18" x14ac:dyDescent="0.25">
      <c r="B238" s="368"/>
      <c r="C238" s="369"/>
      <c r="D238" s="369"/>
      <c r="E238" s="286"/>
      <c r="F238" s="286"/>
      <c r="G238" s="286"/>
      <c r="H238" s="286"/>
      <c r="I238" s="286"/>
      <c r="J238" s="286"/>
      <c r="K238" s="286"/>
      <c r="L238" s="286"/>
      <c r="M238" s="286"/>
      <c r="N238" s="286"/>
      <c r="O238" s="286"/>
      <c r="P238" s="286"/>
      <c r="Q238" s="286"/>
      <c r="R238" s="4"/>
    </row>
    <row r="239" spans="2:18" x14ac:dyDescent="0.25">
      <c r="B239" s="368"/>
      <c r="C239" s="369"/>
      <c r="D239" s="369"/>
      <c r="E239" s="286"/>
      <c r="F239" s="286"/>
      <c r="G239" s="286"/>
      <c r="H239" s="286"/>
      <c r="I239" s="286"/>
      <c r="J239" s="286"/>
      <c r="K239" s="286"/>
      <c r="L239" s="286"/>
      <c r="M239" s="286"/>
      <c r="N239" s="286"/>
      <c r="O239" s="286"/>
      <c r="P239" s="286"/>
      <c r="Q239" s="286"/>
      <c r="R239" s="4"/>
    </row>
    <row r="240" spans="2:18" x14ac:dyDescent="0.25">
      <c r="B240" s="368"/>
      <c r="C240" s="369"/>
      <c r="D240" s="369"/>
      <c r="E240" s="286"/>
      <c r="F240" s="286"/>
      <c r="G240" s="286"/>
      <c r="H240" s="286"/>
      <c r="I240" s="286"/>
      <c r="J240" s="286"/>
      <c r="K240" s="286"/>
      <c r="L240" s="286"/>
      <c r="M240" s="286"/>
      <c r="N240" s="286"/>
      <c r="O240" s="286"/>
      <c r="P240" s="286"/>
      <c r="Q240" s="286"/>
      <c r="R240" s="4"/>
    </row>
    <row r="241" spans="2:18" x14ac:dyDescent="0.25">
      <c r="B241" s="368"/>
      <c r="C241" s="369"/>
      <c r="D241" s="369"/>
      <c r="E241" s="286"/>
      <c r="F241" s="286"/>
      <c r="G241" s="286"/>
      <c r="H241" s="286"/>
      <c r="I241" s="286"/>
      <c r="J241" s="286"/>
      <c r="K241" s="286"/>
      <c r="L241" s="286"/>
      <c r="M241" s="286"/>
      <c r="N241" s="286"/>
      <c r="O241" s="286"/>
      <c r="P241" s="286"/>
      <c r="Q241" s="286"/>
      <c r="R241" s="4"/>
    </row>
    <row r="242" spans="2:18" x14ac:dyDescent="0.25">
      <c r="B242" s="368"/>
      <c r="C242" s="369"/>
      <c r="D242" s="369"/>
      <c r="E242" s="286"/>
      <c r="F242" s="286"/>
      <c r="G242" s="286"/>
      <c r="H242" s="286"/>
      <c r="I242" s="286"/>
      <c r="J242" s="286"/>
      <c r="K242" s="286"/>
      <c r="L242" s="286"/>
      <c r="M242" s="286"/>
      <c r="N242" s="286"/>
      <c r="O242" s="286"/>
      <c r="P242" s="286"/>
      <c r="Q242" s="286"/>
      <c r="R242" s="4"/>
    </row>
    <row r="243" spans="2:18" x14ac:dyDescent="0.25">
      <c r="B243" s="368"/>
      <c r="C243" s="369"/>
      <c r="D243" s="369"/>
      <c r="E243" s="286"/>
      <c r="F243" s="286"/>
      <c r="G243" s="286"/>
      <c r="H243" s="286"/>
      <c r="I243" s="286"/>
      <c r="J243" s="286"/>
      <c r="K243" s="286"/>
      <c r="L243" s="286"/>
      <c r="M243" s="286"/>
      <c r="N243" s="286"/>
      <c r="O243" s="286"/>
      <c r="P243" s="286"/>
      <c r="Q243" s="286"/>
      <c r="R243" s="4"/>
    </row>
    <row r="244" spans="2:18" x14ac:dyDescent="0.25">
      <c r="B244" s="368"/>
      <c r="C244" s="369"/>
      <c r="D244" s="369"/>
      <c r="E244" s="286"/>
      <c r="F244" s="286"/>
      <c r="G244" s="286"/>
      <c r="H244" s="286"/>
      <c r="I244" s="286"/>
      <c r="J244" s="286"/>
      <c r="K244" s="286"/>
      <c r="L244" s="286"/>
      <c r="M244" s="286"/>
      <c r="N244" s="286"/>
      <c r="O244" s="286"/>
      <c r="P244" s="286"/>
      <c r="Q244" s="286"/>
      <c r="R244" s="4"/>
    </row>
    <row r="245" spans="2:18" x14ac:dyDescent="0.25">
      <c r="B245" s="368"/>
      <c r="C245" s="369"/>
      <c r="D245" s="369"/>
      <c r="E245" s="286"/>
      <c r="F245" s="286"/>
      <c r="G245" s="286"/>
      <c r="H245" s="286"/>
      <c r="I245" s="286"/>
      <c r="J245" s="286"/>
      <c r="K245" s="286"/>
      <c r="L245" s="286"/>
      <c r="M245" s="286"/>
      <c r="N245" s="286"/>
      <c r="O245" s="286"/>
      <c r="P245" s="286"/>
      <c r="Q245" s="286"/>
      <c r="R245" s="4"/>
    </row>
    <row r="246" spans="2:18" x14ac:dyDescent="0.25">
      <c r="B246" s="368"/>
      <c r="C246" s="369"/>
      <c r="D246" s="369"/>
      <c r="E246" s="286"/>
      <c r="F246" s="286"/>
      <c r="G246" s="286"/>
      <c r="H246" s="286"/>
      <c r="I246" s="286"/>
      <c r="J246" s="286"/>
      <c r="K246" s="286"/>
      <c r="L246" s="286"/>
      <c r="M246" s="286"/>
      <c r="N246" s="286"/>
      <c r="O246" s="286"/>
      <c r="P246" s="286"/>
      <c r="Q246" s="286"/>
      <c r="R246" s="4"/>
    </row>
    <row r="247" spans="2:18" x14ac:dyDescent="0.25">
      <c r="B247" s="368"/>
      <c r="C247" s="369"/>
      <c r="D247" s="369"/>
      <c r="E247" s="286"/>
      <c r="F247" s="286"/>
      <c r="G247" s="286"/>
      <c r="H247" s="286"/>
      <c r="I247" s="286"/>
      <c r="J247" s="286"/>
      <c r="K247" s="286"/>
      <c r="L247" s="286"/>
      <c r="M247" s="286"/>
      <c r="N247" s="286"/>
      <c r="O247" s="286"/>
      <c r="P247" s="286"/>
      <c r="Q247" s="286"/>
      <c r="R247" s="4"/>
    </row>
    <row r="248" spans="2:18" x14ac:dyDescent="0.25">
      <c r="B248" s="368"/>
      <c r="C248" s="369"/>
      <c r="D248" s="369"/>
      <c r="E248" s="286"/>
      <c r="F248" s="286"/>
      <c r="G248" s="286"/>
      <c r="H248" s="286"/>
      <c r="I248" s="286"/>
      <c r="J248" s="286"/>
      <c r="K248" s="286"/>
      <c r="L248" s="286"/>
      <c r="M248" s="286"/>
      <c r="N248" s="286"/>
      <c r="O248" s="286"/>
      <c r="P248" s="286"/>
      <c r="Q248" s="286"/>
      <c r="R248" s="4"/>
    </row>
    <row r="249" spans="2:18" x14ac:dyDescent="0.25">
      <c r="B249" s="368"/>
      <c r="C249" s="369"/>
      <c r="D249" s="369"/>
      <c r="E249" s="286"/>
      <c r="F249" s="286"/>
      <c r="G249" s="286"/>
      <c r="H249" s="286"/>
      <c r="I249" s="286"/>
      <c r="J249" s="286"/>
      <c r="K249" s="286"/>
      <c r="L249" s="286"/>
      <c r="M249" s="286"/>
      <c r="N249" s="286"/>
      <c r="O249" s="286"/>
      <c r="P249" s="286"/>
      <c r="Q249" s="286"/>
      <c r="R249" s="4"/>
    </row>
    <row r="250" spans="2:18" x14ac:dyDescent="0.25">
      <c r="B250" s="368"/>
      <c r="C250" s="369"/>
      <c r="D250" s="369"/>
      <c r="E250" s="286"/>
      <c r="F250" s="286"/>
      <c r="G250" s="286"/>
      <c r="H250" s="286"/>
      <c r="I250" s="286"/>
      <c r="J250" s="286"/>
      <c r="K250" s="286"/>
      <c r="L250" s="286"/>
      <c r="M250" s="286"/>
      <c r="N250" s="286"/>
      <c r="O250" s="286"/>
      <c r="P250" s="286"/>
      <c r="Q250" s="286"/>
      <c r="R250" s="4"/>
    </row>
    <row r="251" spans="2:18" x14ac:dyDescent="0.25">
      <c r="B251" s="368"/>
      <c r="C251" s="369"/>
      <c r="D251" s="369"/>
      <c r="E251" s="286"/>
      <c r="F251" s="286"/>
      <c r="G251" s="286"/>
      <c r="H251" s="286"/>
      <c r="I251" s="286"/>
      <c r="J251" s="286"/>
      <c r="K251" s="286"/>
      <c r="L251" s="286"/>
      <c r="M251" s="286"/>
      <c r="N251" s="286"/>
      <c r="O251" s="286"/>
      <c r="P251" s="286"/>
      <c r="Q251" s="286"/>
      <c r="R251" s="4"/>
    </row>
    <row r="252" spans="2:18" x14ac:dyDescent="0.25">
      <c r="B252" s="368"/>
      <c r="C252" s="369"/>
      <c r="D252" s="369"/>
      <c r="E252" s="286"/>
      <c r="F252" s="286"/>
      <c r="G252" s="286"/>
      <c r="H252" s="286"/>
      <c r="I252" s="286"/>
      <c r="J252" s="286"/>
      <c r="K252" s="286"/>
      <c r="L252" s="286"/>
      <c r="M252" s="286"/>
      <c r="N252" s="286"/>
      <c r="O252" s="286"/>
      <c r="P252" s="286"/>
      <c r="Q252" s="286"/>
      <c r="R252" s="4"/>
    </row>
    <row r="253" spans="2:18" x14ac:dyDescent="0.25">
      <c r="B253" s="368"/>
      <c r="C253" s="369"/>
      <c r="D253" s="369"/>
      <c r="E253" s="286"/>
      <c r="F253" s="286"/>
      <c r="G253" s="286"/>
      <c r="H253" s="286"/>
      <c r="I253" s="286"/>
      <c r="J253" s="286"/>
      <c r="K253" s="286"/>
      <c r="L253" s="286"/>
      <c r="M253" s="286"/>
      <c r="N253" s="286"/>
      <c r="O253" s="286"/>
      <c r="P253" s="286"/>
      <c r="Q253" s="286"/>
      <c r="R253" s="4"/>
    </row>
    <row r="254" spans="2:18" x14ac:dyDescent="0.25">
      <c r="B254" s="368"/>
      <c r="C254" s="369"/>
      <c r="D254" s="369"/>
      <c r="E254" s="286"/>
      <c r="F254" s="286"/>
      <c r="G254" s="286"/>
      <c r="H254" s="286"/>
      <c r="I254" s="286"/>
      <c r="J254" s="286"/>
      <c r="K254" s="286"/>
      <c r="L254" s="286"/>
      <c r="M254" s="286"/>
      <c r="N254" s="286"/>
      <c r="O254" s="286"/>
      <c r="P254" s="286"/>
      <c r="Q254" s="286"/>
      <c r="R254" s="4"/>
    </row>
    <row r="255" spans="2:18" x14ac:dyDescent="0.25">
      <c r="B255" s="368"/>
      <c r="C255" s="369"/>
      <c r="D255" s="369"/>
      <c r="E255" s="286"/>
      <c r="F255" s="286"/>
      <c r="G255" s="286"/>
      <c r="H255" s="286"/>
      <c r="I255" s="286"/>
      <c r="J255" s="286"/>
      <c r="K255" s="286"/>
      <c r="L255" s="286"/>
      <c r="M255" s="286"/>
      <c r="N255" s="286"/>
      <c r="O255" s="286"/>
      <c r="P255" s="286"/>
      <c r="Q255" s="286"/>
      <c r="R255" s="4"/>
    </row>
    <row r="256" spans="2:18" x14ac:dyDescent="0.25">
      <c r="B256" s="368"/>
      <c r="C256" s="369"/>
      <c r="D256" s="369"/>
      <c r="E256" s="286"/>
      <c r="F256" s="286"/>
      <c r="G256" s="286"/>
      <c r="H256" s="286"/>
      <c r="I256" s="286"/>
      <c r="J256" s="286"/>
      <c r="K256" s="286"/>
      <c r="L256" s="286"/>
      <c r="M256" s="286"/>
      <c r="N256" s="286"/>
      <c r="O256" s="286"/>
      <c r="P256" s="286"/>
      <c r="Q256" s="286"/>
      <c r="R256" s="4"/>
    </row>
    <row r="257" spans="2:18" x14ac:dyDescent="0.25">
      <c r="B257" s="368"/>
      <c r="C257" s="369"/>
      <c r="D257" s="369"/>
      <c r="E257" s="286"/>
      <c r="F257" s="286"/>
      <c r="G257" s="286"/>
      <c r="H257" s="286"/>
      <c r="I257" s="286"/>
      <c r="J257" s="286"/>
      <c r="K257" s="286"/>
      <c r="L257" s="286"/>
      <c r="M257" s="286"/>
      <c r="N257" s="286"/>
      <c r="O257" s="286"/>
      <c r="P257" s="286"/>
      <c r="Q257" s="286"/>
      <c r="R257" s="4"/>
    </row>
    <row r="258" spans="2:18" x14ac:dyDescent="0.25">
      <c r="B258" s="368"/>
      <c r="C258" s="369"/>
      <c r="D258" s="369"/>
      <c r="E258" s="286"/>
      <c r="F258" s="286"/>
      <c r="G258" s="286"/>
      <c r="H258" s="286"/>
      <c r="I258" s="286"/>
      <c r="J258" s="286"/>
      <c r="K258" s="286"/>
      <c r="L258" s="286"/>
      <c r="M258" s="286"/>
      <c r="N258" s="286"/>
      <c r="O258" s="286"/>
      <c r="P258" s="286"/>
      <c r="Q258" s="286"/>
      <c r="R258" s="4"/>
    </row>
    <row r="259" spans="2:18" x14ac:dyDescent="0.25">
      <c r="B259" s="368"/>
      <c r="C259" s="369"/>
      <c r="D259" s="369"/>
      <c r="E259" s="286"/>
      <c r="F259" s="286"/>
      <c r="G259" s="286"/>
      <c r="H259" s="286"/>
      <c r="I259" s="286"/>
      <c r="J259" s="286"/>
      <c r="K259" s="286"/>
      <c r="L259" s="286"/>
      <c r="M259" s="286"/>
      <c r="N259" s="286"/>
      <c r="O259" s="286"/>
      <c r="P259" s="286"/>
      <c r="Q259" s="286"/>
      <c r="R259" s="4"/>
    </row>
    <row r="260" spans="2:18" x14ac:dyDescent="0.25">
      <c r="B260" s="368"/>
      <c r="C260" s="369"/>
      <c r="D260" s="369"/>
      <c r="E260" s="286"/>
      <c r="F260" s="286"/>
      <c r="G260" s="286"/>
      <c r="H260" s="286"/>
      <c r="I260" s="286"/>
      <c r="J260" s="286"/>
      <c r="K260" s="286"/>
      <c r="L260" s="286"/>
      <c r="M260" s="286"/>
      <c r="N260" s="286"/>
      <c r="O260" s="286"/>
      <c r="P260" s="286"/>
      <c r="Q260" s="286"/>
      <c r="R260" s="4"/>
    </row>
    <row r="261" spans="2:18" x14ac:dyDescent="0.25">
      <c r="B261" s="368"/>
      <c r="C261" s="369"/>
      <c r="D261" s="369"/>
      <c r="E261" s="286"/>
      <c r="F261" s="286"/>
      <c r="G261" s="286"/>
      <c r="H261" s="286"/>
      <c r="I261" s="286"/>
      <c r="J261" s="286"/>
      <c r="K261" s="286"/>
      <c r="L261" s="286"/>
      <c r="M261" s="286"/>
      <c r="N261" s="286"/>
      <c r="O261" s="286"/>
      <c r="P261" s="286"/>
      <c r="Q261" s="286"/>
      <c r="R261" s="4"/>
    </row>
    <row r="262" spans="2:18" x14ac:dyDescent="0.25">
      <c r="B262" s="368"/>
      <c r="C262" s="369"/>
      <c r="D262" s="369"/>
      <c r="E262" s="286"/>
      <c r="F262" s="286"/>
      <c r="G262" s="286"/>
      <c r="H262" s="286"/>
      <c r="I262" s="286"/>
      <c r="J262" s="286"/>
      <c r="K262" s="286"/>
      <c r="L262" s="286"/>
      <c r="M262" s="286"/>
      <c r="N262" s="286"/>
      <c r="O262" s="286"/>
      <c r="P262" s="286"/>
      <c r="Q262" s="286"/>
      <c r="R262" s="4"/>
    </row>
    <row r="263" spans="2:18" x14ac:dyDescent="0.25">
      <c r="B263" s="368"/>
      <c r="C263" s="369"/>
      <c r="D263" s="369"/>
      <c r="E263" s="286"/>
      <c r="F263" s="286"/>
      <c r="G263" s="286"/>
      <c r="H263" s="286"/>
      <c r="I263" s="286"/>
      <c r="J263" s="286"/>
      <c r="K263" s="286"/>
      <c r="L263" s="286"/>
      <c r="M263" s="286"/>
      <c r="N263" s="286"/>
      <c r="O263" s="286"/>
      <c r="P263" s="286"/>
      <c r="Q263" s="286"/>
      <c r="R263" s="4"/>
    </row>
    <row r="264" spans="2:18" x14ac:dyDescent="0.25">
      <c r="B264" s="368"/>
      <c r="C264" s="369"/>
      <c r="D264" s="369"/>
      <c r="E264" s="286"/>
      <c r="F264" s="286"/>
      <c r="G264" s="286"/>
      <c r="H264" s="286"/>
      <c r="I264" s="286"/>
      <c r="J264" s="286"/>
      <c r="K264" s="286"/>
      <c r="L264" s="286"/>
      <c r="M264" s="286"/>
      <c r="N264" s="286"/>
      <c r="O264" s="286"/>
      <c r="P264" s="286"/>
      <c r="Q264" s="286"/>
      <c r="R264" s="4"/>
    </row>
    <row r="265" spans="2:18" x14ac:dyDescent="0.25">
      <c r="B265" s="368"/>
      <c r="C265" s="369"/>
      <c r="D265" s="369"/>
      <c r="E265" s="286"/>
      <c r="F265" s="286"/>
      <c r="G265" s="286"/>
      <c r="H265" s="286"/>
      <c r="I265" s="286"/>
      <c r="J265" s="286"/>
      <c r="K265" s="286"/>
      <c r="L265" s="286"/>
      <c r="M265" s="286"/>
      <c r="N265" s="286"/>
      <c r="O265" s="286"/>
      <c r="P265" s="286"/>
      <c r="Q265" s="286"/>
      <c r="R265" s="4"/>
    </row>
    <row r="266" spans="2:18" x14ac:dyDescent="0.25">
      <c r="B266" s="368"/>
      <c r="C266" s="369"/>
      <c r="D266" s="369"/>
      <c r="E266" s="286"/>
      <c r="F266" s="286"/>
      <c r="G266" s="286"/>
      <c r="H266" s="286"/>
      <c r="I266" s="286"/>
      <c r="J266" s="286"/>
      <c r="K266" s="286"/>
      <c r="L266" s="286"/>
      <c r="M266" s="286"/>
      <c r="N266" s="286"/>
      <c r="O266" s="286"/>
      <c r="P266" s="286"/>
      <c r="Q266" s="286"/>
      <c r="R266" s="4"/>
    </row>
    <row r="267" spans="2:18" x14ac:dyDescent="0.25">
      <c r="B267" s="368"/>
      <c r="C267" s="369"/>
      <c r="D267" s="369"/>
      <c r="E267" s="286"/>
      <c r="F267" s="286"/>
      <c r="G267" s="286"/>
      <c r="H267" s="286"/>
      <c r="I267" s="286"/>
      <c r="J267" s="286"/>
      <c r="K267" s="286"/>
      <c r="L267" s="286"/>
      <c r="M267" s="286"/>
      <c r="N267" s="286"/>
      <c r="O267" s="286"/>
      <c r="P267" s="286"/>
      <c r="Q267" s="286"/>
      <c r="R267" s="4"/>
    </row>
    <row r="268" spans="2:18" x14ac:dyDescent="0.25">
      <c r="B268" s="368"/>
      <c r="C268" s="369"/>
      <c r="D268" s="369"/>
      <c r="E268" s="286"/>
      <c r="F268" s="286"/>
      <c r="G268" s="286"/>
      <c r="H268" s="286"/>
      <c r="I268" s="286"/>
      <c r="J268" s="286"/>
      <c r="K268" s="286"/>
      <c r="L268" s="286"/>
      <c r="M268" s="286"/>
      <c r="N268" s="286"/>
      <c r="O268" s="286"/>
      <c r="P268" s="286"/>
      <c r="Q268" s="286"/>
      <c r="R268" s="4"/>
    </row>
    <row r="269" spans="2:18" x14ac:dyDescent="0.25">
      <c r="B269" s="368"/>
      <c r="C269" s="369"/>
      <c r="D269" s="369"/>
      <c r="E269" s="286"/>
      <c r="F269" s="286"/>
      <c r="G269" s="286"/>
      <c r="H269" s="286"/>
      <c r="I269" s="286"/>
      <c r="J269" s="286"/>
      <c r="K269" s="286"/>
      <c r="L269" s="286"/>
      <c r="M269" s="286"/>
      <c r="N269" s="286"/>
      <c r="O269" s="286"/>
      <c r="P269" s="286"/>
      <c r="Q269" s="286"/>
      <c r="R269" s="4"/>
    </row>
    <row r="270" spans="2:18" x14ac:dyDescent="0.25">
      <c r="B270" s="368"/>
      <c r="C270" s="369"/>
      <c r="D270" s="369"/>
      <c r="E270" s="286"/>
      <c r="F270" s="286"/>
      <c r="G270" s="286"/>
      <c r="H270" s="286"/>
      <c r="I270" s="286"/>
      <c r="J270" s="286"/>
      <c r="K270" s="286"/>
      <c r="L270" s="286"/>
      <c r="M270" s="286"/>
      <c r="N270" s="286"/>
      <c r="O270" s="286"/>
      <c r="P270" s="286"/>
      <c r="Q270" s="286"/>
      <c r="R270" s="4"/>
    </row>
    <row r="271" spans="2:18" x14ac:dyDescent="0.25">
      <c r="B271" s="368"/>
      <c r="C271" s="369"/>
      <c r="D271" s="369"/>
      <c r="E271" s="286"/>
      <c r="F271" s="286"/>
      <c r="G271" s="286"/>
      <c r="H271" s="286"/>
      <c r="I271" s="286"/>
      <c r="J271" s="286"/>
      <c r="K271" s="286"/>
      <c r="L271" s="286"/>
      <c r="M271" s="286"/>
      <c r="N271" s="286"/>
      <c r="O271" s="286"/>
      <c r="P271" s="286"/>
      <c r="Q271" s="286"/>
      <c r="R271" s="4"/>
    </row>
    <row r="272" spans="2:18" x14ac:dyDescent="0.25">
      <c r="B272" s="368"/>
      <c r="C272" s="369"/>
      <c r="D272" s="369"/>
      <c r="E272" s="286"/>
      <c r="F272" s="286"/>
      <c r="G272" s="286"/>
      <c r="H272" s="286"/>
      <c r="I272" s="286"/>
      <c r="J272" s="286"/>
      <c r="K272" s="286"/>
      <c r="L272" s="286"/>
      <c r="M272" s="286"/>
      <c r="N272" s="286"/>
      <c r="O272" s="286"/>
      <c r="P272" s="286"/>
      <c r="Q272" s="286"/>
      <c r="R272" s="4"/>
    </row>
    <row r="273" spans="2:18" x14ac:dyDescent="0.25">
      <c r="B273" s="368"/>
      <c r="C273" s="369"/>
      <c r="D273" s="369"/>
      <c r="E273" s="286"/>
      <c r="F273" s="286"/>
      <c r="G273" s="286"/>
      <c r="H273" s="286"/>
      <c r="I273" s="286"/>
      <c r="J273" s="286"/>
      <c r="K273" s="286"/>
      <c r="L273" s="286"/>
      <c r="M273" s="286"/>
      <c r="N273" s="286"/>
      <c r="O273" s="286"/>
      <c r="P273" s="286"/>
      <c r="Q273" s="286"/>
      <c r="R273" s="4"/>
    </row>
    <row r="274" spans="2:18" x14ac:dyDescent="0.25">
      <c r="B274" s="368"/>
      <c r="C274" s="369"/>
      <c r="D274" s="369"/>
      <c r="E274" s="286"/>
      <c r="F274" s="286"/>
      <c r="G274" s="286"/>
      <c r="H274" s="286"/>
      <c r="I274" s="286"/>
      <c r="J274" s="286"/>
      <c r="K274" s="286"/>
      <c r="L274" s="286"/>
      <c r="M274" s="286"/>
      <c r="N274" s="286"/>
      <c r="O274" s="286"/>
      <c r="P274" s="286"/>
      <c r="Q274" s="286"/>
      <c r="R274" s="4"/>
    </row>
    <row r="275" spans="2:18" x14ac:dyDescent="0.25">
      <c r="B275" s="368"/>
      <c r="C275" s="369"/>
      <c r="D275" s="369"/>
      <c r="E275" s="286"/>
      <c r="F275" s="286"/>
      <c r="G275" s="286"/>
      <c r="H275" s="286"/>
      <c r="I275" s="286"/>
      <c r="J275" s="286"/>
      <c r="K275" s="286"/>
      <c r="L275" s="286"/>
      <c r="M275" s="286"/>
      <c r="N275" s="286"/>
      <c r="O275" s="286"/>
      <c r="P275" s="286"/>
      <c r="Q275" s="286"/>
      <c r="R275" s="4"/>
    </row>
    <row r="276" spans="2:18" x14ac:dyDescent="0.25">
      <c r="B276" s="368"/>
      <c r="C276" s="369"/>
      <c r="D276" s="369"/>
      <c r="E276" s="286"/>
      <c r="F276" s="286"/>
      <c r="G276" s="286"/>
      <c r="H276" s="286"/>
      <c r="I276" s="286"/>
      <c r="J276" s="286"/>
      <c r="K276" s="286"/>
      <c r="L276" s="286"/>
      <c r="M276" s="286"/>
      <c r="N276" s="286"/>
      <c r="O276" s="286"/>
      <c r="P276" s="286"/>
      <c r="Q276" s="286"/>
      <c r="R276" s="4"/>
    </row>
    <row r="277" spans="2:18" x14ac:dyDescent="0.25">
      <c r="B277" s="368"/>
      <c r="C277" s="369"/>
      <c r="D277" s="369"/>
      <c r="E277" s="286"/>
      <c r="F277" s="286"/>
      <c r="G277" s="286"/>
      <c r="H277" s="286"/>
      <c r="I277" s="286"/>
      <c r="J277" s="286"/>
      <c r="K277" s="286"/>
      <c r="L277" s="286"/>
      <c r="M277" s="286"/>
      <c r="N277" s="286"/>
      <c r="O277" s="286"/>
      <c r="P277" s="286"/>
      <c r="Q277" s="286"/>
      <c r="R277" s="4"/>
    </row>
    <row r="278" spans="2:18" x14ac:dyDescent="0.25">
      <c r="B278" s="368"/>
      <c r="C278" s="369"/>
      <c r="D278" s="369"/>
      <c r="E278" s="286"/>
      <c r="F278" s="286"/>
      <c r="G278" s="286"/>
      <c r="H278" s="286"/>
      <c r="I278" s="286"/>
      <c r="J278" s="286"/>
      <c r="K278" s="286"/>
      <c r="L278" s="286"/>
      <c r="M278" s="286"/>
      <c r="N278" s="286"/>
      <c r="O278" s="286"/>
      <c r="P278" s="286"/>
      <c r="Q278" s="286"/>
      <c r="R278" s="4"/>
    </row>
    <row r="279" spans="2:18" x14ac:dyDescent="0.25">
      <c r="B279" s="368"/>
      <c r="C279" s="369"/>
      <c r="D279" s="369"/>
      <c r="E279" s="286"/>
      <c r="F279" s="286"/>
      <c r="G279" s="286"/>
      <c r="H279" s="286"/>
      <c r="I279" s="286"/>
      <c r="J279" s="286"/>
      <c r="K279" s="286"/>
      <c r="L279" s="286"/>
      <c r="M279" s="286"/>
      <c r="N279" s="286"/>
      <c r="O279" s="286"/>
      <c r="P279" s="286"/>
      <c r="Q279" s="286"/>
      <c r="R279" s="4"/>
    </row>
    <row r="280" spans="2:18" x14ac:dyDescent="0.25">
      <c r="B280" s="368"/>
      <c r="C280" s="369"/>
      <c r="D280" s="369"/>
      <c r="E280" s="286"/>
      <c r="F280" s="286"/>
      <c r="G280" s="286"/>
      <c r="H280" s="286"/>
      <c r="I280" s="286"/>
      <c r="J280" s="286"/>
      <c r="K280" s="286"/>
      <c r="L280" s="286"/>
      <c r="M280" s="286"/>
      <c r="N280" s="286"/>
      <c r="O280" s="286"/>
      <c r="P280" s="286"/>
      <c r="Q280" s="286"/>
      <c r="R280" s="4"/>
    </row>
    <row r="281" spans="2:18" x14ac:dyDescent="0.25">
      <c r="B281" s="368"/>
      <c r="C281" s="369"/>
      <c r="D281" s="369"/>
      <c r="E281" s="286"/>
      <c r="F281" s="286"/>
      <c r="G281" s="286"/>
      <c r="H281" s="286"/>
      <c r="I281" s="286"/>
      <c r="J281" s="286"/>
      <c r="K281" s="286"/>
      <c r="L281" s="286"/>
      <c r="M281" s="286"/>
      <c r="N281" s="286"/>
      <c r="O281" s="286"/>
      <c r="P281" s="286"/>
      <c r="Q281" s="286"/>
      <c r="R281" s="4"/>
    </row>
    <row r="282" spans="2:18" x14ac:dyDescent="0.25">
      <c r="B282" s="368"/>
      <c r="C282" s="369"/>
      <c r="D282" s="369"/>
      <c r="E282" s="286"/>
      <c r="F282" s="286"/>
      <c r="G282" s="286"/>
      <c r="H282" s="286"/>
      <c r="I282" s="286"/>
      <c r="J282" s="286"/>
      <c r="K282" s="286"/>
      <c r="L282" s="286"/>
      <c r="M282" s="286"/>
      <c r="N282" s="286"/>
      <c r="O282" s="286"/>
      <c r="P282" s="286"/>
      <c r="Q282" s="286"/>
      <c r="R282" s="4"/>
    </row>
    <row r="283" spans="2:18" x14ac:dyDescent="0.25">
      <c r="B283" s="368"/>
      <c r="C283" s="369"/>
      <c r="D283" s="369"/>
      <c r="E283" s="286"/>
      <c r="F283" s="286"/>
      <c r="G283" s="286"/>
      <c r="H283" s="286"/>
      <c r="I283" s="286"/>
      <c r="J283" s="286"/>
      <c r="K283" s="286"/>
      <c r="L283" s="286"/>
      <c r="M283" s="286"/>
      <c r="N283" s="286"/>
      <c r="O283" s="286"/>
      <c r="P283" s="286"/>
      <c r="Q283" s="286"/>
      <c r="R283" s="4"/>
    </row>
    <row r="284" spans="2:18" x14ac:dyDescent="0.25">
      <c r="B284" s="368"/>
      <c r="C284" s="369"/>
      <c r="D284" s="369"/>
      <c r="E284" s="286"/>
      <c r="F284" s="286"/>
      <c r="G284" s="286"/>
      <c r="H284" s="286"/>
      <c r="I284" s="286"/>
      <c r="J284" s="286"/>
      <c r="K284" s="286"/>
      <c r="L284" s="286"/>
      <c r="M284" s="286"/>
      <c r="N284" s="286"/>
      <c r="O284" s="286"/>
      <c r="P284" s="286"/>
      <c r="Q284" s="286"/>
      <c r="R284" s="4"/>
    </row>
    <row r="285" spans="2:18" x14ac:dyDescent="0.25">
      <c r="B285" s="368"/>
      <c r="C285" s="369"/>
      <c r="D285" s="369"/>
      <c r="E285" s="286"/>
      <c r="F285" s="286"/>
      <c r="G285" s="286"/>
      <c r="H285" s="286"/>
      <c r="I285" s="286"/>
      <c r="J285" s="286"/>
      <c r="K285" s="286"/>
      <c r="L285" s="286"/>
      <c r="M285" s="286"/>
      <c r="N285" s="286"/>
      <c r="O285" s="286"/>
      <c r="P285" s="286"/>
      <c r="Q285" s="286"/>
      <c r="R285" s="4"/>
    </row>
    <row r="286" spans="2:18" x14ac:dyDescent="0.25">
      <c r="B286" s="368"/>
      <c r="C286" s="369"/>
      <c r="D286" s="369"/>
      <c r="E286" s="286"/>
      <c r="F286" s="286"/>
      <c r="G286" s="286"/>
      <c r="H286" s="286"/>
      <c r="I286" s="286"/>
      <c r="J286" s="286"/>
      <c r="K286" s="286"/>
      <c r="L286" s="286"/>
      <c r="M286" s="286"/>
      <c r="N286" s="286"/>
      <c r="O286" s="286"/>
      <c r="P286" s="286"/>
      <c r="Q286" s="286"/>
      <c r="R286" s="4"/>
    </row>
    <row r="287" spans="2:18" x14ac:dyDescent="0.25">
      <c r="B287" s="368"/>
      <c r="C287" s="369"/>
      <c r="D287" s="369"/>
      <c r="E287" s="286"/>
      <c r="F287" s="286"/>
      <c r="G287" s="286"/>
      <c r="H287" s="286"/>
      <c r="I287" s="286"/>
      <c r="J287" s="286"/>
      <c r="K287" s="286"/>
      <c r="L287" s="286"/>
      <c r="M287" s="286"/>
      <c r="N287" s="286"/>
      <c r="O287" s="286"/>
      <c r="P287" s="286"/>
      <c r="Q287" s="286"/>
      <c r="R287" s="4"/>
    </row>
    <row r="288" spans="2:18" x14ac:dyDescent="0.25">
      <c r="B288" s="368"/>
      <c r="C288" s="369"/>
      <c r="D288" s="369"/>
      <c r="E288" s="286"/>
      <c r="F288" s="286"/>
      <c r="G288" s="286"/>
      <c r="H288" s="286"/>
      <c r="I288" s="286"/>
      <c r="J288" s="286"/>
      <c r="K288" s="286"/>
      <c r="L288" s="286"/>
      <c r="M288" s="286"/>
      <c r="N288" s="286"/>
      <c r="O288" s="286"/>
      <c r="P288" s="286"/>
      <c r="Q288" s="286"/>
      <c r="R288" s="4"/>
    </row>
    <row r="289" spans="2:18" x14ac:dyDescent="0.25">
      <c r="B289" s="368"/>
      <c r="C289" s="369"/>
      <c r="D289" s="369"/>
      <c r="E289" s="286"/>
      <c r="F289" s="286"/>
      <c r="G289" s="286"/>
      <c r="H289" s="286"/>
      <c r="I289" s="286"/>
      <c r="J289" s="286"/>
      <c r="K289" s="286"/>
      <c r="L289" s="286"/>
      <c r="M289" s="286"/>
      <c r="N289" s="286"/>
      <c r="O289" s="286"/>
      <c r="P289" s="286"/>
      <c r="Q289" s="286"/>
      <c r="R289" s="4"/>
    </row>
    <row r="290" spans="2:18" x14ac:dyDescent="0.25">
      <c r="B290" s="368"/>
      <c r="C290" s="369"/>
      <c r="D290" s="369"/>
      <c r="E290" s="286"/>
      <c r="F290" s="286"/>
      <c r="G290" s="286"/>
      <c r="H290" s="286"/>
      <c r="I290" s="286"/>
      <c r="J290" s="286"/>
      <c r="K290" s="286"/>
      <c r="L290" s="286"/>
      <c r="M290" s="286"/>
      <c r="N290" s="286"/>
      <c r="O290" s="286"/>
      <c r="P290" s="286"/>
      <c r="Q290" s="286"/>
      <c r="R290" s="4"/>
    </row>
    <row r="291" spans="2:18" x14ac:dyDescent="0.25">
      <c r="B291" s="368"/>
      <c r="C291" s="369"/>
      <c r="D291" s="369"/>
      <c r="E291" s="286"/>
      <c r="F291" s="286"/>
      <c r="G291" s="286"/>
      <c r="H291" s="286"/>
      <c r="I291" s="286"/>
      <c r="J291" s="286"/>
      <c r="K291" s="286"/>
      <c r="L291" s="286"/>
      <c r="M291" s="286"/>
      <c r="N291" s="286"/>
      <c r="O291" s="286"/>
      <c r="P291" s="286"/>
      <c r="Q291" s="286"/>
      <c r="R291" s="4"/>
    </row>
    <row r="292" spans="2:18" x14ac:dyDescent="0.25">
      <c r="B292" s="368"/>
      <c r="C292" s="369"/>
      <c r="D292" s="369"/>
      <c r="E292" s="286"/>
      <c r="F292" s="286"/>
      <c r="G292" s="286"/>
      <c r="H292" s="286"/>
      <c r="I292" s="286"/>
      <c r="J292" s="286"/>
      <c r="K292" s="286"/>
      <c r="L292" s="286"/>
      <c r="M292" s="286"/>
      <c r="N292" s="286"/>
      <c r="O292" s="286"/>
      <c r="P292" s="286"/>
      <c r="Q292" s="286"/>
      <c r="R292" s="4"/>
    </row>
    <row r="293" spans="2:18" x14ac:dyDescent="0.25">
      <c r="B293" s="368"/>
      <c r="C293" s="369"/>
      <c r="D293" s="369"/>
      <c r="E293" s="286"/>
      <c r="F293" s="286"/>
      <c r="G293" s="286"/>
      <c r="H293" s="286"/>
      <c r="I293" s="286"/>
      <c r="J293" s="286"/>
      <c r="K293" s="286"/>
      <c r="L293" s="286"/>
      <c r="M293" s="286"/>
      <c r="N293" s="286"/>
      <c r="O293" s="286"/>
      <c r="P293" s="286"/>
      <c r="Q293" s="286"/>
      <c r="R293" s="4"/>
    </row>
    <row r="294" spans="2:18" x14ac:dyDescent="0.25">
      <c r="B294" s="368"/>
      <c r="C294" s="369"/>
      <c r="D294" s="369"/>
      <c r="E294" s="286"/>
      <c r="F294" s="286"/>
      <c r="G294" s="286"/>
      <c r="H294" s="286"/>
      <c r="I294" s="286"/>
      <c r="J294" s="286"/>
      <c r="K294" s="286"/>
      <c r="L294" s="286"/>
      <c r="M294" s="286"/>
      <c r="N294" s="286"/>
      <c r="O294" s="286"/>
      <c r="P294" s="286"/>
      <c r="Q294" s="286"/>
      <c r="R294" s="4"/>
    </row>
    <row r="295" spans="2:18" x14ac:dyDescent="0.25">
      <c r="B295" s="368"/>
      <c r="C295" s="369"/>
      <c r="D295" s="369"/>
      <c r="E295" s="286"/>
      <c r="F295" s="286"/>
      <c r="G295" s="286"/>
      <c r="H295" s="286"/>
      <c r="I295" s="286"/>
      <c r="J295" s="286"/>
      <c r="K295" s="286"/>
      <c r="L295" s="286"/>
      <c r="M295" s="286"/>
      <c r="N295" s="286"/>
      <c r="O295" s="286"/>
      <c r="P295" s="286"/>
      <c r="Q295" s="286"/>
      <c r="R295" s="4"/>
    </row>
    <row r="296" spans="2:18" x14ac:dyDescent="0.25">
      <c r="B296" s="368"/>
      <c r="C296" s="369"/>
      <c r="D296" s="369"/>
      <c r="E296" s="286"/>
      <c r="F296" s="286"/>
      <c r="G296" s="286"/>
      <c r="H296" s="286"/>
      <c r="I296" s="286"/>
      <c r="J296" s="286"/>
      <c r="K296" s="286"/>
      <c r="L296" s="286"/>
      <c r="M296" s="286"/>
      <c r="N296" s="286"/>
      <c r="O296" s="286"/>
      <c r="P296" s="286"/>
      <c r="Q296" s="286"/>
      <c r="R296" s="4"/>
    </row>
    <row r="297" spans="2:18" x14ac:dyDescent="0.25">
      <c r="B297" s="368"/>
      <c r="C297" s="369"/>
      <c r="D297" s="369"/>
      <c r="E297" s="286"/>
      <c r="F297" s="286"/>
      <c r="G297" s="286"/>
      <c r="H297" s="286"/>
      <c r="I297" s="286"/>
      <c r="J297" s="286"/>
      <c r="K297" s="286"/>
      <c r="L297" s="286"/>
      <c r="M297" s="286"/>
      <c r="N297" s="286"/>
      <c r="O297" s="286"/>
      <c r="P297" s="286"/>
      <c r="Q297" s="286"/>
      <c r="R297" s="4"/>
    </row>
    <row r="298" spans="2:18" x14ac:dyDescent="0.25">
      <c r="B298" s="368"/>
      <c r="C298" s="369"/>
      <c r="D298" s="369"/>
      <c r="E298" s="286"/>
      <c r="F298" s="286"/>
      <c r="G298" s="286"/>
      <c r="H298" s="286"/>
      <c r="I298" s="286"/>
      <c r="J298" s="286"/>
      <c r="K298" s="286"/>
      <c r="L298" s="286"/>
      <c r="M298" s="286"/>
      <c r="N298" s="286"/>
      <c r="O298" s="286"/>
      <c r="P298" s="286"/>
      <c r="Q298" s="286"/>
      <c r="R298" s="4"/>
    </row>
    <row r="299" spans="2:18" x14ac:dyDescent="0.25">
      <c r="B299" s="368"/>
      <c r="C299" s="369"/>
      <c r="D299" s="369"/>
      <c r="E299" s="286"/>
      <c r="F299" s="286"/>
      <c r="G299" s="286"/>
      <c r="H299" s="286"/>
      <c r="I299" s="286"/>
      <c r="J299" s="286"/>
      <c r="K299" s="286"/>
      <c r="L299" s="286"/>
      <c r="M299" s="286"/>
      <c r="N299" s="286"/>
      <c r="O299" s="286"/>
      <c r="P299" s="286"/>
      <c r="Q299" s="286"/>
      <c r="R299" s="4"/>
    </row>
    <row r="300" spans="2:18" x14ac:dyDescent="0.25">
      <c r="B300" s="368"/>
      <c r="C300" s="369"/>
      <c r="D300" s="369"/>
      <c r="E300" s="286"/>
      <c r="F300" s="286"/>
      <c r="G300" s="286"/>
      <c r="H300" s="286"/>
      <c r="I300" s="286"/>
      <c r="J300" s="286"/>
      <c r="K300" s="286"/>
      <c r="L300" s="286"/>
      <c r="M300" s="286"/>
      <c r="N300" s="286"/>
      <c r="O300" s="286"/>
      <c r="P300" s="286"/>
      <c r="Q300" s="286"/>
      <c r="R300" s="4"/>
    </row>
    <row r="301" spans="2:18" x14ac:dyDescent="0.25">
      <c r="B301" s="368"/>
      <c r="C301" s="369"/>
      <c r="D301" s="369"/>
      <c r="E301" s="286"/>
      <c r="F301" s="286"/>
      <c r="G301" s="286"/>
      <c r="H301" s="286"/>
      <c r="I301" s="286"/>
      <c r="J301" s="286"/>
      <c r="K301" s="286"/>
      <c r="L301" s="286"/>
      <c r="M301" s="286"/>
      <c r="N301" s="286"/>
      <c r="O301" s="286"/>
      <c r="P301" s="286"/>
      <c r="Q301" s="286"/>
      <c r="R301" s="4"/>
    </row>
    <row r="302" spans="2:18" x14ac:dyDescent="0.25">
      <c r="B302" s="368"/>
      <c r="C302" s="369"/>
      <c r="D302" s="369"/>
      <c r="E302" s="286"/>
      <c r="F302" s="286"/>
      <c r="G302" s="286"/>
      <c r="H302" s="286"/>
      <c r="I302" s="286"/>
      <c r="J302" s="286"/>
      <c r="K302" s="286"/>
      <c r="L302" s="286"/>
      <c r="M302" s="286"/>
      <c r="N302" s="286"/>
      <c r="O302" s="286"/>
      <c r="P302" s="286"/>
      <c r="Q302" s="286"/>
      <c r="R302" s="4"/>
    </row>
    <row r="303" spans="2:18" x14ac:dyDescent="0.25">
      <c r="B303" s="368"/>
      <c r="C303" s="369"/>
      <c r="D303" s="369"/>
      <c r="E303" s="286"/>
      <c r="F303" s="286"/>
      <c r="G303" s="286"/>
      <c r="H303" s="286"/>
      <c r="I303" s="286"/>
      <c r="J303" s="286"/>
      <c r="K303" s="286"/>
      <c r="L303" s="286"/>
      <c r="M303" s="286"/>
      <c r="N303" s="286"/>
      <c r="O303" s="286"/>
      <c r="P303" s="286"/>
      <c r="Q303" s="286"/>
      <c r="R303" s="4"/>
    </row>
    <row r="304" spans="2:18" x14ac:dyDescent="0.25">
      <c r="B304" s="368"/>
      <c r="C304" s="369"/>
      <c r="D304" s="369"/>
      <c r="E304" s="286"/>
      <c r="F304" s="286"/>
      <c r="G304" s="286"/>
      <c r="H304" s="286"/>
      <c r="I304" s="286"/>
      <c r="J304" s="286"/>
      <c r="K304" s="286"/>
      <c r="L304" s="286"/>
      <c r="M304" s="286"/>
      <c r="N304" s="286"/>
      <c r="O304" s="286"/>
      <c r="P304" s="286"/>
      <c r="Q304" s="286"/>
      <c r="R304" s="4"/>
    </row>
    <row r="305" spans="2:18" x14ac:dyDescent="0.25">
      <c r="B305" s="368"/>
      <c r="C305" s="369"/>
      <c r="D305" s="369"/>
      <c r="E305" s="286"/>
      <c r="F305" s="286"/>
      <c r="G305" s="286"/>
      <c r="H305" s="286"/>
      <c r="I305" s="286"/>
      <c r="J305" s="286"/>
      <c r="K305" s="286"/>
      <c r="L305" s="286"/>
      <c r="M305" s="286"/>
      <c r="N305" s="286"/>
      <c r="O305" s="286"/>
      <c r="P305" s="286"/>
      <c r="Q305" s="286"/>
      <c r="R305" s="4"/>
    </row>
    <row r="306" spans="2:18" x14ac:dyDescent="0.25">
      <c r="B306" s="368"/>
      <c r="C306" s="369"/>
      <c r="D306" s="369"/>
      <c r="E306" s="286"/>
      <c r="F306" s="286"/>
      <c r="G306" s="286"/>
      <c r="H306" s="286"/>
      <c r="I306" s="286"/>
      <c r="J306" s="286"/>
      <c r="K306" s="286"/>
      <c r="L306" s="286"/>
      <c r="M306" s="286"/>
      <c r="N306" s="286"/>
      <c r="O306" s="286"/>
      <c r="P306" s="286"/>
      <c r="Q306" s="286"/>
      <c r="R306" s="4"/>
    </row>
    <row r="307" spans="2:18" x14ac:dyDescent="0.25">
      <c r="B307" s="368"/>
      <c r="C307" s="369"/>
      <c r="D307" s="369"/>
      <c r="E307" s="286"/>
      <c r="F307" s="286"/>
      <c r="G307" s="286"/>
      <c r="H307" s="286"/>
      <c r="I307" s="286"/>
      <c r="J307" s="286"/>
      <c r="K307" s="286"/>
      <c r="L307" s="286"/>
      <c r="M307" s="286"/>
      <c r="N307" s="286"/>
      <c r="O307" s="286"/>
      <c r="P307" s="286"/>
      <c r="Q307" s="286"/>
      <c r="R307" s="4"/>
    </row>
    <row r="308" spans="2:18" x14ac:dyDescent="0.25">
      <c r="B308" s="368"/>
      <c r="C308" s="369"/>
      <c r="D308" s="369"/>
      <c r="E308" s="286"/>
      <c r="F308" s="286"/>
      <c r="G308" s="286"/>
      <c r="H308" s="286"/>
      <c r="I308" s="286"/>
      <c r="J308" s="286"/>
      <c r="K308" s="286"/>
      <c r="L308" s="286"/>
      <c r="M308" s="286"/>
      <c r="N308" s="286"/>
      <c r="O308" s="286"/>
      <c r="P308" s="286"/>
      <c r="Q308" s="286"/>
      <c r="R308" s="4"/>
    </row>
    <row r="309" spans="2:18" x14ac:dyDescent="0.25">
      <c r="B309" s="368"/>
      <c r="C309" s="369"/>
      <c r="D309" s="369"/>
      <c r="E309" s="286"/>
      <c r="F309" s="286"/>
      <c r="G309" s="286"/>
      <c r="H309" s="286"/>
      <c r="I309" s="286"/>
      <c r="J309" s="286"/>
      <c r="K309" s="286"/>
      <c r="L309" s="286"/>
      <c r="M309" s="286"/>
      <c r="N309" s="286"/>
      <c r="O309" s="286"/>
      <c r="P309" s="286"/>
      <c r="Q309" s="286"/>
      <c r="R309" s="4"/>
    </row>
    <row r="310" spans="2:18" x14ac:dyDescent="0.25">
      <c r="B310" s="368"/>
      <c r="C310" s="369"/>
      <c r="D310" s="369"/>
      <c r="E310" s="286"/>
      <c r="F310" s="286"/>
      <c r="G310" s="286"/>
      <c r="H310" s="286"/>
      <c r="I310" s="286"/>
      <c r="J310" s="286"/>
      <c r="K310" s="286"/>
      <c r="L310" s="286"/>
      <c r="M310" s="286"/>
      <c r="N310" s="286"/>
      <c r="O310" s="286"/>
      <c r="P310" s="286"/>
      <c r="Q310" s="286"/>
      <c r="R310" s="4"/>
    </row>
    <row r="311" spans="2:18" x14ac:dyDescent="0.25">
      <c r="B311" s="368"/>
      <c r="C311" s="369"/>
      <c r="D311" s="369"/>
      <c r="E311" s="286"/>
      <c r="F311" s="286"/>
      <c r="G311" s="286"/>
      <c r="H311" s="286"/>
      <c r="I311" s="286"/>
      <c r="J311" s="286"/>
      <c r="K311" s="286"/>
      <c r="L311" s="286"/>
      <c r="M311" s="286"/>
      <c r="N311" s="286"/>
      <c r="O311" s="286"/>
      <c r="P311" s="286"/>
      <c r="Q311" s="286"/>
      <c r="R311" s="4"/>
    </row>
    <row r="312" spans="2:18" x14ac:dyDescent="0.25">
      <c r="B312" s="368"/>
      <c r="C312" s="369"/>
      <c r="D312" s="369"/>
      <c r="E312" s="286"/>
      <c r="F312" s="286"/>
      <c r="G312" s="286"/>
      <c r="H312" s="286"/>
      <c r="I312" s="286"/>
      <c r="J312" s="286"/>
      <c r="K312" s="286"/>
      <c r="L312" s="286"/>
      <c r="M312" s="286"/>
      <c r="N312" s="286"/>
      <c r="O312" s="286"/>
      <c r="P312" s="286"/>
      <c r="Q312" s="286"/>
      <c r="R312" s="4"/>
    </row>
    <row r="313" spans="2:18" x14ac:dyDescent="0.25">
      <c r="B313" s="368"/>
      <c r="C313" s="369"/>
      <c r="D313" s="369"/>
      <c r="E313" s="286"/>
      <c r="F313" s="286"/>
      <c r="G313" s="286"/>
      <c r="H313" s="286"/>
      <c r="I313" s="286"/>
      <c r="J313" s="286"/>
      <c r="K313" s="286"/>
      <c r="L313" s="286"/>
      <c r="M313" s="286"/>
      <c r="N313" s="286"/>
      <c r="O313" s="286"/>
      <c r="P313" s="286"/>
      <c r="Q313" s="286"/>
      <c r="R313" s="4"/>
    </row>
    <row r="314" spans="2:18" x14ac:dyDescent="0.25">
      <c r="B314" s="368"/>
      <c r="C314" s="369"/>
      <c r="D314" s="369"/>
      <c r="E314" s="286"/>
      <c r="F314" s="286"/>
      <c r="G314" s="286"/>
      <c r="H314" s="286"/>
      <c r="I314" s="286"/>
      <c r="J314" s="286"/>
      <c r="K314" s="286"/>
      <c r="L314" s="286"/>
      <c r="M314" s="286"/>
      <c r="N314" s="286"/>
      <c r="O314" s="286"/>
      <c r="P314" s="286"/>
      <c r="Q314" s="286"/>
      <c r="R314" s="4"/>
    </row>
    <row r="315" spans="2:18" x14ac:dyDescent="0.25">
      <c r="B315" s="368"/>
      <c r="C315" s="369"/>
      <c r="D315" s="369"/>
      <c r="E315" s="286"/>
      <c r="F315" s="286"/>
      <c r="G315" s="286"/>
      <c r="H315" s="286"/>
      <c r="I315" s="286"/>
      <c r="J315" s="286"/>
      <c r="K315" s="286"/>
      <c r="L315" s="286"/>
      <c r="M315" s="286"/>
      <c r="N315" s="286"/>
      <c r="O315" s="286"/>
      <c r="P315" s="286"/>
      <c r="Q315" s="286"/>
      <c r="R315" s="4"/>
    </row>
    <row r="316" spans="2:18" x14ac:dyDescent="0.25">
      <c r="B316" s="368"/>
      <c r="C316" s="369"/>
      <c r="D316" s="369"/>
      <c r="E316" s="286"/>
      <c r="F316" s="286"/>
      <c r="G316" s="286"/>
      <c r="H316" s="286"/>
      <c r="I316" s="286"/>
      <c r="J316" s="286"/>
      <c r="K316" s="286"/>
      <c r="L316" s="286"/>
      <c r="M316" s="286"/>
      <c r="N316" s="286"/>
      <c r="O316" s="286"/>
      <c r="P316" s="286"/>
      <c r="Q316" s="286"/>
      <c r="R316" s="4"/>
    </row>
    <row r="317" spans="2:18" x14ac:dyDescent="0.25">
      <c r="B317" s="368"/>
      <c r="C317" s="369"/>
      <c r="D317" s="369"/>
      <c r="E317" s="286"/>
      <c r="F317" s="286"/>
      <c r="G317" s="286"/>
      <c r="H317" s="286"/>
      <c r="I317" s="286"/>
      <c r="J317" s="286"/>
      <c r="K317" s="286"/>
      <c r="L317" s="286"/>
      <c r="M317" s="286"/>
      <c r="N317" s="286"/>
      <c r="O317" s="286"/>
      <c r="P317" s="286"/>
      <c r="Q317" s="286"/>
      <c r="R317" s="4"/>
    </row>
    <row r="318" spans="2:18" x14ac:dyDescent="0.25">
      <c r="B318" s="368"/>
      <c r="C318" s="369"/>
      <c r="D318" s="369"/>
      <c r="E318" s="286"/>
      <c r="F318" s="286"/>
      <c r="G318" s="286"/>
      <c r="H318" s="286"/>
      <c r="I318" s="286"/>
      <c r="J318" s="286"/>
      <c r="K318" s="286"/>
      <c r="L318" s="286"/>
      <c r="M318" s="286"/>
      <c r="N318" s="286"/>
      <c r="O318" s="286"/>
      <c r="P318" s="286"/>
      <c r="Q318" s="286"/>
      <c r="R318" s="4"/>
    </row>
    <row r="319" spans="2:18" x14ac:dyDescent="0.25">
      <c r="B319" s="368"/>
      <c r="C319" s="369"/>
      <c r="D319" s="369"/>
      <c r="E319" s="286"/>
      <c r="F319" s="286"/>
      <c r="G319" s="286"/>
      <c r="H319" s="286"/>
      <c r="I319" s="286"/>
      <c r="J319" s="286"/>
      <c r="K319" s="286"/>
      <c r="L319" s="286"/>
      <c r="M319" s="286"/>
      <c r="N319" s="286"/>
      <c r="O319" s="286"/>
      <c r="P319" s="286"/>
      <c r="Q319" s="286"/>
      <c r="R319" s="4"/>
    </row>
    <row r="320" spans="2:18" x14ac:dyDescent="0.25">
      <c r="B320" s="368"/>
      <c r="C320" s="369"/>
      <c r="D320" s="369"/>
      <c r="E320" s="286"/>
      <c r="F320" s="286"/>
      <c r="G320" s="286"/>
      <c r="H320" s="286"/>
      <c r="I320" s="286"/>
      <c r="J320" s="286"/>
      <c r="K320" s="286"/>
      <c r="L320" s="286"/>
      <c r="M320" s="286"/>
      <c r="N320" s="286"/>
      <c r="O320" s="286"/>
      <c r="P320" s="286"/>
      <c r="Q320" s="286"/>
      <c r="R320" s="4"/>
    </row>
    <row r="321" spans="2:18" x14ac:dyDescent="0.25">
      <c r="B321" s="368"/>
      <c r="C321" s="369"/>
      <c r="D321" s="369"/>
      <c r="E321" s="286"/>
      <c r="F321" s="286"/>
      <c r="G321" s="286"/>
      <c r="H321" s="286"/>
      <c r="I321" s="286"/>
      <c r="J321" s="286"/>
      <c r="K321" s="286"/>
      <c r="L321" s="286"/>
      <c r="M321" s="286"/>
      <c r="N321" s="286"/>
      <c r="O321" s="286"/>
      <c r="P321" s="286"/>
      <c r="Q321" s="286"/>
      <c r="R321" s="4"/>
    </row>
    <row r="322" spans="2:18" x14ac:dyDescent="0.25">
      <c r="B322" s="368"/>
      <c r="C322" s="369"/>
      <c r="D322" s="369"/>
      <c r="E322" s="286"/>
      <c r="F322" s="286"/>
      <c r="G322" s="286"/>
      <c r="H322" s="286"/>
      <c r="I322" s="286"/>
      <c r="J322" s="286"/>
      <c r="K322" s="286"/>
      <c r="L322" s="286"/>
      <c r="M322" s="286"/>
      <c r="N322" s="286"/>
      <c r="O322" s="286"/>
      <c r="P322" s="286"/>
      <c r="Q322" s="286"/>
      <c r="R322" s="4"/>
    </row>
    <row r="323" spans="2:18" x14ac:dyDescent="0.25">
      <c r="B323" s="368"/>
      <c r="C323" s="369"/>
      <c r="D323" s="369"/>
      <c r="E323" s="286"/>
      <c r="F323" s="286"/>
      <c r="G323" s="286"/>
      <c r="H323" s="286"/>
      <c r="I323" s="286"/>
      <c r="J323" s="286"/>
      <c r="K323" s="286"/>
      <c r="L323" s="286"/>
      <c r="M323" s="286"/>
      <c r="N323" s="286"/>
      <c r="O323" s="286"/>
      <c r="P323" s="286"/>
      <c r="Q323" s="286"/>
      <c r="R323" s="4"/>
    </row>
    <row r="324" spans="2:18" x14ac:dyDescent="0.25">
      <c r="B324" s="368"/>
      <c r="C324" s="369"/>
      <c r="D324" s="369"/>
      <c r="E324" s="286"/>
      <c r="F324" s="286"/>
      <c r="G324" s="286"/>
      <c r="H324" s="286"/>
      <c r="I324" s="286"/>
      <c r="J324" s="286"/>
      <c r="K324" s="286"/>
      <c r="L324" s="286"/>
      <c r="M324" s="286"/>
      <c r="N324" s="286"/>
      <c r="O324" s="286"/>
      <c r="P324" s="286"/>
      <c r="Q324" s="286"/>
      <c r="R324" s="4"/>
    </row>
    <row r="325" spans="2:18" x14ac:dyDescent="0.25">
      <c r="B325" s="368"/>
      <c r="C325" s="369"/>
      <c r="D325" s="369"/>
      <c r="E325" s="286"/>
      <c r="F325" s="286"/>
      <c r="G325" s="286"/>
      <c r="H325" s="286"/>
      <c r="I325" s="286"/>
      <c r="J325" s="286"/>
      <c r="K325" s="286"/>
      <c r="L325" s="286"/>
      <c r="M325" s="286"/>
      <c r="N325" s="286"/>
      <c r="O325" s="286"/>
      <c r="P325" s="286"/>
      <c r="Q325" s="286"/>
      <c r="R325" s="4"/>
    </row>
    <row r="326" spans="2:18" x14ac:dyDescent="0.25">
      <c r="B326" s="368"/>
      <c r="C326" s="369"/>
      <c r="D326" s="369"/>
      <c r="E326" s="286"/>
      <c r="F326" s="286"/>
      <c r="G326" s="286"/>
      <c r="H326" s="286"/>
      <c r="I326" s="286"/>
      <c r="J326" s="286"/>
      <c r="K326" s="286"/>
      <c r="L326" s="286"/>
      <c r="M326" s="286"/>
      <c r="N326" s="286"/>
      <c r="O326" s="286"/>
      <c r="P326" s="286"/>
      <c r="Q326" s="286"/>
      <c r="R326" s="4"/>
    </row>
    <row r="327" spans="2:18" x14ac:dyDescent="0.25">
      <c r="B327" s="368"/>
      <c r="C327" s="369"/>
      <c r="D327" s="369"/>
      <c r="E327" s="286"/>
      <c r="F327" s="286"/>
      <c r="G327" s="286"/>
      <c r="H327" s="286"/>
      <c r="I327" s="286"/>
      <c r="J327" s="286"/>
      <c r="K327" s="286"/>
      <c r="L327" s="286"/>
      <c r="M327" s="286"/>
      <c r="N327" s="286"/>
      <c r="O327" s="286"/>
      <c r="P327" s="286"/>
      <c r="Q327" s="286"/>
      <c r="R327" s="4"/>
    </row>
    <row r="328" spans="2:18" x14ac:dyDescent="0.25">
      <c r="B328" s="368"/>
      <c r="C328" s="369"/>
      <c r="D328" s="369"/>
      <c r="E328" s="286"/>
      <c r="F328" s="286"/>
      <c r="G328" s="286"/>
      <c r="H328" s="286"/>
      <c r="I328" s="286"/>
      <c r="J328" s="286"/>
      <c r="K328" s="286"/>
      <c r="L328" s="286"/>
      <c r="M328" s="286"/>
      <c r="N328" s="286"/>
      <c r="O328" s="286"/>
      <c r="P328" s="286"/>
      <c r="Q328" s="286"/>
      <c r="R328" s="4"/>
    </row>
    <row r="329" spans="2:18" x14ac:dyDescent="0.25">
      <c r="B329" s="368"/>
      <c r="C329" s="369"/>
      <c r="D329" s="369"/>
      <c r="E329" s="286"/>
      <c r="F329" s="286"/>
      <c r="G329" s="286"/>
      <c r="H329" s="286"/>
      <c r="I329" s="286"/>
      <c r="J329" s="286"/>
      <c r="K329" s="286"/>
      <c r="L329" s="286"/>
      <c r="M329" s="286"/>
      <c r="N329" s="286"/>
      <c r="O329" s="286"/>
      <c r="P329" s="286"/>
      <c r="Q329" s="286"/>
      <c r="R329" s="4"/>
    </row>
    <row r="330" spans="2:18" x14ac:dyDescent="0.25">
      <c r="B330" s="368"/>
      <c r="C330" s="369"/>
      <c r="D330" s="369"/>
      <c r="E330" s="286"/>
      <c r="F330" s="286"/>
      <c r="G330" s="286"/>
      <c r="H330" s="286"/>
      <c r="I330" s="286"/>
      <c r="J330" s="286"/>
      <c r="K330" s="286"/>
      <c r="L330" s="286"/>
      <c r="M330" s="286"/>
      <c r="N330" s="286"/>
      <c r="O330" s="286"/>
      <c r="P330" s="286"/>
      <c r="Q330" s="286"/>
      <c r="R330" s="4"/>
    </row>
    <row r="331" spans="2:18" x14ac:dyDescent="0.25">
      <c r="B331" s="368"/>
      <c r="C331" s="369"/>
      <c r="D331" s="369"/>
      <c r="E331" s="286"/>
      <c r="F331" s="286"/>
      <c r="G331" s="286"/>
      <c r="H331" s="286"/>
      <c r="I331" s="286"/>
      <c r="J331" s="286"/>
      <c r="K331" s="286"/>
      <c r="L331" s="286"/>
      <c r="M331" s="286"/>
      <c r="N331" s="286"/>
      <c r="O331" s="286"/>
      <c r="P331" s="286"/>
      <c r="Q331" s="286"/>
      <c r="R331" s="4"/>
    </row>
    <row r="332" spans="2:18" x14ac:dyDescent="0.25">
      <c r="B332" s="368"/>
      <c r="C332" s="369"/>
      <c r="D332" s="369"/>
      <c r="E332" s="286"/>
      <c r="F332" s="286"/>
      <c r="G332" s="286"/>
      <c r="H332" s="286"/>
      <c r="I332" s="286"/>
      <c r="J332" s="286"/>
      <c r="K332" s="286"/>
      <c r="L332" s="286"/>
      <c r="M332" s="286"/>
      <c r="N332" s="286"/>
      <c r="O332" s="286"/>
      <c r="P332" s="286"/>
      <c r="Q332" s="286"/>
      <c r="R332" s="272"/>
    </row>
    <row r="333" spans="2:18" x14ac:dyDescent="0.25">
      <c r="B333" s="368"/>
      <c r="C333" s="369"/>
      <c r="D333" s="369"/>
      <c r="E333" s="286"/>
      <c r="F333" s="286"/>
      <c r="G333" s="286"/>
      <c r="H333" s="286"/>
      <c r="I333" s="286"/>
      <c r="J333" s="286"/>
      <c r="K333" s="286"/>
      <c r="L333" s="286"/>
      <c r="M333" s="286"/>
      <c r="N333" s="286"/>
      <c r="O333" s="286"/>
      <c r="P333" s="286"/>
      <c r="Q333" s="286"/>
      <c r="R333" s="272"/>
    </row>
    <row r="334" spans="2:18" x14ac:dyDescent="0.25">
      <c r="B334" s="368"/>
      <c r="C334" s="369"/>
      <c r="D334" s="369"/>
      <c r="E334" s="286"/>
      <c r="F334" s="286"/>
      <c r="G334" s="286"/>
      <c r="H334" s="286"/>
      <c r="I334" s="286"/>
      <c r="J334" s="286"/>
      <c r="K334" s="286"/>
      <c r="L334" s="286"/>
      <c r="M334" s="286"/>
      <c r="N334" s="286"/>
      <c r="O334" s="286"/>
      <c r="P334" s="286"/>
      <c r="Q334" s="286"/>
      <c r="R334" s="272"/>
    </row>
    <row r="335" spans="2:18" x14ac:dyDescent="0.25">
      <c r="B335" s="368"/>
      <c r="C335" s="369"/>
      <c r="D335" s="369"/>
      <c r="E335" s="286"/>
      <c r="F335" s="286"/>
      <c r="G335" s="286"/>
      <c r="H335" s="286"/>
      <c r="I335" s="286"/>
      <c r="J335" s="286"/>
      <c r="K335" s="286"/>
      <c r="L335" s="286"/>
      <c r="M335" s="286"/>
      <c r="N335" s="286"/>
      <c r="O335" s="286"/>
      <c r="P335" s="286"/>
      <c r="Q335" s="286"/>
      <c r="R335" s="272"/>
    </row>
    <row r="336" spans="2:18" x14ac:dyDescent="0.25">
      <c r="B336" s="368"/>
      <c r="C336" s="369"/>
      <c r="D336" s="369"/>
      <c r="E336" s="286"/>
      <c r="F336" s="286"/>
      <c r="G336" s="286"/>
      <c r="H336" s="286"/>
      <c r="I336" s="286"/>
      <c r="J336" s="286"/>
      <c r="K336" s="286"/>
      <c r="L336" s="286"/>
      <c r="M336" s="286"/>
      <c r="N336" s="286"/>
      <c r="O336" s="286"/>
      <c r="P336" s="286"/>
      <c r="Q336" s="286"/>
      <c r="R336" s="272"/>
    </row>
    <row r="337" spans="2:18" x14ac:dyDescent="0.25">
      <c r="B337" s="368"/>
      <c r="C337" s="369"/>
      <c r="D337" s="369"/>
      <c r="E337" s="286"/>
      <c r="F337" s="286"/>
      <c r="G337" s="286"/>
      <c r="H337" s="286"/>
      <c r="I337" s="286"/>
      <c r="J337" s="286"/>
      <c r="K337" s="286"/>
      <c r="L337" s="286"/>
      <c r="M337" s="286"/>
      <c r="N337" s="286"/>
      <c r="O337" s="286"/>
      <c r="P337" s="286"/>
      <c r="Q337" s="286"/>
      <c r="R337" s="272"/>
    </row>
    <row r="338" spans="2:18" x14ac:dyDescent="0.25">
      <c r="B338" s="368"/>
      <c r="C338" s="369"/>
      <c r="D338" s="369"/>
      <c r="E338" s="286"/>
      <c r="F338" s="286"/>
      <c r="G338" s="286"/>
      <c r="H338" s="286"/>
      <c r="I338" s="286"/>
      <c r="J338" s="286"/>
      <c r="K338" s="286"/>
      <c r="L338" s="286"/>
      <c r="M338" s="286"/>
      <c r="N338" s="286"/>
      <c r="O338" s="286"/>
      <c r="P338" s="286"/>
      <c r="Q338" s="286"/>
      <c r="R338" s="272"/>
    </row>
    <row r="339" spans="2:18" x14ac:dyDescent="0.25">
      <c r="B339" s="368"/>
      <c r="C339" s="369"/>
      <c r="D339" s="369"/>
      <c r="E339" s="286"/>
      <c r="F339" s="286"/>
      <c r="G339" s="286"/>
      <c r="H339" s="286"/>
      <c r="I339" s="286"/>
      <c r="J339" s="286"/>
      <c r="K339" s="286"/>
      <c r="L339" s="286"/>
      <c r="M339" s="286"/>
      <c r="N339" s="286"/>
      <c r="O339" s="286"/>
      <c r="P339" s="286"/>
      <c r="Q339" s="286"/>
      <c r="R339" s="272"/>
    </row>
    <row r="340" spans="2:18" x14ac:dyDescent="0.25">
      <c r="B340" s="368"/>
      <c r="C340" s="369"/>
      <c r="D340" s="369"/>
      <c r="E340" s="286"/>
      <c r="F340" s="286"/>
      <c r="G340" s="286"/>
      <c r="H340" s="286"/>
      <c r="I340" s="286"/>
      <c r="J340" s="286"/>
      <c r="K340" s="286"/>
      <c r="L340" s="286"/>
      <c r="M340" s="286"/>
      <c r="N340" s="286"/>
      <c r="O340" s="286"/>
      <c r="P340" s="286"/>
      <c r="Q340" s="286"/>
      <c r="R340" s="272"/>
    </row>
    <row r="341" spans="2:18" x14ac:dyDescent="0.25">
      <c r="B341" s="368"/>
      <c r="C341" s="369"/>
      <c r="D341" s="369"/>
      <c r="E341" s="286"/>
      <c r="F341" s="286"/>
      <c r="G341" s="286"/>
      <c r="H341" s="286"/>
      <c r="I341" s="286"/>
      <c r="J341" s="286"/>
      <c r="K341" s="286"/>
      <c r="L341" s="286"/>
      <c r="M341" s="286"/>
      <c r="N341" s="286"/>
      <c r="O341" s="286"/>
      <c r="P341" s="286"/>
      <c r="Q341" s="286"/>
      <c r="R341" s="272"/>
    </row>
    <row r="342" spans="2:18" x14ac:dyDescent="0.25">
      <c r="B342" s="368"/>
      <c r="C342" s="369"/>
      <c r="D342" s="369"/>
      <c r="E342" s="286"/>
      <c r="F342" s="286"/>
      <c r="G342" s="286"/>
      <c r="H342" s="286"/>
      <c r="I342" s="286"/>
      <c r="J342" s="286"/>
      <c r="K342" s="286"/>
      <c r="L342" s="286"/>
      <c r="M342" s="286"/>
      <c r="N342" s="286"/>
      <c r="O342" s="286"/>
      <c r="P342" s="286"/>
      <c r="Q342" s="286"/>
      <c r="R342" s="272"/>
    </row>
    <row r="343" spans="2:18" x14ac:dyDescent="0.25">
      <c r="B343" s="368"/>
      <c r="C343" s="369"/>
      <c r="D343" s="369"/>
      <c r="E343" s="286"/>
      <c r="F343" s="286"/>
      <c r="G343" s="286"/>
      <c r="H343" s="286"/>
      <c r="I343" s="286"/>
      <c r="J343" s="286"/>
      <c r="K343" s="286"/>
      <c r="L343" s="286"/>
      <c r="M343" s="286"/>
      <c r="N343" s="286"/>
      <c r="O343" s="286"/>
      <c r="P343" s="286"/>
      <c r="Q343" s="286"/>
      <c r="R343" s="272"/>
    </row>
    <row r="344" spans="2:18" x14ac:dyDescent="0.25">
      <c r="B344" s="368"/>
      <c r="C344" s="369"/>
      <c r="D344" s="369"/>
      <c r="E344" s="286"/>
      <c r="F344" s="286"/>
      <c r="G344" s="286"/>
      <c r="H344" s="286"/>
      <c r="I344" s="286"/>
      <c r="J344" s="286"/>
      <c r="K344" s="286"/>
      <c r="L344" s="286"/>
      <c r="M344" s="286"/>
      <c r="N344" s="286"/>
      <c r="O344" s="286"/>
      <c r="P344" s="286"/>
      <c r="Q344" s="286"/>
      <c r="R344" s="272"/>
    </row>
    <row r="345" spans="2:18" x14ac:dyDescent="0.25">
      <c r="B345" s="368"/>
      <c r="C345" s="369"/>
      <c r="D345" s="369"/>
      <c r="E345" s="286"/>
      <c r="F345" s="286"/>
      <c r="G345" s="286"/>
      <c r="H345" s="286"/>
      <c r="I345" s="286"/>
      <c r="J345" s="286"/>
      <c r="K345" s="286"/>
      <c r="L345" s="286"/>
      <c r="M345" s="286"/>
      <c r="N345" s="286"/>
      <c r="O345" s="286"/>
      <c r="P345" s="286"/>
      <c r="Q345" s="286"/>
      <c r="R345" s="272"/>
    </row>
    <row r="346" spans="2:18" x14ac:dyDescent="0.25">
      <c r="B346" s="368"/>
      <c r="C346" s="369"/>
      <c r="D346" s="369"/>
      <c r="E346" s="286"/>
      <c r="F346" s="286"/>
      <c r="G346" s="286"/>
      <c r="H346" s="286"/>
      <c r="I346" s="286"/>
      <c r="J346" s="286"/>
      <c r="K346" s="286"/>
      <c r="L346" s="286"/>
      <c r="M346" s="286"/>
      <c r="N346" s="286"/>
      <c r="O346" s="286"/>
      <c r="P346" s="286"/>
      <c r="Q346" s="286"/>
      <c r="R346" s="272"/>
    </row>
    <row r="347" spans="2:18" x14ac:dyDescent="0.25">
      <c r="B347" s="368"/>
      <c r="C347" s="369"/>
      <c r="D347" s="369"/>
      <c r="E347" s="286"/>
      <c r="F347" s="286"/>
      <c r="G347" s="286"/>
      <c r="H347" s="286"/>
      <c r="I347" s="286"/>
      <c r="J347" s="286"/>
      <c r="K347" s="286"/>
      <c r="L347" s="286"/>
      <c r="M347" s="286"/>
      <c r="N347" s="286"/>
      <c r="O347" s="286"/>
      <c r="P347" s="286"/>
      <c r="Q347" s="286"/>
      <c r="R347" s="272"/>
    </row>
    <row r="348" spans="2:18" x14ac:dyDescent="0.25">
      <c r="B348" s="368"/>
      <c r="C348" s="369"/>
      <c r="D348" s="369"/>
      <c r="E348" s="286"/>
      <c r="F348" s="286"/>
      <c r="G348" s="286"/>
      <c r="H348" s="286"/>
      <c r="I348" s="286"/>
      <c r="J348" s="286"/>
      <c r="K348" s="286"/>
      <c r="L348" s="286"/>
      <c r="M348" s="286"/>
      <c r="N348" s="286"/>
      <c r="O348" s="286"/>
      <c r="P348" s="286"/>
      <c r="Q348" s="286"/>
      <c r="R348" s="272"/>
    </row>
    <row r="349" spans="2:18" x14ac:dyDescent="0.25">
      <c r="B349" s="368"/>
      <c r="C349" s="369"/>
      <c r="D349" s="369"/>
      <c r="E349" s="286"/>
      <c r="F349" s="286"/>
      <c r="G349" s="286"/>
      <c r="H349" s="286"/>
      <c r="I349" s="286"/>
      <c r="J349" s="286"/>
      <c r="K349" s="286"/>
      <c r="L349" s="286"/>
      <c r="M349" s="286"/>
      <c r="N349" s="286"/>
      <c r="O349" s="286"/>
      <c r="P349" s="286"/>
      <c r="Q349" s="286"/>
      <c r="R349" s="272"/>
    </row>
    <row r="350" spans="2:18" x14ac:dyDescent="0.25">
      <c r="B350" s="368"/>
      <c r="C350" s="369"/>
      <c r="D350" s="369"/>
      <c r="E350" s="286"/>
      <c r="F350" s="286"/>
      <c r="G350" s="286"/>
      <c r="H350" s="286"/>
      <c r="I350" s="286"/>
      <c r="J350" s="286"/>
      <c r="K350" s="286"/>
      <c r="L350" s="286"/>
      <c r="M350" s="286"/>
      <c r="N350" s="286"/>
      <c r="O350" s="286"/>
      <c r="P350" s="286"/>
      <c r="Q350" s="286"/>
      <c r="R350" s="272"/>
    </row>
    <row r="351" spans="2:18" x14ac:dyDescent="0.25">
      <c r="B351" s="368"/>
      <c r="C351" s="369"/>
      <c r="D351" s="369"/>
      <c r="E351" s="286"/>
      <c r="F351" s="286"/>
      <c r="G351" s="286"/>
      <c r="H351" s="286"/>
      <c r="I351" s="286"/>
      <c r="J351" s="286"/>
      <c r="K351" s="286"/>
      <c r="L351" s="286"/>
      <c r="M351" s="286"/>
      <c r="N351" s="286"/>
      <c r="O351" s="286"/>
      <c r="P351" s="286"/>
      <c r="Q351" s="286"/>
      <c r="R351" s="272"/>
    </row>
    <row r="352" spans="2:18" x14ac:dyDescent="0.25">
      <c r="B352" s="368"/>
      <c r="C352" s="369"/>
      <c r="D352" s="369"/>
      <c r="E352" s="286"/>
      <c r="F352" s="286"/>
      <c r="G352" s="286"/>
      <c r="H352" s="286"/>
      <c r="I352" s="286"/>
      <c r="J352" s="286"/>
      <c r="K352" s="286"/>
      <c r="L352" s="286"/>
      <c r="M352" s="286"/>
      <c r="N352" s="286"/>
      <c r="O352" s="286"/>
      <c r="P352" s="286"/>
      <c r="Q352" s="286"/>
      <c r="R352" s="272"/>
    </row>
    <row r="353" spans="2:18" x14ac:dyDescent="0.25">
      <c r="B353" s="368"/>
      <c r="C353" s="369"/>
      <c r="D353" s="369"/>
      <c r="E353" s="286"/>
      <c r="F353" s="286"/>
      <c r="G353" s="286"/>
      <c r="H353" s="286"/>
      <c r="I353" s="286"/>
      <c r="J353" s="286"/>
      <c r="K353" s="286"/>
      <c r="L353" s="286"/>
      <c r="M353" s="286"/>
      <c r="N353" s="286"/>
      <c r="O353" s="286"/>
      <c r="P353" s="286"/>
      <c r="Q353" s="286"/>
      <c r="R353" s="272"/>
    </row>
    <row r="354" spans="2:18" x14ac:dyDescent="0.25">
      <c r="B354" s="368"/>
      <c r="C354" s="369"/>
      <c r="D354" s="369"/>
      <c r="E354" s="286"/>
      <c r="F354" s="286"/>
      <c r="G354" s="286"/>
      <c r="H354" s="286"/>
      <c r="I354" s="286"/>
      <c r="J354" s="286"/>
      <c r="K354" s="286"/>
      <c r="L354" s="286"/>
      <c r="M354" s="286"/>
      <c r="N354" s="286"/>
      <c r="O354" s="286"/>
      <c r="P354" s="286"/>
      <c r="Q354" s="286"/>
      <c r="R354" s="272"/>
    </row>
    <row r="355" spans="2:18" x14ac:dyDescent="0.25">
      <c r="B355" s="368"/>
      <c r="C355" s="369"/>
      <c r="D355" s="369"/>
      <c r="E355" s="286"/>
      <c r="F355" s="286"/>
      <c r="G355" s="286"/>
      <c r="H355" s="286"/>
      <c r="I355" s="286"/>
      <c r="J355" s="286"/>
      <c r="K355" s="286"/>
      <c r="L355" s="286"/>
      <c r="M355" s="286"/>
      <c r="N355" s="286"/>
      <c r="O355" s="286"/>
      <c r="P355" s="286"/>
      <c r="Q355" s="286"/>
      <c r="R355" s="272"/>
    </row>
    <row r="356" spans="2:18" x14ac:dyDescent="0.25">
      <c r="B356" s="368"/>
      <c r="C356" s="369"/>
      <c r="D356" s="369"/>
      <c r="E356" s="286"/>
      <c r="F356" s="286"/>
      <c r="G356" s="286"/>
      <c r="H356" s="286"/>
      <c r="I356" s="286"/>
      <c r="J356" s="286"/>
      <c r="K356" s="286"/>
      <c r="L356" s="286"/>
      <c r="M356" s="286"/>
      <c r="N356" s="286"/>
      <c r="O356" s="286"/>
      <c r="P356" s="286"/>
      <c r="Q356" s="286"/>
      <c r="R356" s="272"/>
    </row>
    <row r="357" spans="2:18" x14ac:dyDescent="0.25">
      <c r="B357" s="368"/>
      <c r="C357" s="369"/>
      <c r="D357" s="369"/>
      <c r="E357" s="286"/>
      <c r="F357" s="286"/>
      <c r="G357" s="286"/>
      <c r="H357" s="286"/>
      <c r="I357" s="286"/>
      <c r="J357" s="286"/>
      <c r="K357" s="286"/>
      <c r="L357" s="286"/>
      <c r="M357" s="286"/>
      <c r="N357" s="286"/>
      <c r="O357" s="286"/>
      <c r="P357" s="286"/>
      <c r="Q357" s="286"/>
      <c r="R357" s="272"/>
    </row>
    <row r="358" spans="2:18" x14ac:dyDescent="0.25">
      <c r="B358" s="368"/>
      <c r="C358" s="369"/>
      <c r="D358" s="369"/>
      <c r="E358" s="286"/>
      <c r="F358" s="286"/>
      <c r="G358" s="286"/>
      <c r="H358" s="286"/>
      <c r="I358" s="286"/>
      <c r="J358" s="286"/>
      <c r="K358" s="286"/>
      <c r="L358" s="286"/>
      <c r="M358" s="286"/>
      <c r="N358" s="286"/>
      <c r="O358" s="286"/>
      <c r="P358" s="286"/>
      <c r="Q358" s="286"/>
      <c r="R358" s="272"/>
    </row>
    <row r="359" spans="2:18" x14ac:dyDescent="0.25">
      <c r="B359" s="368"/>
      <c r="C359" s="369"/>
      <c r="D359" s="369"/>
      <c r="E359" s="286"/>
      <c r="F359" s="286"/>
      <c r="G359" s="286"/>
      <c r="H359" s="286"/>
      <c r="I359" s="286"/>
      <c r="J359" s="286"/>
      <c r="K359" s="286"/>
      <c r="L359" s="286"/>
      <c r="M359" s="286"/>
      <c r="N359" s="286"/>
      <c r="O359" s="286"/>
      <c r="P359" s="286"/>
      <c r="Q359" s="286"/>
      <c r="R359" s="272"/>
    </row>
    <row r="360" spans="2:18" x14ac:dyDescent="0.25">
      <c r="B360" s="368"/>
      <c r="C360" s="369"/>
      <c r="D360" s="369"/>
      <c r="E360" s="286"/>
      <c r="F360" s="286"/>
      <c r="G360" s="286"/>
      <c r="H360" s="286"/>
      <c r="I360" s="286"/>
      <c r="J360" s="286"/>
      <c r="K360" s="286"/>
      <c r="L360" s="286"/>
      <c r="M360" s="286"/>
      <c r="N360" s="286"/>
      <c r="O360" s="286"/>
      <c r="P360" s="286"/>
      <c r="Q360" s="286"/>
      <c r="R360" s="272"/>
    </row>
    <row r="361" spans="2:18" x14ac:dyDescent="0.25">
      <c r="B361" s="368"/>
      <c r="C361" s="369"/>
      <c r="D361" s="369"/>
      <c r="E361" s="286"/>
      <c r="F361" s="286"/>
      <c r="G361" s="286"/>
      <c r="H361" s="286"/>
      <c r="I361" s="286"/>
      <c r="J361" s="286"/>
      <c r="K361" s="286"/>
      <c r="L361" s="286"/>
      <c r="M361" s="286"/>
      <c r="N361" s="286"/>
      <c r="O361" s="286"/>
      <c r="P361" s="286"/>
      <c r="Q361" s="286"/>
      <c r="R361" s="272"/>
    </row>
    <row r="362" spans="2:18" x14ac:dyDescent="0.25">
      <c r="B362" s="368"/>
      <c r="C362" s="369"/>
      <c r="D362" s="369"/>
      <c r="E362" s="286"/>
      <c r="F362" s="286"/>
      <c r="G362" s="286"/>
      <c r="H362" s="286"/>
      <c r="I362" s="286"/>
      <c r="J362" s="286"/>
      <c r="K362" s="286"/>
      <c r="L362" s="286"/>
      <c r="M362" s="286"/>
      <c r="N362" s="286"/>
      <c r="O362" s="286"/>
      <c r="P362" s="286"/>
      <c r="Q362" s="286"/>
      <c r="R362" s="272"/>
    </row>
    <row r="363" spans="2:18" x14ac:dyDescent="0.25">
      <c r="B363" s="368"/>
      <c r="C363" s="369"/>
      <c r="D363" s="369"/>
      <c r="E363" s="286"/>
      <c r="F363" s="286"/>
      <c r="G363" s="286"/>
      <c r="H363" s="286"/>
      <c r="I363" s="286"/>
      <c r="J363" s="286"/>
      <c r="K363" s="286"/>
      <c r="L363" s="286"/>
      <c r="M363" s="286"/>
      <c r="N363" s="286"/>
      <c r="O363" s="286"/>
      <c r="P363" s="286"/>
      <c r="Q363" s="286"/>
      <c r="R363" s="272"/>
    </row>
    <row r="364" spans="2:18" x14ac:dyDescent="0.25">
      <c r="B364" s="368"/>
      <c r="C364" s="369"/>
      <c r="D364" s="369"/>
      <c r="E364" s="286"/>
      <c r="F364" s="286"/>
      <c r="G364" s="286"/>
      <c r="H364" s="286"/>
      <c r="I364" s="286"/>
      <c r="J364" s="286"/>
      <c r="K364" s="286"/>
      <c r="L364" s="286"/>
      <c r="M364" s="286"/>
      <c r="N364" s="286"/>
      <c r="O364" s="286"/>
      <c r="P364" s="286"/>
      <c r="Q364" s="286"/>
      <c r="R364" s="272"/>
    </row>
    <row r="365" spans="2:18" x14ac:dyDescent="0.25">
      <c r="B365" s="368"/>
      <c r="C365" s="369"/>
      <c r="D365" s="369"/>
      <c r="E365" s="286"/>
      <c r="F365" s="286"/>
      <c r="G365" s="286"/>
      <c r="H365" s="286"/>
      <c r="I365" s="286"/>
      <c r="J365" s="286"/>
      <c r="K365" s="286"/>
      <c r="L365" s="286"/>
      <c r="M365" s="286"/>
      <c r="N365" s="286"/>
      <c r="O365" s="286"/>
      <c r="P365" s="286"/>
      <c r="Q365" s="286"/>
      <c r="R365" s="272"/>
    </row>
    <row r="366" spans="2:18" x14ac:dyDescent="0.25">
      <c r="B366" s="368"/>
      <c r="C366" s="369"/>
      <c r="D366" s="369"/>
      <c r="E366" s="286"/>
      <c r="F366" s="286"/>
      <c r="G366" s="286"/>
      <c r="H366" s="286"/>
      <c r="I366" s="286"/>
      <c r="J366" s="286"/>
      <c r="K366" s="286"/>
      <c r="L366" s="286"/>
      <c r="M366" s="286"/>
      <c r="N366" s="286"/>
      <c r="O366" s="286"/>
      <c r="P366" s="286"/>
      <c r="Q366" s="286"/>
      <c r="R366" s="272"/>
    </row>
    <row r="367" spans="2:18" x14ac:dyDescent="0.25">
      <c r="B367" s="368"/>
      <c r="C367" s="369"/>
      <c r="D367" s="369"/>
      <c r="E367" s="286"/>
      <c r="F367" s="286"/>
      <c r="G367" s="286"/>
      <c r="H367" s="286"/>
      <c r="I367" s="286"/>
      <c r="J367" s="286"/>
      <c r="K367" s="286"/>
      <c r="L367" s="286"/>
      <c r="M367" s="286"/>
      <c r="N367" s="286"/>
      <c r="O367" s="286"/>
      <c r="P367" s="286"/>
      <c r="Q367" s="286"/>
      <c r="R367" s="272"/>
    </row>
    <row r="368" spans="2:18" x14ac:dyDescent="0.25">
      <c r="B368" s="368"/>
      <c r="C368" s="369"/>
      <c r="D368" s="369"/>
      <c r="E368" s="286"/>
      <c r="F368" s="286"/>
      <c r="G368" s="286"/>
      <c r="H368" s="286"/>
      <c r="I368" s="286"/>
      <c r="J368" s="286"/>
      <c r="K368" s="286"/>
      <c r="L368" s="286"/>
      <c r="M368" s="286"/>
      <c r="N368" s="286"/>
      <c r="O368" s="286"/>
      <c r="P368" s="286"/>
      <c r="Q368" s="286"/>
      <c r="R368" s="272"/>
    </row>
    <row r="369" spans="2:18" x14ac:dyDescent="0.25">
      <c r="B369" s="368"/>
      <c r="C369" s="369"/>
      <c r="D369" s="369"/>
      <c r="E369" s="286"/>
      <c r="F369" s="286"/>
      <c r="G369" s="286"/>
      <c r="H369" s="286"/>
      <c r="I369" s="286"/>
      <c r="J369" s="286"/>
      <c r="K369" s="286"/>
      <c r="L369" s="286"/>
      <c r="M369" s="286"/>
      <c r="N369" s="286"/>
      <c r="O369" s="286"/>
      <c r="P369" s="286"/>
      <c r="Q369" s="286"/>
      <c r="R369" s="272"/>
    </row>
    <row r="370" spans="2:18" x14ac:dyDescent="0.25">
      <c r="B370" s="368"/>
      <c r="C370" s="369"/>
      <c r="D370" s="369"/>
      <c r="E370" s="286"/>
      <c r="F370" s="286"/>
      <c r="G370" s="286"/>
      <c r="H370" s="286"/>
      <c r="I370" s="286"/>
      <c r="J370" s="286"/>
      <c r="K370" s="286"/>
      <c r="L370" s="286"/>
      <c r="M370" s="286"/>
      <c r="N370" s="286"/>
      <c r="O370" s="286"/>
      <c r="P370" s="286"/>
      <c r="Q370" s="286"/>
      <c r="R370" s="272"/>
    </row>
    <row r="371" spans="2:18" x14ac:dyDescent="0.25">
      <c r="B371" s="368"/>
      <c r="C371" s="369"/>
      <c r="D371" s="369"/>
      <c r="E371" s="286"/>
      <c r="F371" s="286"/>
      <c r="G371" s="286"/>
      <c r="H371" s="286"/>
      <c r="I371" s="286"/>
      <c r="J371" s="286"/>
      <c r="K371" s="286"/>
      <c r="L371" s="286"/>
      <c r="M371" s="286"/>
      <c r="N371" s="286"/>
      <c r="O371" s="286"/>
      <c r="P371" s="286"/>
      <c r="Q371" s="286"/>
      <c r="R371" s="272"/>
    </row>
    <row r="372" spans="2:18" x14ac:dyDescent="0.25">
      <c r="B372" s="368"/>
      <c r="C372" s="369"/>
      <c r="D372" s="369"/>
      <c r="E372" s="286"/>
      <c r="F372" s="286"/>
      <c r="G372" s="286"/>
      <c r="H372" s="286"/>
      <c r="I372" s="286"/>
      <c r="J372" s="286"/>
      <c r="K372" s="286"/>
      <c r="L372" s="286"/>
      <c r="M372" s="286"/>
      <c r="N372" s="286"/>
      <c r="O372" s="286"/>
      <c r="P372" s="286"/>
      <c r="Q372" s="286"/>
      <c r="R372" s="272"/>
    </row>
    <row r="373" spans="2:18" x14ac:dyDescent="0.25">
      <c r="B373" s="368"/>
      <c r="C373" s="369"/>
      <c r="D373" s="369"/>
      <c r="E373" s="286"/>
      <c r="F373" s="286"/>
      <c r="G373" s="286"/>
      <c r="H373" s="286"/>
      <c r="I373" s="286"/>
      <c r="J373" s="286"/>
      <c r="K373" s="286"/>
      <c r="L373" s="286"/>
      <c r="M373" s="286"/>
      <c r="N373" s="286"/>
      <c r="O373" s="286"/>
      <c r="P373" s="286"/>
      <c r="Q373" s="286"/>
      <c r="R373" s="272"/>
    </row>
    <row r="374" spans="2:18" x14ac:dyDescent="0.25">
      <c r="B374" s="368"/>
      <c r="C374" s="369"/>
      <c r="D374" s="369"/>
      <c r="E374" s="286"/>
      <c r="F374" s="286"/>
      <c r="G374" s="286"/>
      <c r="H374" s="286"/>
      <c r="I374" s="286"/>
      <c r="J374" s="286"/>
      <c r="K374" s="286"/>
      <c r="L374" s="286"/>
      <c r="M374" s="286"/>
      <c r="N374" s="286"/>
      <c r="O374" s="286"/>
      <c r="P374" s="286"/>
      <c r="Q374" s="286"/>
      <c r="R374" s="272"/>
    </row>
    <row r="375" spans="2:18" x14ac:dyDescent="0.25">
      <c r="B375" s="368"/>
      <c r="C375" s="369"/>
      <c r="D375" s="369"/>
      <c r="E375" s="286"/>
      <c r="F375" s="286"/>
      <c r="G375" s="286"/>
      <c r="H375" s="286"/>
      <c r="I375" s="286"/>
      <c r="J375" s="286"/>
      <c r="K375" s="286"/>
      <c r="L375" s="286"/>
      <c r="M375" s="286"/>
      <c r="N375" s="286"/>
      <c r="O375" s="286"/>
      <c r="P375" s="286"/>
      <c r="Q375" s="286"/>
      <c r="R375" s="272"/>
    </row>
    <row r="376" spans="2:18" x14ac:dyDescent="0.25">
      <c r="B376" s="368"/>
      <c r="C376" s="369"/>
      <c r="D376" s="369"/>
      <c r="E376" s="286"/>
      <c r="F376" s="286"/>
      <c r="G376" s="286"/>
      <c r="H376" s="286"/>
      <c r="I376" s="286"/>
      <c r="J376" s="286"/>
      <c r="K376" s="286"/>
      <c r="L376" s="286"/>
      <c r="M376" s="286"/>
      <c r="N376" s="286"/>
      <c r="O376" s="286"/>
      <c r="P376" s="286"/>
      <c r="Q376" s="286"/>
      <c r="R376" s="272"/>
    </row>
    <row r="377" spans="2:18" x14ac:dyDescent="0.25">
      <c r="B377" s="368"/>
      <c r="C377" s="369"/>
      <c r="D377" s="369"/>
      <c r="E377" s="286"/>
      <c r="F377" s="286"/>
      <c r="G377" s="286"/>
      <c r="H377" s="286"/>
      <c r="I377" s="286"/>
      <c r="J377" s="286"/>
      <c r="K377" s="286"/>
      <c r="L377" s="286"/>
      <c r="M377" s="286"/>
      <c r="N377" s="286"/>
      <c r="O377" s="286"/>
      <c r="P377" s="286"/>
      <c r="Q377" s="286"/>
      <c r="R377" s="272"/>
    </row>
    <row r="378" spans="2:18" x14ac:dyDescent="0.25">
      <c r="B378" s="368"/>
      <c r="C378" s="369"/>
      <c r="D378" s="369"/>
      <c r="E378" s="286"/>
      <c r="F378" s="286"/>
      <c r="G378" s="286"/>
      <c r="H378" s="286"/>
      <c r="I378" s="286"/>
      <c r="J378" s="286"/>
      <c r="K378" s="286"/>
      <c r="L378" s="286"/>
      <c r="M378" s="286"/>
      <c r="N378" s="286"/>
      <c r="O378" s="286"/>
      <c r="P378" s="286"/>
      <c r="Q378" s="286"/>
      <c r="R378" s="272"/>
    </row>
    <row r="379" spans="2:18" x14ac:dyDescent="0.25">
      <c r="B379" s="368"/>
      <c r="C379" s="369"/>
      <c r="D379" s="369"/>
      <c r="E379" s="286"/>
      <c r="F379" s="286"/>
      <c r="G379" s="286"/>
      <c r="H379" s="286"/>
      <c r="I379" s="286"/>
      <c r="J379" s="286"/>
      <c r="K379" s="286"/>
      <c r="L379" s="286"/>
      <c r="M379" s="286"/>
      <c r="N379" s="286"/>
      <c r="O379" s="286"/>
      <c r="P379" s="286"/>
      <c r="Q379" s="286"/>
      <c r="R379" s="272"/>
    </row>
    <row r="380" spans="2:18" x14ac:dyDescent="0.25">
      <c r="B380" s="368"/>
      <c r="C380" s="369"/>
      <c r="D380" s="369"/>
      <c r="E380" s="286"/>
      <c r="F380" s="286"/>
      <c r="G380" s="286"/>
      <c r="H380" s="286"/>
      <c r="I380" s="286"/>
      <c r="J380" s="286"/>
      <c r="K380" s="286"/>
      <c r="L380" s="286"/>
      <c r="M380" s="286"/>
      <c r="N380" s="286"/>
      <c r="O380" s="286"/>
      <c r="P380" s="286"/>
      <c r="Q380" s="286"/>
      <c r="R380" s="272"/>
    </row>
    <row r="381" spans="2:18" x14ac:dyDescent="0.25">
      <c r="B381" s="368"/>
      <c r="C381" s="369"/>
      <c r="D381" s="369"/>
      <c r="E381" s="286"/>
      <c r="F381" s="286"/>
      <c r="G381" s="286"/>
      <c r="H381" s="286"/>
      <c r="I381" s="286"/>
      <c r="J381" s="286"/>
      <c r="K381" s="286"/>
      <c r="L381" s="286"/>
      <c r="M381" s="286"/>
      <c r="N381" s="286"/>
      <c r="O381" s="286"/>
      <c r="P381" s="286"/>
      <c r="Q381" s="286"/>
      <c r="R381" s="272"/>
    </row>
    <row r="382" spans="2:18" x14ac:dyDescent="0.25">
      <c r="B382" s="368"/>
      <c r="C382" s="369"/>
      <c r="D382" s="369"/>
      <c r="E382" s="286"/>
      <c r="F382" s="286"/>
      <c r="G382" s="286"/>
      <c r="H382" s="286"/>
      <c r="I382" s="286"/>
      <c r="J382" s="286"/>
      <c r="K382" s="286"/>
      <c r="L382" s="286"/>
      <c r="M382" s="286"/>
      <c r="N382" s="286"/>
      <c r="O382" s="286"/>
      <c r="P382" s="286"/>
      <c r="Q382" s="286"/>
      <c r="R382" s="272"/>
    </row>
    <row r="383" spans="2:18" x14ac:dyDescent="0.25">
      <c r="B383" s="368"/>
      <c r="C383" s="369"/>
      <c r="D383" s="369"/>
      <c r="E383" s="286"/>
      <c r="F383" s="286"/>
      <c r="G383" s="286"/>
      <c r="H383" s="286"/>
      <c r="I383" s="286"/>
      <c r="J383" s="286"/>
      <c r="K383" s="286"/>
      <c r="L383" s="286"/>
      <c r="M383" s="286"/>
      <c r="N383" s="286"/>
      <c r="O383" s="286"/>
      <c r="P383" s="286"/>
      <c r="Q383" s="286"/>
      <c r="R383" s="272"/>
    </row>
    <row r="384" spans="2:18" x14ac:dyDescent="0.25">
      <c r="B384" s="368"/>
      <c r="C384" s="369"/>
      <c r="D384" s="369"/>
      <c r="E384" s="286"/>
      <c r="F384" s="286"/>
      <c r="G384" s="286"/>
      <c r="H384" s="286"/>
      <c r="I384" s="286"/>
      <c r="J384" s="286"/>
      <c r="K384" s="286"/>
      <c r="L384" s="286"/>
      <c r="M384" s="286"/>
      <c r="N384" s="286"/>
      <c r="O384" s="286"/>
      <c r="P384" s="286"/>
      <c r="Q384" s="286"/>
      <c r="R384" s="272"/>
    </row>
    <row r="385" spans="2:18" x14ac:dyDescent="0.25">
      <c r="B385" s="368"/>
      <c r="C385" s="369"/>
      <c r="D385" s="369"/>
      <c r="E385" s="286"/>
      <c r="F385" s="286"/>
      <c r="G385" s="286"/>
      <c r="H385" s="286"/>
      <c r="I385" s="286"/>
      <c r="J385" s="286"/>
      <c r="K385" s="286"/>
      <c r="L385" s="286"/>
      <c r="M385" s="286"/>
      <c r="N385" s="286"/>
      <c r="O385" s="286"/>
      <c r="P385" s="286"/>
      <c r="Q385" s="286"/>
      <c r="R385" s="272"/>
    </row>
    <row r="386" spans="2:18" x14ac:dyDescent="0.25">
      <c r="B386" s="368"/>
      <c r="C386" s="369"/>
      <c r="D386" s="369"/>
      <c r="E386" s="286"/>
      <c r="F386" s="286"/>
      <c r="G386" s="286"/>
      <c r="H386" s="286"/>
      <c r="I386" s="286"/>
      <c r="J386" s="286"/>
      <c r="K386" s="286"/>
      <c r="L386" s="286"/>
      <c r="M386" s="286"/>
      <c r="N386" s="286"/>
      <c r="O386" s="286"/>
      <c r="P386" s="286"/>
      <c r="Q386" s="286"/>
      <c r="R386" s="272"/>
    </row>
    <row r="387" spans="2:18" x14ac:dyDescent="0.25">
      <c r="B387" s="368"/>
      <c r="C387" s="369"/>
      <c r="D387" s="369"/>
      <c r="E387" s="286"/>
      <c r="F387" s="286"/>
      <c r="G387" s="286"/>
      <c r="H387" s="286"/>
      <c r="I387" s="286"/>
      <c r="J387" s="286"/>
      <c r="K387" s="286"/>
      <c r="L387" s="286"/>
      <c r="M387" s="286"/>
      <c r="N387" s="286"/>
      <c r="O387" s="286"/>
      <c r="P387" s="286"/>
      <c r="Q387" s="286"/>
      <c r="R387" s="272"/>
    </row>
    <row r="388" spans="2:18" x14ac:dyDescent="0.25">
      <c r="B388" s="368"/>
      <c r="C388" s="369"/>
      <c r="D388" s="369"/>
      <c r="E388" s="286"/>
      <c r="F388" s="286"/>
      <c r="G388" s="286"/>
      <c r="H388" s="286"/>
      <c r="I388" s="286"/>
      <c r="J388" s="286"/>
      <c r="K388" s="286"/>
      <c r="L388" s="286"/>
      <c r="M388" s="286"/>
      <c r="N388" s="286"/>
      <c r="O388" s="286"/>
      <c r="P388" s="286"/>
      <c r="Q388" s="286"/>
      <c r="R388" s="272"/>
    </row>
    <row r="389" spans="2:18" x14ac:dyDescent="0.25">
      <c r="B389" s="368"/>
      <c r="C389" s="369"/>
      <c r="D389" s="369"/>
      <c r="E389" s="286"/>
      <c r="F389" s="286"/>
      <c r="G389" s="286"/>
      <c r="H389" s="286"/>
      <c r="I389" s="286"/>
      <c r="J389" s="286"/>
      <c r="K389" s="286"/>
      <c r="L389" s="286"/>
      <c r="M389" s="286"/>
      <c r="N389" s="286"/>
      <c r="O389" s="286"/>
      <c r="P389" s="286"/>
      <c r="Q389" s="286"/>
      <c r="R389" s="272"/>
    </row>
    <row r="390" spans="2:18" x14ac:dyDescent="0.25">
      <c r="B390" s="368"/>
      <c r="C390" s="369"/>
      <c r="D390" s="369"/>
      <c r="E390" s="286"/>
      <c r="F390" s="286"/>
      <c r="G390" s="286"/>
      <c r="H390" s="286"/>
      <c r="I390" s="286"/>
      <c r="J390" s="286"/>
      <c r="K390" s="286"/>
      <c r="L390" s="286"/>
      <c r="M390" s="286"/>
      <c r="N390" s="286"/>
      <c r="O390" s="286"/>
      <c r="P390" s="286"/>
      <c r="Q390" s="286"/>
      <c r="R390" s="272"/>
    </row>
    <row r="391" spans="2:18" x14ac:dyDescent="0.25">
      <c r="B391" s="368"/>
      <c r="C391" s="369"/>
      <c r="D391" s="369"/>
      <c r="E391" s="286"/>
      <c r="F391" s="286"/>
      <c r="G391" s="286"/>
      <c r="H391" s="286"/>
      <c r="I391" s="286"/>
      <c r="J391" s="286"/>
      <c r="K391" s="286"/>
      <c r="L391" s="286"/>
      <c r="M391" s="286"/>
      <c r="N391" s="286"/>
      <c r="O391" s="286"/>
      <c r="P391" s="286"/>
      <c r="Q391" s="286"/>
      <c r="R391" s="272"/>
    </row>
    <row r="392" spans="2:18" x14ac:dyDescent="0.25">
      <c r="B392" s="368"/>
      <c r="C392" s="369"/>
      <c r="D392" s="369"/>
      <c r="E392" s="286"/>
      <c r="F392" s="286"/>
      <c r="G392" s="286"/>
      <c r="H392" s="286"/>
      <c r="I392" s="286"/>
      <c r="J392" s="286"/>
      <c r="K392" s="286"/>
      <c r="L392" s="286"/>
      <c r="M392" s="286"/>
      <c r="N392" s="286"/>
      <c r="O392" s="286"/>
      <c r="P392" s="286"/>
      <c r="Q392" s="286"/>
      <c r="R392" s="272"/>
    </row>
    <row r="393" spans="2:18" x14ac:dyDescent="0.25">
      <c r="B393" s="368"/>
      <c r="C393" s="369"/>
      <c r="D393" s="369"/>
      <c r="E393" s="286"/>
      <c r="F393" s="286"/>
      <c r="G393" s="286"/>
      <c r="H393" s="286"/>
      <c r="I393" s="286"/>
      <c r="J393" s="286"/>
      <c r="K393" s="286"/>
      <c r="L393" s="286"/>
      <c r="M393" s="286"/>
      <c r="N393" s="286"/>
      <c r="O393" s="286"/>
      <c r="P393" s="286"/>
      <c r="Q393" s="286"/>
      <c r="R393" s="272"/>
    </row>
    <row r="394" spans="2:18" x14ac:dyDescent="0.25">
      <c r="B394" s="368"/>
      <c r="C394" s="369"/>
      <c r="D394" s="369"/>
      <c r="E394" s="286"/>
      <c r="F394" s="286"/>
      <c r="G394" s="286"/>
      <c r="H394" s="286"/>
      <c r="I394" s="286"/>
      <c r="J394" s="286"/>
      <c r="K394" s="286"/>
      <c r="L394" s="286"/>
      <c r="M394" s="286"/>
      <c r="N394" s="286"/>
      <c r="O394" s="286"/>
      <c r="P394" s="286"/>
      <c r="Q394" s="286"/>
      <c r="R394" s="272"/>
    </row>
    <row r="395" spans="2:18" x14ac:dyDescent="0.25">
      <c r="B395" s="368"/>
      <c r="C395" s="369"/>
      <c r="D395" s="369"/>
      <c r="E395" s="286"/>
      <c r="F395" s="286"/>
      <c r="G395" s="286"/>
      <c r="H395" s="286"/>
      <c r="I395" s="286"/>
      <c r="J395" s="286"/>
      <c r="K395" s="286"/>
      <c r="L395" s="286"/>
      <c r="M395" s="286"/>
      <c r="N395" s="286"/>
      <c r="O395" s="286"/>
      <c r="P395" s="286"/>
      <c r="Q395" s="286"/>
      <c r="R395" s="272"/>
    </row>
    <row r="396" spans="2:18" x14ac:dyDescent="0.25">
      <c r="B396" s="368"/>
      <c r="C396" s="369"/>
      <c r="D396" s="369"/>
      <c r="E396" s="286"/>
      <c r="F396" s="286"/>
      <c r="G396" s="286"/>
      <c r="H396" s="286"/>
      <c r="I396" s="286"/>
      <c r="J396" s="286"/>
      <c r="K396" s="286"/>
      <c r="L396" s="286"/>
      <c r="M396" s="286"/>
      <c r="N396" s="286"/>
      <c r="O396" s="286"/>
      <c r="P396" s="286"/>
      <c r="Q396" s="286"/>
      <c r="R396" s="272"/>
    </row>
    <row r="397" spans="2:18" x14ac:dyDescent="0.25">
      <c r="B397" s="368"/>
      <c r="C397" s="369"/>
      <c r="D397" s="369"/>
      <c r="E397" s="286"/>
      <c r="F397" s="286"/>
      <c r="G397" s="286"/>
      <c r="H397" s="286"/>
      <c r="I397" s="286"/>
      <c r="J397" s="286"/>
      <c r="K397" s="286"/>
      <c r="L397" s="286"/>
      <c r="M397" s="286"/>
      <c r="N397" s="286"/>
      <c r="O397" s="286"/>
      <c r="P397" s="286"/>
      <c r="Q397" s="286"/>
      <c r="R397" s="272"/>
    </row>
    <row r="398" spans="2:18" x14ac:dyDescent="0.25">
      <c r="B398" s="368"/>
      <c r="C398" s="369"/>
      <c r="D398" s="369"/>
      <c r="E398" s="286"/>
      <c r="F398" s="286"/>
      <c r="G398" s="286"/>
      <c r="H398" s="286"/>
      <c r="I398" s="286"/>
      <c r="J398" s="286"/>
      <c r="K398" s="286"/>
      <c r="L398" s="286"/>
      <c r="M398" s="286"/>
      <c r="N398" s="286"/>
      <c r="O398" s="286"/>
      <c r="P398" s="286"/>
      <c r="Q398" s="286"/>
      <c r="R398" s="272"/>
    </row>
    <row r="399" spans="2:18" x14ac:dyDescent="0.25">
      <c r="B399" s="368"/>
      <c r="C399" s="369"/>
      <c r="D399" s="369"/>
      <c r="E399" s="286"/>
      <c r="F399" s="286"/>
      <c r="G399" s="286"/>
      <c r="H399" s="286"/>
      <c r="I399" s="286"/>
      <c r="J399" s="286"/>
      <c r="K399" s="286"/>
      <c r="L399" s="286"/>
      <c r="M399" s="286"/>
      <c r="N399" s="286"/>
      <c r="O399" s="286"/>
      <c r="P399" s="286"/>
      <c r="Q399" s="286"/>
      <c r="R399" s="272"/>
    </row>
    <row r="400" spans="2:18" x14ac:dyDescent="0.25">
      <c r="B400" s="368"/>
      <c r="C400" s="369"/>
      <c r="D400" s="369"/>
      <c r="E400" s="286"/>
      <c r="F400" s="286"/>
      <c r="G400" s="286"/>
      <c r="H400" s="286"/>
      <c r="I400" s="286"/>
      <c r="J400" s="286"/>
      <c r="K400" s="286"/>
      <c r="L400" s="286"/>
      <c r="M400" s="286"/>
      <c r="N400" s="286"/>
      <c r="O400" s="286"/>
      <c r="P400" s="286"/>
      <c r="Q400" s="286"/>
      <c r="R400" s="272"/>
    </row>
    <row r="401" spans="2:18" x14ac:dyDescent="0.25">
      <c r="B401" s="368"/>
      <c r="C401" s="369"/>
      <c r="D401" s="369"/>
      <c r="E401" s="286"/>
      <c r="F401" s="286"/>
      <c r="G401" s="286"/>
      <c r="H401" s="286"/>
      <c r="I401" s="286"/>
      <c r="J401" s="286"/>
      <c r="K401" s="286"/>
      <c r="L401" s="286"/>
      <c r="M401" s="286"/>
      <c r="N401" s="286"/>
      <c r="O401" s="286"/>
      <c r="P401" s="286"/>
      <c r="Q401" s="286"/>
      <c r="R401" s="272"/>
    </row>
    <row r="402" spans="2:18" x14ac:dyDescent="0.25">
      <c r="B402" s="368"/>
      <c r="C402" s="369"/>
      <c r="D402" s="369"/>
      <c r="E402" s="286"/>
      <c r="F402" s="286"/>
      <c r="G402" s="286"/>
      <c r="H402" s="286"/>
      <c r="I402" s="286"/>
      <c r="J402" s="286"/>
      <c r="K402" s="286"/>
      <c r="L402" s="286"/>
      <c r="M402" s="286"/>
      <c r="N402" s="286"/>
      <c r="O402" s="286"/>
      <c r="P402" s="286"/>
      <c r="Q402" s="286"/>
      <c r="R402" s="272"/>
    </row>
    <row r="403" spans="2:18" x14ac:dyDescent="0.25">
      <c r="B403" s="368"/>
      <c r="C403" s="369"/>
      <c r="D403" s="369"/>
      <c r="E403" s="286"/>
      <c r="F403" s="286"/>
      <c r="G403" s="286"/>
      <c r="H403" s="286"/>
      <c r="I403" s="286"/>
      <c r="J403" s="286"/>
      <c r="K403" s="286"/>
      <c r="L403" s="286"/>
      <c r="M403" s="286"/>
      <c r="N403" s="286"/>
      <c r="O403" s="286"/>
      <c r="P403" s="286"/>
      <c r="Q403" s="286"/>
      <c r="R403" s="272"/>
    </row>
    <row r="404" spans="2:18" x14ac:dyDescent="0.25">
      <c r="B404" s="368"/>
      <c r="C404" s="369"/>
      <c r="D404" s="369"/>
      <c r="E404" s="286"/>
      <c r="F404" s="286"/>
      <c r="G404" s="286"/>
      <c r="H404" s="286"/>
      <c r="I404" s="286"/>
      <c r="J404" s="286"/>
      <c r="K404" s="286"/>
      <c r="L404" s="286"/>
      <c r="M404" s="286"/>
      <c r="N404" s="286"/>
      <c r="O404" s="286"/>
      <c r="P404" s="286"/>
      <c r="Q404" s="286"/>
      <c r="R404" s="272"/>
    </row>
    <row r="405" spans="2:18" x14ac:dyDescent="0.25">
      <c r="B405" s="368"/>
      <c r="C405" s="369"/>
      <c r="D405" s="369"/>
      <c r="E405" s="286"/>
      <c r="F405" s="286"/>
      <c r="G405" s="286"/>
      <c r="H405" s="286"/>
      <c r="I405" s="286"/>
      <c r="J405" s="286"/>
      <c r="K405" s="286"/>
      <c r="L405" s="286"/>
      <c r="M405" s="286"/>
      <c r="N405" s="286"/>
      <c r="O405" s="286"/>
      <c r="P405" s="286"/>
      <c r="Q405" s="286"/>
      <c r="R405" s="272"/>
    </row>
    <row r="406" spans="2:18" x14ac:dyDescent="0.25">
      <c r="B406" s="368"/>
      <c r="C406" s="369"/>
      <c r="D406" s="369"/>
      <c r="E406" s="286"/>
      <c r="F406" s="286"/>
      <c r="G406" s="286"/>
      <c r="H406" s="286"/>
      <c r="I406" s="286"/>
      <c r="J406" s="286"/>
      <c r="K406" s="286"/>
      <c r="L406" s="286"/>
      <c r="M406" s="286"/>
      <c r="N406" s="286"/>
      <c r="O406" s="286"/>
      <c r="P406" s="286"/>
      <c r="Q406" s="286"/>
      <c r="R406" s="272"/>
    </row>
    <row r="407" spans="2:18" x14ac:dyDescent="0.25">
      <c r="B407" s="368"/>
      <c r="C407" s="369"/>
      <c r="D407" s="369"/>
      <c r="E407" s="286"/>
      <c r="F407" s="286"/>
      <c r="G407" s="286"/>
      <c r="H407" s="286"/>
      <c r="I407" s="286"/>
      <c r="J407" s="286"/>
      <c r="K407" s="286"/>
      <c r="L407" s="286"/>
      <c r="M407" s="286"/>
      <c r="N407" s="286"/>
      <c r="O407" s="286"/>
      <c r="P407" s="286"/>
      <c r="Q407" s="286"/>
      <c r="R407" s="272"/>
    </row>
    <row r="408" spans="2:18" x14ac:dyDescent="0.25">
      <c r="B408" s="368"/>
      <c r="C408" s="369"/>
      <c r="D408" s="369"/>
      <c r="E408" s="286"/>
      <c r="F408" s="286"/>
      <c r="G408" s="286"/>
      <c r="H408" s="286"/>
      <c r="I408" s="286"/>
      <c r="J408" s="286"/>
      <c r="K408" s="286"/>
      <c r="L408" s="286"/>
      <c r="M408" s="286"/>
      <c r="N408" s="286"/>
      <c r="O408" s="286"/>
      <c r="P408" s="286"/>
      <c r="Q408" s="286"/>
      <c r="R408" s="272"/>
    </row>
    <row r="409" spans="2:18" x14ac:dyDescent="0.25">
      <c r="B409" s="368"/>
      <c r="C409" s="369"/>
      <c r="D409" s="369"/>
      <c r="E409" s="286"/>
      <c r="F409" s="286"/>
      <c r="G409" s="286"/>
      <c r="H409" s="286"/>
      <c r="I409" s="286"/>
      <c r="J409" s="286"/>
      <c r="K409" s="286"/>
      <c r="L409" s="286"/>
      <c r="M409" s="286"/>
      <c r="N409" s="286"/>
      <c r="O409" s="286"/>
      <c r="P409" s="286"/>
      <c r="Q409" s="286"/>
      <c r="R409" s="272"/>
    </row>
    <row r="410" spans="2:18" x14ac:dyDescent="0.25">
      <c r="B410" s="368"/>
      <c r="C410" s="369"/>
      <c r="D410" s="369"/>
      <c r="E410" s="286"/>
      <c r="F410" s="286"/>
      <c r="G410" s="286"/>
      <c r="H410" s="286"/>
      <c r="I410" s="286"/>
      <c r="J410" s="286"/>
      <c r="K410" s="286"/>
      <c r="L410" s="286"/>
      <c r="M410" s="286"/>
      <c r="N410" s="286"/>
      <c r="O410" s="286"/>
      <c r="P410" s="286"/>
      <c r="Q410" s="286"/>
      <c r="R410" s="272"/>
    </row>
  </sheetData>
  <mergeCells count="4">
    <mergeCell ref="F2:H2"/>
    <mergeCell ref="J2:K2"/>
    <mergeCell ref="F3:H3"/>
    <mergeCell ref="J3:K3"/>
  </mergeCells>
  <conditionalFormatting sqref="F3:H3">
    <cfRule type="cellIs" dxfId="11" priority="17" operator="equal">
      <formula>"ERROR"</formula>
    </cfRule>
    <cfRule type="cellIs" dxfId="10" priority="18" operator="equal">
      <formula>"GOOD"</formula>
    </cfRule>
  </conditionalFormatting>
  <conditionalFormatting sqref="J3:K3">
    <cfRule type="cellIs" dxfId="9" priority="15" operator="equal">
      <formula>"ERROR"</formula>
    </cfRule>
    <cfRule type="cellIs" dxfId="8" priority="16" operator="equal">
      <formula>"GOOD"</formula>
    </cfRule>
  </conditionalFormatting>
  <pageMargins left="0.7" right="0.7" top="0.75" bottom="0.75" header="0.3" footer="0.3"/>
  <pageSetup scale="66" orientation="landscape" horizontalDpi="300" verticalDpi="300" r:id="rId1"/>
  <headerFooter>
    <oddHeader>&amp;RNWN's Advice 19-06A
Exhibit A - Supporting Materials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0"/>
  <sheetViews>
    <sheetView showGridLines="0" view="pageLayout" topLeftCell="E1" zoomScaleNormal="100" workbookViewId="0">
      <selection activeCell="F52" sqref="F52"/>
    </sheetView>
  </sheetViews>
  <sheetFormatPr defaultColWidth="8.88671875" defaultRowHeight="13.2" outlineLevelRow="1" x14ac:dyDescent="0.25"/>
  <cols>
    <col min="1" max="1" width="5.88671875" style="102" customWidth="1"/>
    <col min="2" max="2" width="29.6640625" style="408" customWidth="1"/>
    <col min="3" max="3" width="25.33203125" style="102" customWidth="1"/>
    <col min="4" max="16" width="15.33203125" style="102" customWidth="1"/>
    <col min="17" max="17" width="4.88671875" style="102" customWidth="1"/>
    <col min="18" max="18" width="13.5546875" style="41" customWidth="1"/>
    <col min="19" max="19" width="16.109375" style="102" customWidth="1"/>
    <col min="20" max="20" width="14.6640625" style="102" customWidth="1"/>
    <col min="21" max="39" width="12.6640625" style="102" customWidth="1"/>
    <col min="40" max="16384" width="8.88671875" style="102"/>
  </cols>
  <sheetData>
    <row r="1" spans="1:24" ht="13.8" x14ac:dyDescent="0.25">
      <c r="A1" s="407" t="s">
        <v>0</v>
      </c>
      <c r="D1" s="409"/>
      <c r="F1" s="410"/>
    </row>
    <row r="2" spans="1:24" ht="13.8" x14ac:dyDescent="0.25">
      <c r="A2" s="407" t="s">
        <v>205</v>
      </c>
      <c r="D2" s="409"/>
      <c r="F2" s="497"/>
      <c r="G2" s="497"/>
      <c r="H2" s="497"/>
      <c r="J2" s="497"/>
      <c r="K2" s="497"/>
    </row>
    <row r="3" spans="1:24" ht="13.8" x14ac:dyDescent="0.25">
      <c r="A3" s="407" t="s">
        <v>206</v>
      </c>
      <c r="D3" s="409"/>
      <c r="F3" s="498"/>
      <c r="G3" s="499"/>
      <c r="H3" s="499"/>
      <c r="J3" s="498"/>
      <c r="K3" s="499"/>
    </row>
    <row r="4" spans="1:24" x14ac:dyDescent="0.25">
      <c r="A4" s="411" t="s">
        <v>207</v>
      </c>
    </row>
    <row r="5" spans="1:24" ht="13.8" thickBot="1" x14ac:dyDescent="0.3"/>
    <row r="6" spans="1:24" ht="13.8" thickBot="1" x14ac:dyDescent="0.3">
      <c r="A6" s="74" t="s">
        <v>250</v>
      </c>
      <c r="B6" s="412"/>
      <c r="C6" s="413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44"/>
      <c r="Q6" s="379"/>
      <c r="R6" s="379"/>
    </row>
    <row r="7" spans="1:24" x14ac:dyDescent="0.25">
      <c r="A7" s="78"/>
      <c r="D7" s="39" t="s">
        <v>216</v>
      </c>
      <c r="E7" s="39" t="s">
        <v>217</v>
      </c>
      <c r="F7" s="39" t="s">
        <v>218</v>
      </c>
      <c r="G7" s="39" t="s">
        <v>219</v>
      </c>
      <c r="H7" s="39" t="s">
        <v>220</v>
      </c>
      <c r="I7" s="39" t="s">
        <v>221</v>
      </c>
      <c r="J7" s="39" t="s">
        <v>222</v>
      </c>
      <c r="K7" s="39" t="s">
        <v>223</v>
      </c>
      <c r="L7" s="39" t="s">
        <v>224</v>
      </c>
      <c r="M7" s="39" t="s">
        <v>225</v>
      </c>
      <c r="N7" s="39" t="s">
        <v>226</v>
      </c>
      <c r="O7" s="39" t="s">
        <v>227</v>
      </c>
      <c r="P7" s="438" t="s">
        <v>201</v>
      </c>
      <c r="Q7" s="379"/>
      <c r="R7" s="358"/>
      <c r="T7" s="350"/>
    </row>
    <row r="8" spans="1:24" hidden="1" outlineLevel="1" x14ac:dyDescent="0.25">
      <c r="A8" s="100">
        <v>30</v>
      </c>
      <c r="B8" s="414" t="s">
        <v>251</v>
      </c>
      <c r="D8" s="359"/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44"/>
      <c r="Q8" s="379"/>
      <c r="R8" s="380"/>
    </row>
    <row r="9" spans="1:24" hidden="1" outlineLevel="1" x14ac:dyDescent="0.25">
      <c r="A9" s="100">
        <v>31</v>
      </c>
      <c r="B9" s="408" t="s">
        <v>252</v>
      </c>
      <c r="D9" s="326">
        <v>0</v>
      </c>
      <c r="E9" s="326">
        <v>0</v>
      </c>
      <c r="F9" s="326">
        <v>0</v>
      </c>
      <c r="G9" s="326">
        <v>0</v>
      </c>
      <c r="H9" s="326">
        <v>0</v>
      </c>
      <c r="I9" s="326">
        <v>0</v>
      </c>
      <c r="J9" s="326">
        <v>0</v>
      </c>
      <c r="K9" s="326">
        <v>0</v>
      </c>
      <c r="L9" s="326">
        <v>0</v>
      </c>
      <c r="M9" s="326">
        <v>0</v>
      </c>
      <c r="N9" s="326">
        <v>0</v>
      </c>
      <c r="O9" s="326">
        <v>0</v>
      </c>
      <c r="P9" s="415">
        <v>0</v>
      </c>
      <c r="Q9" s="379"/>
      <c r="R9" s="405"/>
    </row>
    <row r="10" spans="1:24" hidden="1" outlineLevel="1" x14ac:dyDescent="0.25">
      <c r="A10" s="100">
        <v>32</v>
      </c>
      <c r="B10" s="362" t="s">
        <v>253</v>
      </c>
      <c r="C10" s="362"/>
      <c r="D10" s="326">
        <v>0</v>
      </c>
      <c r="E10" s="326">
        <v>0</v>
      </c>
      <c r="F10" s="326">
        <v>0</v>
      </c>
      <c r="G10" s="326">
        <v>0</v>
      </c>
      <c r="H10" s="326">
        <v>0</v>
      </c>
      <c r="I10" s="326">
        <v>0</v>
      </c>
      <c r="J10" s="326">
        <v>0</v>
      </c>
      <c r="K10" s="326">
        <v>0</v>
      </c>
      <c r="L10" s="326">
        <v>0</v>
      </c>
      <c r="M10" s="326">
        <v>0</v>
      </c>
      <c r="N10" s="326">
        <v>0</v>
      </c>
      <c r="O10" s="326">
        <v>0</v>
      </c>
      <c r="P10" s="344">
        <v>0</v>
      </c>
      <c r="Q10" s="379"/>
      <c r="R10" s="405"/>
    </row>
    <row r="11" spans="1:24" hidden="1" outlineLevel="1" x14ac:dyDescent="0.25">
      <c r="A11" s="100">
        <v>33</v>
      </c>
      <c r="B11" s="362"/>
      <c r="C11" s="362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44"/>
      <c r="Q11" s="379"/>
      <c r="R11" s="379"/>
      <c r="T11" s="381"/>
      <c r="U11" s="381"/>
    </row>
    <row r="12" spans="1:24" ht="14.4" collapsed="1" x14ac:dyDescent="0.3">
      <c r="A12" s="100">
        <v>34</v>
      </c>
      <c r="B12" s="414" t="s">
        <v>254</v>
      </c>
      <c r="C12" s="362"/>
      <c r="D12" s="359"/>
      <c r="E12" s="359"/>
      <c r="F12" s="359"/>
      <c r="G12" s="359"/>
      <c r="H12" s="359"/>
      <c r="I12" s="359"/>
      <c r="J12" s="359"/>
      <c r="K12" s="359"/>
      <c r="L12" s="359"/>
      <c r="M12" s="359"/>
      <c r="N12" s="359"/>
      <c r="O12" s="359"/>
      <c r="P12" s="344"/>
      <c r="Q12" s="379"/>
      <c r="R12" s="379"/>
      <c r="S12" s="381"/>
      <c r="T12" s="381"/>
      <c r="U12" s="381"/>
      <c r="W12" s="416"/>
      <c r="X12" s="417"/>
    </row>
    <row r="13" spans="1:24" ht="14.4" x14ac:dyDescent="0.3">
      <c r="A13" s="100">
        <v>35</v>
      </c>
      <c r="B13" s="362" t="s">
        <v>68</v>
      </c>
      <c r="C13" s="362"/>
      <c r="D13" s="377">
        <v>9372644</v>
      </c>
      <c r="E13" s="377">
        <v>12977347</v>
      </c>
      <c r="F13" s="377">
        <v>12962729.286841881</v>
      </c>
      <c r="G13" s="377">
        <v>11080010.242956392</v>
      </c>
      <c r="H13" s="377">
        <v>9407051.750567412</v>
      </c>
      <c r="I13" s="377">
        <v>6653156.4668065999</v>
      </c>
      <c r="J13" s="377">
        <v>4127597.5397602245</v>
      </c>
      <c r="K13" s="377">
        <v>2888399.3558631963</v>
      </c>
      <c r="L13" s="377">
        <v>2443720.8616558984</v>
      </c>
      <c r="M13" s="377">
        <v>2457422.4825594132</v>
      </c>
      <c r="N13" s="377">
        <v>2622076.6768130041</v>
      </c>
      <c r="O13" s="377">
        <v>5312185</v>
      </c>
      <c r="P13" s="418">
        <v>82304340.663824022</v>
      </c>
      <c r="Q13" s="379"/>
      <c r="R13" s="379"/>
      <c r="S13" s="381"/>
      <c r="T13" s="381"/>
      <c r="U13" s="381"/>
      <c r="W13" s="416"/>
      <c r="X13" s="417"/>
    </row>
    <row r="14" spans="1:24" ht="14.4" x14ac:dyDescent="0.3">
      <c r="A14" s="100">
        <v>36</v>
      </c>
      <c r="B14" s="419" t="s">
        <v>255</v>
      </c>
      <c r="C14" s="419"/>
      <c r="D14" s="420">
        <v>9372644</v>
      </c>
      <c r="E14" s="420">
        <v>12977347</v>
      </c>
      <c r="F14" s="420">
        <v>12962729.286841881</v>
      </c>
      <c r="G14" s="420">
        <v>11080010.242956392</v>
      </c>
      <c r="H14" s="420">
        <v>9407051.750567412</v>
      </c>
      <c r="I14" s="420">
        <v>6653156.4668065999</v>
      </c>
      <c r="J14" s="420">
        <v>4127597.5397602245</v>
      </c>
      <c r="K14" s="420">
        <v>2888399.3558631963</v>
      </c>
      <c r="L14" s="420">
        <v>2443720.8616558984</v>
      </c>
      <c r="M14" s="420">
        <v>2457422.4825594132</v>
      </c>
      <c r="N14" s="420">
        <v>2622076.6768130041</v>
      </c>
      <c r="O14" s="420">
        <v>5312185</v>
      </c>
      <c r="P14" s="421">
        <v>82304341</v>
      </c>
      <c r="Q14" s="379"/>
      <c r="S14" s="381"/>
      <c r="T14" s="381"/>
      <c r="U14" s="381"/>
      <c r="W14" s="416"/>
      <c r="X14" s="417"/>
    </row>
    <row r="15" spans="1:24" ht="14.4" x14ac:dyDescent="0.3">
      <c r="A15" s="100">
        <v>37</v>
      </c>
      <c r="B15" s="362"/>
      <c r="C15" s="362"/>
      <c r="D15" s="359"/>
      <c r="E15" s="359"/>
      <c r="F15" s="359"/>
      <c r="G15" s="359"/>
      <c r="H15" s="359"/>
      <c r="I15" s="359"/>
      <c r="J15" s="359"/>
      <c r="K15" s="359"/>
      <c r="L15" s="359"/>
      <c r="M15" s="359"/>
      <c r="N15" s="359"/>
      <c r="O15" s="359"/>
      <c r="P15" s="418"/>
      <c r="Q15" s="379"/>
      <c r="R15" s="379"/>
      <c r="S15" s="381"/>
      <c r="T15" s="381"/>
      <c r="U15" s="381"/>
      <c r="W15" s="416"/>
      <c r="X15" s="417"/>
    </row>
    <row r="16" spans="1:24" x14ac:dyDescent="0.25">
      <c r="A16" s="100">
        <v>38</v>
      </c>
      <c r="B16" s="422" t="s">
        <v>256</v>
      </c>
      <c r="C16" s="423"/>
      <c r="D16" s="401"/>
      <c r="E16" s="401"/>
      <c r="F16" s="401"/>
      <c r="G16" s="401"/>
      <c r="H16" s="401"/>
      <c r="I16" s="401"/>
      <c r="J16" s="401"/>
      <c r="K16" s="401"/>
      <c r="L16" s="401"/>
      <c r="M16" s="401"/>
      <c r="N16" s="401"/>
      <c r="O16" s="401"/>
      <c r="P16" s="397"/>
      <c r="Q16" s="379"/>
      <c r="R16" s="379"/>
    </row>
    <row r="17" spans="1:19" x14ac:dyDescent="0.25">
      <c r="A17" s="100">
        <v>39</v>
      </c>
      <c r="B17" s="402"/>
      <c r="C17" s="424"/>
      <c r="D17" s="401"/>
      <c r="E17" s="401"/>
      <c r="F17" s="401"/>
      <c r="G17" s="401"/>
      <c r="H17" s="401"/>
      <c r="I17" s="401"/>
      <c r="J17" s="401"/>
      <c r="K17" s="401"/>
      <c r="L17" s="401"/>
      <c r="M17" s="401"/>
      <c r="N17" s="401"/>
      <c r="O17" s="401"/>
      <c r="P17" s="397"/>
      <c r="Q17" s="379"/>
      <c r="R17" s="379"/>
    </row>
    <row r="18" spans="1:19" x14ac:dyDescent="0.25">
      <c r="A18" s="100">
        <v>40</v>
      </c>
      <c r="B18" s="102" t="s">
        <v>257</v>
      </c>
      <c r="C18" s="424"/>
      <c r="D18" s="326">
        <v>1830422.3174249092</v>
      </c>
      <c r="E18" s="326">
        <v>2908661.9710040316</v>
      </c>
      <c r="F18" s="326">
        <v>3034490.4221617323</v>
      </c>
      <c r="G18" s="326">
        <v>2486954.1762202326</v>
      </c>
      <c r="H18" s="326">
        <v>1782827.2113750791</v>
      </c>
      <c r="I18" s="326">
        <v>887827.37274451181</v>
      </c>
      <c r="J18" s="326">
        <v>546235.59440412815</v>
      </c>
      <c r="K18" s="326">
        <v>419665.98284751165</v>
      </c>
      <c r="L18" s="326">
        <v>428090.86822929489</v>
      </c>
      <c r="M18" s="326">
        <v>434177.27005262818</v>
      </c>
      <c r="N18" s="326">
        <v>428750.70115751168</v>
      </c>
      <c r="O18" s="326">
        <v>817678.48006036144</v>
      </c>
      <c r="P18" s="415">
        <v>16005782.367681934</v>
      </c>
      <c r="Q18" s="379"/>
      <c r="R18" s="379"/>
    </row>
    <row r="19" spans="1:19" x14ac:dyDescent="0.25">
      <c r="A19" s="100">
        <v>41</v>
      </c>
      <c r="B19" s="425" t="s">
        <v>258</v>
      </c>
      <c r="C19" s="426"/>
      <c r="D19" s="427">
        <v>1830422.3174249092</v>
      </c>
      <c r="E19" s="427">
        <v>2908661.9710040316</v>
      </c>
      <c r="F19" s="427">
        <v>3034490.4221617323</v>
      </c>
      <c r="G19" s="427">
        <v>2486954.1762202326</v>
      </c>
      <c r="H19" s="427">
        <v>1782827.2113750791</v>
      </c>
      <c r="I19" s="427">
        <v>887827.37274451181</v>
      </c>
      <c r="J19" s="427">
        <v>546235.59440412815</v>
      </c>
      <c r="K19" s="427">
        <v>419665.98284751165</v>
      </c>
      <c r="L19" s="427">
        <v>428090.86822929489</v>
      </c>
      <c r="M19" s="427">
        <v>434177.27005262818</v>
      </c>
      <c r="N19" s="427">
        <v>428750.70115751168</v>
      </c>
      <c r="O19" s="427">
        <v>817678.48006036144</v>
      </c>
      <c r="P19" s="428">
        <v>16005782.367681934</v>
      </c>
      <c r="Q19" s="379"/>
      <c r="R19" s="379"/>
    </row>
    <row r="20" spans="1:19" x14ac:dyDescent="0.25">
      <c r="A20" s="100">
        <v>42</v>
      </c>
      <c r="B20" s="362"/>
      <c r="C20" s="362"/>
      <c r="D20" s="359"/>
      <c r="E20" s="359"/>
      <c r="F20" s="359"/>
      <c r="G20" s="359"/>
      <c r="H20" s="359"/>
      <c r="I20" s="359"/>
      <c r="J20" s="359"/>
      <c r="K20" s="359"/>
      <c r="L20" s="359"/>
      <c r="M20" s="359"/>
      <c r="N20" s="359"/>
      <c r="O20" s="359"/>
      <c r="P20" s="390"/>
      <c r="Q20" s="379"/>
      <c r="R20" s="379"/>
    </row>
    <row r="21" spans="1:19" ht="14.4" x14ac:dyDescent="0.3">
      <c r="A21" s="100">
        <v>43</v>
      </c>
      <c r="B21" s="402" t="s">
        <v>259</v>
      </c>
      <c r="C21" s="406"/>
      <c r="D21" s="401">
        <v>0.19528999999999999</v>
      </c>
      <c r="E21" s="401">
        <v>0.22413</v>
      </c>
      <c r="F21" s="401">
        <v>0.23408999999999999</v>
      </c>
      <c r="G21" s="401">
        <v>0.22445000000000001</v>
      </c>
      <c r="H21" s="401">
        <v>0.18951999999999999</v>
      </c>
      <c r="I21" s="401">
        <v>0.13344</v>
      </c>
      <c r="J21" s="401">
        <v>0.13234000000000001</v>
      </c>
      <c r="K21" s="401">
        <v>0.14529</v>
      </c>
      <c r="L21" s="401">
        <v>0.17518</v>
      </c>
      <c r="M21" s="401">
        <v>0.17668</v>
      </c>
      <c r="N21" s="401">
        <v>0.16352</v>
      </c>
      <c r="O21" s="401">
        <v>0.15393000000000001</v>
      </c>
      <c r="P21" s="397">
        <v>0.19447</v>
      </c>
      <c r="Q21" s="289"/>
      <c r="R21" s="382"/>
    </row>
    <row r="22" spans="1:19" ht="14.4" x14ac:dyDescent="0.3">
      <c r="A22" s="100">
        <v>44</v>
      </c>
      <c r="B22" s="402"/>
      <c r="C22" s="406"/>
      <c r="D22" s="401"/>
      <c r="E22" s="401"/>
      <c r="F22" s="401"/>
      <c r="G22" s="401"/>
      <c r="H22" s="401"/>
      <c r="I22" s="401"/>
      <c r="J22" s="401"/>
      <c r="K22" s="401"/>
      <c r="L22" s="401"/>
      <c r="M22" s="401"/>
      <c r="N22" s="401"/>
      <c r="O22" s="401"/>
      <c r="P22" s="397"/>
      <c r="Q22" s="289"/>
      <c r="R22" s="382"/>
    </row>
    <row r="23" spans="1:19" ht="15" thickBot="1" x14ac:dyDescent="0.35">
      <c r="A23" s="100">
        <v>45</v>
      </c>
      <c r="B23" s="429" t="s">
        <v>260</v>
      </c>
      <c r="C23" s="430"/>
      <c r="D23" s="431">
        <v>0.20376</v>
      </c>
      <c r="E23" s="431">
        <v>0.23385</v>
      </c>
      <c r="F23" s="431">
        <v>0.24424999999999999</v>
      </c>
      <c r="G23" s="431">
        <v>0.23419000000000001</v>
      </c>
      <c r="H23" s="431">
        <v>0.19774</v>
      </c>
      <c r="I23" s="431">
        <v>0.13922999999999999</v>
      </c>
      <c r="J23" s="431">
        <v>0.13808000000000001</v>
      </c>
      <c r="K23" s="431">
        <v>0.15159</v>
      </c>
      <c r="L23" s="431">
        <v>0.18278</v>
      </c>
      <c r="M23" s="431">
        <v>0.18435000000000001</v>
      </c>
      <c r="N23" s="431">
        <v>0.17061000000000001</v>
      </c>
      <c r="O23" s="431">
        <v>0.16061</v>
      </c>
      <c r="P23" s="432">
        <v>0.20291000000000001</v>
      </c>
      <c r="Q23" s="289"/>
      <c r="R23" s="383"/>
      <c r="S23" s="384"/>
    </row>
    <row r="24" spans="1:19" ht="15" thickTop="1" x14ac:dyDescent="0.3">
      <c r="A24" s="100"/>
      <c r="B24" s="402"/>
      <c r="C24" s="406"/>
      <c r="D24" s="401"/>
      <c r="E24" s="401"/>
      <c r="F24" s="401"/>
      <c r="G24" s="401"/>
      <c r="H24" s="401"/>
      <c r="I24" s="401"/>
      <c r="J24" s="401"/>
      <c r="K24" s="401"/>
      <c r="L24" s="401"/>
      <c r="M24" s="401"/>
      <c r="N24" s="401"/>
      <c r="O24" s="401"/>
      <c r="P24" s="401"/>
      <c r="Q24" s="289"/>
      <c r="R24" s="382"/>
      <c r="S24" s="384"/>
    </row>
    <row r="25" spans="1:19" ht="14.4" x14ac:dyDescent="0.3">
      <c r="A25" s="100"/>
      <c r="B25" s="402"/>
      <c r="C25" s="406"/>
      <c r="D25" s="401"/>
      <c r="E25" s="401"/>
      <c r="F25" s="401"/>
      <c r="G25" s="401"/>
      <c r="H25" s="401"/>
      <c r="I25" s="401"/>
      <c r="J25" s="401"/>
      <c r="K25" s="401"/>
      <c r="L25" s="401"/>
      <c r="M25" s="401"/>
      <c r="N25" s="401"/>
      <c r="O25" s="401"/>
      <c r="P25" s="401"/>
      <c r="Q25" s="289"/>
      <c r="R25" s="385"/>
      <c r="S25" s="386"/>
    </row>
    <row r="26" spans="1:19" ht="14.4" x14ac:dyDescent="0.3">
      <c r="A26" s="100"/>
      <c r="B26" s="402"/>
      <c r="C26" s="406"/>
      <c r="D26" s="401"/>
      <c r="E26" s="401"/>
      <c r="F26" s="401"/>
      <c r="G26" s="401"/>
      <c r="H26" s="401"/>
      <c r="I26" s="401"/>
      <c r="J26" s="401"/>
      <c r="K26" s="401"/>
      <c r="L26" s="401"/>
      <c r="M26" s="401"/>
      <c r="N26" s="401"/>
      <c r="O26" s="401"/>
      <c r="P26" s="403"/>
      <c r="Q26" s="289"/>
      <c r="R26" s="382"/>
    </row>
    <row r="27" spans="1:19" ht="14.4" x14ac:dyDescent="0.3">
      <c r="A27" s="100"/>
      <c r="B27" s="402"/>
      <c r="C27" s="406"/>
      <c r="D27" s="401"/>
      <c r="E27" s="401"/>
      <c r="F27" s="401"/>
      <c r="G27" s="401"/>
      <c r="H27" s="401"/>
      <c r="I27" s="401"/>
      <c r="J27" s="401"/>
      <c r="K27" s="401"/>
      <c r="L27" s="401"/>
      <c r="M27" s="401"/>
      <c r="N27" s="401"/>
      <c r="O27" s="401"/>
      <c r="P27" s="404"/>
      <c r="Q27" s="289"/>
      <c r="R27" s="382"/>
    </row>
    <row r="28" spans="1:19" x14ac:dyDescent="0.25">
      <c r="B28" s="102"/>
      <c r="Q28" s="289"/>
      <c r="R28" s="382"/>
    </row>
    <row r="29" spans="1:19" x14ac:dyDescent="0.25">
      <c r="B29" s="102"/>
      <c r="Q29" s="289"/>
      <c r="R29" s="382"/>
    </row>
    <row r="30" spans="1:19" x14ac:dyDescent="0.25">
      <c r="A30" s="100"/>
      <c r="B30" s="391"/>
      <c r="C30" s="392"/>
      <c r="D30" s="393"/>
      <c r="E30" s="289"/>
      <c r="F30" s="394"/>
      <c r="G30" s="394"/>
      <c r="H30" s="394"/>
      <c r="I30" s="394"/>
      <c r="J30" s="394"/>
      <c r="K30" s="394"/>
      <c r="L30" s="394"/>
      <c r="M30" s="394"/>
      <c r="N30" s="394"/>
      <c r="O30" s="394"/>
      <c r="P30" s="394"/>
      <c r="Q30" s="289"/>
      <c r="R30" s="382"/>
    </row>
    <row r="31" spans="1:19" ht="14.4" x14ac:dyDescent="0.3">
      <c r="A31" s="100"/>
      <c r="B31" s="395"/>
      <c r="C31" s="406"/>
      <c r="D31" s="396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401"/>
      <c r="Q31" s="289"/>
      <c r="R31" s="382"/>
    </row>
    <row r="32" spans="1:19" ht="14.4" x14ac:dyDescent="0.3">
      <c r="A32" s="100"/>
      <c r="B32" s="406"/>
      <c r="C32" s="406"/>
      <c r="D32" s="398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382"/>
    </row>
    <row r="33" spans="1:18" ht="14.4" x14ac:dyDescent="0.3">
      <c r="A33" s="100"/>
      <c r="B33" s="102"/>
      <c r="C33" s="406"/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398"/>
      <c r="O33" s="398"/>
      <c r="P33" s="289"/>
      <c r="Q33" s="289"/>
      <c r="R33" s="382"/>
    </row>
    <row r="34" spans="1:18" ht="14.4" x14ac:dyDescent="0.3">
      <c r="A34" s="100"/>
      <c r="B34" s="102"/>
      <c r="C34" s="406"/>
      <c r="D34" s="401"/>
      <c r="E34" s="401"/>
      <c r="F34" s="401"/>
      <c r="G34" s="401"/>
      <c r="H34" s="401"/>
      <c r="I34" s="401"/>
      <c r="J34" s="401"/>
      <c r="K34" s="401"/>
      <c r="L34" s="401"/>
      <c r="M34" s="401"/>
      <c r="N34" s="401"/>
      <c r="O34" s="401"/>
      <c r="P34" s="289"/>
      <c r="Q34" s="289"/>
      <c r="R34" s="382"/>
    </row>
    <row r="35" spans="1:18" ht="14.4" x14ac:dyDescent="0.3">
      <c r="A35" s="100"/>
      <c r="B35" s="102"/>
      <c r="C35" s="406"/>
      <c r="D35" s="399"/>
      <c r="E35" s="399"/>
      <c r="F35" s="399"/>
      <c r="G35" s="399"/>
      <c r="H35" s="399"/>
      <c r="I35" s="399"/>
      <c r="J35" s="399"/>
      <c r="K35" s="399"/>
      <c r="L35" s="399"/>
      <c r="M35" s="399"/>
      <c r="N35" s="399"/>
      <c r="O35" s="399"/>
      <c r="P35" s="399"/>
      <c r="Q35" s="289"/>
      <c r="R35" s="382"/>
    </row>
    <row r="36" spans="1:18" ht="14.4" x14ac:dyDescent="0.3">
      <c r="A36" s="100"/>
      <c r="B36" s="406"/>
      <c r="C36" s="406"/>
      <c r="D36" s="398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382"/>
    </row>
    <row r="37" spans="1:18" s="387" customFormat="1" x14ac:dyDescent="0.25">
      <c r="A37" s="100"/>
      <c r="B37" s="391"/>
      <c r="C37" s="393"/>
      <c r="D37" s="398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382"/>
    </row>
    <row r="38" spans="1:18" s="387" customFormat="1" ht="14.4" x14ac:dyDescent="0.3">
      <c r="A38" s="100"/>
      <c r="B38" s="406"/>
      <c r="C38" s="406"/>
      <c r="D38" s="398"/>
      <c r="E38" s="289"/>
      <c r="F38" s="289"/>
      <c r="G38" s="289"/>
      <c r="H38" s="400"/>
      <c r="I38" s="289"/>
      <c r="J38" s="400"/>
      <c r="K38" s="289"/>
      <c r="L38" s="400"/>
      <c r="M38" s="289"/>
      <c r="N38" s="289"/>
      <c r="O38" s="289"/>
      <c r="P38" s="289"/>
      <c r="Q38" s="291"/>
      <c r="R38" s="388"/>
    </row>
    <row r="39" spans="1:18" s="387" customFormat="1" ht="14.4" x14ac:dyDescent="0.3">
      <c r="A39" s="100"/>
      <c r="B39" s="406"/>
      <c r="C39" s="406"/>
      <c r="D39" s="398"/>
      <c r="E39" s="289"/>
      <c r="F39" s="289"/>
      <c r="G39" s="289"/>
      <c r="H39" s="400"/>
      <c r="I39" s="289"/>
      <c r="J39" s="400"/>
      <c r="K39" s="289"/>
      <c r="L39" s="400"/>
      <c r="M39" s="289"/>
      <c r="N39" s="289"/>
      <c r="O39" s="289"/>
      <c r="P39" s="289"/>
      <c r="Q39" s="291"/>
      <c r="R39" s="388"/>
    </row>
    <row r="40" spans="1:18" s="387" customFormat="1" ht="14.4" x14ac:dyDescent="0.3">
      <c r="A40" s="100"/>
      <c r="B40" s="406"/>
      <c r="C40" s="406"/>
      <c r="D40" s="398"/>
      <c r="E40" s="289"/>
      <c r="F40" s="289"/>
      <c r="G40" s="289"/>
      <c r="H40" s="400"/>
      <c r="I40" s="289"/>
      <c r="J40" s="400"/>
      <c r="K40" s="289"/>
      <c r="L40" s="400"/>
      <c r="M40" s="289"/>
      <c r="N40" s="289"/>
      <c r="O40" s="289"/>
      <c r="P40" s="289"/>
      <c r="Q40" s="291"/>
      <c r="R40" s="388"/>
    </row>
    <row r="41" spans="1:18" s="387" customFormat="1" ht="14.4" x14ac:dyDescent="0.3">
      <c r="A41" s="100"/>
      <c r="B41" s="406"/>
      <c r="C41" s="406"/>
      <c r="D41" s="398"/>
      <c r="E41" s="289"/>
      <c r="F41" s="289"/>
      <c r="G41" s="289"/>
      <c r="H41" s="400"/>
      <c r="I41" s="289"/>
      <c r="J41" s="400"/>
      <c r="K41" s="289"/>
      <c r="L41" s="400"/>
      <c r="M41" s="289"/>
      <c r="N41" s="289"/>
      <c r="O41" s="289"/>
      <c r="P41" s="289"/>
      <c r="Q41" s="291"/>
      <c r="R41" s="388"/>
    </row>
    <row r="42" spans="1:18" s="387" customFormat="1" ht="14.4" x14ac:dyDescent="0.3">
      <c r="A42" s="100"/>
      <c r="B42" s="406"/>
      <c r="C42" s="406"/>
      <c r="D42" s="398"/>
      <c r="E42" s="289"/>
      <c r="F42" s="289"/>
      <c r="G42" s="289"/>
      <c r="H42" s="400"/>
      <c r="I42" s="289"/>
      <c r="J42" s="400"/>
      <c r="K42" s="289"/>
      <c r="L42" s="400"/>
      <c r="M42" s="289"/>
      <c r="N42" s="289"/>
      <c r="O42" s="289"/>
      <c r="P42" s="289"/>
      <c r="Q42" s="291"/>
      <c r="R42" s="388"/>
    </row>
    <row r="43" spans="1:18" s="387" customFormat="1" ht="14.4" x14ac:dyDescent="0.3">
      <c r="A43" s="100"/>
      <c r="B43" s="406"/>
      <c r="C43" s="406"/>
      <c r="D43" s="398"/>
      <c r="E43" s="289"/>
      <c r="F43" s="400"/>
      <c r="G43" s="289"/>
      <c r="H43" s="289"/>
      <c r="I43" s="289"/>
      <c r="J43" s="289"/>
      <c r="K43" s="400"/>
      <c r="L43" s="289"/>
      <c r="M43" s="289"/>
      <c r="N43" s="289"/>
      <c r="O43" s="289"/>
      <c r="P43" s="289"/>
      <c r="Q43" s="291"/>
      <c r="R43" s="388"/>
    </row>
    <row r="44" spans="1:18" s="387" customFormat="1" ht="14.4" x14ac:dyDescent="0.3">
      <c r="A44" s="100"/>
      <c r="B44" s="406"/>
      <c r="C44" s="406"/>
      <c r="D44" s="398"/>
      <c r="E44" s="289"/>
      <c r="F44" s="400"/>
      <c r="G44" s="289"/>
      <c r="H44" s="289"/>
      <c r="I44" s="289"/>
      <c r="J44" s="289"/>
      <c r="K44" s="400"/>
      <c r="L44" s="289"/>
      <c r="M44" s="289"/>
      <c r="N44" s="289"/>
      <c r="O44" s="289"/>
      <c r="P44" s="289"/>
      <c r="Q44" s="291"/>
      <c r="R44" s="388"/>
    </row>
    <row r="45" spans="1:18" s="387" customFormat="1" ht="14.4" x14ac:dyDescent="0.3">
      <c r="A45" s="100"/>
      <c r="B45" s="406"/>
      <c r="C45" s="406"/>
      <c r="D45" s="398"/>
      <c r="E45" s="289"/>
      <c r="F45" s="400"/>
      <c r="G45" s="289"/>
      <c r="H45" s="400"/>
      <c r="I45" s="289"/>
      <c r="J45" s="400"/>
      <c r="K45" s="400"/>
      <c r="L45" s="289"/>
      <c r="M45" s="289"/>
      <c r="N45" s="289"/>
      <c r="O45" s="289"/>
      <c r="P45" s="289"/>
      <c r="Q45" s="291"/>
      <c r="R45" s="388"/>
    </row>
    <row r="46" spans="1:18" s="387" customFormat="1" ht="14.4" x14ac:dyDescent="0.3">
      <c r="A46" s="100"/>
      <c r="B46" s="406"/>
      <c r="C46" s="406"/>
      <c r="D46" s="398"/>
      <c r="E46" s="289"/>
      <c r="F46" s="400"/>
      <c r="G46" s="289"/>
      <c r="H46" s="400"/>
      <c r="I46" s="289"/>
      <c r="J46" s="400"/>
      <c r="K46" s="400"/>
      <c r="L46" s="400"/>
      <c r="M46" s="289"/>
      <c r="N46" s="289"/>
      <c r="O46" s="289"/>
      <c r="P46" s="289"/>
      <c r="Q46" s="291"/>
      <c r="R46" s="388"/>
    </row>
    <row r="47" spans="1:18" s="387" customFormat="1" ht="14.4" x14ac:dyDescent="0.3">
      <c r="A47" s="100"/>
      <c r="B47" s="406"/>
      <c r="C47" s="406"/>
      <c r="D47" s="393"/>
      <c r="E47" s="291"/>
      <c r="F47" s="433"/>
      <c r="G47" s="291"/>
      <c r="H47" s="433"/>
      <c r="I47" s="291"/>
      <c r="J47" s="433"/>
      <c r="K47" s="433"/>
      <c r="L47" s="433"/>
      <c r="M47" s="291"/>
      <c r="N47" s="291"/>
      <c r="O47" s="291"/>
      <c r="P47" s="291"/>
      <c r="Q47" s="291"/>
      <c r="R47" s="388"/>
    </row>
    <row r="48" spans="1:18" s="387" customFormat="1" ht="14.4" x14ac:dyDescent="0.3">
      <c r="A48" s="100"/>
      <c r="B48" s="406"/>
      <c r="C48" s="406"/>
      <c r="D48" s="393"/>
      <c r="E48" s="291"/>
      <c r="F48" s="433"/>
      <c r="G48" s="291"/>
      <c r="H48" s="433"/>
      <c r="I48" s="291"/>
      <c r="J48" s="433"/>
      <c r="K48" s="433"/>
      <c r="L48" s="433"/>
      <c r="M48" s="291"/>
      <c r="N48" s="291"/>
      <c r="O48" s="291"/>
      <c r="P48" s="291"/>
      <c r="Q48" s="291"/>
      <c r="R48" s="388"/>
    </row>
    <row r="49" spans="1:18" s="387" customFormat="1" ht="14.4" x14ac:dyDescent="0.3">
      <c r="A49" s="100"/>
      <c r="B49" s="406"/>
      <c r="C49" s="406"/>
      <c r="D49" s="393"/>
      <c r="E49" s="291"/>
      <c r="F49" s="433"/>
      <c r="G49" s="291"/>
      <c r="H49" s="291"/>
      <c r="I49" s="291"/>
      <c r="J49" s="291"/>
      <c r="K49" s="433"/>
      <c r="L49" s="291"/>
      <c r="M49" s="291"/>
      <c r="N49" s="291"/>
      <c r="O49" s="291"/>
      <c r="P49" s="291"/>
      <c r="Q49" s="291"/>
      <c r="R49" s="388"/>
    </row>
    <row r="50" spans="1:18" s="387" customFormat="1" x14ac:dyDescent="0.25">
      <c r="A50" s="100"/>
      <c r="B50" s="391"/>
      <c r="C50" s="393"/>
      <c r="D50" s="393"/>
      <c r="E50" s="289"/>
      <c r="F50" s="289"/>
      <c r="G50" s="289"/>
      <c r="H50" s="289"/>
      <c r="I50" s="289"/>
      <c r="J50" s="289"/>
      <c r="K50" s="289"/>
      <c r="L50" s="289"/>
      <c r="M50" s="289"/>
      <c r="N50" s="289"/>
      <c r="O50" s="289"/>
      <c r="P50" s="289"/>
      <c r="Q50" s="289"/>
      <c r="R50" s="382"/>
    </row>
    <row r="51" spans="1:18" s="387" customFormat="1" x14ac:dyDescent="0.25">
      <c r="A51" s="100"/>
      <c r="B51" s="391"/>
      <c r="C51" s="393"/>
      <c r="D51" s="393"/>
      <c r="E51" s="289"/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382"/>
    </row>
    <row r="52" spans="1:18" s="387" customFormat="1" ht="14.4" x14ac:dyDescent="0.3">
      <c r="A52" s="100"/>
      <c r="B52" s="402"/>
      <c r="C52" s="406"/>
      <c r="D52" s="393"/>
      <c r="E52" s="289"/>
      <c r="F52" s="289"/>
      <c r="G52" s="289"/>
      <c r="H52" s="289"/>
      <c r="I52" s="289"/>
      <c r="J52" s="289"/>
      <c r="K52" s="289"/>
      <c r="L52" s="289"/>
      <c r="M52" s="289"/>
      <c r="N52" s="289"/>
      <c r="O52" s="289"/>
      <c r="P52" s="289"/>
      <c r="Q52" s="289"/>
      <c r="R52" s="382"/>
    </row>
    <row r="53" spans="1:18" s="387" customFormat="1" x14ac:dyDescent="0.25">
      <c r="A53" s="100"/>
      <c r="B53" s="391"/>
      <c r="C53" s="393"/>
      <c r="D53" s="393"/>
      <c r="E53" s="289"/>
      <c r="F53" s="289"/>
      <c r="G53" s="289"/>
      <c r="H53" s="289"/>
      <c r="I53" s="289"/>
      <c r="J53" s="289"/>
      <c r="K53" s="289"/>
      <c r="L53" s="289"/>
      <c r="M53" s="289"/>
      <c r="N53" s="289"/>
      <c r="O53" s="289"/>
      <c r="P53" s="289"/>
      <c r="Q53" s="289"/>
      <c r="R53" s="382"/>
    </row>
    <row r="54" spans="1:18" s="387" customFormat="1" ht="14.4" x14ac:dyDescent="0.3">
      <c r="A54" s="100"/>
      <c r="B54" s="406"/>
      <c r="C54" s="406"/>
      <c r="D54" s="393"/>
      <c r="E54" s="434"/>
      <c r="F54" s="434"/>
      <c r="G54" s="434"/>
      <c r="H54" s="434"/>
      <c r="I54" s="434"/>
      <c r="J54" s="434"/>
      <c r="K54" s="434"/>
      <c r="L54" s="434"/>
      <c r="M54" s="434"/>
      <c r="N54" s="434"/>
      <c r="O54" s="434"/>
      <c r="P54" s="434"/>
      <c r="Q54" s="434"/>
      <c r="R54" s="389"/>
    </row>
    <row r="55" spans="1:18" s="387" customFormat="1" ht="14.4" x14ac:dyDescent="0.3">
      <c r="A55" s="100"/>
      <c r="B55" s="406"/>
      <c r="C55" s="406"/>
      <c r="D55" s="393"/>
      <c r="E55" s="434"/>
      <c r="F55" s="434"/>
      <c r="G55" s="434"/>
      <c r="H55" s="434"/>
      <c r="I55" s="434"/>
      <c r="J55" s="434"/>
      <c r="K55" s="434"/>
      <c r="L55" s="434"/>
      <c r="M55" s="434"/>
      <c r="N55" s="434"/>
      <c r="O55" s="434"/>
      <c r="P55" s="434"/>
      <c r="Q55" s="434"/>
      <c r="R55" s="389"/>
    </row>
    <row r="56" spans="1:18" s="387" customFormat="1" ht="14.4" x14ac:dyDescent="0.3">
      <c r="A56" s="100"/>
      <c r="B56" s="406"/>
      <c r="C56" s="406"/>
      <c r="D56" s="393"/>
      <c r="E56" s="434"/>
      <c r="F56" s="434"/>
      <c r="G56" s="434"/>
      <c r="H56" s="434"/>
      <c r="I56" s="434"/>
      <c r="J56" s="434"/>
      <c r="K56" s="434"/>
      <c r="L56" s="434"/>
      <c r="M56" s="434"/>
      <c r="N56" s="434"/>
      <c r="O56" s="434"/>
      <c r="P56" s="434"/>
      <c r="Q56" s="434"/>
      <c r="R56" s="389"/>
    </row>
    <row r="57" spans="1:18" s="387" customFormat="1" ht="14.4" x14ac:dyDescent="0.3">
      <c r="A57" s="100"/>
      <c r="B57" s="406"/>
      <c r="C57" s="406"/>
      <c r="D57" s="393"/>
      <c r="E57" s="434"/>
      <c r="F57" s="434"/>
      <c r="G57" s="434"/>
      <c r="H57" s="434"/>
      <c r="I57" s="434"/>
      <c r="J57" s="434"/>
      <c r="K57" s="434"/>
      <c r="L57" s="434"/>
      <c r="M57" s="434"/>
      <c r="N57" s="434"/>
      <c r="O57" s="434"/>
      <c r="P57" s="434"/>
      <c r="Q57" s="434"/>
      <c r="R57" s="389"/>
    </row>
    <row r="58" spans="1:18" s="387" customFormat="1" x14ac:dyDescent="0.25">
      <c r="A58" s="100"/>
      <c r="B58" s="434"/>
      <c r="C58" s="434"/>
      <c r="D58" s="434"/>
      <c r="E58" s="434"/>
      <c r="F58" s="434"/>
      <c r="G58" s="434"/>
      <c r="H58" s="434"/>
      <c r="I58" s="434"/>
      <c r="J58" s="434"/>
      <c r="K58" s="434"/>
      <c r="L58" s="434"/>
      <c r="M58" s="434"/>
      <c r="N58" s="434"/>
      <c r="O58" s="434"/>
      <c r="P58" s="434"/>
      <c r="Q58" s="434"/>
      <c r="R58" s="389"/>
    </row>
    <row r="59" spans="1:18" s="387" customFormat="1" x14ac:dyDescent="0.25">
      <c r="A59" s="100"/>
      <c r="B59" s="434"/>
      <c r="C59" s="434"/>
      <c r="D59" s="434"/>
      <c r="E59" s="434"/>
      <c r="F59" s="434"/>
      <c r="G59" s="434"/>
      <c r="H59" s="434"/>
      <c r="I59" s="434"/>
      <c r="J59" s="434"/>
      <c r="K59" s="434"/>
      <c r="L59" s="434"/>
      <c r="M59" s="434"/>
      <c r="N59" s="434"/>
      <c r="O59" s="434"/>
      <c r="P59" s="434"/>
      <c r="Q59" s="434"/>
      <c r="R59" s="389"/>
    </row>
    <row r="60" spans="1:18" s="387" customFormat="1" x14ac:dyDescent="0.25">
      <c r="A60" s="100"/>
      <c r="B60" s="434"/>
      <c r="C60" s="434"/>
      <c r="D60" s="434"/>
      <c r="E60" s="434"/>
      <c r="F60" s="434"/>
      <c r="G60" s="434"/>
      <c r="H60" s="434"/>
      <c r="I60" s="434"/>
      <c r="J60" s="434"/>
      <c r="K60" s="434"/>
      <c r="L60" s="434"/>
      <c r="M60" s="434"/>
      <c r="N60" s="434"/>
      <c r="O60" s="434"/>
      <c r="P60" s="434"/>
      <c r="Q60" s="434"/>
      <c r="R60" s="389"/>
    </row>
    <row r="61" spans="1:18" s="387" customFormat="1" x14ac:dyDescent="0.25">
      <c r="A61" s="100"/>
      <c r="B61" s="434"/>
      <c r="C61" s="434"/>
      <c r="D61" s="434"/>
      <c r="E61" s="434"/>
      <c r="F61" s="434"/>
      <c r="G61" s="434"/>
      <c r="H61" s="434"/>
      <c r="I61" s="434"/>
      <c r="J61" s="434"/>
      <c r="K61" s="434"/>
      <c r="L61" s="434"/>
      <c r="M61" s="434"/>
      <c r="N61" s="434"/>
      <c r="O61" s="434"/>
      <c r="P61" s="434"/>
      <c r="Q61" s="434"/>
      <c r="R61" s="389"/>
    </row>
    <row r="62" spans="1:18" s="387" customFormat="1" x14ac:dyDescent="0.25">
      <c r="A62" s="100"/>
      <c r="B62" s="434"/>
      <c r="C62" s="434"/>
      <c r="D62" s="434"/>
      <c r="E62" s="434"/>
      <c r="F62" s="434"/>
      <c r="G62" s="434"/>
      <c r="H62" s="434"/>
      <c r="I62" s="434"/>
      <c r="J62" s="434"/>
      <c r="K62" s="434"/>
      <c r="L62" s="434"/>
      <c r="M62" s="434"/>
      <c r="N62" s="434"/>
      <c r="O62" s="434"/>
      <c r="P62" s="434"/>
      <c r="Q62" s="434"/>
      <c r="R62" s="389"/>
    </row>
    <row r="63" spans="1:18" s="387" customFormat="1" x14ac:dyDescent="0.25">
      <c r="A63" s="100"/>
      <c r="B63" s="434"/>
      <c r="C63" s="434"/>
      <c r="D63" s="434"/>
      <c r="E63" s="434"/>
      <c r="F63" s="434"/>
      <c r="G63" s="434"/>
      <c r="H63" s="434"/>
      <c r="I63" s="434"/>
      <c r="J63" s="434"/>
      <c r="K63" s="434"/>
      <c r="L63" s="434"/>
      <c r="M63" s="434"/>
      <c r="N63" s="434"/>
      <c r="O63" s="434"/>
      <c r="P63" s="434"/>
      <c r="Q63" s="434"/>
      <c r="R63" s="389"/>
    </row>
    <row r="64" spans="1:18" s="387" customFormat="1" x14ac:dyDescent="0.25">
      <c r="A64" s="100"/>
      <c r="B64" s="434"/>
      <c r="C64" s="434"/>
      <c r="D64" s="434"/>
      <c r="E64" s="434"/>
      <c r="F64" s="434"/>
      <c r="G64" s="434"/>
      <c r="H64" s="434"/>
      <c r="I64" s="434"/>
      <c r="J64" s="434"/>
      <c r="K64" s="434"/>
      <c r="L64" s="434"/>
      <c r="M64" s="434"/>
      <c r="N64" s="434"/>
      <c r="O64" s="434"/>
      <c r="P64" s="434"/>
      <c r="Q64" s="434"/>
      <c r="R64" s="389"/>
    </row>
    <row r="65" spans="1:18" s="387" customFormat="1" x14ac:dyDescent="0.25">
      <c r="A65" s="100"/>
      <c r="B65" s="434"/>
      <c r="C65" s="434"/>
      <c r="D65" s="434"/>
      <c r="E65" s="434"/>
      <c r="F65" s="434"/>
      <c r="G65" s="434"/>
      <c r="H65" s="434"/>
      <c r="I65" s="434"/>
      <c r="J65" s="434"/>
      <c r="K65" s="434"/>
      <c r="L65" s="434"/>
      <c r="M65" s="434"/>
      <c r="N65" s="434"/>
      <c r="O65" s="434"/>
      <c r="P65" s="434"/>
      <c r="Q65" s="434"/>
      <c r="R65" s="389"/>
    </row>
    <row r="66" spans="1:18" s="387" customFormat="1" x14ac:dyDescent="0.25">
      <c r="A66" s="100"/>
      <c r="B66" s="434"/>
      <c r="C66" s="434"/>
      <c r="D66" s="434"/>
      <c r="E66" s="434"/>
      <c r="F66" s="434"/>
      <c r="G66" s="434"/>
      <c r="H66" s="434"/>
      <c r="I66" s="434"/>
      <c r="J66" s="434"/>
      <c r="K66" s="434"/>
      <c r="L66" s="434"/>
      <c r="M66" s="434"/>
      <c r="N66" s="434"/>
      <c r="O66" s="434"/>
      <c r="P66" s="434"/>
      <c r="Q66" s="434"/>
      <c r="R66" s="389"/>
    </row>
    <row r="67" spans="1:18" s="387" customFormat="1" x14ac:dyDescent="0.25">
      <c r="A67" s="100"/>
      <c r="B67" s="289"/>
      <c r="C67" s="289"/>
      <c r="D67" s="289"/>
      <c r="E67" s="289"/>
      <c r="F67" s="289"/>
      <c r="G67" s="289"/>
      <c r="H67" s="289"/>
      <c r="I67" s="289"/>
      <c r="J67" s="289"/>
      <c r="K67" s="289"/>
      <c r="L67" s="289"/>
      <c r="M67" s="289"/>
      <c r="N67" s="289"/>
      <c r="O67" s="289"/>
      <c r="P67" s="289"/>
      <c r="Q67" s="289"/>
      <c r="R67" s="382"/>
    </row>
    <row r="68" spans="1:18" s="387" customFormat="1" x14ac:dyDescent="0.25">
      <c r="A68" s="100"/>
      <c r="B68" s="289"/>
      <c r="C68" s="289"/>
      <c r="D68" s="289"/>
      <c r="E68" s="289"/>
      <c r="F68" s="289"/>
      <c r="G68" s="289"/>
      <c r="H68" s="289"/>
      <c r="I68" s="289"/>
      <c r="J68" s="289"/>
      <c r="K68" s="289"/>
      <c r="L68" s="289"/>
      <c r="M68" s="289"/>
      <c r="N68" s="289"/>
      <c r="O68" s="289"/>
      <c r="P68" s="289"/>
      <c r="Q68" s="289"/>
      <c r="R68" s="382"/>
    </row>
    <row r="69" spans="1:18" s="387" customFormat="1" x14ac:dyDescent="0.25">
      <c r="A69" s="100"/>
      <c r="B69" s="289"/>
      <c r="C69" s="289"/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382"/>
    </row>
    <row r="70" spans="1:18" s="387" customFormat="1" x14ac:dyDescent="0.25">
      <c r="A70" s="100"/>
      <c r="B70" s="391"/>
      <c r="C70" s="393"/>
      <c r="D70" s="393"/>
      <c r="E70" s="289"/>
      <c r="F70" s="289"/>
      <c r="G70" s="289"/>
      <c r="H70" s="289"/>
      <c r="I70" s="289"/>
      <c r="J70" s="289"/>
      <c r="K70" s="289"/>
      <c r="L70" s="289"/>
      <c r="M70" s="289"/>
      <c r="N70" s="289"/>
      <c r="O70" s="289"/>
      <c r="P70" s="289"/>
      <c r="Q70" s="289"/>
      <c r="R70" s="382"/>
    </row>
    <row r="71" spans="1:18" s="387" customFormat="1" ht="14.4" x14ac:dyDescent="0.3">
      <c r="A71" s="100"/>
      <c r="B71" s="406"/>
      <c r="C71" s="406"/>
      <c r="D71" s="393"/>
      <c r="E71" s="435"/>
      <c r="F71" s="434"/>
      <c r="G71" s="434"/>
      <c r="H71" s="434"/>
      <c r="I71" s="434"/>
      <c r="J71" s="434"/>
      <c r="K71" s="434"/>
      <c r="L71" s="434"/>
      <c r="M71" s="434"/>
      <c r="N71" s="434"/>
      <c r="O71" s="434"/>
      <c r="P71" s="434"/>
      <c r="Q71" s="434"/>
      <c r="R71" s="389"/>
    </row>
    <row r="72" spans="1:18" s="387" customFormat="1" ht="14.4" x14ac:dyDescent="0.3">
      <c r="A72" s="100"/>
      <c r="B72" s="406"/>
      <c r="C72" s="406"/>
      <c r="D72" s="393"/>
      <c r="E72" s="435"/>
      <c r="F72" s="434"/>
      <c r="G72" s="434"/>
      <c r="H72" s="434"/>
      <c r="I72" s="434"/>
      <c r="J72" s="434"/>
      <c r="K72" s="434"/>
      <c r="L72" s="434"/>
      <c r="M72" s="434"/>
      <c r="N72" s="434"/>
      <c r="O72" s="434"/>
      <c r="P72" s="434"/>
      <c r="Q72" s="434"/>
      <c r="R72" s="389"/>
    </row>
    <row r="73" spans="1:18" s="387" customFormat="1" ht="14.4" x14ac:dyDescent="0.3">
      <c r="A73" s="100"/>
      <c r="B73" s="406"/>
      <c r="C73" s="406"/>
      <c r="D73" s="393"/>
      <c r="E73" s="435"/>
      <c r="F73" s="434"/>
      <c r="G73" s="434"/>
      <c r="H73" s="434"/>
      <c r="I73" s="434"/>
      <c r="J73" s="434"/>
      <c r="K73" s="434"/>
      <c r="L73" s="434"/>
      <c r="M73" s="434"/>
      <c r="N73" s="434"/>
      <c r="O73" s="434"/>
      <c r="P73" s="434"/>
      <c r="Q73" s="434"/>
      <c r="R73" s="389"/>
    </row>
    <row r="74" spans="1:18" s="387" customFormat="1" ht="14.4" x14ac:dyDescent="0.3">
      <c r="A74" s="100"/>
      <c r="B74" s="406"/>
      <c r="C74" s="406"/>
      <c r="D74" s="393"/>
      <c r="E74" s="435"/>
      <c r="F74" s="434"/>
      <c r="G74" s="434"/>
      <c r="H74" s="434"/>
      <c r="I74" s="434"/>
      <c r="J74" s="434"/>
      <c r="K74" s="434"/>
      <c r="L74" s="434"/>
      <c r="M74" s="434"/>
      <c r="N74" s="434"/>
      <c r="O74" s="434"/>
      <c r="P74" s="434"/>
      <c r="Q74" s="434"/>
      <c r="R74" s="389"/>
    </row>
    <row r="75" spans="1:18" s="387" customFormat="1" ht="14.4" x14ac:dyDescent="0.3">
      <c r="A75" s="100"/>
      <c r="B75" s="406"/>
      <c r="C75" s="406"/>
      <c r="D75" s="393"/>
      <c r="E75" s="435"/>
      <c r="F75" s="434"/>
      <c r="G75" s="434"/>
      <c r="H75" s="434"/>
      <c r="I75" s="434"/>
      <c r="J75" s="434"/>
      <c r="K75" s="434"/>
      <c r="L75" s="434"/>
      <c r="M75" s="434"/>
      <c r="N75" s="434"/>
      <c r="O75" s="434"/>
      <c r="P75" s="434"/>
      <c r="Q75" s="434"/>
      <c r="R75" s="389"/>
    </row>
    <row r="76" spans="1:18" s="387" customFormat="1" ht="14.4" x14ac:dyDescent="0.3">
      <c r="A76" s="100"/>
      <c r="B76" s="406"/>
      <c r="C76" s="406"/>
      <c r="D76" s="393"/>
      <c r="E76" s="435"/>
      <c r="F76" s="435"/>
      <c r="G76" s="435"/>
      <c r="H76" s="435"/>
      <c r="I76" s="435"/>
      <c r="J76" s="435"/>
      <c r="K76" s="435"/>
      <c r="L76" s="435"/>
      <c r="M76" s="435"/>
      <c r="N76" s="435"/>
      <c r="O76" s="435"/>
      <c r="P76" s="435"/>
      <c r="Q76" s="434"/>
      <c r="R76" s="389"/>
    </row>
    <row r="77" spans="1:18" s="387" customFormat="1" ht="14.4" x14ac:dyDescent="0.3">
      <c r="A77" s="100"/>
      <c r="B77" s="406"/>
      <c r="C77" s="406"/>
      <c r="D77" s="393"/>
      <c r="E77" s="435"/>
      <c r="F77" s="435"/>
      <c r="G77" s="435"/>
      <c r="H77" s="435"/>
      <c r="I77" s="435"/>
      <c r="J77" s="435"/>
      <c r="K77" s="435"/>
      <c r="L77" s="435"/>
      <c r="M77" s="435"/>
      <c r="N77" s="435"/>
      <c r="O77" s="435"/>
      <c r="P77" s="435"/>
      <c r="Q77" s="434"/>
      <c r="R77" s="389"/>
    </row>
    <row r="78" spans="1:18" s="387" customFormat="1" ht="14.4" x14ac:dyDescent="0.3">
      <c r="A78" s="100"/>
      <c r="B78" s="406"/>
      <c r="C78" s="406"/>
      <c r="D78" s="393"/>
      <c r="E78" s="435"/>
      <c r="F78" s="435"/>
      <c r="G78" s="435"/>
      <c r="H78" s="435"/>
      <c r="I78" s="435"/>
      <c r="J78" s="435"/>
      <c r="K78" s="435"/>
      <c r="L78" s="435"/>
      <c r="M78" s="435"/>
      <c r="N78" s="435"/>
      <c r="O78" s="435"/>
      <c r="P78" s="435"/>
      <c r="Q78" s="434"/>
      <c r="R78" s="389"/>
    </row>
    <row r="79" spans="1:18" s="387" customFormat="1" ht="14.4" x14ac:dyDescent="0.3">
      <c r="A79" s="100"/>
      <c r="B79" s="406"/>
      <c r="C79" s="406"/>
      <c r="D79" s="393"/>
      <c r="E79" s="435"/>
      <c r="F79" s="435"/>
      <c r="G79" s="435"/>
      <c r="H79" s="435"/>
      <c r="I79" s="435"/>
      <c r="J79" s="435"/>
      <c r="K79" s="435"/>
      <c r="L79" s="435"/>
      <c r="M79" s="435"/>
      <c r="N79" s="435"/>
      <c r="O79" s="435"/>
      <c r="P79" s="435"/>
      <c r="Q79" s="434"/>
      <c r="R79" s="389"/>
    </row>
    <row r="80" spans="1:18" s="387" customFormat="1" ht="14.4" x14ac:dyDescent="0.3">
      <c r="A80" s="100"/>
      <c r="B80" s="406"/>
      <c r="C80" s="406"/>
      <c r="D80" s="393"/>
      <c r="E80" s="435"/>
      <c r="F80" s="435"/>
      <c r="G80" s="435"/>
      <c r="H80" s="435"/>
      <c r="I80" s="435"/>
      <c r="J80" s="435"/>
      <c r="K80" s="435"/>
      <c r="L80" s="435"/>
      <c r="M80" s="435"/>
      <c r="N80" s="435"/>
      <c r="O80" s="435"/>
      <c r="P80" s="435"/>
      <c r="Q80" s="434"/>
      <c r="R80" s="389"/>
    </row>
    <row r="81" spans="1:18" s="387" customFormat="1" ht="14.4" x14ac:dyDescent="0.3">
      <c r="A81" s="100"/>
      <c r="B81" s="475"/>
      <c r="C81" s="406"/>
      <c r="D81" s="393"/>
      <c r="E81" s="435"/>
      <c r="F81" s="435"/>
      <c r="G81" s="435"/>
      <c r="H81" s="435"/>
      <c r="I81" s="435"/>
      <c r="J81" s="435"/>
      <c r="K81" s="435"/>
      <c r="L81" s="435"/>
      <c r="M81" s="435"/>
      <c r="N81" s="435"/>
      <c r="O81" s="435"/>
      <c r="P81" s="435"/>
      <c r="Q81" s="434"/>
      <c r="R81" s="389"/>
    </row>
    <row r="82" spans="1:18" s="387" customFormat="1" ht="14.4" x14ac:dyDescent="0.3">
      <c r="A82" s="100"/>
      <c r="B82" s="406"/>
      <c r="C82" s="406"/>
      <c r="D82" s="393"/>
      <c r="E82" s="435"/>
      <c r="F82" s="435"/>
      <c r="G82" s="435"/>
      <c r="H82" s="435"/>
      <c r="I82" s="435"/>
      <c r="J82" s="435"/>
      <c r="K82" s="435"/>
      <c r="L82" s="435"/>
      <c r="M82" s="435"/>
      <c r="N82" s="435"/>
      <c r="O82" s="435"/>
      <c r="P82" s="435"/>
      <c r="Q82" s="434"/>
      <c r="R82" s="389"/>
    </row>
    <row r="83" spans="1:18" s="387" customFormat="1" x14ac:dyDescent="0.25">
      <c r="A83" s="100"/>
      <c r="B83" s="391"/>
      <c r="C83" s="393"/>
      <c r="D83" s="393"/>
      <c r="E83" s="434"/>
      <c r="F83" s="434"/>
      <c r="G83" s="434"/>
      <c r="H83" s="434"/>
      <c r="I83" s="434"/>
      <c r="J83" s="434"/>
      <c r="K83" s="434"/>
      <c r="L83" s="434"/>
      <c r="M83" s="434"/>
      <c r="N83" s="434"/>
      <c r="O83" s="434"/>
      <c r="P83" s="434"/>
      <c r="Q83" s="434"/>
      <c r="R83" s="389"/>
    </row>
    <row r="84" spans="1:18" s="387" customFormat="1" x14ac:dyDescent="0.25">
      <c r="A84" s="100"/>
      <c r="B84" s="391"/>
      <c r="C84" s="393"/>
      <c r="D84" s="393"/>
      <c r="E84" s="289"/>
      <c r="F84" s="289"/>
      <c r="G84" s="289"/>
      <c r="H84" s="289"/>
      <c r="I84" s="289"/>
      <c r="J84" s="289"/>
      <c r="K84" s="289"/>
      <c r="L84" s="289"/>
      <c r="M84" s="289"/>
      <c r="N84" s="289"/>
      <c r="O84" s="289"/>
      <c r="P84" s="289"/>
      <c r="Q84" s="289"/>
      <c r="R84" s="382"/>
    </row>
    <row r="85" spans="1:18" s="387" customFormat="1" x14ac:dyDescent="0.25">
      <c r="A85" s="100"/>
      <c r="B85" s="391"/>
      <c r="C85" s="393"/>
      <c r="D85" s="393"/>
      <c r="E85" s="289"/>
      <c r="F85" s="289"/>
      <c r="G85" s="289"/>
      <c r="H85" s="289"/>
      <c r="I85" s="289"/>
      <c r="J85" s="289"/>
      <c r="K85" s="289"/>
      <c r="L85" s="289"/>
      <c r="M85" s="289"/>
      <c r="N85" s="289"/>
      <c r="O85" s="289"/>
      <c r="P85" s="289"/>
      <c r="Q85" s="289"/>
      <c r="R85" s="382"/>
    </row>
    <row r="86" spans="1:18" s="387" customFormat="1" ht="14.4" x14ac:dyDescent="0.3">
      <c r="A86" s="100"/>
      <c r="B86" s="402"/>
      <c r="C86" s="406"/>
      <c r="D86" s="393"/>
      <c r="E86" s="289"/>
      <c r="F86" s="289"/>
      <c r="G86" s="289"/>
      <c r="H86" s="289"/>
      <c r="I86" s="289"/>
      <c r="J86" s="289"/>
      <c r="K86" s="289"/>
      <c r="L86" s="289"/>
      <c r="M86" s="289"/>
      <c r="N86" s="289"/>
      <c r="O86" s="289"/>
      <c r="P86" s="289"/>
      <c r="Q86" s="289"/>
      <c r="R86" s="382"/>
    </row>
    <row r="87" spans="1:18" s="387" customFormat="1" x14ac:dyDescent="0.25">
      <c r="A87" s="100"/>
      <c r="B87" s="391"/>
      <c r="C87" s="393"/>
      <c r="D87" s="393"/>
      <c r="E87" s="289"/>
      <c r="F87" s="289"/>
      <c r="G87" s="289"/>
      <c r="H87" s="289"/>
      <c r="I87" s="289"/>
      <c r="J87" s="289"/>
      <c r="K87" s="289"/>
      <c r="L87" s="289"/>
      <c r="M87" s="289"/>
      <c r="N87" s="289"/>
      <c r="O87" s="289"/>
      <c r="P87" s="289"/>
      <c r="Q87" s="289"/>
      <c r="R87" s="382"/>
    </row>
    <row r="88" spans="1:18" s="387" customFormat="1" ht="14.4" x14ac:dyDescent="0.3">
      <c r="A88" s="100"/>
      <c r="B88" s="406"/>
      <c r="C88" s="406"/>
      <c r="D88" s="393"/>
      <c r="E88" s="435"/>
      <c r="F88" s="435"/>
      <c r="G88" s="435"/>
      <c r="H88" s="435"/>
      <c r="I88" s="435"/>
      <c r="J88" s="435"/>
      <c r="K88" s="435"/>
      <c r="L88" s="435"/>
      <c r="M88" s="435"/>
      <c r="N88" s="435"/>
      <c r="O88" s="435"/>
      <c r="P88" s="435"/>
      <c r="Q88" s="434"/>
      <c r="R88" s="389"/>
    </row>
    <row r="89" spans="1:18" s="387" customFormat="1" ht="14.4" x14ac:dyDescent="0.3">
      <c r="A89" s="100"/>
      <c r="B89" s="406"/>
      <c r="C89" s="406"/>
      <c r="D89" s="393"/>
      <c r="E89" s="435"/>
      <c r="F89" s="435"/>
      <c r="G89" s="435"/>
      <c r="H89" s="435"/>
      <c r="I89" s="435"/>
      <c r="J89" s="435"/>
      <c r="K89" s="435"/>
      <c r="L89" s="435"/>
      <c r="M89" s="435"/>
      <c r="N89" s="435"/>
      <c r="O89" s="435"/>
      <c r="P89" s="435"/>
      <c r="Q89" s="434"/>
      <c r="R89" s="389"/>
    </row>
    <row r="90" spans="1:18" s="387" customFormat="1" ht="14.4" x14ac:dyDescent="0.3">
      <c r="A90" s="100"/>
      <c r="B90" s="406"/>
      <c r="C90" s="406"/>
      <c r="D90" s="393"/>
      <c r="E90" s="435"/>
      <c r="F90" s="435"/>
      <c r="G90" s="435"/>
      <c r="H90" s="435"/>
      <c r="I90" s="435"/>
      <c r="J90" s="435"/>
      <c r="K90" s="435"/>
      <c r="L90" s="435"/>
      <c r="M90" s="435"/>
      <c r="N90" s="435"/>
      <c r="O90" s="435"/>
      <c r="P90" s="435"/>
      <c r="Q90" s="434"/>
      <c r="R90" s="389"/>
    </row>
    <row r="91" spans="1:18" s="387" customFormat="1" ht="14.4" x14ac:dyDescent="0.3">
      <c r="A91" s="100"/>
      <c r="B91" s="406"/>
      <c r="C91" s="406"/>
      <c r="D91" s="393"/>
      <c r="E91" s="435"/>
      <c r="F91" s="435"/>
      <c r="G91" s="435"/>
      <c r="H91" s="435"/>
      <c r="I91" s="435"/>
      <c r="J91" s="435"/>
      <c r="K91" s="435"/>
      <c r="L91" s="435"/>
      <c r="M91" s="435"/>
      <c r="N91" s="435"/>
      <c r="O91" s="435"/>
      <c r="P91" s="435"/>
      <c r="Q91" s="434"/>
      <c r="R91" s="389"/>
    </row>
    <row r="92" spans="1:18" s="387" customFormat="1" ht="14.4" x14ac:dyDescent="0.3">
      <c r="A92" s="100"/>
      <c r="B92" s="406"/>
      <c r="C92" s="406"/>
      <c r="D92" s="393"/>
      <c r="E92" s="435"/>
      <c r="F92" s="435"/>
      <c r="G92" s="435"/>
      <c r="H92" s="435"/>
      <c r="I92" s="435"/>
      <c r="J92" s="435"/>
      <c r="K92" s="435"/>
      <c r="L92" s="435"/>
      <c r="M92" s="435"/>
      <c r="N92" s="435"/>
      <c r="O92" s="435"/>
      <c r="P92" s="435"/>
      <c r="Q92" s="434"/>
      <c r="R92" s="389"/>
    </row>
    <row r="93" spans="1:18" s="387" customFormat="1" ht="14.4" x14ac:dyDescent="0.3">
      <c r="A93" s="100"/>
      <c r="B93" s="406"/>
      <c r="C93" s="406"/>
      <c r="D93" s="393"/>
      <c r="E93" s="435"/>
      <c r="F93" s="435"/>
      <c r="G93" s="435"/>
      <c r="H93" s="435"/>
      <c r="I93" s="435"/>
      <c r="J93" s="435"/>
      <c r="K93" s="435"/>
      <c r="L93" s="435"/>
      <c r="M93" s="435"/>
      <c r="N93" s="435"/>
      <c r="O93" s="435"/>
      <c r="P93" s="435"/>
      <c r="Q93" s="434"/>
      <c r="R93" s="389"/>
    </row>
    <row r="94" spans="1:18" s="387" customFormat="1" ht="14.4" x14ac:dyDescent="0.3">
      <c r="A94" s="100"/>
      <c r="B94" s="406"/>
      <c r="C94" s="406"/>
      <c r="D94" s="393"/>
      <c r="E94" s="435"/>
      <c r="F94" s="435"/>
      <c r="G94" s="435"/>
      <c r="H94" s="435"/>
      <c r="I94" s="435"/>
      <c r="J94" s="435"/>
      <c r="K94" s="435"/>
      <c r="L94" s="435"/>
      <c r="M94" s="435"/>
      <c r="N94" s="435"/>
      <c r="O94" s="435"/>
      <c r="P94" s="435"/>
      <c r="Q94" s="434"/>
      <c r="R94" s="389"/>
    </row>
    <row r="95" spans="1:18" s="387" customFormat="1" ht="14.4" x14ac:dyDescent="0.3">
      <c r="A95" s="100"/>
      <c r="B95" s="406"/>
      <c r="C95" s="406"/>
      <c r="D95" s="393"/>
      <c r="E95" s="435"/>
      <c r="F95" s="435"/>
      <c r="G95" s="435"/>
      <c r="H95" s="435"/>
      <c r="I95" s="435"/>
      <c r="J95" s="435"/>
      <c r="K95" s="435"/>
      <c r="L95" s="435"/>
      <c r="M95" s="435"/>
      <c r="N95" s="435"/>
      <c r="O95" s="435"/>
      <c r="P95" s="435"/>
      <c r="Q95" s="434"/>
      <c r="R95" s="389"/>
    </row>
    <row r="96" spans="1:18" s="387" customFormat="1" ht="14.4" x14ac:dyDescent="0.3">
      <c r="A96" s="100"/>
      <c r="B96" s="406"/>
      <c r="C96" s="406"/>
      <c r="D96" s="393"/>
      <c r="E96" s="435"/>
      <c r="F96" s="435"/>
      <c r="G96" s="435"/>
      <c r="H96" s="435"/>
      <c r="I96" s="435"/>
      <c r="J96" s="435"/>
      <c r="K96" s="435"/>
      <c r="L96" s="435"/>
      <c r="M96" s="435"/>
      <c r="N96" s="435"/>
      <c r="O96" s="435"/>
      <c r="P96" s="435"/>
      <c r="Q96" s="434"/>
      <c r="R96" s="389"/>
    </row>
    <row r="97" spans="1:18" s="387" customFormat="1" ht="14.4" x14ac:dyDescent="0.3">
      <c r="A97" s="100"/>
      <c r="B97" s="406"/>
      <c r="C97" s="406"/>
      <c r="D97" s="393"/>
      <c r="E97" s="435"/>
      <c r="F97" s="435"/>
      <c r="G97" s="435"/>
      <c r="H97" s="435"/>
      <c r="I97" s="435"/>
      <c r="J97" s="435"/>
      <c r="K97" s="435"/>
      <c r="L97" s="435"/>
      <c r="M97" s="435"/>
      <c r="N97" s="435"/>
      <c r="O97" s="435"/>
      <c r="P97" s="435"/>
      <c r="Q97" s="434"/>
      <c r="R97" s="389"/>
    </row>
    <row r="98" spans="1:18" s="387" customFormat="1" ht="14.4" x14ac:dyDescent="0.3">
      <c r="A98" s="100"/>
      <c r="B98" s="406"/>
      <c r="C98" s="406"/>
      <c r="D98" s="393"/>
      <c r="E98" s="435"/>
      <c r="F98" s="435"/>
      <c r="G98" s="435"/>
      <c r="H98" s="435"/>
      <c r="I98" s="435"/>
      <c r="J98" s="435"/>
      <c r="K98" s="435"/>
      <c r="L98" s="435"/>
      <c r="M98" s="435"/>
      <c r="N98" s="435"/>
      <c r="O98" s="435"/>
      <c r="P98" s="435"/>
      <c r="Q98" s="434"/>
      <c r="R98" s="389"/>
    </row>
    <row r="99" spans="1:18" s="387" customFormat="1" ht="14.4" x14ac:dyDescent="0.3">
      <c r="A99" s="100"/>
      <c r="B99" s="406"/>
      <c r="C99" s="406"/>
      <c r="D99" s="393"/>
      <c r="E99" s="435"/>
      <c r="F99" s="435"/>
      <c r="G99" s="435"/>
      <c r="H99" s="435"/>
      <c r="I99" s="435"/>
      <c r="J99" s="435"/>
      <c r="K99" s="435"/>
      <c r="L99" s="435"/>
      <c r="M99" s="435"/>
      <c r="N99" s="435"/>
      <c r="O99" s="435"/>
      <c r="P99" s="435"/>
      <c r="Q99" s="434"/>
      <c r="R99" s="389"/>
    </row>
    <row r="100" spans="1:18" s="387" customFormat="1" x14ac:dyDescent="0.25">
      <c r="A100" s="100"/>
      <c r="B100" s="391"/>
      <c r="C100" s="393"/>
      <c r="D100" s="393"/>
      <c r="E100" s="434"/>
      <c r="F100" s="434"/>
      <c r="G100" s="434"/>
      <c r="H100" s="434"/>
      <c r="I100" s="434"/>
      <c r="J100" s="434"/>
      <c r="K100" s="434"/>
      <c r="L100" s="434"/>
      <c r="M100" s="434"/>
      <c r="N100" s="434"/>
      <c r="O100" s="434"/>
      <c r="P100" s="434"/>
      <c r="Q100" s="434"/>
      <c r="R100" s="389"/>
    </row>
    <row r="101" spans="1:18" x14ac:dyDescent="0.25">
      <c r="A101" s="100"/>
      <c r="B101" s="436"/>
      <c r="C101" s="437"/>
      <c r="D101" s="437"/>
      <c r="E101" s="289"/>
      <c r="F101" s="289"/>
      <c r="G101" s="289"/>
      <c r="H101" s="289"/>
      <c r="I101" s="289"/>
      <c r="J101" s="289"/>
      <c r="K101" s="289"/>
      <c r="L101" s="289"/>
      <c r="M101" s="289"/>
      <c r="N101" s="289"/>
      <c r="O101" s="289"/>
      <c r="P101" s="289"/>
      <c r="Q101" s="289"/>
      <c r="R101" s="382"/>
    </row>
    <row r="102" spans="1:18" x14ac:dyDescent="0.25">
      <c r="A102" s="100"/>
      <c r="B102" s="436"/>
      <c r="C102" s="437"/>
      <c r="D102" s="437"/>
      <c r="E102" s="289"/>
      <c r="F102" s="289"/>
      <c r="G102" s="289"/>
      <c r="H102" s="289"/>
      <c r="I102" s="289"/>
      <c r="J102" s="289"/>
      <c r="K102" s="289"/>
      <c r="L102" s="289"/>
      <c r="M102" s="289"/>
      <c r="N102" s="289"/>
      <c r="O102" s="289"/>
      <c r="P102" s="289"/>
      <c r="Q102" s="289"/>
      <c r="R102" s="382"/>
    </row>
    <row r="103" spans="1:18" x14ac:dyDescent="0.25">
      <c r="A103" s="100"/>
      <c r="B103" s="436"/>
      <c r="C103" s="437"/>
      <c r="D103" s="437"/>
      <c r="E103" s="289"/>
      <c r="F103" s="289"/>
      <c r="G103" s="289"/>
      <c r="H103" s="289"/>
      <c r="I103" s="289"/>
      <c r="J103" s="289"/>
      <c r="K103" s="289"/>
      <c r="L103" s="289"/>
      <c r="M103" s="289"/>
      <c r="N103" s="289"/>
      <c r="O103" s="289"/>
      <c r="P103" s="289"/>
      <c r="Q103" s="289"/>
      <c r="R103" s="382"/>
    </row>
    <row r="104" spans="1:18" x14ac:dyDescent="0.25">
      <c r="B104" s="436"/>
      <c r="C104" s="437"/>
      <c r="D104" s="437"/>
      <c r="E104" s="289"/>
      <c r="F104" s="289"/>
      <c r="G104" s="289"/>
      <c r="H104" s="289"/>
      <c r="I104" s="289"/>
      <c r="J104" s="289"/>
      <c r="K104" s="289"/>
      <c r="L104" s="289"/>
      <c r="M104" s="289"/>
      <c r="N104" s="289"/>
      <c r="O104" s="289"/>
      <c r="P104" s="289"/>
      <c r="Q104" s="289"/>
      <c r="R104" s="382"/>
    </row>
    <row r="105" spans="1:18" x14ac:dyDescent="0.25">
      <c r="B105" s="436"/>
      <c r="C105" s="437"/>
      <c r="D105" s="437"/>
      <c r="E105" s="289"/>
      <c r="F105" s="289"/>
      <c r="G105" s="289"/>
      <c r="H105" s="289"/>
      <c r="I105" s="289"/>
      <c r="J105" s="289"/>
      <c r="K105" s="289"/>
      <c r="L105" s="289"/>
      <c r="M105" s="289"/>
      <c r="N105" s="289"/>
      <c r="O105" s="289"/>
      <c r="P105" s="289"/>
      <c r="Q105" s="289"/>
      <c r="R105" s="382"/>
    </row>
    <row r="106" spans="1:18" x14ac:dyDescent="0.25">
      <c r="B106" s="436"/>
      <c r="C106" s="437"/>
      <c r="D106" s="437"/>
      <c r="E106" s="289"/>
      <c r="F106" s="289"/>
      <c r="G106" s="289"/>
      <c r="H106" s="289"/>
      <c r="I106" s="289"/>
      <c r="J106" s="289"/>
      <c r="K106" s="289"/>
      <c r="L106" s="289"/>
      <c r="M106" s="289"/>
      <c r="N106" s="289"/>
      <c r="O106" s="289"/>
      <c r="P106" s="289"/>
      <c r="Q106" s="289"/>
      <c r="R106" s="382"/>
    </row>
    <row r="107" spans="1:18" x14ac:dyDescent="0.25">
      <c r="B107" s="436"/>
      <c r="C107" s="437"/>
      <c r="D107" s="437"/>
      <c r="E107" s="289"/>
      <c r="F107" s="289"/>
      <c r="G107" s="289"/>
      <c r="H107" s="289"/>
      <c r="I107" s="289"/>
      <c r="J107" s="289"/>
      <c r="K107" s="289"/>
      <c r="L107" s="289"/>
      <c r="M107" s="289"/>
      <c r="N107" s="289"/>
      <c r="O107" s="289"/>
      <c r="P107" s="289"/>
      <c r="Q107" s="289"/>
      <c r="R107" s="382"/>
    </row>
    <row r="108" spans="1:18" x14ac:dyDescent="0.25">
      <c r="B108" s="436"/>
      <c r="C108" s="437"/>
      <c r="D108" s="437"/>
      <c r="E108" s="289"/>
      <c r="F108" s="289"/>
      <c r="G108" s="289"/>
      <c r="H108" s="289"/>
      <c r="I108" s="289"/>
      <c r="J108" s="289"/>
      <c r="K108" s="289"/>
      <c r="L108" s="289"/>
      <c r="M108" s="289"/>
      <c r="N108" s="289"/>
      <c r="O108" s="289"/>
      <c r="P108" s="289"/>
      <c r="Q108" s="289"/>
      <c r="R108" s="382"/>
    </row>
    <row r="109" spans="1:18" x14ac:dyDescent="0.25">
      <c r="B109" s="436"/>
      <c r="C109" s="437"/>
      <c r="D109" s="437"/>
      <c r="E109" s="289"/>
      <c r="F109" s="289"/>
      <c r="G109" s="289"/>
      <c r="H109" s="289"/>
      <c r="I109" s="289"/>
      <c r="J109" s="289"/>
      <c r="K109" s="289"/>
      <c r="L109" s="289"/>
      <c r="M109" s="289"/>
      <c r="N109" s="289"/>
      <c r="O109" s="289"/>
      <c r="P109" s="289"/>
      <c r="Q109" s="289"/>
      <c r="R109" s="382"/>
    </row>
    <row r="110" spans="1:18" x14ac:dyDescent="0.25">
      <c r="B110" s="436"/>
      <c r="C110" s="437"/>
      <c r="D110" s="437"/>
      <c r="E110" s="289"/>
      <c r="F110" s="289"/>
      <c r="G110" s="289"/>
      <c r="H110" s="289"/>
      <c r="I110" s="289"/>
      <c r="J110" s="289"/>
      <c r="K110" s="289"/>
      <c r="L110" s="289"/>
      <c r="M110" s="289"/>
      <c r="N110" s="289"/>
      <c r="O110" s="289"/>
      <c r="P110" s="289"/>
      <c r="Q110" s="289"/>
      <c r="R110" s="382"/>
    </row>
    <row r="111" spans="1:18" x14ac:dyDescent="0.25">
      <c r="B111" s="436"/>
      <c r="C111" s="437"/>
      <c r="D111" s="437"/>
      <c r="E111" s="289"/>
      <c r="F111" s="289"/>
      <c r="G111" s="289"/>
      <c r="H111" s="289"/>
      <c r="I111" s="289"/>
      <c r="J111" s="289"/>
      <c r="K111" s="289"/>
      <c r="L111" s="289"/>
      <c r="M111" s="289"/>
      <c r="N111" s="289"/>
      <c r="O111" s="289"/>
      <c r="P111" s="289"/>
      <c r="Q111" s="289"/>
      <c r="R111" s="382"/>
    </row>
    <row r="112" spans="1:18" x14ac:dyDescent="0.25">
      <c r="B112" s="436"/>
      <c r="C112" s="437"/>
      <c r="D112" s="437"/>
      <c r="E112" s="289"/>
      <c r="F112" s="289"/>
      <c r="G112" s="289"/>
      <c r="H112" s="289"/>
      <c r="I112" s="289"/>
      <c r="J112" s="289"/>
      <c r="K112" s="289"/>
      <c r="L112" s="289"/>
      <c r="M112" s="289"/>
      <c r="N112" s="289"/>
      <c r="O112" s="289"/>
      <c r="P112" s="289"/>
      <c r="Q112" s="289"/>
      <c r="R112" s="382"/>
    </row>
    <row r="113" spans="2:18" x14ac:dyDescent="0.25">
      <c r="B113" s="436"/>
      <c r="C113" s="437"/>
      <c r="D113" s="437"/>
      <c r="E113" s="289"/>
      <c r="F113" s="289"/>
      <c r="G113" s="289"/>
      <c r="H113" s="289"/>
      <c r="I113" s="289"/>
      <c r="J113" s="289"/>
      <c r="K113" s="289"/>
      <c r="L113" s="289"/>
      <c r="M113" s="289"/>
      <c r="N113" s="289"/>
      <c r="O113" s="289"/>
      <c r="P113" s="289"/>
      <c r="Q113" s="289"/>
      <c r="R113" s="382"/>
    </row>
    <row r="114" spans="2:18" x14ac:dyDescent="0.25">
      <c r="B114" s="436"/>
      <c r="C114" s="437"/>
      <c r="D114" s="437"/>
      <c r="E114" s="289"/>
      <c r="F114" s="289"/>
      <c r="G114" s="289"/>
      <c r="H114" s="289"/>
      <c r="I114" s="289"/>
      <c r="J114" s="289"/>
      <c r="K114" s="289"/>
      <c r="L114" s="289"/>
      <c r="M114" s="289"/>
      <c r="N114" s="289"/>
      <c r="O114" s="289"/>
      <c r="P114" s="289"/>
      <c r="Q114" s="289"/>
      <c r="R114" s="382"/>
    </row>
    <row r="115" spans="2:18" x14ac:dyDescent="0.25">
      <c r="B115" s="436"/>
      <c r="C115" s="437"/>
      <c r="D115" s="437"/>
      <c r="E115" s="289"/>
      <c r="F115" s="289"/>
      <c r="G115" s="289"/>
      <c r="H115" s="289"/>
      <c r="I115" s="289"/>
      <c r="J115" s="289"/>
      <c r="K115" s="289"/>
      <c r="L115" s="289"/>
      <c r="M115" s="289"/>
      <c r="N115" s="289"/>
      <c r="O115" s="289"/>
      <c r="P115" s="289"/>
      <c r="Q115" s="289"/>
      <c r="R115" s="382"/>
    </row>
    <row r="116" spans="2:18" x14ac:dyDescent="0.25">
      <c r="B116" s="436"/>
      <c r="C116" s="437"/>
      <c r="D116" s="437"/>
      <c r="E116" s="289"/>
      <c r="F116" s="289"/>
      <c r="G116" s="289"/>
      <c r="H116" s="289"/>
      <c r="I116" s="289"/>
      <c r="J116" s="289"/>
      <c r="K116" s="289"/>
      <c r="L116" s="289"/>
      <c r="M116" s="289"/>
      <c r="N116" s="289"/>
      <c r="O116" s="289"/>
      <c r="P116" s="289"/>
      <c r="Q116" s="289"/>
      <c r="R116" s="382"/>
    </row>
    <row r="117" spans="2:18" x14ac:dyDescent="0.25">
      <c r="B117" s="436"/>
      <c r="C117" s="437"/>
      <c r="D117" s="437"/>
      <c r="E117" s="289"/>
      <c r="F117" s="289"/>
      <c r="G117" s="289"/>
      <c r="H117" s="289"/>
      <c r="I117" s="289"/>
      <c r="J117" s="289"/>
      <c r="K117" s="289"/>
      <c r="L117" s="289"/>
      <c r="M117" s="289"/>
      <c r="N117" s="289"/>
      <c r="O117" s="289"/>
      <c r="P117" s="289"/>
      <c r="Q117" s="289"/>
      <c r="R117" s="382"/>
    </row>
    <row r="118" spans="2:18" x14ac:dyDescent="0.25">
      <c r="B118" s="436"/>
      <c r="C118" s="437"/>
      <c r="D118" s="437"/>
      <c r="E118" s="289"/>
      <c r="F118" s="289"/>
      <c r="G118" s="289"/>
      <c r="H118" s="289"/>
      <c r="I118" s="289"/>
      <c r="J118" s="289"/>
      <c r="K118" s="289"/>
      <c r="L118" s="289"/>
      <c r="M118" s="289"/>
      <c r="N118" s="289"/>
      <c r="O118" s="289"/>
      <c r="P118" s="289"/>
      <c r="Q118" s="289"/>
      <c r="R118" s="382"/>
    </row>
    <row r="119" spans="2:18" x14ac:dyDescent="0.25">
      <c r="B119" s="436"/>
      <c r="C119" s="437"/>
      <c r="D119" s="437"/>
      <c r="E119" s="289"/>
      <c r="F119" s="289"/>
      <c r="G119" s="289"/>
      <c r="H119" s="289"/>
      <c r="I119" s="289"/>
      <c r="J119" s="289"/>
      <c r="K119" s="289"/>
      <c r="L119" s="289"/>
      <c r="M119" s="289"/>
      <c r="N119" s="289"/>
      <c r="O119" s="289"/>
      <c r="P119" s="289"/>
      <c r="Q119" s="289"/>
      <c r="R119" s="382"/>
    </row>
    <row r="120" spans="2:18" x14ac:dyDescent="0.25">
      <c r="B120" s="436"/>
      <c r="C120" s="437"/>
      <c r="D120" s="437"/>
      <c r="E120" s="289"/>
      <c r="F120" s="289"/>
      <c r="G120" s="289"/>
      <c r="H120" s="289"/>
      <c r="I120" s="289"/>
      <c r="J120" s="289"/>
      <c r="K120" s="289"/>
      <c r="L120" s="289"/>
      <c r="M120" s="289"/>
      <c r="N120" s="289"/>
      <c r="O120" s="289"/>
      <c r="P120" s="289"/>
      <c r="Q120" s="289"/>
      <c r="R120" s="382"/>
    </row>
    <row r="121" spans="2:18" x14ac:dyDescent="0.25">
      <c r="B121" s="436"/>
      <c r="C121" s="437"/>
      <c r="D121" s="437"/>
      <c r="E121" s="289"/>
      <c r="F121" s="289"/>
      <c r="G121" s="289"/>
      <c r="H121" s="289"/>
      <c r="I121" s="289"/>
      <c r="J121" s="289"/>
      <c r="K121" s="289"/>
      <c r="L121" s="289"/>
      <c r="M121" s="289"/>
      <c r="N121" s="289"/>
      <c r="O121" s="289"/>
      <c r="P121" s="289"/>
      <c r="Q121" s="289"/>
      <c r="R121" s="382"/>
    </row>
    <row r="122" spans="2:18" x14ac:dyDescent="0.25">
      <c r="B122" s="436"/>
      <c r="C122" s="437"/>
      <c r="D122" s="437"/>
      <c r="E122" s="289"/>
      <c r="F122" s="289"/>
      <c r="G122" s="289"/>
      <c r="H122" s="289"/>
      <c r="I122" s="289"/>
      <c r="J122" s="289"/>
      <c r="K122" s="289"/>
      <c r="L122" s="289"/>
      <c r="M122" s="289"/>
      <c r="N122" s="289"/>
      <c r="O122" s="289"/>
      <c r="P122" s="289"/>
      <c r="Q122" s="289"/>
      <c r="R122" s="382"/>
    </row>
    <row r="123" spans="2:18" x14ac:dyDescent="0.25">
      <c r="B123" s="436"/>
      <c r="C123" s="437"/>
      <c r="D123" s="437"/>
      <c r="E123" s="289"/>
      <c r="F123" s="289"/>
      <c r="G123" s="289"/>
      <c r="H123" s="289"/>
      <c r="I123" s="289"/>
      <c r="J123" s="289"/>
      <c r="K123" s="289"/>
      <c r="L123" s="289"/>
      <c r="M123" s="289"/>
      <c r="N123" s="289"/>
      <c r="O123" s="289"/>
      <c r="P123" s="289"/>
      <c r="Q123" s="289"/>
      <c r="R123" s="382"/>
    </row>
    <row r="124" spans="2:18" x14ac:dyDescent="0.25">
      <c r="B124" s="436"/>
      <c r="C124" s="437"/>
      <c r="D124" s="437"/>
      <c r="E124" s="289"/>
      <c r="F124" s="289"/>
      <c r="G124" s="289"/>
      <c r="H124" s="289"/>
      <c r="I124" s="289"/>
      <c r="J124" s="289"/>
      <c r="K124" s="289"/>
      <c r="L124" s="289"/>
      <c r="M124" s="289"/>
      <c r="N124" s="289"/>
      <c r="O124" s="289"/>
      <c r="P124" s="289"/>
      <c r="Q124" s="289"/>
      <c r="R124" s="382"/>
    </row>
    <row r="125" spans="2:18" x14ac:dyDescent="0.25">
      <c r="B125" s="436"/>
      <c r="C125" s="437"/>
      <c r="D125" s="437"/>
      <c r="E125" s="289"/>
      <c r="F125" s="289"/>
      <c r="G125" s="289"/>
      <c r="H125" s="289"/>
      <c r="I125" s="289"/>
      <c r="J125" s="289"/>
      <c r="K125" s="289"/>
      <c r="L125" s="289"/>
      <c r="M125" s="289"/>
      <c r="N125" s="289"/>
      <c r="O125" s="289"/>
      <c r="P125" s="289"/>
      <c r="Q125" s="289"/>
      <c r="R125" s="382"/>
    </row>
    <row r="126" spans="2:18" x14ac:dyDescent="0.25">
      <c r="B126" s="436"/>
      <c r="C126" s="437"/>
      <c r="D126" s="437"/>
      <c r="E126" s="289"/>
      <c r="F126" s="289"/>
      <c r="G126" s="289"/>
      <c r="H126" s="289"/>
      <c r="I126" s="289"/>
      <c r="J126" s="289"/>
      <c r="K126" s="289"/>
      <c r="L126" s="289"/>
      <c r="M126" s="289"/>
      <c r="N126" s="289"/>
      <c r="O126" s="289"/>
      <c r="P126" s="289"/>
      <c r="Q126" s="289"/>
      <c r="R126" s="382"/>
    </row>
    <row r="127" spans="2:18" x14ac:dyDescent="0.25">
      <c r="B127" s="436"/>
      <c r="C127" s="437"/>
      <c r="D127" s="437"/>
      <c r="E127" s="289"/>
      <c r="F127" s="289"/>
      <c r="G127" s="289"/>
      <c r="H127" s="289"/>
      <c r="I127" s="289"/>
      <c r="J127" s="289"/>
      <c r="K127" s="289"/>
      <c r="L127" s="289"/>
      <c r="M127" s="289"/>
      <c r="N127" s="289"/>
      <c r="O127" s="289"/>
      <c r="P127" s="289"/>
      <c r="Q127" s="289"/>
      <c r="R127" s="382"/>
    </row>
    <row r="128" spans="2:18" x14ac:dyDescent="0.25">
      <c r="B128" s="436"/>
      <c r="C128" s="437"/>
      <c r="D128" s="437"/>
      <c r="E128" s="289"/>
      <c r="F128" s="289"/>
      <c r="G128" s="289"/>
      <c r="H128" s="289"/>
      <c r="I128" s="289"/>
      <c r="J128" s="289"/>
      <c r="K128" s="289"/>
      <c r="L128" s="289"/>
      <c r="M128" s="289"/>
      <c r="N128" s="289"/>
      <c r="O128" s="289"/>
      <c r="P128" s="289"/>
      <c r="Q128" s="289"/>
      <c r="R128" s="382"/>
    </row>
    <row r="129" spans="2:18" x14ac:dyDescent="0.25">
      <c r="B129" s="436"/>
      <c r="C129" s="437"/>
      <c r="D129" s="437"/>
      <c r="E129" s="289"/>
      <c r="F129" s="289"/>
      <c r="G129" s="289"/>
      <c r="H129" s="289"/>
      <c r="I129" s="289"/>
      <c r="J129" s="289"/>
      <c r="K129" s="289"/>
      <c r="L129" s="289"/>
      <c r="M129" s="289"/>
      <c r="N129" s="289"/>
      <c r="O129" s="289"/>
      <c r="P129" s="289"/>
      <c r="Q129" s="289"/>
      <c r="R129" s="382"/>
    </row>
    <row r="130" spans="2:18" x14ac:dyDescent="0.25">
      <c r="B130" s="436"/>
      <c r="C130" s="437"/>
      <c r="D130" s="437"/>
      <c r="E130" s="289"/>
      <c r="F130" s="289"/>
      <c r="G130" s="289"/>
      <c r="H130" s="289"/>
      <c r="I130" s="289"/>
      <c r="J130" s="289"/>
      <c r="K130" s="289"/>
      <c r="L130" s="289"/>
      <c r="M130" s="289"/>
      <c r="N130" s="289"/>
      <c r="O130" s="289"/>
      <c r="P130" s="289"/>
      <c r="Q130" s="289"/>
      <c r="R130" s="382"/>
    </row>
    <row r="131" spans="2:18" x14ac:dyDescent="0.25">
      <c r="B131" s="436"/>
      <c r="C131" s="437"/>
      <c r="D131" s="437"/>
      <c r="E131" s="289"/>
      <c r="F131" s="289"/>
      <c r="G131" s="289"/>
      <c r="H131" s="289"/>
      <c r="I131" s="289"/>
      <c r="J131" s="289"/>
      <c r="K131" s="289"/>
      <c r="L131" s="289"/>
      <c r="M131" s="289"/>
      <c r="N131" s="289"/>
      <c r="O131" s="289"/>
      <c r="P131" s="289"/>
      <c r="Q131" s="289"/>
      <c r="R131" s="382"/>
    </row>
    <row r="132" spans="2:18" x14ac:dyDescent="0.25">
      <c r="B132" s="436"/>
      <c r="C132" s="437"/>
      <c r="D132" s="437"/>
      <c r="E132" s="289"/>
      <c r="F132" s="289"/>
      <c r="G132" s="289"/>
      <c r="H132" s="289"/>
      <c r="I132" s="289"/>
      <c r="J132" s="289"/>
      <c r="K132" s="289"/>
      <c r="L132" s="289"/>
      <c r="M132" s="289"/>
      <c r="N132" s="289"/>
      <c r="O132" s="289"/>
      <c r="P132" s="289"/>
      <c r="Q132" s="289"/>
      <c r="R132" s="382"/>
    </row>
    <row r="133" spans="2:18" x14ac:dyDescent="0.25">
      <c r="B133" s="436"/>
      <c r="C133" s="437"/>
      <c r="D133" s="437"/>
      <c r="E133" s="289"/>
      <c r="F133" s="289"/>
      <c r="G133" s="289"/>
      <c r="H133" s="289"/>
      <c r="I133" s="289"/>
      <c r="J133" s="289"/>
      <c r="K133" s="289"/>
      <c r="L133" s="289"/>
      <c r="M133" s="289"/>
      <c r="N133" s="289"/>
      <c r="O133" s="289"/>
      <c r="P133" s="289"/>
      <c r="Q133" s="289"/>
      <c r="R133" s="382"/>
    </row>
    <row r="134" spans="2:18" x14ac:dyDescent="0.25">
      <c r="B134" s="436"/>
      <c r="C134" s="437"/>
      <c r="D134" s="437"/>
      <c r="E134" s="289"/>
      <c r="F134" s="289"/>
      <c r="G134" s="289"/>
      <c r="H134" s="289"/>
      <c r="I134" s="289"/>
      <c r="J134" s="289"/>
      <c r="K134" s="289"/>
      <c r="L134" s="289"/>
      <c r="M134" s="289"/>
      <c r="N134" s="289"/>
      <c r="O134" s="289"/>
      <c r="P134" s="289"/>
      <c r="Q134" s="289"/>
      <c r="R134" s="382"/>
    </row>
    <row r="135" spans="2:18" x14ac:dyDescent="0.25">
      <c r="B135" s="436"/>
      <c r="C135" s="437"/>
      <c r="D135" s="437"/>
      <c r="E135" s="289"/>
      <c r="F135" s="289"/>
      <c r="G135" s="289"/>
      <c r="H135" s="289"/>
      <c r="I135" s="289"/>
      <c r="J135" s="289"/>
      <c r="K135" s="289"/>
      <c r="L135" s="289"/>
      <c r="M135" s="289"/>
      <c r="N135" s="289"/>
      <c r="O135" s="289"/>
      <c r="P135" s="289"/>
      <c r="Q135" s="289"/>
      <c r="R135" s="382"/>
    </row>
    <row r="136" spans="2:18" x14ac:dyDescent="0.25">
      <c r="B136" s="436"/>
      <c r="C136" s="437"/>
      <c r="D136" s="437"/>
      <c r="E136" s="289"/>
      <c r="F136" s="289"/>
      <c r="G136" s="289"/>
      <c r="H136" s="289"/>
      <c r="I136" s="289"/>
      <c r="J136" s="289"/>
      <c r="K136" s="289"/>
      <c r="L136" s="289"/>
      <c r="M136" s="289"/>
      <c r="N136" s="289"/>
      <c r="O136" s="289"/>
      <c r="P136" s="289"/>
      <c r="Q136" s="289"/>
      <c r="R136" s="382"/>
    </row>
    <row r="137" spans="2:18" x14ac:dyDescent="0.25">
      <c r="B137" s="436"/>
      <c r="C137" s="437"/>
      <c r="D137" s="437"/>
      <c r="E137" s="289"/>
      <c r="F137" s="289"/>
      <c r="G137" s="289"/>
      <c r="H137" s="289"/>
      <c r="I137" s="289"/>
      <c r="J137" s="289"/>
      <c r="K137" s="289"/>
      <c r="L137" s="289"/>
      <c r="M137" s="289"/>
      <c r="N137" s="289"/>
      <c r="O137" s="289"/>
      <c r="P137" s="289"/>
      <c r="Q137" s="289"/>
      <c r="R137" s="382"/>
    </row>
    <row r="138" spans="2:18" x14ac:dyDescent="0.25">
      <c r="B138" s="436"/>
      <c r="C138" s="437"/>
      <c r="D138" s="437"/>
      <c r="E138" s="289"/>
      <c r="F138" s="289"/>
      <c r="G138" s="289"/>
      <c r="H138" s="289"/>
      <c r="I138" s="289"/>
      <c r="J138" s="289"/>
      <c r="K138" s="289"/>
      <c r="L138" s="289"/>
      <c r="M138" s="289"/>
      <c r="N138" s="289"/>
      <c r="O138" s="289"/>
      <c r="P138" s="289"/>
      <c r="Q138" s="289"/>
      <c r="R138" s="382"/>
    </row>
    <row r="139" spans="2:18" x14ac:dyDescent="0.25">
      <c r="B139" s="436"/>
      <c r="C139" s="437"/>
      <c r="D139" s="437"/>
      <c r="E139" s="289"/>
      <c r="F139" s="289"/>
      <c r="G139" s="289"/>
      <c r="H139" s="289"/>
      <c r="I139" s="289"/>
      <c r="J139" s="289"/>
      <c r="K139" s="289"/>
      <c r="L139" s="289"/>
      <c r="M139" s="289"/>
      <c r="N139" s="289"/>
      <c r="O139" s="289"/>
      <c r="P139" s="289"/>
      <c r="Q139" s="289"/>
      <c r="R139" s="382"/>
    </row>
    <row r="140" spans="2:18" x14ac:dyDescent="0.25">
      <c r="B140" s="436"/>
      <c r="C140" s="437"/>
      <c r="D140" s="437"/>
      <c r="E140" s="289"/>
      <c r="F140" s="289"/>
      <c r="G140" s="289"/>
      <c r="H140" s="289"/>
      <c r="I140" s="289"/>
      <c r="J140" s="289"/>
      <c r="K140" s="289"/>
      <c r="L140" s="289"/>
      <c r="M140" s="289"/>
      <c r="N140" s="289"/>
      <c r="O140" s="289"/>
      <c r="P140" s="289"/>
      <c r="Q140" s="289"/>
      <c r="R140" s="382"/>
    </row>
    <row r="141" spans="2:18" x14ac:dyDescent="0.25">
      <c r="B141" s="436"/>
      <c r="C141" s="437"/>
      <c r="D141" s="437"/>
      <c r="E141" s="289"/>
      <c r="F141" s="289"/>
      <c r="G141" s="289"/>
      <c r="H141" s="289"/>
      <c r="I141" s="289"/>
      <c r="J141" s="289"/>
      <c r="K141" s="289"/>
      <c r="L141" s="289"/>
      <c r="M141" s="289"/>
      <c r="N141" s="289"/>
      <c r="O141" s="289"/>
      <c r="P141" s="289"/>
      <c r="Q141" s="289"/>
      <c r="R141" s="382"/>
    </row>
    <row r="142" spans="2:18" x14ac:dyDescent="0.25">
      <c r="B142" s="436"/>
      <c r="C142" s="437"/>
      <c r="D142" s="437"/>
      <c r="E142" s="289"/>
      <c r="F142" s="289"/>
      <c r="G142" s="289"/>
      <c r="H142" s="289"/>
      <c r="I142" s="289"/>
      <c r="J142" s="289"/>
      <c r="K142" s="289"/>
      <c r="L142" s="289"/>
      <c r="M142" s="289"/>
      <c r="N142" s="289"/>
      <c r="O142" s="289"/>
      <c r="P142" s="289"/>
      <c r="Q142" s="289"/>
      <c r="R142" s="382"/>
    </row>
    <row r="143" spans="2:18" x14ac:dyDescent="0.25">
      <c r="B143" s="436"/>
      <c r="C143" s="437"/>
      <c r="D143" s="437"/>
      <c r="E143" s="289"/>
      <c r="F143" s="289"/>
      <c r="G143" s="289"/>
      <c r="H143" s="289"/>
      <c r="I143" s="289"/>
      <c r="J143" s="289"/>
      <c r="K143" s="289"/>
      <c r="L143" s="289"/>
      <c r="M143" s="289"/>
      <c r="N143" s="289"/>
      <c r="O143" s="289"/>
      <c r="P143" s="289"/>
      <c r="Q143" s="289"/>
      <c r="R143" s="382"/>
    </row>
    <row r="144" spans="2:18" x14ac:dyDescent="0.25">
      <c r="B144" s="436"/>
      <c r="C144" s="437"/>
      <c r="D144" s="437"/>
      <c r="E144" s="289"/>
      <c r="F144" s="289"/>
      <c r="G144" s="289"/>
      <c r="H144" s="289"/>
      <c r="I144" s="289"/>
      <c r="J144" s="289"/>
      <c r="K144" s="289"/>
      <c r="L144" s="289"/>
      <c r="M144" s="289"/>
      <c r="N144" s="289"/>
      <c r="O144" s="289"/>
      <c r="P144" s="289"/>
      <c r="Q144" s="289"/>
      <c r="R144" s="382"/>
    </row>
    <row r="145" spans="2:18" x14ac:dyDescent="0.25">
      <c r="B145" s="436"/>
      <c r="C145" s="437"/>
      <c r="D145" s="437"/>
      <c r="E145" s="289"/>
      <c r="F145" s="289"/>
      <c r="G145" s="289"/>
      <c r="H145" s="289"/>
      <c r="I145" s="289"/>
      <c r="J145" s="289"/>
      <c r="K145" s="289"/>
      <c r="L145" s="289"/>
      <c r="M145" s="289"/>
      <c r="N145" s="289"/>
      <c r="O145" s="289"/>
      <c r="P145" s="289"/>
      <c r="Q145" s="289"/>
      <c r="R145" s="382"/>
    </row>
    <row r="146" spans="2:18" x14ac:dyDescent="0.25">
      <c r="B146" s="436"/>
      <c r="C146" s="437"/>
      <c r="D146" s="437"/>
      <c r="E146" s="289"/>
      <c r="F146" s="289"/>
      <c r="G146" s="289"/>
      <c r="H146" s="289"/>
      <c r="I146" s="289"/>
      <c r="J146" s="289"/>
      <c r="K146" s="289"/>
      <c r="L146" s="289"/>
      <c r="M146" s="289"/>
      <c r="N146" s="289"/>
      <c r="O146" s="289"/>
      <c r="P146" s="289"/>
      <c r="Q146" s="289"/>
      <c r="R146" s="382"/>
    </row>
    <row r="147" spans="2:18" x14ac:dyDescent="0.25">
      <c r="B147" s="436"/>
      <c r="C147" s="437"/>
      <c r="D147" s="437"/>
      <c r="E147" s="289"/>
      <c r="F147" s="289"/>
      <c r="G147" s="289"/>
      <c r="H147" s="289"/>
      <c r="I147" s="289"/>
      <c r="J147" s="289"/>
      <c r="K147" s="289"/>
      <c r="L147" s="289"/>
      <c r="M147" s="289"/>
      <c r="N147" s="289"/>
      <c r="O147" s="289"/>
      <c r="P147" s="289"/>
      <c r="Q147" s="289"/>
      <c r="R147" s="382"/>
    </row>
    <row r="148" spans="2:18" x14ac:dyDescent="0.25">
      <c r="B148" s="436"/>
      <c r="C148" s="437"/>
      <c r="D148" s="437"/>
      <c r="E148" s="289"/>
      <c r="F148" s="289"/>
      <c r="G148" s="289"/>
      <c r="H148" s="289"/>
      <c r="I148" s="289"/>
      <c r="J148" s="289"/>
      <c r="K148" s="289"/>
      <c r="L148" s="289"/>
      <c r="M148" s="289"/>
      <c r="N148" s="289"/>
      <c r="O148" s="289"/>
      <c r="P148" s="289"/>
      <c r="Q148" s="289"/>
      <c r="R148" s="382"/>
    </row>
    <row r="149" spans="2:18" x14ac:dyDescent="0.25">
      <c r="B149" s="436"/>
      <c r="C149" s="437"/>
      <c r="D149" s="437"/>
      <c r="E149" s="289"/>
      <c r="F149" s="289"/>
      <c r="G149" s="289"/>
      <c r="H149" s="289"/>
      <c r="I149" s="289"/>
      <c r="J149" s="289"/>
      <c r="K149" s="289"/>
      <c r="L149" s="289"/>
      <c r="M149" s="289"/>
      <c r="N149" s="289"/>
      <c r="O149" s="289"/>
      <c r="P149" s="289"/>
      <c r="Q149" s="289"/>
      <c r="R149" s="382"/>
    </row>
    <row r="150" spans="2:18" x14ac:dyDescent="0.25">
      <c r="B150" s="436"/>
      <c r="C150" s="437"/>
      <c r="D150" s="437"/>
      <c r="E150" s="289"/>
      <c r="F150" s="289"/>
      <c r="G150" s="289"/>
      <c r="H150" s="289"/>
      <c r="I150" s="289"/>
      <c r="J150" s="289"/>
      <c r="K150" s="289"/>
      <c r="L150" s="289"/>
      <c r="M150" s="289"/>
      <c r="N150" s="289"/>
      <c r="O150" s="289"/>
      <c r="P150" s="289"/>
      <c r="Q150" s="289"/>
      <c r="R150" s="382"/>
    </row>
    <row r="151" spans="2:18" x14ac:dyDescent="0.25">
      <c r="B151" s="436"/>
      <c r="C151" s="437"/>
      <c r="D151" s="437"/>
      <c r="E151" s="289"/>
      <c r="F151" s="289"/>
      <c r="G151" s="289"/>
      <c r="H151" s="289"/>
      <c r="I151" s="289"/>
      <c r="J151" s="289"/>
      <c r="K151" s="289"/>
      <c r="L151" s="289"/>
      <c r="M151" s="289"/>
      <c r="N151" s="289"/>
      <c r="O151" s="289"/>
      <c r="P151" s="289"/>
      <c r="Q151" s="289"/>
      <c r="R151" s="382"/>
    </row>
    <row r="152" spans="2:18" x14ac:dyDescent="0.25">
      <c r="B152" s="436"/>
      <c r="C152" s="437"/>
      <c r="D152" s="437"/>
      <c r="E152" s="289"/>
      <c r="F152" s="289"/>
      <c r="G152" s="289"/>
      <c r="H152" s="289"/>
      <c r="I152" s="289"/>
      <c r="J152" s="289"/>
      <c r="K152" s="289"/>
      <c r="L152" s="289"/>
      <c r="M152" s="289"/>
      <c r="N152" s="289"/>
      <c r="O152" s="289"/>
      <c r="P152" s="289"/>
      <c r="Q152" s="289"/>
      <c r="R152" s="382"/>
    </row>
    <row r="153" spans="2:18" x14ac:dyDescent="0.25">
      <c r="B153" s="436"/>
      <c r="C153" s="437"/>
      <c r="D153" s="437"/>
      <c r="E153" s="289"/>
      <c r="F153" s="289"/>
      <c r="G153" s="289"/>
      <c r="H153" s="289"/>
      <c r="I153" s="289"/>
      <c r="J153" s="289"/>
      <c r="K153" s="289"/>
      <c r="L153" s="289"/>
      <c r="M153" s="289"/>
      <c r="N153" s="289"/>
      <c r="O153" s="289"/>
      <c r="P153" s="289"/>
      <c r="Q153" s="289"/>
      <c r="R153" s="382"/>
    </row>
    <row r="154" spans="2:18" x14ac:dyDescent="0.25">
      <c r="B154" s="436"/>
      <c r="C154" s="437"/>
      <c r="D154" s="437"/>
      <c r="E154" s="289"/>
      <c r="F154" s="289"/>
      <c r="G154" s="289"/>
      <c r="H154" s="289"/>
      <c r="I154" s="289"/>
      <c r="J154" s="289"/>
      <c r="K154" s="289"/>
      <c r="L154" s="289"/>
      <c r="M154" s="289"/>
      <c r="N154" s="289"/>
      <c r="O154" s="289"/>
      <c r="P154" s="289"/>
      <c r="Q154" s="289"/>
      <c r="R154" s="382"/>
    </row>
    <row r="155" spans="2:18" x14ac:dyDescent="0.25">
      <c r="B155" s="436"/>
      <c r="C155" s="437"/>
      <c r="D155" s="437"/>
      <c r="E155" s="289"/>
      <c r="F155" s="289"/>
      <c r="G155" s="289"/>
      <c r="H155" s="289"/>
      <c r="I155" s="289"/>
      <c r="J155" s="289"/>
      <c r="K155" s="289"/>
      <c r="L155" s="289"/>
      <c r="M155" s="289"/>
      <c r="N155" s="289"/>
      <c r="O155" s="289"/>
      <c r="P155" s="289"/>
      <c r="Q155" s="289"/>
      <c r="R155" s="382"/>
    </row>
    <row r="156" spans="2:18" x14ac:dyDescent="0.25">
      <c r="B156" s="436"/>
      <c r="C156" s="437"/>
      <c r="D156" s="437"/>
      <c r="E156" s="289"/>
      <c r="F156" s="289"/>
      <c r="G156" s="289"/>
      <c r="H156" s="289"/>
      <c r="I156" s="289"/>
      <c r="J156" s="289"/>
      <c r="K156" s="289"/>
      <c r="L156" s="289"/>
      <c r="M156" s="289"/>
      <c r="N156" s="289"/>
      <c r="O156" s="289"/>
      <c r="P156" s="289"/>
      <c r="Q156" s="289"/>
      <c r="R156" s="382"/>
    </row>
    <row r="157" spans="2:18" x14ac:dyDescent="0.25">
      <c r="B157" s="436"/>
      <c r="C157" s="437"/>
      <c r="D157" s="437"/>
      <c r="E157" s="289"/>
      <c r="F157" s="289"/>
      <c r="G157" s="289"/>
      <c r="H157" s="289"/>
      <c r="I157" s="289"/>
      <c r="J157" s="289"/>
      <c r="K157" s="289"/>
      <c r="L157" s="289"/>
      <c r="M157" s="289"/>
      <c r="N157" s="289"/>
      <c r="O157" s="289"/>
      <c r="P157" s="289"/>
      <c r="Q157" s="289"/>
      <c r="R157" s="382"/>
    </row>
    <row r="158" spans="2:18" x14ac:dyDescent="0.25">
      <c r="B158" s="436"/>
      <c r="C158" s="437"/>
      <c r="D158" s="437"/>
      <c r="E158" s="289"/>
      <c r="F158" s="289"/>
      <c r="G158" s="289"/>
      <c r="H158" s="289"/>
      <c r="I158" s="289"/>
      <c r="J158" s="289"/>
      <c r="K158" s="289"/>
      <c r="L158" s="289"/>
      <c r="M158" s="289"/>
      <c r="N158" s="289"/>
      <c r="O158" s="289"/>
      <c r="P158" s="289"/>
      <c r="Q158" s="289"/>
      <c r="R158" s="382"/>
    </row>
    <row r="159" spans="2:18" x14ac:dyDescent="0.25">
      <c r="B159" s="436"/>
      <c r="C159" s="437"/>
      <c r="D159" s="437"/>
      <c r="E159" s="289"/>
      <c r="F159" s="289"/>
      <c r="G159" s="289"/>
      <c r="H159" s="289"/>
      <c r="I159" s="289"/>
      <c r="J159" s="289"/>
      <c r="K159" s="289"/>
      <c r="L159" s="289"/>
      <c r="M159" s="289"/>
      <c r="N159" s="289"/>
      <c r="O159" s="289"/>
      <c r="P159" s="289"/>
      <c r="Q159" s="289"/>
      <c r="R159" s="382"/>
    </row>
    <row r="160" spans="2:18" x14ac:dyDescent="0.25">
      <c r="B160" s="436"/>
      <c r="C160" s="437"/>
      <c r="D160" s="437"/>
      <c r="E160" s="289"/>
      <c r="F160" s="289"/>
      <c r="G160" s="289"/>
      <c r="H160" s="289"/>
      <c r="I160" s="289"/>
      <c r="J160" s="289"/>
      <c r="K160" s="289"/>
      <c r="L160" s="289"/>
      <c r="M160" s="289"/>
      <c r="N160" s="289"/>
      <c r="O160" s="289"/>
      <c r="P160" s="289"/>
      <c r="Q160" s="289"/>
      <c r="R160" s="382"/>
    </row>
    <row r="161" spans="2:18" x14ac:dyDescent="0.25">
      <c r="B161" s="436"/>
      <c r="C161" s="437"/>
      <c r="D161" s="437"/>
      <c r="E161" s="289"/>
      <c r="F161" s="289"/>
      <c r="G161" s="289"/>
      <c r="H161" s="289"/>
      <c r="I161" s="289"/>
      <c r="J161" s="289"/>
      <c r="K161" s="289"/>
      <c r="L161" s="289"/>
      <c r="M161" s="289"/>
      <c r="N161" s="289"/>
      <c r="O161" s="289"/>
      <c r="P161" s="289"/>
      <c r="Q161" s="289"/>
      <c r="R161" s="382"/>
    </row>
    <row r="162" spans="2:18" x14ac:dyDescent="0.25">
      <c r="B162" s="436"/>
      <c r="C162" s="437"/>
      <c r="D162" s="437"/>
      <c r="E162" s="289"/>
      <c r="F162" s="289"/>
      <c r="G162" s="289"/>
      <c r="H162" s="289"/>
      <c r="I162" s="289"/>
      <c r="J162" s="289"/>
      <c r="K162" s="289"/>
      <c r="L162" s="289"/>
      <c r="M162" s="289"/>
      <c r="N162" s="289"/>
      <c r="O162" s="289"/>
      <c r="P162" s="289"/>
      <c r="Q162" s="289"/>
      <c r="R162" s="382"/>
    </row>
    <row r="163" spans="2:18" x14ac:dyDescent="0.25">
      <c r="B163" s="436"/>
      <c r="C163" s="437"/>
      <c r="D163" s="437"/>
      <c r="E163" s="289"/>
      <c r="F163" s="289"/>
      <c r="G163" s="289"/>
      <c r="H163" s="289"/>
      <c r="I163" s="289"/>
      <c r="J163" s="289"/>
      <c r="K163" s="289"/>
      <c r="L163" s="289"/>
      <c r="M163" s="289"/>
      <c r="N163" s="289"/>
      <c r="O163" s="289"/>
      <c r="P163" s="289"/>
      <c r="Q163" s="289"/>
      <c r="R163" s="382"/>
    </row>
    <row r="164" spans="2:18" x14ac:dyDescent="0.25">
      <c r="B164" s="436"/>
      <c r="C164" s="437"/>
      <c r="D164" s="437"/>
      <c r="E164" s="289"/>
      <c r="F164" s="289"/>
      <c r="G164" s="289"/>
      <c r="H164" s="289"/>
      <c r="I164" s="289"/>
      <c r="J164" s="289"/>
      <c r="K164" s="289"/>
      <c r="L164" s="289"/>
      <c r="M164" s="289"/>
      <c r="N164" s="289"/>
      <c r="O164" s="289"/>
      <c r="P164" s="289"/>
      <c r="Q164" s="289"/>
      <c r="R164" s="382"/>
    </row>
    <row r="165" spans="2:18" x14ac:dyDescent="0.25">
      <c r="B165" s="436"/>
      <c r="C165" s="437"/>
      <c r="D165" s="437"/>
      <c r="E165" s="289"/>
      <c r="F165" s="289"/>
      <c r="G165" s="289"/>
      <c r="H165" s="289"/>
      <c r="I165" s="289"/>
      <c r="J165" s="289"/>
      <c r="K165" s="289"/>
      <c r="L165" s="289"/>
      <c r="M165" s="289"/>
      <c r="N165" s="289"/>
      <c r="O165" s="289"/>
      <c r="P165" s="289"/>
      <c r="Q165" s="289"/>
      <c r="R165" s="382"/>
    </row>
    <row r="166" spans="2:18" x14ac:dyDescent="0.25">
      <c r="B166" s="436"/>
      <c r="C166" s="437"/>
      <c r="D166" s="437"/>
      <c r="E166" s="289"/>
      <c r="F166" s="289"/>
      <c r="G166" s="289"/>
      <c r="H166" s="289"/>
      <c r="I166" s="289"/>
      <c r="J166" s="289"/>
      <c r="K166" s="289"/>
      <c r="L166" s="289"/>
      <c r="M166" s="289"/>
      <c r="N166" s="289"/>
      <c r="O166" s="289"/>
      <c r="P166" s="289"/>
      <c r="Q166" s="289"/>
      <c r="R166" s="382"/>
    </row>
    <row r="167" spans="2:18" x14ac:dyDescent="0.25">
      <c r="B167" s="436"/>
      <c r="C167" s="437"/>
      <c r="D167" s="437"/>
      <c r="E167" s="289"/>
      <c r="F167" s="289"/>
      <c r="G167" s="289"/>
      <c r="H167" s="289"/>
      <c r="I167" s="289"/>
      <c r="J167" s="289"/>
      <c r="K167" s="289"/>
      <c r="L167" s="289"/>
      <c r="M167" s="289"/>
      <c r="N167" s="289"/>
      <c r="O167" s="289"/>
      <c r="P167" s="289"/>
      <c r="Q167" s="289"/>
      <c r="R167" s="382"/>
    </row>
    <row r="168" spans="2:18" x14ac:dyDescent="0.25">
      <c r="B168" s="436"/>
      <c r="C168" s="437"/>
      <c r="D168" s="437"/>
      <c r="E168" s="289"/>
      <c r="F168" s="289"/>
      <c r="G168" s="289"/>
      <c r="H168" s="289"/>
      <c r="I168" s="289"/>
      <c r="J168" s="289"/>
      <c r="K168" s="289"/>
      <c r="L168" s="289"/>
      <c r="M168" s="289"/>
      <c r="N168" s="289"/>
      <c r="O168" s="289"/>
      <c r="P168" s="289"/>
      <c r="Q168" s="289"/>
      <c r="R168" s="382"/>
    </row>
    <row r="169" spans="2:18" x14ac:dyDescent="0.25">
      <c r="B169" s="436"/>
      <c r="C169" s="437"/>
      <c r="D169" s="437"/>
      <c r="E169" s="289"/>
      <c r="F169" s="289"/>
      <c r="G169" s="289"/>
      <c r="H169" s="289"/>
      <c r="I169" s="289"/>
      <c r="J169" s="289"/>
      <c r="K169" s="289"/>
      <c r="L169" s="289"/>
      <c r="M169" s="289"/>
      <c r="N169" s="289"/>
      <c r="O169" s="289"/>
      <c r="P169" s="289"/>
      <c r="Q169" s="289"/>
      <c r="R169" s="382"/>
    </row>
    <row r="170" spans="2:18" x14ac:dyDescent="0.25">
      <c r="B170" s="436"/>
      <c r="C170" s="437"/>
      <c r="D170" s="437"/>
      <c r="E170" s="289"/>
      <c r="F170" s="289"/>
      <c r="G170" s="289"/>
      <c r="H170" s="289"/>
      <c r="I170" s="289"/>
      <c r="J170" s="289"/>
      <c r="K170" s="289"/>
      <c r="L170" s="289"/>
      <c r="M170" s="289"/>
      <c r="N170" s="289"/>
      <c r="O170" s="289"/>
      <c r="P170" s="289"/>
      <c r="Q170" s="289"/>
      <c r="R170" s="382"/>
    </row>
    <row r="171" spans="2:18" x14ac:dyDescent="0.25">
      <c r="B171" s="436"/>
      <c r="C171" s="437"/>
      <c r="D171" s="437"/>
      <c r="E171" s="289"/>
      <c r="F171" s="289"/>
      <c r="G171" s="289"/>
      <c r="H171" s="289"/>
      <c r="I171" s="289"/>
      <c r="J171" s="289"/>
      <c r="K171" s="289"/>
      <c r="L171" s="289"/>
      <c r="M171" s="289"/>
      <c r="N171" s="289"/>
      <c r="O171" s="289"/>
      <c r="P171" s="289"/>
      <c r="Q171" s="289"/>
      <c r="R171" s="382"/>
    </row>
    <row r="172" spans="2:18" x14ac:dyDescent="0.25">
      <c r="B172" s="436"/>
      <c r="C172" s="437"/>
      <c r="D172" s="437"/>
      <c r="E172" s="289"/>
      <c r="F172" s="289"/>
      <c r="G172" s="289"/>
      <c r="H172" s="289"/>
      <c r="I172" s="289"/>
      <c r="J172" s="289"/>
      <c r="K172" s="289"/>
      <c r="L172" s="289"/>
      <c r="M172" s="289"/>
      <c r="N172" s="289"/>
      <c r="O172" s="289"/>
      <c r="P172" s="289"/>
      <c r="Q172" s="289"/>
      <c r="R172" s="382"/>
    </row>
    <row r="173" spans="2:18" x14ac:dyDescent="0.25">
      <c r="B173" s="436"/>
      <c r="C173" s="437"/>
      <c r="D173" s="437"/>
      <c r="E173" s="289"/>
      <c r="F173" s="289"/>
      <c r="G173" s="289"/>
      <c r="H173" s="289"/>
      <c r="I173" s="289"/>
      <c r="J173" s="289"/>
      <c r="K173" s="289"/>
      <c r="L173" s="289"/>
      <c r="M173" s="289"/>
      <c r="N173" s="289"/>
      <c r="O173" s="289"/>
      <c r="P173" s="289"/>
      <c r="Q173" s="289"/>
      <c r="R173" s="382"/>
    </row>
    <row r="174" spans="2:18" x14ac:dyDescent="0.25">
      <c r="B174" s="436"/>
      <c r="C174" s="437"/>
      <c r="D174" s="437"/>
      <c r="E174" s="289"/>
      <c r="F174" s="289"/>
      <c r="G174" s="289"/>
      <c r="H174" s="289"/>
      <c r="I174" s="289"/>
      <c r="J174" s="289"/>
      <c r="K174" s="289"/>
      <c r="L174" s="289"/>
      <c r="M174" s="289"/>
      <c r="N174" s="289"/>
      <c r="O174" s="289"/>
      <c r="P174" s="289"/>
      <c r="Q174" s="289"/>
      <c r="R174" s="382"/>
    </row>
    <row r="175" spans="2:18" x14ac:dyDescent="0.25">
      <c r="B175" s="436"/>
      <c r="C175" s="437"/>
      <c r="D175" s="437"/>
      <c r="E175" s="289"/>
      <c r="F175" s="289"/>
      <c r="G175" s="289"/>
      <c r="H175" s="289"/>
      <c r="I175" s="289"/>
      <c r="J175" s="289"/>
      <c r="K175" s="289"/>
      <c r="L175" s="289"/>
      <c r="M175" s="289"/>
      <c r="N175" s="289"/>
      <c r="O175" s="289"/>
      <c r="P175" s="289"/>
      <c r="Q175" s="289"/>
      <c r="R175" s="382"/>
    </row>
    <row r="176" spans="2:18" x14ac:dyDescent="0.25">
      <c r="B176" s="436"/>
      <c r="C176" s="437"/>
      <c r="D176" s="437"/>
      <c r="E176" s="289"/>
      <c r="F176" s="289"/>
      <c r="G176" s="289"/>
      <c r="H176" s="289"/>
      <c r="I176" s="289"/>
      <c r="J176" s="289"/>
      <c r="K176" s="289"/>
      <c r="L176" s="289"/>
      <c r="M176" s="289"/>
      <c r="N176" s="289"/>
      <c r="O176" s="289"/>
      <c r="P176" s="289"/>
      <c r="Q176" s="289"/>
      <c r="R176" s="382"/>
    </row>
    <row r="177" spans="2:18" x14ac:dyDescent="0.25">
      <c r="B177" s="436"/>
      <c r="C177" s="437"/>
      <c r="D177" s="437"/>
      <c r="E177" s="289"/>
      <c r="F177" s="289"/>
      <c r="G177" s="289"/>
      <c r="H177" s="289"/>
      <c r="I177" s="289"/>
      <c r="J177" s="289"/>
      <c r="K177" s="289"/>
      <c r="L177" s="289"/>
      <c r="M177" s="289"/>
      <c r="N177" s="289"/>
      <c r="O177" s="289"/>
      <c r="P177" s="289"/>
      <c r="Q177" s="289"/>
      <c r="R177" s="382"/>
    </row>
    <row r="178" spans="2:18" x14ac:dyDescent="0.25">
      <c r="B178" s="436"/>
      <c r="C178" s="437"/>
      <c r="D178" s="437"/>
      <c r="E178" s="289"/>
      <c r="F178" s="289"/>
      <c r="G178" s="289"/>
      <c r="H178" s="289"/>
      <c r="I178" s="289"/>
      <c r="J178" s="289"/>
      <c r="K178" s="289"/>
      <c r="L178" s="289"/>
      <c r="M178" s="289"/>
      <c r="N178" s="289"/>
      <c r="O178" s="289"/>
      <c r="P178" s="289"/>
      <c r="Q178" s="289"/>
      <c r="R178" s="382"/>
    </row>
    <row r="179" spans="2:18" x14ac:dyDescent="0.25">
      <c r="B179" s="436"/>
      <c r="C179" s="437"/>
      <c r="D179" s="437"/>
      <c r="E179" s="289"/>
      <c r="F179" s="289"/>
      <c r="G179" s="289"/>
      <c r="H179" s="289"/>
      <c r="I179" s="289"/>
      <c r="J179" s="289"/>
      <c r="K179" s="289"/>
      <c r="L179" s="289"/>
      <c r="M179" s="289"/>
      <c r="N179" s="289"/>
      <c r="O179" s="289"/>
      <c r="P179" s="289"/>
      <c r="Q179" s="289"/>
      <c r="R179" s="382"/>
    </row>
    <row r="180" spans="2:18" x14ac:dyDescent="0.25">
      <c r="B180" s="436"/>
      <c r="C180" s="437"/>
      <c r="D180" s="437"/>
      <c r="E180" s="289"/>
      <c r="F180" s="289"/>
      <c r="G180" s="289"/>
      <c r="H180" s="289"/>
      <c r="I180" s="289"/>
      <c r="J180" s="289"/>
      <c r="K180" s="289"/>
      <c r="L180" s="289"/>
      <c r="M180" s="289"/>
      <c r="N180" s="289"/>
      <c r="O180" s="289"/>
      <c r="P180" s="289"/>
      <c r="Q180" s="289"/>
      <c r="R180" s="382"/>
    </row>
    <row r="181" spans="2:18" x14ac:dyDescent="0.25">
      <c r="B181" s="436"/>
      <c r="C181" s="437"/>
      <c r="D181" s="437"/>
      <c r="E181" s="289"/>
      <c r="F181" s="289"/>
      <c r="G181" s="289"/>
      <c r="H181" s="289"/>
      <c r="I181" s="289"/>
      <c r="J181" s="289"/>
      <c r="K181" s="289"/>
      <c r="L181" s="289"/>
      <c r="M181" s="289"/>
      <c r="N181" s="289"/>
      <c r="O181" s="289"/>
      <c r="P181" s="289"/>
      <c r="Q181" s="289"/>
      <c r="R181" s="382"/>
    </row>
    <row r="182" spans="2:18" x14ac:dyDescent="0.25">
      <c r="B182" s="436"/>
      <c r="C182" s="437"/>
      <c r="D182" s="437"/>
      <c r="E182" s="289"/>
      <c r="F182" s="289"/>
      <c r="G182" s="289"/>
      <c r="H182" s="289"/>
      <c r="I182" s="289"/>
      <c r="J182" s="289"/>
      <c r="K182" s="289"/>
      <c r="L182" s="289"/>
      <c r="M182" s="289"/>
      <c r="N182" s="289"/>
      <c r="O182" s="289"/>
      <c r="P182" s="289"/>
      <c r="Q182" s="289"/>
      <c r="R182" s="382"/>
    </row>
    <row r="183" spans="2:18" x14ac:dyDescent="0.25">
      <c r="B183" s="436"/>
      <c r="C183" s="437"/>
      <c r="D183" s="437"/>
      <c r="E183" s="289"/>
      <c r="F183" s="289"/>
      <c r="G183" s="289"/>
      <c r="H183" s="289"/>
      <c r="I183" s="289"/>
      <c r="J183" s="289"/>
      <c r="K183" s="289"/>
      <c r="L183" s="289"/>
      <c r="M183" s="289"/>
      <c r="N183" s="289"/>
      <c r="O183" s="289"/>
      <c r="P183" s="289"/>
      <c r="Q183" s="289"/>
      <c r="R183" s="382"/>
    </row>
    <row r="184" spans="2:18" x14ac:dyDescent="0.25">
      <c r="B184" s="436"/>
      <c r="C184" s="437"/>
      <c r="D184" s="437"/>
      <c r="E184" s="289"/>
      <c r="F184" s="289"/>
      <c r="G184" s="289"/>
      <c r="H184" s="289"/>
      <c r="I184" s="289"/>
      <c r="J184" s="289"/>
      <c r="K184" s="289"/>
      <c r="L184" s="289"/>
      <c r="M184" s="289"/>
      <c r="N184" s="289"/>
      <c r="O184" s="289"/>
      <c r="P184" s="289"/>
      <c r="Q184" s="289"/>
      <c r="R184" s="382"/>
    </row>
    <row r="185" spans="2:18" x14ac:dyDescent="0.25">
      <c r="B185" s="436"/>
      <c r="C185" s="437"/>
      <c r="D185" s="437"/>
      <c r="E185" s="289"/>
      <c r="F185" s="289"/>
      <c r="G185" s="289"/>
      <c r="H185" s="289"/>
      <c r="I185" s="289"/>
      <c r="J185" s="289"/>
      <c r="K185" s="289"/>
      <c r="L185" s="289"/>
      <c r="M185" s="289"/>
      <c r="N185" s="289"/>
      <c r="O185" s="289"/>
      <c r="P185" s="289"/>
      <c r="Q185" s="289"/>
      <c r="R185" s="382"/>
    </row>
    <row r="186" spans="2:18" x14ac:dyDescent="0.25">
      <c r="B186" s="436"/>
      <c r="C186" s="437"/>
      <c r="D186" s="437"/>
      <c r="E186" s="289"/>
      <c r="F186" s="289"/>
      <c r="G186" s="289"/>
      <c r="H186" s="289"/>
      <c r="I186" s="289"/>
      <c r="J186" s="289"/>
      <c r="K186" s="289"/>
      <c r="L186" s="289"/>
      <c r="M186" s="289"/>
      <c r="N186" s="289"/>
      <c r="O186" s="289"/>
      <c r="P186" s="289"/>
      <c r="Q186" s="289"/>
      <c r="R186" s="382"/>
    </row>
    <row r="187" spans="2:18" x14ac:dyDescent="0.25">
      <c r="B187" s="436"/>
      <c r="C187" s="437"/>
      <c r="D187" s="437"/>
      <c r="E187" s="289"/>
      <c r="F187" s="289"/>
      <c r="G187" s="289"/>
      <c r="H187" s="289"/>
      <c r="I187" s="289"/>
      <c r="J187" s="289"/>
      <c r="K187" s="289"/>
      <c r="L187" s="289"/>
      <c r="M187" s="289"/>
      <c r="N187" s="289"/>
      <c r="O187" s="289"/>
      <c r="P187" s="289"/>
      <c r="Q187" s="289"/>
      <c r="R187" s="382"/>
    </row>
    <row r="188" spans="2:18" x14ac:dyDescent="0.25">
      <c r="B188" s="436"/>
      <c r="C188" s="437"/>
      <c r="D188" s="437"/>
      <c r="E188" s="289"/>
      <c r="F188" s="289"/>
      <c r="G188" s="289"/>
      <c r="H188" s="289"/>
      <c r="I188" s="289"/>
      <c r="J188" s="289"/>
      <c r="K188" s="289"/>
      <c r="L188" s="289"/>
      <c r="M188" s="289"/>
      <c r="N188" s="289"/>
      <c r="O188" s="289"/>
      <c r="P188" s="289"/>
      <c r="Q188" s="289"/>
      <c r="R188" s="382"/>
    </row>
    <row r="189" spans="2:18" x14ac:dyDescent="0.25">
      <c r="B189" s="436"/>
      <c r="C189" s="437"/>
      <c r="D189" s="437"/>
      <c r="E189" s="289"/>
      <c r="F189" s="289"/>
      <c r="G189" s="289"/>
      <c r="H189" s="289"/>
      <c r="I189" s="289"/>
      <c r="J189" s="289"/>
      <c r="K189" s="289"/>
      <c r="L189" s="289"/>
      <c r="M189" s="289"/>
      <c r="N189" s="289"/>
      <c r="O189" s="289"/>
      <c r="P189" s="289"/>
      <c r="Q189" s="289"/>
      <c r="R189" s="382"/>
    </row>
    <row r="190" spans="2:18" x14ac:dyDescent="0.25">
      <c r="B190" s="436"/>
      <c r="C190" s="437"/>
      <c r="D190" s="437"/>
      <c r="E190" s="289"/>
      <c r="F190" s="289"/>
      <c r="G190" s="289"/>
      <c r="H190" s="289"/>
      <c r="I190" s="289"/>
      <c r="J190" s="289"/>
      <c r="K190" s="289"/>
      <c r="L190" s="289"/>
      <c r="M190" s="289"/>
      <c r="N190" s="289"/>
      <c r="O190" s="289"/>
      <c r="P190" s="289"/>
      <c r="Q190" s="289"/>
      <c r="R190" s="382"/>
    </row>
    <row r="191" spans="2:18" x14ac:dyDescent="0.25">
      <c r="B191" s="436"/>
      <c r="C191" s="437"/>
      <c r="D191" s="437"/>
      <c r="E191" s="289"/>
      <c r="F191" s="289"/>
      <c r="G191" s="289"/>
      <c r="H191" s="289"/>
      <c r="I191" s="289"/>
      <c r="J191" s="289"/>
      <c r="K191" s="289"/>
      <c r="L191" s="289"/>
      <c r="M191" s="289"/>
      <c r="N191" s="289"/>
      <c r="O191" s="289"/>
      <c r="P191" s="289"/>
      <c r="Q191" s="289"/>
      <c r="R191" s="382"/>
    </row>
    <row r="192" spans="2:18" x14ac:dyDescent="0.25">
      <c r="B192" s="436"/>
      <c r="C192" s="437"/>
      <c r="D192" s="437"/>
      <c r="E192" s="289"/>
      <c r="F192" s="289"/>
      <c r="G192" s="289"/>
      <c r="H192" s="289"/>
      <c r="I192" s="289"/>
      <c r="J192" s="289"/>
      <c r="K192" s="289"/>
      <c r="L192" s="289"/>
      <c r="M192" s="289"/>
      <c r="N192" s="289"/>
      <c r="O192" s="289"/>
      <c r="P192" s="289"/>
      <c r="Q192" s="289"/>
      <c r="R192" s="382"/>
    </row>
    <row r="193" spans="2:18" x14ac:dyDescent="0.25">
      <c r="B193" s="436"/>
      <c r="C193" s="437"/>
      <c r="D193" s="437"/>
      <c r="E193" s="289"/>
      <c r="F193" s="289"/>
      <c r="G193" s="289"/>
      <c r="H193" s="289"/>
      <c r="I193" s="289"/>
      <c r="J193" s="289"/>
      <c r="K193" s="289"/>
      <c r="L193" s="289"/>
      <c r="M193" s="289"/>
      <c r="N193" s="289"/>
      <c r="O193" s="289"/>
      <c r="P193" s="289"/>
      <c r="Q193" s="289"/>
      <c r="R193" s="382"/>
    </row>
    <row r="194" spans="2:18" x14ac:dyDescent="0.25">
      <c r="B194" s="436"/>
      <c r="C194" s="437"/>
      <c r="D194" s="437"/>
      <c r="E194" s="289"/>
      <c r="F194" s="289"/>
      <c r="G194" s="289"/>
      <c r="H194" s="289"/>
      <c r="I194" s="289"/>
      <c r="J194" s="289"/>
      <c r="K194" s="289"/>
      <c r="L194" s="289"/>
      <c r="M194" s="289"/>
      <c r="N194" s="289"/>
      <c r="O194" s="289"/>
      <c r="P194" s="289"/>
      <c r="Q194" s="289"/>
      <c r="R194" s="382"/>
    </row>
    <row r="195" spans="2:18" x14ac:dyDescent="0.25">
      <c r="B195" s="436"/>
      <c r="C195" s="437"/>
      <c r="D195" s="437"/>
      <c r="E195" s="289"/>
      <c r="F195" s="289"/>
      <c r="G195" s="289"/>
      <c r="H195" s="289"/>
      <c r="I195" s="289"/>
      <c r="J195" s="289"/>
      <c r="K195" s="289"/>
      <c r="L195" s="289"/>
      <c r="M195" s="289"/>
      <c r="N195" s="289"/>
      <c r="O195" s="289"/>
      <c r="P195" s="289"/>
      <c r="Q195" s="289"/>
      <c r="R195" s="382"/>
    </row>
    <row r="196" spans="2:18" x14ac:dyDescent="0.25">
      <c r="B196" s="436"/>
      <c r="C196" s="437"/>
      <c r="D196" s="437"/>
      <c r="E196" s="289"/>
      <c r="F196" s="289"/>
      <c r="G196" s="289"/>
      <c r="H196" s="289"/>
      <c r="I196" s="289"/>
      <c r="J196" s="289"/>
      <c r="K196" s="289"/>
      <c r="L196" s="289"/>
      <c r="M196" s="289"/>
      <c r="N196" s="289"/>
      <c r="O196" s="289"/>
      <c r="P196" s="289"/>
      <c r="Q196" s="289"/>
      <c r="R196" s="382"/>
    </row>
    <row r="197" spans="2:18" x14ac:dyDescent="0.25">
      <c r="B197" s="436"/>
      <c r="C197" s="437"/>
      <c r="D197" s="437"/>
      <c r="E197" s="289"/>
      <c r="F197" s="289"/>
      <c r="G197" s="289"/>
      <c r="H197" s="289"/>
      <c r="I197" s="289"/>
      <c r="J197" s="289"/>
      <c r="K197" s="289"/>
      <c r="L197" s="289"/>
      <c r="M197" s="289"/>
      <c r="N197" s="289"/>
      <c r="O197" s="289"/>
      <c r="P197" s="289"/>
      <c r="Q197" s="289"/>
      <c r="R197" s="382"/>
    </row>
    <row r="198" spans="2:18" x14ac:dyDescent="0.25">
      <c r="B198" s="436"/>
      <c r="C198" s="437"/>
      <c r="D198" s="437"/>
      <c r="E198" s="289"/>
      <c r="F198" s="289"/>
      <c r="G198" s="289"/>
      <c r="H198" s="289"/>
      <c r="I198" s="289"/>
      <c r="J198" s="289"/>
      <c r="K198" s="289"/>
      <c r="L198" s="289"/>
      <c r="M198" s="289"/>
      <c r="N198" s="289"/>
      <c r="O198" s="289"/>
      <c r="P198" s="289"/>
      <c r="Q198" s="289"/>
      <c r="R198" s="382"/>
    </row>
    <row r="199" spans="2:18" x14ac:dyDescent="0.25">
      <c r="B199" s="436"/>
      <c r="C199" s="437"/>
      <c r="D199" s="437"/>
      <c r="E199" s="289"/>
      <c r="F199" s="289"/>
      <c r="G199" s="289"/>
      <c r="H199" s="289"/>
      <c r="I199" s="289"/>
      <c r="J199" s="289"/>
      <c r="K199" s="289"/>
      <c r="L199" s="289"/>
      <c r="M199" s="289"/>
      <c r="N199" s="289"/>
      <c r="O199" s="289"/>
      <c r="P199" s="289"/>
      <c r="Q199" s="289"/>
      <c r="R199" s="382"/>
    </row>
    <row r="200" spans="2:18" x14ac:dyDescent="0.25">
      <c r="B200" s="436"/>
      <c r="C200" s="437"/>
      <c r="D200" s="437"/>
      <c r="E200" s="289"/>
      <c r="F200" s="289"/>
      <c r="G200" s="289"/>
      <c r="H200" s="289"/>
      <c r="I200" s="289"/>
      <c r="J200" s="289"/>
      <c r="K200" s="289"/>
      <c r="L200" s="289"/>
      <c r="M200" s="289"/>
      <c r="N200" s="289"/>
      <c r="O200" s="289"/>
      <c r="P200" s="289"/>
      <c r="Q200" s="289"/>
      <c r="R200" s="382"/>
    </row>
    <row r="201" spans="2:18" x14ac:dyDescent="0.25">
      <c r="B201" s="436"/>
      <c r="C201" s="437"/>
      <c r="D201" s="437"/>
      <c r="E201" s="289"/>
      <c r="F201" s="289"/>
      <c r="G201" s="289"/>
      <c r="H201" s="289"/>
      <c r="I201" s="289"/>
      <c r="J201" s="289"/>
      <c r="K201" s="289"/>
      <c r="L201" s="289"/>
      <c r="M201" s="289"/>
      <c r="N201" s="289"/>
      <c r="O201" s="289"/>
      <c r="P201" s="289"/>
      <c r="Q201" s="289"/>
      <c r="R201" s="382"/>
    </row>
    <row r="202" spans="2:18" x14ac:dyDescent="0.25">
      <c r="B202" s="436"/>
      <c r="C202" s="437"/>
      <c r="D202" s="437"/>
      <c r="E202" s="289"/>
      <c r="F202" s="289"/>
      <c r="G202" s="289"/>
      <c r="H202" s="289"/>
      <c r="I202" s="289"/>
      <c r="J202" s="289"/>
      <c r="K202" s="289"/>
      <c r="L202" s="289"/>
      <c r="M202" s="289"/>
      <c r="N202" s="289"/>
      <c r="O202" s="289"/>
      <c r="P202" s="289"/>
      <c r="Q202" s="289"/>
      <c r="R202" s="382"/>
    </row>
    <row r="203" spans="2:18" x14ac:dyDescent="0.25">
      <c r="B203" s="436"/>
      <c r="C203" s="437"/>
      <c r="D203" s="437"/>
      <c r="E203" s="289"/>
      <c r="F203" s="289"/>
      <c r="G203" s="289"/>
      <c r="H203" s="289"/>
      <c r="I203" s="289"/>
      <c r="J203" s="289"/>
      <c r="K203" s="289"/>
      <c r="L203" s="289"/>
      <c r="M203" s="289"/>
      <c r="N203" s="289"/>
      <c r="O203" s="289"/>
      <c r="P203" s="289"/>
      <c r="Q203" s="289"/>
      <c r="R203" s="382"/>
    </row>
    <row r="204" spans="2:18" x14ac:dyDescent="0.25">
      <c r="B204" s="436"/>
      <c r="C204" s="437"/>
      <c r="D204" s="437"/>
      <c r="E204" s="289"/>
      <c r="F204" s="289"/>
      <c r="G204" s="289"/>
      <c r="H204" s="289"/>
      <c r="I204" s="289"/>
      <c r="J204" s="289"/>
      <c r="K204" s="289"/>
      <c r="L204" s="289"/>
      <c r="M204" s="289"/>
      <c r="N204" s="289"/>
      <c r="O204" s="289"/>
      <c r="P204" s="289"/>
      <c r="Q204" s="289"/>
      <c r="R204" s="382"/>
    </row>
    <row r="205" spans="2:18" x14ac:dyDescent="0.25">
      <c r="B205" s="436"/>
      <c r="C205" s="437"/>
      <c r="D205" s="437"/>
      <c r="E205" s="289"/>
      <c r="F205" s="289"/>
      <c r="G205" s="289"/>
      <c r="H205" s="289"/>
      <c r="I205" s="289"/>
      <c r="J205" s="289"/>
      <c r="K205" s="289"/>
      <c r="L205" s="289"/>
      <c r="M205" s="289"/>
      <c r="N205" s="289"/>
      <c r="O205" s="289"/>
      <c r="P205" s="289"/>
      <c r="Q205" s="289"/>
      <c r="R205" s="382"/>
    </row>
    <row r="206" spans="2:18" x14ac:dyDescent="0.25">
      <c r="B206" s="436"/>
      <c r="C206" s="437"/>
      <c r="D206" s="437"/>
      <c r="E206" s="289"/>
      <c r="F206" s="289"/>
      <c r="G206" s="289"/>
      <c r="H206" s="289"/>
      <c r="I206" s="289"/>
      <c r="J206" s="289"/>
      <c r="K206" s="289"/>
      <c r="L206" s="289"/>
      <c r="M206" s="289"/>
      <c r="N206" s="289"/>
      <c r="O206" s="289"/>
      <c r="P206" s="289"/>
      <c r="Q206" s="289"/>
      <c r="R206" s="382"/>
    </row>
    <row r="207" spans="2:18" x14ac:dyDescent="0.25">
      <c r="B207" s="436"/>
      <c r="C207" s="437"/>
      <c r="D207" s="437"/>
      <c r="E207" s="289"/>
      <c r="F207" s="289"/>
      <c r="G207" s="289"/>
      <c r="H207" s="289"/>
      <c r="I207" s="289"/>
      <c r="J207" s="289"/>
      <c r="K207" s="289"/>
      <c r="L207" s="289"/>
      <c r="M207" s="289"/>
      <c r="N207" s="289"/>
      <c r="O207" s="289"/>
      <c r="P207" s="289"/>
      <c r="Q207" s="289"/>
      <c r="R207" s="382"/>
    </row>
    <row r="208" spans="2:18" x14ac:dyDescent="0.25">
      <c r="B208" s="436"/>
      <c r="C208" s="437"/>
      <c r="D208" s="437"/>
      <c r="E208" s="289"/>
      <c r="F208" s="289"/>
      <c r="G208" s="289"/>
      <c r="H208" s="289"/>
      <c r="I208" s="289"/>
      <c r="J208" s="289"/>
      <c r="K208" s="289"/>
      <c r="L208" s="289"/>
      <c r="M208" s="289"/>
      <c r="N208" s="289"/>
      <c r="O208" s="289"/>
      <c r="P208" s="289"/>
      <c r="Q208" s="289"/>
      <c r="R208" s="382"/>
    </row>
    <row r="209" spans="2:18" x14ac:dyDescent="0.25">
      <c r="B209" s="436"/>
      <c r="C209" s="437"/>
      <c r="D209" s="437"/>
      <c r="E209" s="289"/>
      <c r="F209" s="289"/>
      <c r="G209" s="289"/>
      <c r="H209" s="289"/>
      <c r="I209" s="289"/>
      <c r="J209" s="289"/>
      <c r="K209" s="289"/>
      <c r="L209" s="289"/>
      <c r="M209" s="289"/>
      <c r="N209" s="289"/>
      <c r="O209" s="289"/>
      <c r="P209" s="289"/>
      <c r="Q209" s="289"/>
      <c r="R209" s="382"/>
    </row>
    <row r="210" spans="2:18" x14ac:dyDescent="0.25">
      <c r="B210" s="436"/>
      <c r="C210" s="437"/>
      <c r="D210" s="437"/>
      <c r="E210" s="289"/>
      <c r="F210" s="289"/>
      <c r="G210" s="289"/>
      <c r="H210" s="289"/>
      <c r="I210" s="289"/>
      <c r="J210" s="289"/>
      <c r="K210" s="289"/>
      <c r="L210" s="289"/>
      <c r="M210" s="289"/>
      <c r="N210" s="289"/>
      <c r="O210" s="289"/>
      <c r="P210" s="289"/>
      <c r="Q210" s="289"/>
      <c r="R210" s="382"/>
    </row>
    <row r="211" spans="2:18" x14ac:dyDescent="0.25">
      <c r="B211" s="436"/>
      <c r="C211" s="437"/>
      <c r="D211" s="437"/>
      <c r="E211" s="289"/>
      <c r="F211" s="289"/>
      <c r="G211" s="289"/>
      <c r="H211" s="289"/>
      <c r="I211" s="289"/>
      <c r="J211" s="289"/>
      <c r="K211" s="289"/>
      <c r="L211" s="289"/>
      <c r="M211" s="289"/>
      <c r="N211" s="289"/>
      <c r="O211" s="289"/>
      <c r="P211" s="289"/>
      <c r="Q211" s="289"/>
      <c r="R211" s="382"/>
    </row>
    <row r="212" spans="2:18" x14ac:dyDescent="0.25">
      <c r="B212" s="436"/>
      <c r="C212" s="437"/>
      <c r="D212" s="437"/>
      <c r="E212" s="289"/>
      <c r="F212" s="289"/>
      <c r="G212" s="289"/>
      <c r="H212" s="289"/>
      <c r="I212" s="289"/>
      <c r="J212" s="289"/>
      <c r="K212" s="289"/>
      <c r="L212" s="289"/>
      <c r="M212" s="289"/>
      <c r="N212" s="289"/>
      <c r="O212" s="289"/>
      <c r="P212" s="289"/>
      <c r="Q212" s="289"/>
      <c r="R212" s="382"/>
    </row>
    <row r="213" spans="2:18" x14ac:dyDescent="0.25">
      <c r="B213" s="436"/>
      <c r="C213" s="437"/>
      <c r="D213" s="437"/>
      <c r="E213" s="289"/>
      <c r="F213" s="289"/>
      <c r="G213" s="289"/>
      <c r="H213" s="289"/>
      <c r="I213" s="289"/>
      <c r="J213" s="289"/>
      <c r="K213" s="289"/>
      <c r="L213" s="289"/>
      <c r="M213" s="289"/>
      <c r="N213" s="289"/>
      <c r="O213" s="289"/>
      <c r="P213" s="289"/>
      <c r="Q213" s="289"/>
      <c r="R213" s="382"/>
    </row>
    <row r="214" spans="2:18" x14ac:dyDescent="0.25">
      <c r="B214" s="436"/>
      <c r="C214" s="437"/>
      <c r="D214" s="437"/>
      <c r="E214" s="289"/>
      <c r="F214" s="289"/>
      <c r="G214" s="289"/>
      <c r="H214" s="289"/>
      <c r="I214" s="289"/>
      <c r="J214" s="289"/>
      <c r="K214" s="289"/>
      <c r="L214" s="289"/>
      <c r="M214" s="289"/>
      <c r="N214" s="289"/>
      <c r="O214" s="289"/>
      <c r="P214" s="289"/>
      <c r="Q214" s="289"/>
      <c r="R214" s="382"/>
    </row>
    <row r="215" spans="2:18" x14ac:dyDescent="0.25">
      <c r="B215" s="436"/>
      <c r="C215" s="437"/>
      <c r="D215" s="437"/>
      <c r="E215" s="289"/>
      <c r="F215" s="289"/>
      <c r="G215" s="289"/>
      <c r="H215" s="289"/>
      <c r="I215" s="289"/>
      <c r="J215" s="289"/>
      <c r="K215" s="289"/>
      <c r="L215" s="289"/>
      <c r="M215" s="289"/>
      <c r="N215" s="289"/>
      <c r="O215" s="289"/>
      <c r="P215" s="289"/>
      <c r="Q215" s="289"/>
      <c r="R215" s="382"/>
    </row>
    <row r="216" spans="2:18" x14ac:dyDescent="0.25">
      <c r="B216" s="436"/>
      <c r="C216" s="437"/>
      <c r="D216" s="437"/>
      <c r="E216" s="289"/>
      <c r="F216" s="289"/>
      <c r="G216" s="289"/>
      <c r="H216" s="289"/>
      <c r="I216" s="289"/>
      <c r="J216" s="289"/>
      <c r="K216" s="289"/>
      <c r="L216" s="289"/>
      <c r="M216" s="289"/>
      <c r="N216" s="289"/>
      <c r="O216" s="289"/>
      <c r="P216" s="289"/>
      <c r="Q216" s="289"/>
      <c r="R216" s="382"/>
    </row>
    <row r="217" spans="2:18" x14ac:dyDescent="0.25">
      <c r="B217" s="436"/>
      <c r="C217" s="437"/>
      <c r="D217" s="437"/>
      <c r="E217" s="289"/>
      <c r="F217" s="289"/>
      <c r="G217" s="289"/>
      <c r="H217" s="289"/>
      <c r="I217" s="289"/>
      <c r="J217" s="289"/>
      <c r="K217" s="289"/>
      <c r="L217" s="289"/>
      <c r="M217" s="289"/>
      <c r="N217" s="289"/>
      <c r="O217" s="289"/>
      <c r="P217" s="289"/>
      <c r="Q217" s="289"/>
      <c r="R217" s="382"/>
    </row>
    <row r="218" spans="2:18" x14ac:dyDescent="0.25">
      <c r="B218" s="436"/>
      <c r="C218" s="437"/>
      <c r="D218" s="437"/>
      <c r="E218" s="289"/>
      <c r="F218" s="289"/>
      <c r="G218" s="289"/>
      <c r="H218" s="289"/>
      <c r="I218" s="289"/>
      <c r="J218" s="289"/>
      <c r="K218" s="289"/>
      <c r="L218" s="289"/>
      <c r="M218" s="289"/>
      <c r="N218" s="289"/>
      <c r="O218" s="289"/>
      <c r="P218" s="289"/>
      <c r="Q218" s="289"/>
      <c r="R218" s="382"/>
    </row>
    <row r="219" spans="2:18" x14ac:dyDescent="0.25">
      <c r="B219" s="436"/>
      <c r="C219" s="437"/>
      <c r="D219" s="437"/>
      <c r="E219" s="289"/>
      <c r="F219" s="289"/>
      <c r="G219" s="289"/>
      <c r="H219" s="289"/>
      <c r="I219" s="289"/>
      <c r="J219" s="289"/>
      <c r="K219" s="289"/>
      <c r="L219" s="289"/>
      <c r="M219" s="289"/>
      <c r="N219" s="289"/>
      <c r="O219" s="289"/>
      <c r="P219" s="289"/>
      <c r="Q219" s="289"/>
      <c r="R219" s="382"/>
    </row>
    <row r="220" spans="2:18" x14ac:dyDescent="0.25">
      <c r="B220" s="436"/>
      <c r="C220" s="437"/>
      <c r="D220" s="437"/>
      <c r="E220" s="289"/>
      <c r="F220" s="289"/>
      <c r="G220" s="289"/>
      <c r="H220" s="289"/>
      <c r="I220" s="289"/>
      <c r="J220" s="289"/>
      <c r="K220" s="289"/>
      <c r="L220" s="289"/>
      <c r="M220" s="289"/>
      <c r="N220" s="289"/>
      <c r="O220" s="289"/>
      <c r="P220" s="289"/>
      <c r="Q220" s="289"/>
      <c r="R220" s="382"/>
    </row>
    <row r="221" spans="2:18" x14ac:dyDescent="0.25">
      <c r="B221" s="436"/>
      <c r="C221" s="437"/>
      <c r="D221" s="437"/>
      <c r="E221" s="289"/>
      <c r="F221" s="289"/>
      <c r="G221" s="289"/>
      <c r="H221" s="289"/>
      <c r="I221" s="289"/>
      <c r="J221" s="289"/>
      <c r="K221" s="289"/>
      <c r="L221" s="289"/>
      <c r="M221" s="289"/>
      <c r="N221" s="289"/>
      <c r="O221" s="289"/>
      <c r="P221" s="289"/>
      <c r="Q221" s="289"/>
      <c r="R221" s="382"/>
    </row>
    <row r="222" spans="2:18" x14ac:dyDescent="0.25">
      <c r="B222" s="436"/>
      <c r="C222" s="437"/>
      <c r="D222" s="437"/>
      <c r="E222" s="289"/>
      <c r="F222" s="289"/>
      <c r="G222" s="289"/>
      <c r="H222" s="289"/>
      <c r="I222" s="289"/>
      <c r="J222" s="289"/>
      <c r="K222" s="289"/>
      <c r="L222" s="289"/>
      <c r="M222" s="289"/>
      <c r="N222" s="289"/>
      <c r="O222" s="289"/>
      <c r="P222" s="289"/>
      <c r="Q222" s="289"/>
      <c r="R222" s="382"/>
    </row>
    <row r="223" spans="2:18" x14ac:dyDescent="0.25">
      <c r="B223" s="436"/>
      <c r="C223" s="437"/>
      <c r="D223" s="437"/>
      <c r="E223" s="289"/>
      <c r="F223" s="289"/>
      <c r="G223" s="289"/>
      <c r="H223" s="289"/>
      <c r="I223" s="289"/>
      <c r="J223" s="289"/>
      <c r="K223" s="289"/>
      <c r="L223" s="289"/>
      <c r="M223" s="289"/>
      <c r="N223" s="289"/>
      <c r="O223" s="289"/>
      <c r="P223" s="289"/>
      <c r="Q223" s="289"/>
      <c r="R223" s="382"/>
    </row>
    <row r="224" spans="2:18" x14ac:dyDescent="0.25">
      <c r="B224" s="436"/>
      <c r="C224" s="437"/>
      <c r="D224" s="437"/>
      <c r="E224" s="289"/>
      <c r="F224" s="289"/>
      <c r="G224" s="289"/>
      <c r="H224" s="289"/>
      <c r="I224" s="289"/>
      <c r="J224" s="289"/>
      <c r="K224" s="289"/>
      <c r="L224" s="289"/>
      <c r="M224" s="289"/>
      <c r="N224" s="289"/>
      <c r="O224" s="289"/>
      <c r="P224" s="289"/>
      <c r="Q224" s="289"/>
      <c r="R224" s="382"/>
    </row>
    <row r="225" spans="2:18" x14ac:dyDescent="0.25">
      <c r="B225" s="436"/>
      <c r="C225" s="437"/>
      <c r="D225" s="437"/>
      <c r="E225" s="289"/>
      <c r="F225" s="289"/>
      <c r="G225" s="289"/>
      <c r="H225" s="289"/>
      <c r="I225" s="289"/>
      <c r="J225" s="289"/>
      <c r="K225" s="289"/>
      <c r="L225" s="289"/>
      <c r="M225" s="289"/>
      <c r="N225" s="289"/>
      <c r="O225" s="289"/>
      <c r="P225" s="289"/>
      <c r="Q225" s="289"/>
      <c r="R225" s="382"/>
    </row>
    <row r="226" spans="2:18" x14ac:dyDescent="0.25">
      <c r="B226" s="436"/>
      <c r="C226" s="437"/>
      <c r="D226" s="437"/>
      <c r="E226" s="289"/>
      <c r="F226" s="289"/>
      <c r="G226" s="289"/>
      <c r="H226" s="289"/>
      <c r="I226" s="289"/>
      <c r="J226" s="289"/>
      <c r="K226" s="289"/>
      <c r="L226" s="289"/>
      <c r="M226" s="289"/>
      <c r="N226" s="289"/>
      <c r="O226" s="289"/>
      <c r="P226" s="289"/>
      <c r="Q226" s="289"/>
      <c r="R226" s="382"/>
    </row>
    <row r="227" spans="2:18" x14ac:dyDescent="0.25">
      <c r="B227" s="436"/>
      <c r="C227" s="437"/>
      <c r="D227" s="437"/>
      <c r="E227" s="289"/>
      <c r="F227" s="289"/>
      <c r="G227" s="289"/>
      <c r="H227" s="289"/>
      <c r="I227" s="289"/>
      <c r="J227" s="289"/>
      <c r="K227" s="289"/>
      <c r="L227" s="289"/>
      <c r="M227" s="289"/>
      <c r="N227" s="289"/>
      <c r="O227" s="289"/>
      <c r="P227" s="289"/>
      <c r="Q227" s="289"/>
      <c r="R227" s="382"/>
    </row>
    <row r="228" spans="2:18" x14ac:dyDescent="0.25">
      <c r="B228" s="436"/>
      <c r="C228" s="437"/>
      <c r="D228" s="437"/>
      <c r="E228" s="289"/>
      <c r="F228" s="289"/>
      <c r="G228" s="289"/>
      <c r="H228" s="289"/>
      <c r="I228" s="289"/>
      <c r="J228" s="289"/>
      <c r="K228" s="289"/>
      <c r="L228" s="289"/>
      <c r="M228" s="289"/>
      <c r="N228" s="289"/>
      <c r="O228" s="289"/>
      <c r="P228" s="289"/>
      <c r="Q228" s="289"/>
      <c r="R228" s="382"/>
    </row>
    <row r="229" spans="2:18" x14ac:dyDescent="0.25">
      <c r="B229" s="436"/>
      <c r="C229" s="437"/>
      <c r="D229" s="437"/>
      <c r="E229" s="289"/>
      <c r="F229" s="289"/>
      <c r="G229" s="289"/>
      <c r="H229" s="289"/>
      <c r="I229" s="289"/>
      <c r="J229" s="289"/>
      <c r="K229" s="289"/>
      <c r="L229" s="289"/>
      <c r="M229" s="289"/>
      <c r="N229" s="289"/>
      <c r="O229" s="289"/>
      <c r="P229" s="289"/>
      <c r="Q229" s="289"/>
      <c r="R229" s="382"/>
    </row>
    <row r="230" spans="2:18" x14ac:dyDescent="0.25">
      <c r="B230" s="436"/>
      <c r="C230" s="437"/>
      <c r="D230" s="437"/>
      <c r="E230" s="289"/>
      <c r="F230" s="289"/>
      <c r="G230" s="289"/>
      <c r="H230" s="289"/>
      <c r="I230" s="289"/>
      <c r="J230" s="289"/>
      <c r="K230" s="289"/>
      <c r="L230" s="289"/>
      <c r="M230" s="289"/>
      <c r="N230" s="289"/>
      <c r="O230" s="289"/>
      <c r="P230" s="289"/>
      <c r="Q230" s="289"/>
      <c r="R230" s="382"/>
    </row>
    <row r="231" spans="2:18" x14ac:dyDescent="0.25">
      <c r="B231" s="436"/>
      <c r="C231" s="437"/>
      <c r="D231" s="437"/>
      <c r="E231" s="289"/>
      <c r="F231" s="289"/>
      <c r="G231" s="289"/>
      <c r="H231" s="289"/>
      <c r="I231" s="289"/>
      <c r="J231" s="289"/>
      <c r="K231" s="289"/>
      <c r="L231" s="289"/>
      <c r="M231" s="289"/>
      <c r="N231" s="289"/>
      <c r="O231" s="289"/>
      <c r="P231" s="289"/>
      <c r="Q231" s="289"/>
      <c r="R231" s="382"/>
    </row>
    <row r="232" spans="2:18" x14ac:dyDescent="0.25">
      <c r="B232" s="436"/>
      <c r="C232" s="437"/>
      <c r="D232" s="437"/>
      <c r="E232" s="289"/>
      <c r="F232" s="289"/>
      <c r="G232" s="289"/>
      <c r="H232" s="289"/>
      <c r="I232" s="289"/>
      <c r="J232" s="289"/>
      <c r="K232" s="289"/>
      <c r="L232" s="289"/>
      <c r="M232" s="289"/>
      <c r="N232" s="289"/>
      <c r="O232" s="289"/>
      <c r="P232" s="289"/>
      <c r="Q232" s="289"/>
      <c r="R232" s="382"/>
    </row>
    <row r="233" spans="2:18" x14ac:dyDescent="0.25">
      <c r="B233" s="436"/>
      <c r="C233" s="437"/>
      <c r="D233" s="437"/>
      <c r="E233" s="289"/>
      <c r="F233" s="289"/>
      <c r="G233" s="289"/>
      <c r="H233" s="289"/>
      <c r="I233" s="289"/>
      <c r="J233" s="289"/>
      <c r="K233" s="289"/>
      <c r="L233" s="289"/>
      <c r="M233" s="289"/>
      <c r="N233" s="289"/>
      <c r="O233" s="289"/>
      <c r="P233" s="289"/>
      <c r="Q233" s="289"/>
      <c r="R233" s="382"/>
    </row>
    <row r="234" spans="2:18" x14ac:dyDescent="0.25">
      <c r="B234" s="436"/>
      <c r="C234" s="437"/>
      <c r="D234" s="437"/>
      <c r="E234" s="289"/>
      <c r="F234" s="289"/>
      <c r="G234" s="289"/>
      <c r="H234" s="289"/>
      <c r="I234" s="289"/>
      <c r="J234" s="289"/>
      <c r="K234" s="289"/>
      <c r="L234" s="289"/>
      <c r="M234" s="289"/>
      <c r="N234" s="289"/>
      <c r="O234" s="289"/>
      <c r="P234" s="289"/>
      <c r="Q234" s="289"/>
      <c r="R234" s="382"/>
    </row>
    <row r="235" spans="2:18" x14ac:dyDescent="0.25">
      <c r="B235" s="436"/>
      <c r="C235" s="437"/>
      <c r="D235" s="437"/>
      <c r="E235" s="289"/>
      <c r="F235" s="289"/>
      <c r="G235" s="289"/>
      <c r="H235" s="289"/>
      <c r="I235" s="289"/>
      <c r="J235" s="289"/>
      <c r="K235" s="289"/>
      <c r="L235" s="289"/>
      <c r="M235" s="289"/>
      <c r="N235" s="289"/>
      <c r="O235" s="289"/>
      <c r="P235" s="289"/>
      <c r="Q235" s="289"/>
      <c r="R235" s="382"/>
    </row>
    <row r="236" spans="2:18" x14ac:dyDescent="0.25">
      <c r="B236" s="436"/>
      <c r="C236" s="437"/>
      <c r="D236" s="437"/>
      <c r="E236" s="289"/>
      <c r="F236" s="289"/>
      <c r="G236" s="289"/>
      <c r="H236" s="289"/>
      <c r="I236" s="289"/>
      <c r="J236" s="289"/>
      <c r="K236" s="289"/>
      <c r="L236" s="289"/>
      <c r="M236" s="289"/>
      <c r="N236" s="289"/>
      <c r="O236" s="289"/>
      <c r="P236" s="289"/>
      <c r="Q236" s="289"/>
      <c r="R236" s="382"/>
    </row>
    <row r="237" spans="2:18" x14ac:dyDescent="0.25">
      <c r="B237" s="436"/>
      <c r="C237" s="437"/>
      <c r="D237" s="437"/>
      <c r="E237" s="289"/>
      <c r="F237" s="289"/>
      <c r="G237" s="289"/>
      <c r="H237" s="289"/>
      <c r="I237" s="289"/>
      <c r="J237" s="289"/>
      <c r="K237" s="289"/>
      <c r="L237" s="289"/>
      <c r="M237" s="289"/>
      <c r="N237" s="289"/>
      <c r="O237" s="289"/>
      <c r="P237" s="289"/>
      <c r="Q237" s="289"/>
      <c r="R237" s="382"/>
    </row>
    <row r="238" spans="2:18" x14ac:dyDescent="0.25">
      <c r="B238" s="436"/>
      <c r="C238" s="437"/>
      <c r="D238" s="437"/>
      <c r="E238" s="289"/>
      <c r="F238" s="289"/>
      <c r="G238" s="289"/>
      <c r="H238" s="289"/>
      <c r="I238" s="289"/>
      <c r="J238" s="289"/>
      <c r="K238" s="289"/>
      <c r="L238" s="289"/>
      <c r="M238" s="289"/>
      <c r="N238" s="289"/>
      <c r="O238" s="289"/>
      <c r="P238" s="289"/>
      <c r="Q238" s="289"/>
      <c r="R238" s="382"/>
    </row>
    <row r="239" spans="2:18" x14ac:dyDescent="0.25">
      <c r="B239" s="436"/>
      <c r="C239" s="437"/>
      <c r="D239" s="437"/>
      <c r="E239" s="289"/>
      <c r="F239" s="289"/>
      <c r="G239" s="289"/>
      <c r="H239" s="289"/>
      <c r="I239" s="289"/>
      <c r="J239" s="289"/>
      <c r="K239" s="289"/>
      <c r="L239" s="289"/>
      <c r="M239" s="289"/>
      <c r="N239" s="289"/>
      <c r="O239" s="289"/>
      <c r="P239" s="289"/>
      <c r="Q239" s="289"/>
      <c r="R239" s="382"/>
    </row>
    <row r="240" spans="2:18" x14ac:dyDescent="0.25">
      <c r="B240" s="436"/>
      <c r="C240" s="437"/>
      <c r="D240" s="437"/>
      <c r="E240" s="289"/>
      <c r="F240" s="289"/>
      <c r="G240" s="289"/>
      <c r="H240" s="289"/>
      <c r="I240" s="289"/>
      <c r="J240" s="289"/>
      <c r="K240" s="289"/>
      <c r="L240" s="289"/>
      <c r="M240" s="289"/>
      <c r="N240" s="289"/>
      <c r="O240" s="289"/>
      <c r="P240" s="289"/>
      <c r="Q240" s="289"/>
      <c r="R240" s="382"/>
    </row>
    <row r="241" spans="2:18" x14ac:dyDescent="0.25">
      <c r="B241" s="436"/>
      <c r="C241" s="437"/>
      <c r="D241" s="437"/>
      <c r="E241" s="289"/>
      <c r="F241" s="289"/>
      <c r="G241" s="289"/>
      <c r="H241" s="289"/>
      <c r="I241" s="289"/>
      <c r="J241" s="289"/>
      <c r="K241" s="289"/>
      <c r="L241" s="289"/>
      <c r="M241" s="289"/>
      <c r="N241" s="289"/>
      <c r="O241" s="289"/>
      <c r="P241" s="289"/>
      <c r="Q241" s="289"/>
      <c r="R241" s="382"/>
    </row>
    <row r="242" spans="2:18" x14ac:dyDescent="0.25">
      <c r="B242" s="436"/>
      <c r="C242" s="437"/>
      <c r="D242" s="437"/>
      <c r="E242" s="289"/>
      <c r="F242" s="289"/>
      <c r="G242" s="289"/>
      <c r="H242" s="289"/>
      <c r="I242" s="289"/>
      <c r="J242" s="289"/>
      <c r="K242" s="289"/>
      <c r="L242" s="289"/>
      <c r="M242" s="289"/>
      <c r="N242" s="289"/>
      <c r="O242" s="289"/>
      <c r="P242" s="289"/>
      <c r="Q242" s="289"/>
      <c r="R242" s="382"/>
    </row>
    <row r="243" spans="2:18" x14ac:dyDescent="0.25">
      <c r="B243" s="436"/>
      <c r="C243" s="437"/>
      <c r="D243" s="437"/>
      <c r="E243" s="289"/>
      <c r="F243" s="289"/>
      <c r="G243" s="289"/>
      <c r="H243" s="289"/>
      <c r="I243" s="289"/>
      <c r="J243" s="289"/>
      <c r="K243" s="289"/>
      <c r="L243" s="289"/>
      <c r="M243" s="289"/>
      <c r="N243" s="289"/>
      <c r="O243" s="289"/>
      <c r="P243" s="289"/>
      <c r="Q243" s="289"/>
      <c r="R243" s="382"/>
    </row>
    <row r="244" spans="2:18" x14ac:dyDescent="0.25">
      <c r="B244" s="436"/>
      <c r="C244" s="437"/>
      <c r="D244" s="437"/>
      <c r="E244" s="289"/>
      <c r="F244" s="289"/>
      <c r="G244" s="289"/>
      <c r="H244" s="289"/>
      <c r="I244" s="289"/>
      <c r="J244" s="289"/>
      <c r="K244" s="289"/>
      <c r="L244" s="289"/>
      <c r="M244" s="289"/>
      <c r="N244" s="289"/>
      <c r="O244" s="289"/>
      <c r="P244" s="289"/>
      <c r="Q244" s="289"/>
      <c r="R244" s="382"/>
    </row>
    <row r="245" spans="2:18" x14ac:dyDescent="0.25">
      <c r="B245" s="436"/>
      <c r="C245" s="437"/>
      <c r="D245" s="437"/>
      <c r="E245" s="289"/>
      <c r="F245" s="289"/>
      <c r="G245" s="289"/>
      <c r="H245" s="289"/>
      <c r="I245" s="289"/>
      <c r="J245" s="289"/>
      <c r="K245" s="289"/>
      <c r="L245" s="289"/>
      <c r="M245" s="289"/>
      <c r="N245" s="289"/>
      <c r="O245" s="289"/>
      <c r="P245" s="289"/>
      <c r="Q245" s="289"/>
      <c r="R245" s="382"/>
    </row>
    <row r="246" spans="2:18" x14ac:dyDescent="0.25">
      <c r="B246" s="436"/>
      <c r="C246" s="437"/>
      <c r="D246" s="437"/>
      <c r="E246" s="289"/>
      <c r="F246" s="289"/>
      <c r="G246" s="289"/>
      <c r="H246" s="289"/>
      <c r="I246" s="289"/>
      <c r="J246" s="289"/>
      <c r="K246" s="289"/>
      <c r="L246" s="289"/>
      <c r="M246" s="289"/>
      <c r="N246" s="289"/>
      <c r="O246" s="289"/>
      <c r="P246" s="289"/>
      <c r="Q246" s="289"/>
      <c r="R246" s="382"/>
    </row>
    <row r="247" spans="2:18" x14ac:dyDescent="0.25">
      <c r="B247" s="436"/>
      <c r="C247" s="437"/>
      <c r="D247" s="437"/>
      <c r="E247" s="289"/>
      <c r="F247" s="289"/>
      <c r="G247" s="289"/>
      <c r="H247" s="289"/>
      <c r="I247" s="289"/>
      <c r="J247" s="289"/>
      <c r="K247" s="289"/>
      <c r="L247" s="289"/>
      <c r="M247" s="289"/>
      <c r="N247" s="289"/>
      <c r="O247" s="289"/>
      <c r="P247" s="289"/>
      <c r="Q247" s="289"/>
      <c r="R247" s="382"/>
    </row>
    <row r="248" spans="2:18" x14ac:dyDescent="0.25">
      <c r="B248" s="436"/>
      <c r="C248" s="437"/>
      <c r="D248" s="437"/>
      <c r="E248" s="289"/>
      <c r="F248" s="289"/>
      <c r="G248" s="289"/>
      <c r="H248" s="289"/>
      <c r="I248" s="289"/>
      <c r="J248" s="289"/>
      <c r="K248" s="289"/>
      <c r="L248" s="289"/>
      <c r="M248" s="289"/>
      <c r="N248" s="289"/>
      <c r="O248" s="289"/>
      <c r="P248" s="289"/>
      <c r="Q248" s="289"/>
      <c r="R248" s="382"/>
    </row>
    <row r="249" spans="2:18" x14ac:dyDescent="0.25">
      <c r="B249" s="436"/>
      <c r="C249" s="437"/>
      <c r="D249" s="437"/>
      <c r="E249" s="289"/>
      <c r="F249" s="289"/>
      <c r="G249" s="289"/>
      <c r="H249" s="289"/>
      <c r="I249" s="289"/>
      <c r="J249" s="289"/>
      <c r="K249" s="289"/>
      <c r="L249" s="289"/>
      <c r="M249" s="289"/>
      <c r="N249" s="289"/>
      <c r="O249" s="289"/>
      <c r="P249" s="289"/>
      <c r="Q249" s="289"/>
      <c r="R249" s="382"/>
    </row>
    <row r="250" spans="2:18" x14ac:dyDescent="0.25">
      <c r="B250" s="436"/>
      <c r="C250" s="437"/>
      <c r="D250" s="437"/>
      <c r="E250" s="289"/>
      <c r="F250" s="289"/>
      <c r="G250" s="289"/>
      <c r="H250" s="289"/>
      <c r="I250" s="289"/>
      <c r="J250" s="289"/>
      <c r="K250" s="289"/>
      <c r="L250" s="289"/>
      <c r="M250" s="289"/>
      <c r="N250" s="289"/>
      <c r="O250" s="289"/>
      <c r="P250" s="289"/>
      <c r="Q250" s="289"/>
      <c r="R250" s="382"/>
    </row>
    <row r="251" spans="2:18" x14ac:dyDescent="0.25">
      <c r="B251" s="436"/>
      <c r="C251" s="437"/>
      <c r="D251" s="437"/>
      <c r="E251" s="289"/>
      <c r="F251" s="289"/>
      <c r="G251" s="289"/>
      <c r="H251" s="289"/>
      <c r="I251" s="289"/>
      <c r="J251" s="289"/>
      <c r="K251" s="289"/>
      <c r="L251" s="289"/>
      <c r="M251" s="289"/>
      <c r="N251" s="289"/>
      <c r="O251" s="289"/>
      <c r="P251" s="289"/>
      <c r="Q251" s="289"/>
      <c r="R251" s="382"/>
    </row>
    <row r="252" spans="2:18" x14ac:dyDescent="0.25">
      <c r="B252" s="436"/>
      <c r="C252" s="437"/>
      <c r="D252" s="437"/>
      <c r="E252" s="289"/>
      <c r="F252" s="289"/>
      <c r="G252" s="289"/>
      <c r="H252" s="289"/>
      <c r="I252" s="289"/>
      <c r="J252" s="289"/>
      <c r="K252" s="289"/>
      <c r="L252" s="289"/>
      <c r="M252" s="289"/>
      <c r="N252" s="289"/>
      <c r="O252" s="289"/>
      <c r="P252" s="289"/>
      <c r="Q252" s="289"/>
      <c r="R252" s="382"/>
    </row>
    <row r="253" spans="2:18" x14ac:dyDescent="0.25">
      <c r="B253" s="436"/>
      <c r="C253" s="437"/>
      <c r="D253" s="437"/>
      <c r="E253" s="289"/>
      <c r="F253" s="289"/>
      <c r="G253" s="289"/>
      <c r="H253" s="289"/>
      <c r="I253" s="289"/>
      <c r="J253" s="289"/>
      <c r="K253" s="289"/>
      <c r="L253" s="289"/>
      <c r="M253" s="289"/>
      <c r="N253" s="289"/>
      <c r="O253" s="289"/>
      <c r="P253" s="289"/>
      <c r="Q253" s="289"/>
      <c r="R253" s="382"/>
    </row>
    <row r="254" spans="2:18" x14ac:dyDescent="0.25">
      <c r="B254" s="436"/>
      <c r="C254" s="437"/>
      <c r="D254" s="437"/>
      <c r="E254" s="289"/>
      <c r="F254" s="289"/>
      <c r="G254" s="289"/>
      <c r="H254" s="289"/>
      <c r="I254" s="289"/>
      <c r="J254" s="289"/>
      <c r="K254" s="289"/>
      <c r="L254" s="289"/>
      <c r="M254" s="289"/>
      <c r="N254" s="289"/>
      <c r="O254" s="289"/>
      <c r="P254" s="289"/>
      <c r="Q254" s="289"/>
      <c r="R254" s="382"/>
    </row>
    <row r="255" spans="2:18" x14ac:dyDescent="0.25">
      <c r="B255" s="436"/>
      <c r="C255" s="437"/>
      <c r="D255" s="437"/>
      <c r="E255" s="289"/>
      <c r="F255" s="289"/>
      <c r="G255" s="289"/>
      <c r="H255" s="289"/>
      <c r="I255" s="289"/>
      <c r="J255" s="289"/>
      <c r="K255" s="289"/>
      <c r="L255" s="289"/>
      <c r="M255" s="289"/>
      <c r="N255" s="289"/>
      <c r="O255" s="289"/>
      <c r="P255" s="289"/>
      <c r="Q255" s="289"/>
      <c r="R255" s="382"/>
    </row>
    <row r="256" spans="2:18" x14ac:dyDescent="0.25">
      <c r="B256" s="436"/>
      <c r="C256" s="437"/>
      <c r="D256" s="437"/>
      <c r="E256" s="289"/>
      <c r="F256" s="289"/>
      <c r="G256" s="289"/>
      <c r="H256" s="289"/>
      <c r="I256" s="289"/>
      <c r="J256" s="289"/>
      <c r="K256" s="289"/>
      <c r="L256" s="289"/>
      <c r="M256" s="289"/>
      <c r="N256" s="289"/>
      <c r="O256" s="289"/>
      <c r="P256" s="289"/>
      <c r="Q256" s="289"/>
      <c r="R256" s="382"/>
    </row>
    <row r="257" spans="2:18" x14ac:dyDescent="0.25">
      <c r="B257" s="436"/>
      <c r="C257" s="437"/>
      <c r="D257" s="437"/>
      <c r="E257" s="289"/>
      <c r="F257" s="289"/>
      <c r="G257" s="289"/>
      <c r="H257" s="289"/>
      <c r="I257" s="289"/>
      <c r="J257" s="289"/>
      <c r="K257" s="289"/>
      <c r="L257" s="289"/>
      <c r="M257" s="289"/>
      <c r="N257" s="289"/>
      <c r="O257" s="289"/>
      <c r="P257" s="289"/>
      <c r="Q257" s="289"/>
      <c r="R257" s="382"/>
    </row>
    <row r="258" spans="2:18" x14ac:dyDescent="0.25">
      <c r="B258" s="436"/>
      <c r="C258" s="437"/>
      <c r="D258" s="437"/>
      <c r="E258" s="289"/>
      <c r="F258" s="289"/>
      <c r="G258" s="289"/>
      <c r="H258" s="289"/>
      <c r="I258" s="289"/>
      <c r="J258" s="289"/>
      <c r="K258" s="289"/>
      <c r="L258" s="289"/>
      <c r="M258" s="289"/>
      <c r="N258" s="289"/>
      <c r="O258" s="289"/>
      <c r="P258" s="289"/>
      <c r="Q258" s="289"/>
      <c r="R258" s="382"/>
    </row>
    <row r="259" spans="2:18" x14ac:dyDescent="0.25">
      <c r="B259" s="436"/>
      <c r="C259" s="437"/>
      <c r="D259" s="437"/>
      <c r="E259" s="289"/>
      <c r="F259" s="289"/>
      <c r="G259" s="289"/>
      <c r="H259" s="289"/>
      <c r="I259" s="289"/>
      <c r="J259" s="289"/>
      <c r="K259" s="289"/>
      <c r="L259" s="289"/>
      <c r="M259" s="289"/>
      <c r="N259" s="289"/>
      <c r="O259" s="289"/>
      <c r="P259" s="289"/>
      <c r="Q259" s="289"/>
      <c r="R259" s="382"/>
    </row>
    <row r="260" spans="2:18" x14ac:dyDescent="0.25">
      <c r="B260" s="436"/>
      <c r="C260" s="437"/>
      <c r="D260" s="437"/>
      <c r="E260" s="289"/>
      <c r="F260" s="289"/>
      <c r="G260" s="289"/>
      <c r="H260" s="289"/>
      <c r="I260" s="289"/>
      <c r="J260" s="289"/>
      <c r="K260" s="289"/>
      <c r="L260" s="289"/>
      <c r="M260" s="289"/>
      <c r="N260" s="289"/>
      <c r="O260" s="289"/>
      <c r="P260" s="289"/>
      <c r="Q260" s="289"/>
      <c r="R260" s="382"/>
    </row>
    <row r="261" spans="2:18" x14ac:dyDescent="0.25">
      <c r="B261" s="436"/>
      <c r="C261" s="437"/>
      <c r="D261" s="437"/>
      <c r="E261" s="289"/>
      <c r="F261" s="289"/>
      <c r="G261" s="289"/>
      <c r="H261" s="289"/>
      <c r="I261" s="289"/>
      <c r="J261" s="289"/>
      <c r="K261" s="289"/>
      <c r="L261" s="289"/>
      <c r="M261" s="289"/>
      <c r="N261" s="289"/>
      <c r="O261" s="289"/>
      <c r="P261" s="289"/>
      <c r="Q261" s="289"/>
      <c r="R261" s="382"/>
    </row>
    <row r="262" spans="2:18" x14ac:dyDescent="0.25">
      <c r="B262" s="436"/>
      <c r="C262" s="437"/>
      <c r="D262" s="437"/>
      <c r="E262" s="289"/>
      <c r="F262" s="289"/>
      <c r="G262" s="289"/>
      <c r="H262" s="289"/>
      <c r="I262" s="289"/>
      <c r="J262" s="289"/>
      <c r="K262" s="289"/>
      <c r="L262" s="289"/>
      <c r="M262" s="289"/>
      <c r="N262" s="289"/>
      <c r="O262" s="289"/>
      <c r="P262" s="289"/>
      <c r="Q262" s="289"/>
      <c r="R262" s="382"/>
    </row>
    <row r="263" spans="2:18" x14ac:dyDescent="0.25">
      <c r="B263" s="436"/>
      <c r="C263" s="437"/>
      <c r="D263" s="437"/>
      <c r="E263" s="289"/>
      <c r="F263" s="289"/>
      <c r="G263" s="289"/>
      <c r="H263" s="289"/>
      <c r="I263" s="289"/>
      <c r="J263" s="289"/>
      <c r="K263" s="289"/>
      <c r="L263" s="289"/>
      <c r="M263" s="289"/>
      <c r="N263" s="289"/>
      <c r="O263" s="289"/>
      <c r="P263" s="289"/>
      <c r="Q263" s="289"/>
      <c r="R263" s="382"/>
    </row>
    <row r="264" spans="2:18" x14ac:dyDescent="0.25">
      <c r="B264" s="436"/>
      <c r="C264" s="437"/>
      <c r="D264" s="437"/>
      <c r="E264" s="289"/>
      <c r="F264" s="289"/>
      <c r="G264" s="289"/>
      <c r="H264" s="289"/>
      <c r="I264" s="289"/>
      <c r="J264" s="289"/>
      <c r="K264" s="289"/>
      <c r="L264" s="289"/>
      <c r="M264" s="289"/>
      <c r="N264" s="289"/>
      <c r="O264" s="289"/>
      <c r="P264" s="289"/>
      <c r="Q264" s="289"/>
      <c r="R264" s="382"/>
    </row>
    <row r="265" spans="2:18" x14ac:dyDescent="0.25">
      <c r="B265" s="436"/>
      <c r="C265" s="437"/>
      <c r="D265" s="437"/>
      <c r="E265" s="289"/>
      <c r="F265" s="289"/>
      <c r="G265" s="289"/>
      <c r="H265" s="289"/>
      <c r="I265" s="289"/>
      <c r="J265" s="289"/>
      <c r="K265" s="289"/>
      <c r="L265" s="289"/>
      <c r="M265" s="289"/>
      <c r="N265" s="289"/>
      <c r="O265" s="289"/>
      <c r="P265" s="289"/>
      <c r="Q265" s="289"/>
      <c r="R265" s="382"/>
    </row>
    <row r="266" spans="2:18" x14ac:dyDescent="0.25">
      <c r="B266" s="436"/>
      <c r="C266" s="437"/>
      <c r="D266" s="437"/>
      <c r="E266" s="289"/>
      <c r="F266" s="289"/>
      <c r="G266" s="289"/>
      <c r="H266" s="289"/>
      <c r="I266" s="289"/>
      <c r="J266" s="289"/>
      <c r="K266" s="289"/>
      <c r="L266" s="289"/>
      <c r="M266" s="289"/>
      <c r="N266" s="289"/>
      <c r="O266" s="289"/>
      <c r="P266" s="289"/>
      <c r="Q266" s="289"/>
      <c r="R266" s="382"/>
    </row>
    <row r="267" spans="2:18" x14ac:dyDescent="0.25">
      <c r="B267" s="436"/>
      <c r="C267" s="437"/>
      <c r="D267" s="437"/>
      <c r="E267" s="289"/>
      <c r="F267" s="289"/>
      <c r="G267" s="289"/>
      <c r="H267" s="289"/>
      <c r="I267" s="289"/>
      <c r="J267" s="289"/>
      <c r="K267" s="289"/>
      <c r="L267" s="289"/>
      <c r="M267" s="289"/>
      <c r="N267" s="289"/>
      <c r="O267" s="289"/>
      <c r="P267" s="289"/>
      <c r="Q267" s="289"/>
      <c r="R267" s="382"/>
    </row>
    <row r="268" spans="2:18" x14ac:dyDescent="0.25">
      <c r="B268" s="436"/>
      <c r="C268" s="437"/>
      <c r="D268" s="437"/>
      <c r="E268" s="289"/>
      <c r="F268" s="289"/>
      <c r="G268" s="289"/>
      <c r="H268" s="289"/>
      <c r="I268" s="289"/>
      <c r="J268" s="289"/>
      <c r="K268" s="289"/>
      <c r="L268" s="289"/>
      <c r="M268" s="289"/>
      <c r="N268" s="289"/>
      <c r="O268" s="289"/>
      <c r="P268" s="289"/>
      <c r="Q268" s="289"/>
      <c r="R268" s="382"/>
    </row>
    <row r="269" spans="2:18" x14ac:dyDescent="0.25">
      <c r="B269" s="436"/>
      <c r="C269" s="437"/>
      <c r="D269" s="437"/>
      <c r="E269" s="289"/>
      <c r="F269" s="289"/>
      <c r="G269" s="289"/>
      <c r="H269" s="289"/>
      <c r="I269" s="289"/>
      <c r="J269" s="289"/>
      <c r="K269" s="289"/>
      <c r="L269" s="289"/>
      <c r="M269" s="289"/>
      <c r="N269" s="289"/>
      <c r="O269" s="289"/>
      <c r="P269" s="289"/>
      <c r="Q269" s="289"/>
      <c r="R269" s="382"/>
    </row>
    <row r="270" spans="2:18" x14ac:dyDescent="0.25">
      <c r="B270" s="436"/>
      <c r="C270" s="437"/>
      <c r="D270" s="437"/>
      <c r="E270" s="289"/>
      <c r="F270" s="289"/>
      <c r="G270" s="289"/>
      <c r="H270" s="289"/>
      <c r="I270" s="289"/>
      <c r="J270" s="289"/>
      <c r="K270" s="289"/>
      <c r="L270" s="289"/>
      <c r="M270" s="289"/>
      <c r="N270" s="289"/>
      <c r="O270" s="289"/>
      <c r="P270" s="289"/>
      <c r="Q270" s="289"/>
      <c r="R270" s="382"/>
    </row>
    <row r="271" spans="2:18" x14ac:dyDescent="0.25">
      <c r="B271" s="436"/>
      <c r="C271" s="437"/>
      <c r="D271" s="437"/>
      <c r="E271" s="289"/>
      <c r="F271" s="289"/>
      <c r="G271" s="289"/>
      <c r="H271" s="289"/>
      <c r="I271" s="289"/>
      <c r="J271" s="289"/>
      <c r="K271" s="289"/>
      <c r="L271" s="289"/>
      <c r="M271" s="289"/>
      <c r="N271" s="289"/>
      <c r="O271" s="289"/>
      <c r="P271" s="289"/>
      <c r="Q271" s="289"/>
      <c r="R271" s="382"/>
    </row>
    <row r="272" spans="2:18" x14ac:dyDescent="0.25">
      <c r="B272" s="436"/>
      <c r="C272" s="437"/>
      <c r="D272" s="437"/>
      <c r="E272" s="289"/>
      <c r="F272" s="289"/>
      <c r="G272" s="289"/>
      <c r="H272" s="289"/>
      <c r="I272" s="289"/>
      <c r="J272" s="289"/>
      <c r="K272" s="289"/>
      <c r="L272" s="289"/>
      <c r="M272" s="289"/>
      <c r="N272" s="289"/>
      <c r="O272" s="289"/>
      <c r="P272" s="289"/>
      <c r="Q272" s="289"/>
      <c r="R272" s="382"/>
    </row>
    <row r="273" spans="2:18" x14ac:dyDescent="0.25">
      <c r="B273" s="436"/>
      <c r="C273" s="437"/>
      <c r="D273" s="437"/>
      <c r="E273" s="289"/>
      <c r="F273" s="289"/>
      <c r="G273" s="289"/>
      <c r="H273" s="289"/>
      <c r="I273" s="289"/>
      <c r="J273" s="289"/>
      <c r="K273" s="289"/>
      <c r="L273" s="289"/>
      <c r="M273" s="289"/>
      <c r="N273" s="289"/>
      <c r="O273" s="289"/>
      <c r="P273" s="289"/>
      <c r="Q273" s="289"/>
      <c r="R273" s="382"/>
    </row>
    <row r="274" spans="2:18" x14ac:dyDescent="0.25">
      <c r="B274" s="436"/>
      <c r="C274" s="437"/>
      <c r="D274" s="437"/>
      <c r="E274" s="289"/>
      <c r="F274" s="289"/>
      <c r="G274" s="289"/>
      <c r="H274" s="289"/>
      <c r="I274" s="289"/>
      <c r="J274" s="289"/>
      <c r="K274" s="289"/>
      <c r="L274" s="289"/>
      <c r="M274" s="289"/>
      <c r="N274" s="289"/>
      <c r="O274" s="289"/>
      <c r="P274" s="289"/>
      <c r="Q274" s="289"/>
      <c r="R274" s="382"/>
    </row>
    <row r="275" spans="2:18" x14ac:dyDescent="0.25">
      <c r="B275" s="436"/>
      <c r="C275" s="437"/>
      <c r="D275" s="437"/>
      <c r="E275" s="289"/>
      <c r="F275" s="289"/>
      <c r="G275" s="289"/>
      <c r="H275" s="289"/>
      <c r="I275" s="289"/>
      <c r="J275" s="289"/>
      <c r="K275" s="289"/>
      <c r="L275" s="289"/>
      <c r="M275" s="289"/>
      <c r="N275" s="289"/>
      <c r="O275" s="289"/>
      <c r="P275" s="289"/>
      <c r="Q275" s="289"/>
      <c r="R275" s="382"/>
    </row>
    <row r="276" spans="2:18" x14ac:dyDescent="0.25">
      <c r="B276" s="436"/>
      <c r="C276" s="437"/>
      <c r="D276" s="437"/>
      <c r="E276" s="289"/>
      <c r="F276" s="289"/>
      <c r="G276" s="289"/>
      <c r="H276" s="289"/>
      <c r="I276" s="289"/>
      <c r="J276" s="289"/>
      <c r="K276" s="289"/>
      <c r="L276" s="289"/>
      <c r="M276" s="289"/>
      <c r="N276" s="289"/>
      <c r="O276" s="289"/>
      <c r="P276" s="289"/>
      <c r="Q276" s="289"/>
      <c r="R276" s="382"/>
    </row>
    <row r="277" spans="2:18" x14ac:dyDescent="0.25">
      <c r="B277" s="436"/>
      <c r="C277" s="437"/>
      <c r="D277" s="437"/>
      <c r="E277" s="289"/>
      <c r="F277" s="289"/>
      <c r="G277" s="289"/>
      <c r="H277" s="289"/>
      <c r="I277" s="289"/>
      <c r="J277" s="289"/>
      <c r="K277" s="289"/>
      <c r="L277" s="289"/>
      <c r="M277" s="289"/>
      <c r="N277" s="289"/>
      <c r="O277" s="289"/>
      <c r="P277" s="289"/>
      <c r="Q277" s="289"/>
      <c r="R277" s="382"/>
    </row>
    <row r="278" spans="2:18" x14ac:dyDescent="0.25">
      <c r="B278" s="436"/>
      <c r="C278" s="437"/>
      <c r="D278" s="437"/>
      <c r="E278" s="289"/>
      <c r="F278" s="289"/>
      <c r="G278" s="289"/>
      <c r="H278" s="289"/>
      <c r="I278" s="289"/>
      <c r="J278" s="289"/>
      <c r="K278" s="289"/>
      <c r="L278" s="289"/>
      <c r="M278" s="289"/>
      <c r="N278" s="289"/>
      <c r="O278" s="289"/>
      <c r="P278" s="289"/>
      <c r="Q278" s="289"/>
      <c r="R278" s="382"/>
    </row>
    <row r="279" spans="2:18" x14ac:dyDescent="0.25">
      <c r="B279" s="436"/>
      <c r="C279" s="437"/>
      <c r="D279" s="437"/>
      <c r="E279" s="289"/>
      <c r="F279" s="289"/>
      <c r="G279" s="289"/>
      <c r="H279" s="289"/>
      <c r="I279" s="289"/>
      <c r="J279" s="289"/>
      <c r="K279" s="289"/>
      <c r="L279" s="289"/>
      <c r="M279" s="289"/>
      <c r="N279" s="289"/>
      <c r="O279" s="289"/>
      <c r="P279" s="289"/>
      <c r="Q279" s="289"/>
      <c r="R279" s="382"/>
    </row>
    <row r="280" spans="2:18" x14ac:dyDescent="0.25">
      <c r="B280" s="436"/>
      <c r="C280" s="437"/>
      <c r="D280" s="437"/>
      <c r="E280" s="289"/>
      <c r="F280" s="289"/>
      <c r="G280" s="289"/>
      <c r="H280" s="289"/>
      <c r="I280" s="289"/>
      <c r="J280" s="289"/>
      <c r="K280" s="289"/>
      <c r="L280" s="289"/>
      <c r="M280" s="289"/>
      <c r="N280" s="289"/>
      <c r="O280" s="289"/>
      <c r="P280" s="289"/>
      <c r="Q280" s="289"/>
      <c r="R280" s="382"/>
    </row>
    <row r="281" spans="2:18" x14ac:dyDescent="0.25">
      <c r="B281" s="436"/>
      <c r="C281" s="437"/>
      <c r="D281" s="437"/>
      <c r="E281" s="289"/>
      <c r="F281" s="289"/>
      <c r="G281" s="289"/>
      <c r="H281" s="289"/>
      <c r="I281" s="289"/>
      <c r="J281" s="289"/>
      <c r="K281" s="289"/>
      <c r="L281" s="289"/>
      <c r="M281" s="289"/>
      <c r="N281" s="289"/>
      <c r="O281" s="289"/>
      <c r="P281" s="289"/>
      <c r="Q281" s="289"/>
      <c r="R281" s="382"/>
    </row>
    <row r="282" spans="2:18" x14ac:dyDescent="0.25">
      <c r="B282" s="436"/>
      <c r="C282" s="437"/>
      <c r="D282" s="437"/>
      <c r="E282" s="289"/>
      <c r="F282" s="289"/>
      <c r="G282" s="289"/>
      <c r="H282" s="289"/>
      <c r="I282" s="289"/>
      <c r="J282" s="289"/>
      <c r="K282" s="289"/>
      <c r="L282" s="289"/>
      <c r="M282" s="289"/>
      <c r="N282" s="289"/>
      <c r="O282" s="289"/>
      <c r="P282" s="289"/>
      <c r="Q282" s="289"/>
      <c r="R282" s="382"/>
    </row>
    <row r="283" spans="2:18" x14ac:dyDescent="0.25">
      <c r="B283" s="436"/>
      <c r="C283" s="437"/>
      <c r="D283" s="437"/>
      <c r="E283" s="289"/>
      <c r="F283" s="289"/>
      <c r="G283" s="289"/>
      <c r="H283" s="289"/>
      <c r="I283" s="289"/>
      <c r="J283" s="289"/>
      <c r="K283" s="289"/>
      <c r="L283" s="289"/>
      <c r="M283" s="289"/>
      <c r="N283" s="289"/>
      <c r="O283" s="289"/>
      <c r="P283" s="289"/>
      <c r="Q283" s="289"/>
      <c r="R283" s="382"/>
    </row>
    <row r="284" spans="2:18" x14ac:dyDescent="0.25">
      <c r="B284" s="436"/>
      <c r="C284" s="437"/>
      <c r="D284" s="437"/>
      <c r="E284" s="289"/>
      <c r="F284" s="289"/>
      <c r="G284" s="289"/>
      <c r="H284" s="289"/>
      <c r="I284" s="289"/>
      <c r="J284" s="289"/>
      <c r="K284" s="289"/>
      <c r="L284" s="289"/>
      <c r="M284" s="289"/>
      <c r="N284" s="289"/>
      <c r="O284" s="289"/>
      <c r="P284" s="289"/>
      <c r="Q284" s="289"/>
      <c r="R284" s="382"/>
    </row>
    <row r="285" spans="2:18" x14ac:dyDescent="0.25">
      <c r="B285" s="436"/>
      <c r="C285" s="437"/>
      <c r="D285" s="437"/>
      <c r="E285" s="289"/>
      <c r="F285" s="289"/>
      <c r="G285" s="289"/>
      <c r="H285" s="289"/>
      <c r="I285" s="289"/>
      <c r="J285" s="289"/>
      <c r="K285" s="289"/>
      <c r="L285" s="289"/>
      <c r="M285" s="289"/>
      <c r="N285" s="289"/>
      <c r="O285" s="289"/>
      <c r="P285" s="289"/>
      <c r="Q285" s="289"/>
      <c r="R285" s="382"/>
    </row>
    <row r="286" spans="2:18" x14ac:dyDescent="0.25">
      <c r="B286" s="436"/>
      <c r="C286" s="437"/>
      <c r="D286" s="437"/>
      <c r="E286" s="289"/>
      <c r="F286" s="289"/>
      <c r="G286" s="289"/>
      <c r="H286" s="289"/>
      <c r="I286" s="289"/>
      <c r="J286" s="289"/>
      <c r="K286" s="289"/>
      <c r="L286" s="289"/>
      <c r="M286" s="289"/>
      <c r="N286" s="289"/>
      <c r="O286" s="289"/>
      <c r="P286" s="289"/>
      <c r="Q286" s="289"/>
      <c r="R286" s="382"/>
    </row>
    <row r="287" spans="2:18" x14ac:dyDescent="0.25">
      <c r="B287" s="436"/>
      <c r="C287" s="437"/>
      <c r="D287" s="437"/>
      <c r="E287" s="289"/>
      <c r="F287" s="289"/>
      <c r="G287" s="289"/>
      <c r="H287" s="289"/>
      <c r="I287" s="289"/>
      <c r="J287" s="289"/>
      <c r="K287" s="289"/>
      <c r="L287" s="289"/>
      <c r="M287" s="289"/>
      <c r="N287" s="289"/>
      <c r="O287" s="289"/>
      <c r="P287" s="289"/>
      <c r="Q287" s="289"/>
      <c r="R287" s="382"/>
    </row>
    <row r="288" spans="2:18" x14ac:dyDescent="0.25">
      <c r="B288" s="436"/>
      <c r="C288" s="437"/>
      <c r="D288" s="437"/>
      <c r="E288" s="289"/>
      <c r="F288" s="289"/>
      <c r="G288" s="289"/>
      <c r="H288" s="289"/>
      <c r="I288" s="289"/>
      <c r="J288" s="289"/>
      <c r="K288" s="289"/>
      <c r="L288" s="289"/>
      <c r="M288" s="289"/>
      <c r="N288" s="289"/>
      <c r="O288" s="289"/>
      <c r="P288" s="289"/>
      <c r="Q288" s="289"/>
      <c r="R288" s="382"/>
    </row>
    <row r="289" spans="2:18" x14ac:dyDescent="0.25">
      <c r="B289" s="436"/>
      <c r="C289" s="437"/>
      <c r="D289" s="437"/>
      <c r="E289" s="289"/>
      <c r="F289" s="289"/>
      <c r="G289" s="289"/>
      <c r="H289" s="289"/>
      <c r="I289" s="289"/>
      <c r="J289" s="289"/>
      <c r="K289" s="289"/>
      <c r="L289" s="289"/>
      <c r="M289" s="289"/>
      <c r="N289" s="289"/>
      <c r="O289" s="289"/>
      <c r="P289" s="289"/>
      <c r="Q289" s="289"/>
      <c r="R289" s="382"/>
    </row>
    <row r="290" spans="2:18" x14ac:dyDescent="0.25">
      <c r="B290" s="436"/>
      <c r="C290" s="437"/>
      <c r="D290" s="437"/>
      <c r="E290" s="289"/>
      <c r="F290" s="289"/>
      <c r="G290" s="289"/>
      <c r="H290" s="289"/>
      <c r="I290" s="289"/>
      <c r="J290" s="289"/>
      <c r="K290" s="289"/>
      <c r="L290" s="289"/>
      <c r="M290" s="289"/>
      <c r="N290" s="289"/>
      <c r="O290" s="289"/>
      <c r="P290" s="289"/>
      <c r="Q290" s="289"/>
      <c r="R290" s="382"/>
    </row>
    <row r="291" spans="2:18" x14ac:dyDescent="0.25">
      <c r="B291" s="436"/>
      <c r="C291" s="437"/>
      <c r="D291" s="437"/>
      <c r="E291" s="289"/>
      <c r="F291" s="289"/>
      <c r="G291" s="289"/>
      <c r="H291" s="289"/>
      <c r="I291" s="289"/>
      <c r="J291" s="289"/>
      <c r="K291" s="289"/>
      <c r="L291" s="289"/>
      <c r="M291" s="289"/>
      <c r="N291" s="289"/>
      <c r="O291" s="289"/>
      <c r="P291" s="289"/>
      <c r="Q291" s="289"/>
      <c r="R291" s="382"/>
    </row>
    <row r="292" spans="2:18" x14ac:dyDescent="0.25">
      <c r="B292" s="436"/>
      <c r="C292" s="437"/>
      <c r="D292" s="437"/>
      <c r="E292" s="289"/>
      <c r="F292" s="289"/>
      <c r="G292" s="289"/>
      <c r="H292" s="289"/>
      <c r="I292" s="289"/>
      <c r="J292" s="289"/>
      <c r="K292" s="289"/>
      <c r="L292" s="289"/>
      <c r="M292" s="289"/>
      <c r="N292" s="289"/>
      <c r="O292" s="289"/>
      <c r="P292" s="289"/>
      <c r="Q292" s="289"/>
      <c r="R292" s="382"/>
    </row>
    <row r="293" spans="2:18" x14ac:dyDescent="0.25">
      <c r="B293" s="436"/>
      <c r="C293" s="437"/>
      <c r="D293" s="437"/>
      <c r="E293" s="289"/>
      <c r="F293" s="289"/>
      <c r="G293" s="289"/>
      <c r="H293" s="289"/>
      <c r="I293" s="289"/>
      <c r="J293" s="289"/>
      <c r="K293" s="289"/>
      <c r="L293" s="289"/>
      <c r="M293" s="289"/>
      <c r="N293" s="289"/>
      <c r="O293" s="289"/>
      <c r="P293" s="289"/>
      <c r="Q293" s="289"/>
      <c r="R293" s="382"/>
    </row>
    <row r="294" spans="2:18" x14ac:dyDescent="0.25">
      <c r="B294" s="436"/>
      <c r="C294" s="437"/>
      <c r="D294" s="437"/>
      <c r="E294" s="289"/>
      <c r="F294" s="289"/>
      <c r="G294" s="289"/>
      <c r="H294" s="289"/>
      <c r="I294" s="289"/>
      <c r="J294" s="289"/>
      <c r="K294" s="289"/>
      <c r="L294" s="289"/>
      <c r="M294" s="289"/>
      <c r="N294" s="289"/>
      <c r="O294" s="289"/>
      <c r="P294" s="289"/>
      <c r="Q294" s="289"/>
      <c r="R294" s="382"/>
    </row>
    <row r="295" spans="2:18" x14ac:dyDescent="0.25">
      <c r="B295" s="436"/>
      <c r="C295" s="437"/>
      <c r="D295" s="437"/>
      <c r="E295" s="289"/>
      <c r="F295" s="289"/>
      <c r="G295" s="289"/>
      <c r="H295" s="289"/>
      <c r="I295" s="289"/>
      <c r="J295" s="289"/>
      <c r="K295" s="289"/>
      <c r="L295" s="289"/>
      <c r="M295" s="289"/>
      <c r="N295" s="289"/>
      <c r="O295" s="289"/>
      <c r="P295" s="289"/>
      <c r="Q295" s="289"/>
      <c r="R295" s="382"/>
    </row>
    <row r="296" spans="2:18" x14ac:dyDescent="0.25">
      <c r="B296" s="436"/>
      <c r="C296" s="437"/>
      <c r="D296" s="437"/>
      <c r="E296" s="289"/>
      <c r="F296" s="289"/>
      <c r="G296" s="289"/>
      <c r="H296" s="289"/>
      <c r="I296" s="289"/>
      <c r="J296" s="289"/>
      <c r="K296" s="289"/>
      <c r="L296" s="289"/>
      <c r="M296" s="289"/>
      <c r="N296" s="289"/>
      <c r="O296" s="289"/>
      <c r="P296" s="289"/>
      <c r="Q296" s="289"/>
      <c r="R296" s="382"/>
    </row>
    <row r="297" spans="2:18" x14ac:dyDescent="0.25">
      <c r="B297" s="436"/>
      <c r="C297" s="437"/>
      <c r="D297" s="437"/>
      <c r="E297" s="289"/>
      <c r="F297" s="289"/>
      <c r="G297" s="289"/>
      <c r="H297" s="289"/>
      <c r="I297" s="289"/>
      <c r="J297" s="289"/>
      <c r="K297" s="289"/>
      <c r="L297" s="289"/>
      <c r="M297" s="289"/>
      <c r="N297" s="289"/>
      <c r="O297" s="289"/>
      <c r="P297" s="289"/>
      <c r="Q297" s="289"/>
      <c r="R297" s="382"/>
    </row>
    <row r="298" spans="2:18" x14ac:dyDescent="0.25">
      <c r="B298" s="436"/>
      <c r="C298" s="437"/>
      <c r="D298" s="437"/>
      <c r="E298" s="289"/>
      <c r="F298" s="289"/>
      <c r="G298" s="289"/>
      <c r="H298" s="289"/>
      <c r="I298" s="289"/>
      <c r="J298" s="289"/>
      <c r="K298" s="289"/>
      <c r="L298" s="289"/>
      <c r="M298" s="289"/>
      <c r="N298" s="289"/>
      <c r="O298" s="289"/>
      <c r="P298" s="289"/>
      <c r="Q298" s="289"/>
      <c r="R298" s="382"/>
    </row>
    <row r="299" spans="2:18" x14ac:dyDescent="0.25">
      <c r="B299" s="436"/>
      <c r="C299" s="437"/>
      <c r="D299" s="437"/>
      <c r="E299" s="289"/>
      <c r="F299" s="289"/>
      <c r="G299" s="289"/>
      <c r="H299" s="289"/>
      <c r="I299" s="289"/>
      <c r="J299" s="289"/>
      <c r="K299" s="289"/>
      <c r="L299" s="289"/>
      <c r="M299" s="289"/>
      <c r="N299" s="289"/>
      <c r="O299" s="289"/>
      <c r="P299" s="289"/>
      <c r="Q299" s="289"/>
      <c r="R299" s="382"/>
    </row>
    <row r="300" spans="2:18" x14ac:dyDescent="0.25">
      <c r="B300" s="436"/>
      <c r="C300" s="437"/>
      <c r="D300" s="437"/>
      <c r="E300" s="289"/>
      <c r="F300" s="289"/>
      <c r="G300" s="289"/>
      <c r="H300" s="289"/>
      <c r="I300" s="289"/>
      <c r="J300" s="289"/>
      <c r="K300" s="289"/>
      <c r="L300" s="289"/>
      <c r="M300" s="289"/>
      <c r="N300" s="289"/>
      <c r="O300" s="289"/>
      <c r="P300" s="289"/>
      <c r="Q300" s="289"/>
      <c r="R300" s="382"/>
    </row>
    <row r="301" spans="2:18" x14ac:dyDescent="0.25">
      <c r="B301" s="436"/>
      <c r="C301" s="437"/>
      <c r="D301" s="437"/>
      <c r="E301" s="289"/>
      <c r="F301" s="289"/>
      <c r="G301" s="289"/>
      <c r="H301" s="289"/>
      <c r="I301" s="289"/>
      <c r="J301" s="289"/>
      <c r="K301" s="289"/>
      <c r="L301" s="289"/>
      <c r="M301" s="289"/>
      <c r="N301" s="289"/>
      <c r="O301" s="289"/>
      <c r="P301" s="289"/>
      <c r="Q301" s="289"/>
      <c r="R301" s="382"/>
    </row>
    <row r="302" spans="2:18" x14ac:dyDescent="0.25">
      <c r="B302" s="436"/>
      <c r="C302" s="437"/>
      <c r="D302" s="437"/>
      <c r="E302" s="289"/>
      <c r="F302" s="289"/>
      <c r="G302" s="289"/>
      <c r="H302" s="289"/>
      <c r="I302" s="289"/>
      <c r="J302" s="289"/>
      <c r="K302" s="289"/>
      <c r="L302" s="289"/>
      <c r="M302" s="289"/>
      <c r="N302" s="289"/>
      <c r="O302" s="289"/>
      <c r="P302" s="289"/>
      <c r="Q302" s="289"/>
      <c r="R302" s="382"/>
    </row>
    <row r="303" spans="2:18" x14ac:dyDescent="0.25">
      <c r="B303" s="436"/>
      <c r="C303" s="437"/>
      <c r="D303" s="437"/>
      <c r="E303" s="289"/>
      <c r="F303" s="289"/>
      <c r="G303" s="289"/>
      <c r="H303" s="289"/>
      <c r="I303" s="289"/>
      <c r="J303" s="289"/>
      <c r="K303" s="289"/>
      <c r="L303" s="289"/>
      <c r="M303" s="289"/>
      <c r="N303" s="289"/>
      <c r="O303" s="289"/>
      <c r="P303" s="289"/>
      <c r="Q303" s="289"/>
      <c r="R303" s="382"/>
    </row>
    <row r="304" spans="2:18" x14ac:dyDescent="0.25">
      <c r="B304" s="436"/>
      <c r="C304" s="437"/>
      <c r="D304" s="437"/>
      <c r="E304" s="289"/>
      <c r="F304" s="289"/>
      <c r="G304" s="289"/>
      <c r="H304" s="289"/>
      <c r="I304" s="289"/>
      <c r="J304" s="289"/>
      <c r="K304" s="289"/>
      <c r="L304" s="289"/>
      <c r="M304" s="289"/>
      <c r="N304" s="289"/>
      <c r="O304" s="289"/>
      <c r="P304" s="289"/>
      <c r="Q304" s="289"/>
      <c r="R304" s="382"/>
    </row>
    <row r="305" spans="2:18" x14ac:dyDescent="0.25">
      <c r="B305" s="436"/>
      <c r="C305" s="437"/>
      <c r="D305" s="437"/>
      <c r="E305" s="289"/>
      <c r="F305" s="289"/>
      <c r="G305" s="289"/>
      <c r="H305" s="289"/>
      <c r="I305" s="289"/>
      <c r="J305" s="289"/>
      <c r="K305" s="289"/>
      <c r="L305" s="289"/>
      <c r="M305" s="289"/>
      <c r="N305" s="289"/>
      <c r="O305" s="289"/>
      <c r="P305" s="289"/>
      <c r="Q305" s="289"/>
      <c r="R305" s="382"/>
    </row>
    <row r="306" spans="2:18" x14ac:dyDescent="0.25">
      <c r="B306" s="436"/>
      <c r="C306" s="437"/>
      <c r="D306" s="437"/>
      <c r="E306" s="289"/>
      <c r="F306" s="289"/>
      <c r="G306" s="289"/>
      <c r="H306" s="289"/>
      <c r="I306" s="289"/>
      <c r="J306" s="289"/>
      <c r="K306" s="289"/>
      <c r="L306" s="289"/>
      <c r="M306" s="289"/>
      <c r="N306" s="289"/>
      <c r="O306" s="289"/>
      <c r="P306" s="289"/>
      <c r="Q306" s="289"/>
      <c r="R306" s="382"/>
    </row>
    <row r="307" spans="2:18" x14ac:dyDescent="0.25">
      <c r="B307" s="436"/>
      <c r="C307" s="437"/>
      <c r="D307" s="437"/>
      <c r="E307" s="289"/>
      <c r="F307" s="289"/>
      <c r="G307" s="289"/>
      <c r="H307" s="289"/>
      <c r="I307" s="289"/>
      <c r="J307" s="289"/>
      <c r="K307" s="289"/>
      <c r="L307" s="289"/>
      <c r="M307" s="289"/>
      <c r="N307" s="289"/>
      <c r="O307" s="289"/>
      <c r="P307" s="289"/>
      <c r="Q307" s="289"/>
      <c r="R307" s="382"/>
    </row>
    <row r="308" spans="2:18" x14ac:dyDescent="0.25">
      <c r="B308" s="436"/>
      <c r="C308" s="437"/>
      <c r="D308" s="437"/>
      <c r="E308" s="289"/>
      <c r="F308" s="289"/>
      <c r="G308" s="289"/>
      <c r="H308" s="289"/>
      <c r="I308" s="289"/>
      <c r="J308" s="289"/>
      <c r="K308" s="289"/>
      <c r="L308" s="289"/>
      <c r="M308" s="289"/>
      <c r="N308" s="289"/>
      <c r="O308" s="289"/>
      <c r="P308" s="289"/>
      <c r="Q308" s="289"/>
      <c r="R308" s="382"/>
    </row>
    <row r="309" spans="2:18" x14ac:dyDescent="0.25">
      <c r="B309" s="436"/>
      <c r="C309" s="437"/>
      <c r="D309" s="437"/>
      <c r="E309" s="289"/>
      <c r="F309" s="289"/>
      <c r="G309" s="289"/>
      <c r="H309" s="289"/>
      <c r="I309" s="289"/>
      <c r="J309" s="289"/>
      <c r="K309" s="289"/>
      <c r="L309" s="289"/>
      <c r="M309" s="289"/>
      <c r="N309" s="289"/>
      <c r="O309" s="289"/>
      <c r="P309" s="289"/>
      <c r="Q309" s="289"/>
      <c r="R309" s="382"/>
    </row>
    <row r="310" spans="2:18" x14ac:dyDescent="0.25">
      <c r="B310" s="436"/>
      <c r="C310" s="437"/>
      <c r="D310" s="437"/>
      <c r="E310" s="289"/>
      <c r="F310" s="289"/>
      <c r="G310" s="289"/>
      <c r="H310" s="289"/>
      <c r="I310" s="289"/>
      <c r="J310" s="289"/>
      <c r="K310" s="289"/>
      <c r="L310" s="289"/>
      <c r="M310" s="289"/>
      <c r="N310" s="289"/>
      <c r="O310" s="289"/>
      <c r="P310" s="289"/>
      <c r="Q310" s="289"/>
      <c r="R310" s="382"/>
    </row>
    <row r="311" spans="2:18" x14ac:dyDescent="0.25">
      <c r="B311" s="436"/>
      <c r="C311" s="437"/>
      <c r="D311" s="437"/>
      <c r="E311" s="289"/>
      <c r="F311" s="289"/>
      <c r="G311" s="289"/>
      <c r="H311" s="289"/>
      <c r="I311" s="289"/>
      <c r="J311" s="289"/>
      <c r="K311" s="289"/>
      <c r="L311" s="289"/>
      <c r="M311" s="289"/>
      <c r="N311" s="289"/>
      <c r="O311" s="289"/>
      <c r="P311" s="289"/>
      <c r="Q311" s="289"/>
      <c r="R311" s="382"/>
    </row>
    <row r="312" spans="2:18" x14ac:dyDescent="0.25">
      <c r="B312" s="436"/>
      <c r="C312" s="437"/>
      <c r="D312" s="437"/>
      <c r="E312" s="289"/>
      <c r="F312" s="289"/>
      <c r="G312" s="289"/>
      <c r="H312" s="289"/>
      <c r="I312" s="289"/>
      <c r="J312" s="289"/>
      <c r="K312" s="289"/>
      <c r="L312" s="289"/>
      <c r="M312" s="289"/>
      <c r="N312" s="289"/>
      <c r="O312" s="289"/>
      <c r="P312" s="289"/>
      <c r="Q312" s="289"/>
      <c r="R312" s="382"/>
    </row>
    <row r="313" spans="2:18" x14ac:dyDescent="0.25">
      <c r="B313" s="436"/>
      <c r="C313" s="437"/>
      <c r="D313" s="437"/>
      <c r="E313" s="289"/>
      <c r="F313" s="289"/>
      <c r="G313" s="289"/>
      <c r="H313" s="289"/>
      <c r="I313" s="289"/>
      <c r="J313" s="289"/>
      <c r="K313" s="289"/>
      <c r="L313" s="289"/>
      <c r="M313" s="289"/>
      <c r="N313" s="289"/>
      <c r="O313" s="289"/>
      <c r="P313" s="289"/>
      <c r="Q313" s="289"/>
      <c r="R313" s="382"/>
    </row>
    <row r="314" spans="2:18" x14ac:dyDescent="0.25">
      <c r="B314" s="436"/>
      <c r="C314" s="437"/>
      <c r="D314" s="437"/>
      <c r="E314" s="289"/>
      <c r="F314" s="289"/>
      <c r="G314" s="289"/>
      <c r="H314" s="289"/>
      <c r="I314" s="289"/>
      <c r="J314" s="289"/>
      <c r="K314" s="289"/>
      <c r="L314" s="289"/>
      <c r="M314" s="289"/>
      <c r="N314" s="289"/>
      <c r="O314" s="289"/>
      <c r="P314" s="289"/>
      <c r="Q314" s="289"/>
      <c r="R314" s="382"/>
    </row>
    <row r="315" spans="2:18" x14ac:dyDescent="0.25">
      <c r="B315" s="436"/>
      <c r="C315" s="437"/>
      <c r="D315" s="437"/>
      <c r="E315" s="289"/>
      <c r="F315" s="289"/>
      <c r="G315" s="289"/>
      <c r="H315" s="289"/>
      <c r="I315" s="289"/>
      <c r="J315" s="289"/>
      <c r="K315" s="289"/>
      <c r="L315" s="289"/>
      <c r="M315" s="289"/>
      <c r="N315" s="289"/>
      <c r="O315" s="289"/>
      <c r="P315" s="289"/>
      <c r="Q315" s="289"/>
      <c r="R315" s="382"/>
    </row>
    <row r="316" spans="2:18" x14ac:dyDescent="0.25">
      <c r="B316" s="436"/>
      <c r="C316" s="437"/>
      <c r="D316" s="437"/>
      <c r="E316" s="289"/>
      <c r="F316" s="289"/>
      <c r="G316" s="289"/>
      <c r="H316" s="289"/>
      <c r="I316" s="289"/>
      <c r="J316" s="289"/>
      <c r="K316" s="289"/>
      <c r="L316" s="289"/>
      <c r="M316" s="289"/>
      <c r="N316" s="289"/>
      <c r="O316" s="289"/>
      <c r="P316" s="289"/>
      <c r="Q316" s="289"/>
      <c r="R316" s="382"/>
    </row>
    <row r="317" spans="2:18" x14ac:dyDescent="0.25">
      <c r="B317" s="436"/>
      <c r="C317" s="437"/>
      <c r="D317" s="437"/>
      <c r="E317" s="289"/>
      <c r="F317" s="289"/>
      <c r="G317" s="289"/>
      <c r="H317" s="289"/>
      <c r="I317" s="289"/>
      <c r="J317" s="289"/>
      <c r="K317" s="289"/>
      <c r="L317" s="289"/>
      <c r="M317" s="289"/>
      <c r="N317" s="289"/>
      <c r="O317" s="289"/>
      <c r="P317" s="289"/>
      <c r="Q317" s="289"/>
      <c r="R317" s="382"/>
    </row>
    <row r="318" spans="2:18" x14ac:dyDescent="0.25">
      <c r="B318" s="436"/>
      <c r="C318" s="437"/>
      <c r="D318" s="437"/>
      <c r="E318" s="289"/>
      <c r="F318" s="289"/>
      <c r="G318" s="289"/>
      <c r="H318" s="289"/>
      <c r="I318" s="289"/>
      <c r="J318" s="289"/>
      <c r="K318" s="289"/>
      <c r="L318" s="289"/>
      <c r="M318" s="289"/>
      <c r="N318" s="289"/>
      <c r="O318" s="289"/>
      <c r="P318" s="289"/>
      <c r="Q318" s="289"/>
      <c r="R318" s="382"/>
    </row>
    <row r="319" spans="2:18" x14ac:dyDescent="0.25">
      <c r="B319" s="436"/>
      <c r="C319" s="437"/>
      <c r="D319" s="437"/>
      <c r="E319" s="289"/>
      <c r="F319" s="289"/>
      <c r="G319" s="289"/>
      <c r="H319" s="289"/>
      <c r="I319" s="289"/>
      <c r="J319" s="289"/>
      <c r="K319" s="289"/>
      <c r="L319" s="289"/>
      <c r="M319" s="289"/>
      <c r="N319" s="289"/>
      <c r="O319" s="289"/>
      <c r="P319" s="289"/>
      <c r="Q319" s="289"/>
      <c r="R319" s="382"/>
    </row>
    <row r="320" spans="2:18" x14ac:dyDescent="0.25">
      <c r="B320" s="436"/>
      <c r="C320" s="437"/>
      <c r="D320" s="437"/>
      <c r="E320" s="289"/>
      <c r="F320" s="289"/>
      <c r="G320" s="289"/>
      <c r="H320" s="289"/>
      <c r="I320" s="289"/>
      <c r="J320" s="289"/>
      <c r="K320" s="289"/>
      <c r="L320" s="289"/>
      <c r="M320" s="289"/>
      <c r="N320" s="289"/>
      <c r="O320" s="289"/>
      <c r="P320" s="289"/>
      <c r="Q320" s="289"/>
      <c r="R320" s="382"/>
    </row>
    <row r="321" spans="2:18" x14ac:dyDescent="0.25">
      <c r="B321" s="436"/>
      <c r="C321" s="437"/>
      <c r="D321" s="437"/>
      <c r="E321" s="289"/>
      <c r="F321" s="289"/>
      <c r="G321" s="289"/>
      <c r="H321" s="289"/>
      <c r="I321" s="289"/>
      <c r="J321" s="289"/>
      <c r="K321" s="289"/>
      <c r="L321" s="289"/>
      <c r="M321" s="289"/>
      <c r="N321" s="289"/>
      <c r="O321" s="289"/>
      <c r="P321" s="289"/>
      <c r="Q321" s="289"/>
      <c r="R321" s="382"/>
    </row>
    <row r="322" spans="2:18" x14ac:dyDescent="0.25">
      <c r="B322" s="436"/>
      <c r="C322" s="437"/>
      <c r="D322" s="437"/>
      <c r="E322" s="289"/>
      <c r="F322" s="289"/>
      <c r="G322" s="289"/>
      <c r="H322" s="289"/>
      <c r="I322" s="289"/>
      <c r="J322" s="289"/>
      <c r="K322" s="289"/>
      <c r="L322" s="289"/>
      <c r="M322" s="289"/>
      <c r="N322" s="289"/>
      <c r="O322" s="289"/>
      <c r="P322" s="289"/>
      <c r="Q322" s="289"/>
      <c r="R322" s="382"/>
    </row>
    <row r="323" spans="2:18" x14ac:dyDescent="0.25">
      <c r="B323" s="436"/>
      <c r="C323" s="437"/>
      <c r="D323" s="437"/>
      <c r="E323" s="289"/>
      <c r="F323" s="289"/>
      <c r="G323" s="289"/>
      <c r="H323" s="289"/>
      <c r="I323" s="289"/>
      <c r="J323" s="289"/>
      <c r="K323" s="289"/>
      <c r="L323" s="289"/>
      <c r="M323" s="289"/>
      <c r="N323" s="289"/>
      <c r="O323" s="289"/>
      <c r="P323" s="289"/>
      <c r="Q323" s="289"/>
      <c r="R323" s="382"/>
    </row>
    <row r="324" spans="2:18" x14ac:dyDescent="0.25">
      <c r="B324" s="436"/>
      <c r="C324" s="437"/>
      <c r="D324" s="437"/>
      <c r="E324" s="289"/>
      <c r="F324" s="289"/>
      <c r="G324" s="289"/>
      <c r="H324" s="289"/>
      <c r="I324" s="289"/>
      <c r="J324" s="289"/>
      <c r="K324" s="289"/>
      <c r="L324" s="289"/>
      <c r="M324" s="289"/>
      <c r="N324" s="289"/>
      <c r="O324" s="289"/>
      <c r="P324" s="289"/>
      <c r="Q324" s="289"/>
      <c r="R324" s="382"/>
    </row>
    <row r="325" spans="2:18" x14ac:dyDescent="0.25">
      <c r="B325" s="436"/>
      <c r="C325" s="437"/>
      <c r="D325" s="437"/>
      <c r="E325" s="289"/>
      <c r="F325" s="289"/>
      <c r="G325" s="289"/>
      <c r="H325" s="289"/>
      <c r="I325" s="289"/>
      <c r="J325" s="289"/>
      <c r="K325" s="289"/>
      <c r="L325" s="289"/>
      <c r="M325" s="289"/>
      <c r="N325" s="289"/>
      <c r="O325" s="289"/>
      <c r="P325" s="289"/>
      <c r="Q325" s="289"/>
      <c r="R325" s="382"/>
    </row>
    <row r="326" spans="2:18" x14ac:dyDescent="0.25">
      <c r="B326" s="436"/>
      <c r="C326" s="437"/>
      <c r="D326" s="437"/>
      <c r="E326" s="289"/>
      <c r="F326" s="289"/>
      <c r="G326" s="289"/>
      <c r="H326" s="289"/>
      <c r="I326" s="289"/>
      <c r="J326" s="289"/>
      <c r="K326" s="289"/>
      <c r="L326" s="289"/>
      <c r="M326" s="289"/>
      <c r="N326" s="289"/>
      <c r="O326" s="289"/>
      <c r="P326" s="289"/>
      <c r="Q326" s="289"/>
      <c r="R326" s="382"/>
    </row>
    <row r="327" spans="2:18" x14ac:dyDescent="0.25">
      <c r="B327" s="436"/>
      <c r="C327" s="437"/>
      <c r="D327" s="437"/>
      <c r="E327" s="289"/>
      <c r="F327" s="289"/>
      <c r="G327" s="289"/>
      <c r="H327" s="289"/>
      <c r="I327" s="289"/>
      <c r="J327" s="289"/>
      <c r="K327" s="289"/>
      <c r="L327" s="289"/>
      <c r="M327" s="289"/>
      <c r="N327" s="289"/>
      <c r="O327" s="289"/>
      <c r="P327" s="289"/>
      <c r="Q327" s="289"/>
      <c r="R327" s="382"/>
    </row>
    <row r="328" spans="2:18" x14ac:dyDescent="0.25">
      <c r="B328" s="436"/>
      <c r="C328" s="437"/>
      <c r="D328" s="437"/>
      <c r="E328" s="289"/>
      <c r="F328" s="289"/>
      <c r="G328" s="289"/>
      <c r="H328" s="289"/>
      <c r="I328" s="289"/>
      <c r="J328" s="289"/>
      <c r="K328" s="289"/>
      <c r="L328" s="289"/>
      <c r="M328" s="289"/>
      <c r="N328" s="289"/>
      <c r="O328" s="289"/>
      <c r="P328" s="289"/>
      <c r="Q328" s="289"/>
      <c r="R328" s="382"/>
    </row>
    <row r="329" spans="2:18" x14ac:dyDescent="0.25">
      <c r="B329" s="436"/>
      <c r="C329" s="437"/>
      <c r="D329" s="437"/>
      <c r="E329" s="289"/>
      <c r="F329" s="289"/>
      <c r="G329" s="289"/>
      <c r="H329" s="289"/>
      <c r="I329" s="289"/>
      <c r="J329" s="289"/>
      <c r="K329" s="289"/>
      <c r="L329" s="289"/>
      <c r="M329" s="289"/>
      <c r="N329" s="289"/>
      <c r="O329" s="289"/>
      <c r="P329" s="289"/>
      <c r="Q329" s="289"/>
      <c r="R329" s="382"/>
    </row>
    <row r="330" spans="2:18" x14ac:dyDescent="0.25">
      <c r="B330" s="436"/>
      <c r="C330" s="437"/>
      <c r="D330" s="437"/>
      <c r="E330" s="289"/>
      <c r="F330" s="289"/>
      <c r="G330" s="289"/>
      <c r="H330" s="289"/>
      <c r="I330" s="289"/>
      <c r="J330" s="289"/>
      <c r="K330" s="289"/>
      <c r="L330" s="289"/>
      <c r="M330" s="289"/>
      <c r="N330" s="289"/>
      <c r="O330" s="289"/>
      <c r="P330" s="289"/>
      <c r="Q330" s="289"/>
      <c r="R330" s="382"/>
    </row>
    <row r="331" spans="2:18" x14ac:dyDescent="0.25">
      <c r="B331" s="436"/>
      <c r="C331" s="437"/>
      <c r="D331" s="437"/>
      <c r="E331" s="289"/>
      <c r="F331" s="289"/>
      <c r="G331" s="289"/>
      <c r="H331" s="289"/>
      <c r="I331" s="289"/>
      <c r="J331" s="289"/>
      <c r="K331" s="289"/>
      <c r="L331" s="289"/>
      <c r="M331" s="289"/>
      <c r="N331" s="289"/>
      <c r="O331" s="289"/>
      <c r="P331" s="289"/>
      <c r="Q331" s="289"/>
      <c r="R331" s="382"/>
    </row>
    <row r="332" spans="2:18" x14ac:dyDescent="0.25">
      <c r="B332" s="436"/>
      <c r="C332" s="437"/>
      <c r="D332" s="437"/>
      <c r="E332" s="289"/>
      <c r="F332" s="289"/>
      <c r="G332" s="289"/>
      <c r="H332" s="289"/>
      <c r="I332" s="289"/>
      <c r="J332" s="289"/>
      <c r="K332" s="289"/>
      <c r="L332" s="289"/>
      <c r="M332" s="289"/>
      <c r="N332" s="289"/>
      <c r="O332" s="289"/>
      <c r="P332" s="289"/>
      <c r="Q332" s="289"/>
      <c r="R332" s="382"/>
    </row>
    <row r="333" spans="2:18" x14ac:dyDescent="0.25">
      <c r="B333" s="436"/>
      <c r="C333" s="437"/>
      <c r="D333" s="437"/>
      <c r="E333" s="289"/>
      <c r="F333" s="289"/>
      <c r="G333" s="289"/>
      <c r="H333" s="289"/>
      <c r="I333" s="289"/>
      <c r="J333" s="289"/>
      <c r="K333" s="289"/>
      <c r="L333" s="289"/>
      <c r="M333" s="289"/>
      <c r="N333" s="289"/>
      <c r="O333" s="289"/>
      <c r="P333" s="289"/>
      <c r="Q333" s="289"/>
      <c r="R333" s="382"/>
    </row>
    <row r="334" spans="2:18" x14ac:dyDescent="0.25">
      <c r="B334" s="436"/>
      <c r="C334" s="437"/>
      <c r="D334" s="437"/>
      <c r="E334" s="289"/>
      <c r="F334" s="289"/>
      <c r="G334" s="289"/>
      <c r="H334" s="289"/>
      <c r="I334" s="289"/>
      <c r="J334" s="289"/>
      <c r="K334" s="289"/>
      <c r="L334" s="289"/>
      <c r="M334" s="289"/>
      <c r="N334" s="289"/>
      <c r="O334" s="289"/>
      <c r="P334" s="289"/>
      <c r="Q334" s="289"/>
      <c r="R334" s="382"/>
    </row>
    <row r="335" spans="2:18" x14ac:dyDescent="0.25">
      <c r="B335" s="436"/>
      <c r="C335" s="437"/>
      <c r="D335" s="437"/>
      <c r="E335" s="289"/>
      <c r="F335" s="289"/>
      <c r="G335" s="289"/>
      <c r="H335" s="289"/>
      <c r="I335" s="289"/>
      <c r="J335" s="289"/>
      <c r="K335" s="289"/>
      <c r="L335" s="289"/>
      <c r="M335" s="289"/>
      <c r="N335" s="289"/>
      <c r="O335" s="289"/>
      <c r="P335" s="289"/>
      <c r="Q335" s="289"/>
      <c r="R335" s="382"/>
    </row>
    <row r="336" spans="2:18" x14ac:dyDescent="0.25">
      <c r="B336" s="436"/>
      <c r="C336" s="437"/>
      <c r="D336" s="437"/>
      <c r="E336" s="289"/>
      <c r="F336" s="289"/>
      <c r="G336" s="289"/>
      <c r="H336" s="289"/>
      <c r="I336" s="289"/>
      <c r="J336" s="289"/>
      <c r="K336" s="289"/>
      <c r="L336" s="289"/>
      <c r="M336" s="289"/>
      <c r="N336" s="289"/>
      <c r="O336" s="289"/>
      <c r="P336" s="289"/>
      <c r="Q336" s="289"/>
      <c r="R336" s="382"/>
    </row>
    <row r="337" spans="2:18" x14ac:dyDescent="0.25">
      <c r="B337" s="436"/>
      <c r="C337" s="437"/>
      <c r="D337" s="437"/>
      <c r="E337" s="289"/>
      <c r="F337" s="289"/>
      <c r="G337" s="289"/>
      <c r="H337" s="289"/>
      <c r="I337" s="289"/>
      <c r="J337" s="289"/>
      <c r="K337" s="289"/>
      <c r="L337" s="289"/>
      <c r="M337" s="289"/>
      <c r="N337" s="289"/>
      <c r="O337" s="289"/>
      <c r="P337" s="289"/>
      <c r="Q337" s="289"/>
      <c r="R337" s="382"/>
    </row>
    <row r="338" spans="2:18" x14ac:dyDescent="0.25">
      <c r="B338" s="436"/>
      <c r="C338" s="437"/>
      <c r="D338" s="437"/>
      <c r="E338" s="289"/>
      <c r="F338" s="289"/>
      <c r="G338" s="289"/>
      <c r="H338" s="289"/>
      <c r="I338" s="289"/>
      <c r="J338" s="289"/>
      <c r="K338" s="289"/>
      <c r="L338" s="289"/>
      <c r="M338" s="289"/>
      <c r="N338" s="289"/>
      <c r="O338" s="289"/>
      <c r="P338" s="289"/>
      <c r="Q338" s="289"/>
      <c r="R338" s="382"/>
    </row>
    <row r="339" spans="2:18" x14ac:dyDescent="0.25">
      <c r="B339" s="436"/>
      <c r="C339" s="437"/>
      <c r="D339" s="437"/>
      <c r="E339" s="289"/>
      <c r="F339" s="289"/>
      <c r="G339" s="289"/>
      <c r="H339" s="289"/>
      <c r="I339" s="289"/>
      <c r="J339" s="289"/>
      <c r="K339" s="289"/>
      <c r="L339" s="289"/>
      <c r="M339" s="289"/>
      <c r="N339" s="289"/>
      <c r="O339" s="289"/>
      <c r="P339" s="289"/>
      <c r="Q339" s="289"/>
      <c r="R339" s="382"/>
    </row>
    <row r="340" spans="2:18" x14ac:dyDescent="0.25">
      <c r="B340" s="436"/>
      <c r="C340" s="437"/>
      <c r="D340" s="437"/>
      <c r="E340" s="289"/>
      <c r="F340" s="289"/>
      <c r="G340" s="289"/>
      <c r="H340" s="289"/>
      <c r="I340" s="289"/>
      <c r="J340" s="289"/>
      <c r="K340" s="289"/>
      <c r="L340" s="289"/>
      <c r="M340" s="289"/>
      <c r="N340" s="289"/>
      <c r="O340" s="289"/>
      <c r="P340" s="289"/>
      <c r="Q340" s="289"/>
      <c r="R340" s="382"/>
    </row>
    <row r="341" spans="2:18" x14ac:dyDescent="0.25">
      <c r="B341" s="436"/>
      <c r="C341" s="437"/>
      <c r="D341" s="437"/>
      <c r="E341" s="289"/>
      <c r="F341" s="289"/>
      <c r="G341" s="289"/>
      <c r="H341" s="289"/>
      <c r="I341" s="289"/>
      <c r="J341" s="289"/>
      <c r="K341" s="289"/>
      <c r="L341" s="289"/>
      <c r="M341" s="289"/>
      <c r="N341" s="289"/>
      <c r="O341" s="289"/>
      <c r="P341" s="289"/>
      <c r="Q341" s="289"/>
      <c r="R341" s="382"/>
    </row>
    <row r="342" spans="2:18" x14ac:dyDescent="0.25">
      <c r="B342" s="436"/>
      <c r="C342" s="437"/>
      <c r="D342" s="437"/>
      <c r="E342" s="289"/>
      <c r="F342" s="289"/>
      <c r="G342" s="289"/>
      <c r="H342" s="289"/>
      <c r="I342" s="289"/>
      <c r="J342" s="289"/>
      <c r="K342" s="289"/>
      <c r="L342" s="289"/>
      <c r="M342" s="289"/>
      <c r="N342" s="289"/>
      <c r="O342" s="289"/>
      <c r="P342" s="289"/>
      <c r="Q342" s="289"/>
      <c r="R342" s="382"/>
    </row>
    <row r="343" spans="2:18" x14ac:dyDescent="0.25">
      <c r="B343" s="436"/>
      <c r="C343" s="437"/>
      <c r="D343" s="437"/>
      <c r="E343" s="289"/>
      <c r="F343" s="289"/>
      <c r="G343" s="289"/>
      <c r="H343" s="289"/>
      <c r="I343" s="289"/>
      <c r="J343" s="289"/>
      <c r="K343" s="289"/>
      <c r="L343" s="289"/>
      <c r="M343" s="289"/>
      <c r="N343" s="289"/>
      <c r="O343" s="289"/>
      <c r="P343" s="289"/>
      <c r="Q343" s="289"/>
      <c r="R343" s="382"/>
    </row>
    <row r="344" spans="2:18" x14ac:dyDescent="0.25">
      <c r="B344" s="436"/>
      <c r="C344" s="437"/>
      <c r="D344" s="437"/>
      <c r="E344" s="289"/>
      <c r="F344" s="289"/>
      <c r="G344" s="289"/>
      <c r="H344" s="289"/>
      <c r="I344" s="289"/>
      <c r="J344" s="289"/>
      <c r="K344" s="289"/>
      <c r="L344" s="289"/>
      <c r="M344" s="289"/>
      <c r="N344" s="289"/>
      <c r="O344" s="289"/>
      <c r="P344" s="289"/>
      <c r="Q344" s="289"/>
      <c r="R344" s="382"/>
    </row>
    <row r="345" spans="2:18" x14ac:dyDescent="0.25">
      <c r="B345" s="436"/>
      <c r="C345" s="437"/>
      <c r="D345" s="437"/>
      <c r="E345" s="289"/>
      <c r="F345" s="289"/>
      <c r="G345" s="289"/>
      <c r="H345" s="289"/>
      <c r="I345" s="289"/>
      <c r="J345" s="289"/>
      <c r="K345" s="289"/>
      <c r="L345" s="289"/>
      <c r="M345" s="289"/>
      <c r="N345" s="289"/>
      <c r="O345" s="289"/>
      <c r="P345" s="289"/>
      <c r="Q345" s="289"/>
      <c r="R345" s="382"/>
    </row>
    <row r="346" spans="2:18" x14ac:dyDescent="0.25">
      <c r="B346" s="436"/>
      <c r="C346" s="437"/>
      <c r="D346" s="437"/>
      <c r="E346" s="289"/>
      <c r="F346" s="289"/>
      <c r="G346" s="289"/>
      <c r="H346" s="289"/>
      <c r="I346" s="289"/>
      <c r="J346" s="289"/>
      <c r="K346" s="289"/>
      <c r="L346" s="289"/>
      <c r="M346" s="289"/>
      <c r="N346" s="289"/>
      <c r="O346" s="289"/>
      <c r="P346" s="289"/>
      <c r="Q346" s="289"/>
      <c r="R346" s="382"/>
    </row>
    <row r="347" spans="2:18" x14ac:dyDescent="0.25">
      <c r="B347" s="436"/>
      <c r="C347" s="437"/>
      <c r="D347" s="437"/>
      <c r="E347" s="289"/>
      <c r="F347" s="289"/>
      <c r="G347" s="289"/>
      <c r="H347" s="289"/>
      <c r="I347" s="289"/>
      <c r="J347" s="289"/>
      <c r="K347" s="289"/>
      <c r="L347" s="289"/>
      <c r="M347" s="289"/>
      <c r="N347" s="289"/>
      <c r="O347" s="289"/>
      <c r="P347" s="289"/>
      <c r="Q347" s="289"/>
      <c r="R347" s="382"/>
    </row>
    <row r="348" spans="2:18" x14ac:dyDescent="0.25">
      <c r="B348" s="436"/>
      <c r="C348" s="437"/>
      <c r="D348" s="437"/>
      <c r="E348" s="289"/>
      <c r="F348" s="289"/>
      <c r="G348" s="289"/>
      <c r="H348" s="289"/>
      <c r="I348" s="289"/>
      <c r="J348" s="289"/>
      <c r="K348" s="289"/>
      <c r="L348" s="289"/>
      <c r="M348" s="289"/>
      <c r="N348" s="289"/>
      <c r="O348" s="289"/>
      <c r="P348" s="289"/>
      <c r="Q348" s="289"/>
      <c r="R348" s="382"/>
    </row>
    <row r="349" spans="2:18" x14ac:dyDescent="0.25">
      <c r="B349" s="436"/>
      <c r="C349" s="437"/>
      <c r="D349" s="437"/>
      <c r="E349" s="289"/>
      <c r="F349" s="289"/>
      <c r="G349" s="289"/>
      <c r="H349" s="289"/>
      <c r="I349" s="289"/>
      <c r="J349" s="289"/>
      <c r="K349" s="289"/>
      <c r="L349" s="289"/>
      <c r="M349" s="289"/>
      <c r="N349" s="289"/>
      <c r="O349" s="289"/>
      <c r="P349" s="289"/>
      <c r="Q349" s="289"/>
      <c r="R349" s="382"/>
    </row>
    <row r="350" spans="2:18" x14ac:dyDescent="0.25">
      <c r="B350" s="436"/>
      <c r="C350" s="437"/>
      <c r="D350" s="437"/>
      <c r="E350" s="289"/>
      <c r="F350" s="289"/>
      <c r="G350" s="289"/>
      <c r="H350" s="289"/>
      <c r="I350" s="289"/>
      <c r="J350" s="289"/>
      <c r="K350" s="289"/>
      <c r="L350" s="289"/>
      <c r="M350" s="289"/>
      <c r="N350" s="289"/>
      <c r="O350" s="289"/>
      <c r="P350" s="289"/>
      <c r="Q350" s="289"/>
      <c r="R350" s="382"/>
    </row>
    <row r="351" spans="2:18" x14ac:dyDescent="0.25">
      <c r="B351" s="436"/>
      <c r="C351" s="437"/>
      <c r="D351" s="437"/>
      <c r="E351" s="289"/>
      <c r="F351" s="289"/>
      <c r="G351" s="289"/>
      <c r="H351" s="289"/>
      <c r="I351" s="289"/>
      <c r="J351" s="289"/>
      <c r="K351" s="289"/>
      <c r="L351" s="289"/>
      <c r="M351" s="289"/>
      <c r="N351" s="289"/>
      <c r="O351" s="289"/>
      <c r="P351" s="289"/>
      <c r="Q351" s="289"/>
      <c r="R351" s="382"/>
    </row>
    <row r="352" spans="2:18" x14ac:dyDescent="0.25">
      <c r="B352" s="436"/>
      <c r="C352" s="437"/>
      <c r="D352" s="437"/>
      <c r="E352" s="289"/>
      <c r="F352" s="289"/>
      <c r="G352" s="289"/>
      <c r="H352" s="289"/>
      <c r="I352" s="289"/>
      <c r="J352" s="289"/>
      <c r="K352" s="289"/>
      <c r="L352" s="289"/>
      <c r="M352" s="289"/>
      <c r="N352" s="289"/>
      <c r="O352" s="289"/>
      <c r="P352" s="289"/>
      <c r="Q352" s="289"/>
      <c r="R352" s="382"/>
    </row>
    <row r="353" spans="2:18" x14ac:dyDescent="0.25">
      <c r="B353" s="436"/>
      <c r="C353" s="437"/>
      <c r="D353" s="437"/>
      <c r="E353" s="289"/>
      <c r="F353" s="289"/>
      <c r="G353" s="289"/>
      <c r="H353" s="289"/>
      <c r="I353" s="289"/>
      <c r="J353" s="289"/>
      <c r="K353" s="289"/>
      <c r="L353" s="289"/>
      <c r="M353" s="289"/>
      <c r="N353" s="289"/>
      <c r="O353" s="289"/>
      <c r="P353" s="289"/>
      <c r="Q353" s="289"/>
      <c r="R353" s="382"/>
    </row>
    <row r="354" spans="2:18" x14ac:dyDescent="0.25">
      <c r="B354" s="436"/>
      <c r="C354" s="437"/>
      <c r="D354" s="437"/>
      <c r="E354" s="289"/>
      <c r="F354" s="289"/>
      <c r="G354" s="289"/>
      <c r="H354" s="289"/>
      <c r="I354" s="289"/>
      <c r="J354" s="289"/>
      <c r="K354" s="289"/>
      <c r="L354" s="289"/>
      <c r="M354" s="289"/>
      <c r="N354" s="289"/>
      <c r="O354" s="289"/>
      <c r="P354" s="289"/>
      <c r="Q354" s="289"/>
      <c r="R354" s="382"/>
    </row>
    <row r="355" spans="2:18" x14ac:dyDescent="0.25">
      <c r="B355" s="436"/>
      <c r="C355" s="437"/>
      <c r="D355" s="437"/>
      <c r="E355" s="289"/>
      <c r="F355" s="289"/>
      <c r="G355" s="289"/>
      <c r="H355" s="289"/>
      <c r="I355" s="289"/>
      <c r="J355" s="289"/>
      <c r="K355" s="289"/>
      <c r="L355" s="289"/>
      <c r="M355" s="289"/>
      <c r="N355" s="289"/>
      <c r="O355" s="289"/>
      <c r="P355" s="289"/>
      <c r="Q355" s="289"/>
      <c r="R355" s="382"/>
    </row>
    <row r="356" spans="2:18" x14ac:dyDescent="0.25">
      <c r="B356" s="436"/>
      <c r="C356" s="437"/>
      <c r="D356" s="437"/>
      <c r="E356" s="289"/>
      <c r="F356" s="289"/>
      <c r="G356" s="289"/>
      <c r="H356" s="289"/>
      <c r="I356" s="289"/>
      <c r="J356" s="289"/>
      <c r="K356" s="289"/>
      <c r="L356" s="289"/>
      <c r="M356" s="289"/>
      <c r="N356" s="289"/>
      <c r="O356" s="289"/>
      <c r="P356" s="289"/>
      <c r="Q356" s="289"/>
      <c r="R356" s="382"/>
    </row>
    <row r="357" spans="2:18" x14ac:dyDescent="0.25">
      <c r="B357" s="436"/>
      <c r="C357" s="437"/>
      <c r="D357" s="437"/>
      <c r="E357" s="289"/>
      <c r="F357" s="289"/>
      <c r="G357" s="289"/>
      <c r="H357" s="289"/>
      <c r="I357" s="289"/>
      <c r="J357" s="289"/>
      <c r="K357" s="289"/>
      <c r="L357" s="289"/>
      <c r="M357" s="289"/>
      <c r="N357" s="289"/>
      <c r="O357" s="289"/>
      <c r="P357" s="289"/>
      <c r="Q357" s="289"/>
      <c r="R357" s="382"/>
    </row>
    <row r="358" spans="2:18" x14ac:dyDescent="0.25">
      <c r="B358" s="436"/>
      <c r="C358" s="437"/>
      <c r="D358" s="437"/>
      <c r="E358" s="289"/>
      <c r="F358" s="289"/>
      <c r="G358" s="289"/>
      <c r="H358" s="289"/>
      <c r="I358" s="289"/>
      <c r="J358" s="289"/>
      <c r="K358" s="289"/>
      <c r="L358" s="289"/>
      <c r="M358" s="289"/>
      <c r="N358" s="289"/>
      <c r="O358" s="289"/>
      <c r="P358" s="289"/>
      <c r="Q358" s="289"/>
      <c r="R358" s="382"/>
    </row>
    <row r="359" spans="2:18" x14ac:dyDescent="0.25">
      <c r="B359" s="436"/>
      <c r="C359" s="437"/>
      <c r="D359" s="437"/>
      <c r="E359" s="289"/>
      <c r="F359" s="289"/>
      <c r="G359" s="289"/>
      <c r="H359" s="289"/>
      <c r="I359" s="289"/>
      <c r="J359" s="289"/>
      <c r="K359" s="289"/>
      <c r="L359" s="289"/>
      <c r="M359" s="289"/>
      <c r="N359" s="289"/>
      <c r="O359" s="289"/>
      <c r="P359" s="289"/>
      <c r="Q359" s="289"/>
      <c r="R359" s="382"/>
    </row>
    <row r="360" spans="2:18" x14ac:dyDescent="0.25">
      <c r="B360" s="436"/>
      <c r="C360" s="437"/>
      <c r="D360" s="437"/>
      <c r="E360" s="289"/>
      <c r="F360" s="289"/>
      <c r="G360" s="289"/>
      <c r="H360" s="289"/>
      <c r="I360" s="289"/>
      <c r="J360" s="289"/>
      <c r="K360" s="289"/>
      <c r="L360" s="289"/>
      <c r="M360" s="289"/>
      <c r="N360" s="289"/>
      <c r="O360" s="289"/>
      <c r="P360" s="289"/>
      <c r="Q360" s="289"/>
      <c r="R360" s="382"/>
    </row>
    <row r="361" spans="2:18" x14ac:dyDescent="0.25">
      <c r="B361" s="436"/>
      <c r="C361" s="437"/>
      <c r="D361" s="437"/>
      <c r="E361" s="289"/>
      <c r="F361" s="289"/>
      <c r="G361" s="289"/>
      <c r="H361" s="289"/>
      <c r="I361" s="289"/>
      <c r="J361" s="289"/>
      <c r="K361" s="289"/>
      <c r="L361" s="289"/>
      <c r="M361" s="289"/>
      <c r="N361" s="289"/>
      <c r="O361" s="289"/>
      <c r="P361" s="289"/>
      <c r="Q361" s="289"/>
      <c r="R361" s="382"/>
    </row>
    <row r="362" spans="2:18" x14ac:dyDescent="0.25">
      <c r="B362" s="436"/>
      <c r="C362" s="437"/>
      <c r="D362" s="437"/>
      <c r="E362" s="289"/>
      <c r="F362" s="289"/>
      <c r="G362" s="289"/>
      <c r="H362" s="289"/>
      <c r="I362" s="289"/>
      <c r="J362" s="289"/>
      <c r="K362" s="289"/>
      <c r="L362" s="289"/>
      <c r="M362" s="289"/>
      <c r="N362" s="289"/>
      <c r="O362" s="289"/>
      <c r="P362" s="289"/>
      <c r="Q362" s="289"/>
      <c r="R362" s="382"/>
    </row>
    <row r="363" spans="2:18" x14ac:dyDescent="0.25">
      <c r="B363" s="436"/>
      <c r="C363" s="437"/>
      <c r="D363" s="437"/>
      <c r="E363" s="289"/>
      <c r="F363" s="289"/>
      <c r="G363" s="289"/>
      <c r="H363" s="289"/>
      <c r="I363" s="289"/>
      <c r="J363" s="289"/>
      <c r="K363" s="289"/>
      <c r="L363" s="289"/>
      <c r="M363" s="289"/>
      <c r="N363" s="289"/>
      <c r="O363" s="289"/>
      <c r="P363" s="289"/>
      <c r="Q363" s="289"/>
      <c r="R363" s="382"/>
    </row>
    <row r="364" spans="2:18" x14ac:dyDescent="0.25">
      <c r="B364" s="436"/>
      <c r="C364" s="437"/>
      <c r="D364" s="437"/>
      <c r="E364" s="289"/>
      <c r="F364" s="289"/>
      <c r="G364" s="289"/>
      <c r="H364" s="289"/>
      <c r="I364" s="289"/>
      <c r="J364" s="289"/>
      <c r="K364" s="289"/>
      <c r="L364" s="289"/>
      <c r="M364" s="289"/>
      <c r="N364" s="289"/>
      <c r="O364" s="289"/>
      <c r="P364" s="289"/>
      <c r="Q364" s="289"/>
      <c r="R364" s="382"/>
    </row>
    <row r="365" spans="2:18" x14ac:dyDescent="0.25">
      <c r="B365" s="436"/>
      <c r="C365" s="437"/>
      <c r="D365" s="437"/>
      <c r="E365" s="289"/>
      <c r="F365" s="289"/>
      <c r="G365" s="289"/>
      <c r="H365" s="289"/>
      <c r="I365" s="289"/>
      <c r="J365" s="289"/>
      <c r="K365" s="289"/>
      <c r="L365" s="289"/>
      <c r="M365" s="289"/>
      <c r="N365" s="289"/>
      <c r="O365" s="289"/>
      <c r="P365" s="289"/>
      <c r="Q365" s="289"/>
      <c r="R365" s="382"/>
    </row>
    <row r="366" spans="2:18" x14ac:dyDescent="0.25">
      <c r="B366" s="436"/>
      <c r="C366" s="437"/>
      <c r="D366" s="437"/>
      <c r="E366" s="289"/>
      <c r="F366" s="289"/>
      <c r="G366" s="289"/>
      <c r="H366" s="289"/>
      <c r="I366" s="289"/>
      <c r="J366" s="289"/>
      <c r="K366" s="289"/>
      <c r="L366" s="289"/>
      <c r="M366" s="289"/>
      <c r="N366" s="289"/>
      <c r="O366" s="289"/>
      <c r="P366" s="289"/>
      <c r="Q366" s="289"/>
      <c r="R366" s="382"/>
    </row>
    <row r="367" spans="2:18" x14ac:dyDescent="0.25">
      <c r="B367" s="436"/>
      <c r="C367" s="437"/>
      <c r="D367" s="437"/>
      <c r="E367" s="289"/>
      <c r="F367" s="289"/>
      <c r="G367" s="289"/>
      <c r="H367" s="289"/>
      <c r="I367" s="289"/>
      <c r="J367" s="289"/>
      <c r="K367" s="289"/>
      <c r="L367" s="289"/>
      <c r="M367" s="289"/>
      <c r="N367" s="289"/>
      <c r="O367" s="289"/>
      <c r="P367" s="289"/>
      <c r="Q367" s="289"/>
      <c r="R367" s="382"/>
    </row>
    <row r="368" spans="2:18" x14ac:dyDescent="0.25">
      <c r="B368" s="436"/>
      <c r="C368" s="437"/>
      <c r="D368" s="437"/>
      <c r="E368" s="289"/>
      <c r="F368" s="289"/>
      <c r="G368" s="289"/>
      <c r="H368" s="289"/>
      <c r="I368" s="289"/>
      <c r="J368" s="289"/>
      <c r="K368" s="289"/>
      <c r="L368" s="289"/>
      <c r="M368" s="289"/>
      <c r="N368" s="289"/>
      <c r="O368" s="289"/>
      <c r="P368" s="289"/>
      <c r="Q368" s="289"/>
      <c r="R368" s="382"/>
    </row>
    <row r="369" spans="2:18" x14ac:dyDescent="0.25">
      <c r="B369" s="436"/>
      <c r="C369" s="437"/>
      <c r="D369" s="437"/>
      <c r="E369" s="289"/>
      <c r="F369" s="289"/>
      <c r="G369" s="289"/>
      <c r="H369" s="289"/>
      <c r="I369" s="289"/>
      <c r="J369" s="289"/>
      <c r="K369" s="289"/>
      <c r="L369" s="289"/>
      <c r="M369" s="289"/>
      <c r="N369" s="289"/>
      <c r="O369" s="289"/>
      <c r="P369" s="289"/>
      <c r="Q369" s="289"/>
      <c r="R369" s="382"/>
    </row>
    <row r="370" spans="2:18" x14ac:dyDescent="0.25">
      <c r="B370" s="436"/>
      <c r="C370" s="437"/>
      <c r="D370" s="437"/>
      <c r="E370" s="289"/>
      <c r="F370" s="289"/>
      <c r="G370" s="289"/>
      <c r="H370" s="289"/>
      <c r="I370" s="289"/>
      <c r="J370" s="289"/>
      <c r="K370" s="289"/>
      <c r="L370" s="289"/>
      <c r="M370" s="289"/>
      <c r="N370" s="289"/>
      <c r="O370" s="289"/>
      <c r="P370" s="289"/>
      <c r="Q370" s="289"/>
      <c r="R370" s="382"/>
    </row>
    <row r="371" spans="2:18" x14ac:dyDescent="0.25">
      <c r="B371" s="436"/>
      <c r="C371" s="437"/>
      <c r="D371" s="437"/>
      <c r="E371" s="289"/>
      <c r="F371" s="289"/>
      <c r="G371" s="289"/>
      <c r="H371" s="289"/>
      <c r="I371" s="289"/>
      <c r="J371" s="289"/>
      <c r="K371" s="289"/>
      <c r="L371" s="289"/>
      <c r="M371" s="289"/>
      <c r="N371" s="289"/>
      <c r="O371" s="289"/>
      <c r="P371" s="289"/>
      <c r="Q371" s="289"/>
      <c r="R371" s="382"/>
    </row>
    <row r="372" spans="2:18" x14ac:dyDescent="0.25">
      <c r="B372" s="436"/>
      <c r="C372" s="437"/>
      <c r="D372" s="437"/>
      <c r="E372" s="289"/>
      <c r="F372" s="289"/>
      <c r="G372" s="289"/>
      <c r="H372" s="289"/>
      <c r="I372" s="289"/>
      <c r="J372" s="289"/>
      <c r="K372" s="289"/>
      <c r="L372" s="289"/>
      <c r="M372" s="289"/>
      <c r="N372" s="289"/>
      <c r="O372" s="289"/>
      <c r="P372" s="289"/>
      <c r="Q372" s="289"/>
      <c r="R372" s="382"/>
    </row>
    <row r="373" spans="2:18" x14ac:dyDescent="0.25">
      <c r="B373" s="436"/>
      <c r="C373" s="437"/>
      <c r="D373" s="437"/>
      <c r="E373" s="289"/>
      <c r="F373" s="289"/>
      <c r="G373" s="289"/>
      <c r="H373" s="289"/>
      <c r="I373" s="289"/>
      <c r="J373" s="289"/>
      <c r="K373" s="289"/>
      <c r="L373" s="289"/>
      <c r="M373" s="289"/>
      <c r="N373" s="289"/>
      <c r="O373" s="289"/>
      <c r="P373" s="289"/>
      <c r="Q373" s="289"/>
      <c r="R373" s="382"/>
    </row>
    <row r="374" spans="2:18" x14ac:dyDescent="0.25">
      <c r="B374" s="436"/>
      <c r="C374" s="437"/>
      <c r="D374" s="437"/>
      <c r="E374" s="289"/>
      <c r="F374" s="289"/>
      <c r="G374" s="289"/>
      <c r="H374" s="289"/>
      <c r="I374" s="289"/>
      <c r="J374" s="289"/>
      <c r="K374" s="289"/>
      <c r="L374" s="289"/>
      <c r="M374" s="289"/>
      <c r="N374" s="289"/>
      <c r="O374" s="289"/>
      <c r="P374" s="289"/>
      <c r="Q374" s="289"/>
      <c r="R374" s="382"/>
    </row>
    <row r="375" spans="2:18" x14ac:dyDescent="0.25">
      <c r="B375" s="436"/>
      <c r="C375" s="437"/>
      <c r="D375" s="437"/>
      <c r="E375" s="289"/>
      <c r="F375" s="289"/>
      <c r="G375" s="289"/>
      <c r="H375" s="289"/>
      <c r="I375" s="289"/>
      <c r="J375" s="289"/>
      <c r="K375" s="289"/>
      <c r="L375" s="289"/>
      <c r="M375" s="289"/>
      <c r="N375" s="289"/>
      <c r="O375" s="289"/>
      <c r="P375" s="289"/>
      <c r="Q375" s="289"/>
      <c r="R375" s="382"/>
    </row>
    <row r="376" spans="2:18" x14ac:dyDescent="0.25">
      <c r="B376" s="436"/>
      <c r="C376" s="437"/>
      <c r="D376" s="437"/>
      <c r="E376" s="289"/>
      <c r="F376" s="289"/>
      <c r="G376" s="289"/>
      <c r="H376" s="289"/>
      <c r="I376" s="289"/>
      <c r="J376" s="289"/>
      <c r="K376" s="289"/>
      <c r="L376" s="289"/>
      <c r="M376" s="289"/>
      <c r="N376" s="289"/>
      <c r="O376" s="289"/>
      <c r="P376" s="289"/>
      <c r="Q376" s="289"/>
      <c r="R376" s="382"/>
    </row>
    <row r="377" spans="2:18" x14ac:dyDescent="0.25">
      <c r="B377" s="436"/>
      <c r="C377" s="437"/>
      <c r="D377" s="437"/>
      <c r="E377" s="289"/>
      <c r="F377" s="289"/>
      <c r="G377" s="289"/>
      <c r="H377" s="289"/>
      <c r="I377" s="289"/>
      <c r="J377" s="289"/>
      <c r="K377" s="289"/>
      <c r="L377" s="289"/>
      <c r="M377" s="289"/>
      <c r="N377" s="289"/>
      <c r="O377" s="289"/>
      <c r="P377" s="289"/>
      <c r="Q377" s="289"/>
      <c r="R377" s="382"/>
    </row>
    <row r="378" spans="2:18" x14ac:dyDescent="0.25">
      <c r="B378" s="436"/>
      <c r="C378" s="437"/>
      <c r="D378" s="437"/>
      <c r="E378" s="289"/>
      <c r="F378" s="289"/>
      <c r="G378" s="289"/>
      <c r="H378" s="289"/>
      <c r="I378" s="289"/>
      <c r="J378" s="289"/>
      <c r="K378" s="289"/>
      <c r="L378" s="289"/>
      <c r="M378" s="289"/>
      <c r="N378" s="289"/>
      <c r="O378" s="289"/>
      <c r="P378" s="289"/>
      <c r="Q378" s="289"/>
      <c r="R378" s="382"/>
    </row>
    <row r="379" spans="2:18" x14ac:dyDescent="0.25">
      <c r="B379" s="436"/>
      <c r="C379" s="437"/>
      <c r="D379" s="437"/>
      <c r="E379" s="289"/>
      <c r="F379" s="289"/>
      <c r="G379" s="289"/>
      <c r="H379" s="289"/>
      <c r="I379" s="289"/>
      <c r="J379" s="289"/>
      <c r="K379" s="289"/>
      <c r="L379" s="289"/>
      <c r="M379" s="289"/>
      <c r="N379" s="289"/>
      <c r="O379" s="289"/>
      <c r="P379" s="289"/>
      <c r="Q379" s="289"/>
      <c r="R379" s="382"/>
    </row>
    <row r="380" spans="2:18" x14ac:dyDescent="0.25">
      <c r="B380" s="436"/>
      <c r="C380" s="437"/>
      <c r="D380" s="437"/>
      <c r="E380" s="289"/>
      <c r="F380" s="289"/>
      <c r="G380" s="289"/>
      <c r="H380" s="289"/>
      <c r="I380" s="289"/>
      <c r="J380" s="289"/>
      <c r="K380" s="289"/>
      <c r="L380" s="289"/>
      <c r="M380" s="289"/>
      <c r="N380" s="289"/>
      <c r="O380" s="289"/>
      <c r="P380" s="289"/>
      <c r="Q380" s="289"/>
      <c r="R380" s="382"/>
    </row>
    <row r="381" spans="2:18" x14ac:dyDescent="0.25">
      <c r="B381" s="436"/>
      <c r="C381" s="437"/>
      <c r="D381" s="437"/>
      <c r="E381" s="289"/>
      <c r="F381" s="289"/>
      <c r="G381" s="289"/>
      <c r="H381" s="289"/>
      <c r="I381" s="289"/>
      <c r="J381" s="289"/>
      <c r="K381" s="289"/>
      <c r="L381" s="289"/>
      <c r="M381" s="289"/>
      <c r="N381" s="289"/>
      <c r="O381" s="289"/>
      <c r="P381" s="289"/>
      <c r="Q381" s="289"/>
      <c r="R381" s="382"/>
    </row>
    <row r="382" spans="2:18" x14ac:dyDescent="0.25">
      <c r="B382" s="436"/>
      <c r="C382" s="437"/>
      <c r="D382" s="437"/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89"/>
      <c r="Q382" s="289"/>
      <c r="R382" s="382"/>
    </row>
    <row r="383" spans="2:18" x14ac:dyDescent="0.25">
      <c r="B383" s="436"/>
      <c r="C383" s="437"/>
      <c r="D383" s="437"/>
      <c r="E383" s="289"/>
      <c r="F383" s="289"/>
      <c r="G383" s="289"/>
      <c r="H383" s="289"/>
      <c r="I383" s="289"/>
      <c r="J383" s="289"/>
      <c r="K383" s="289"/>
      <c r="L383" s="289"/>
      <c r="M383" s="289"/>
      <c r="N383" s="289"/>
      <c r="O383" s="289"/>
      <c r="P383" s="289"/>
      <c r="Q383" s="289"/>
      <c r="R383" s="382"/>
    </row>
    <row r="384" spans="2:18" x14ac:dyDescent="0.25">
      <c r="B384" s="436"/>
      <c r="C384" s="437"/>
      <c r="D384" s="437"/>
      <c r="E384" s="289"/>
      <c r="F384" s="289"/>
      <c r="G384" s="289"/>
      <c r="H384" s="289"/>
      <c r="I384" s="289"/>
      <c r="J384" s="289"/>
      <c r="K384" s="289"/>
      <c r="L384" s="289"/>
      <c r="M384" s="289"/>
      <c r="N384" s="289"/>
      <c r="O384" s="289"/>
      <c r="P384" s="289"/>
      <c r="Q384" s="289"/>
      <c r="R384" s="382"/>
    </row>
    <row r="385" spans="2:18" x14ac:dyDescent="0.25">
      <c r="B385" s="436"/>
      <c r="C385" s="437"/>
      <c r="D385" s="437"/>
      <c r="E385" s="289"/>
      <c r="F385" s="289"/>
      <c r="G385" s="289"/>
      <c r="H385" s="289"/>
      <c r="I385" s="289"/>
      <c r="J385" s="289"/>
      <c r="K385" s="289"/>
      <c r="L385" s="289"/>
      <c r="M385" s="289"/>
      <c r="N385" s="289"/>
      <c r="O385" s="289"/>
      <c r="P385" s="289"/>
      <c r="Q385" s="289"/>
      <c r="R385" s="382"/>
    </row>
    <row r="386" spans="2:18" x14ac:dyDescent="0.25">
      <c r="B386" s="436"/>
      <c r="C386" s="437"/>
      <c r="D386" s="437"/>
      <c r="E386" s="289"/>
      <c r="F386" s="289"/>
      <c r="G386" s="289"/>
      <c r="H386" s="289"/>
      <c r="I386" s="289"/>
      <c r="J386" s="289"/>
      <c r="K386" s="289"/>
      <c r="L386" s="289"/>
      <c r="M386" s="289"/>
      <c r="N386" s="289"/>
      <c r="O386" s="289"/>
      <c r="P386" s="289"/>
      <c r="Q386" s="289"/>
      <c r="R386" s="382"/>
    </row>
    <row r="387" spans="2:18" x14ac:dyDescent="0.25">
      <c r="B387" s="436"/>
      <c r="C387" s="437"/>
      <c r="D387" s="437"/>
      <c r="E387" s="289"/>
      <c r="F387" s="289"/>
      <c r="G387" s="289"/>
      <c r="H387" s="289"/>
      <c r="I387" s="289"/>
      <c r="J387" s="289"/>
      <c r="K387" s="289"/>
      <c r="L387" s="289"/>
      <c r="M387" s="289"/>
      <c r="N387" s="289"/>
      <c r="O387" s="289"/>
      <c r="P387" s="289"/>
      <c r="Q387" s="289"/>
      <c r="R387" s="382"/>
    </row>
    <row r="388" spans="2:18" x14ac:dyDescent="0.25">
      <c r="B388" s="436"/>
      <c r="C388" s="437"/>
      <c r="D388" s="437"/>
      <c r="E388" s="289"/>
      <c r="F388" s="289"/>
      <c r="G388" s="289"/>
      <c r="H388" s="289"/>
      <c r="I388" s="289"/>
      <c r="J388" s="289"/>
      <c r="K388" s="289"/>
      <c r="L388" s="289"/>
      <c r="M388" s="289"/>
      <c r="N388" s="289"/>
      <c r="O388" s="289"/>
      <c r="P388" s="289"/>
      <c r="Q388" s="289"/>
      <c r="R388" s="382"/>
    </row>
    <row r="389" spans="2:18" x14ac:dyDescent="0.25">
      <c r="B389" s="436"/>
      <c r="C389" s="437"/>
      <c r="D389" s="437"/>
      <c r="E389" s="289"/>
      <c r="F389" s="289"/>
      <c r="G389" s="289"/>
      <c r="H389" s="289"/>
      <c r="I389" s="289"/>
      <c r="J389" s="289"/>
      <c r="K389" s="289"/>
      <c r="L389" s="289"/>
      <c r="M389" s="289"/>
      <c r="N389" s="289"/>
      <c r="O389" s="289"/>
      <c r="P389" s="289"/>
      <c r="Q389" s="289"/>
      <c r="R389" s="382"/>
    </row>
    <row r="390" spans="2:18" x14ac:dyDescent="0.25">
      <c r="B390" s="436"/>
      <c r="C390" s="437"/>
      <c r="D390" s="437"/>
      <c r="E390" s="289"/>
      <c r="F390" s="289"/>
      <c r="G390" s="289"/>
      <c r="H390" s="289"/>
      <c r="I390" s="289"/>
      <c r="J390" s="289"/>
      <c r="K390" s="289"/>
      <c r="L390" s="289"/>
      <c r="M390" s="289"/>
      <c r="N390" s="289"/>
      <c r="O390" s="289"/>
      <c r="P390" s="289"/>
      <c r="Q390" s="289"/>
      <c r="R390" s="382"/>
    </row>
    <row r="391" spans="2:18" x14ac:dyDescent="0.25">
      <c r="B391" s="436"/>
      <c r="C391" s="437"/>
      <c r="D391" s="437"/>
      <c r="E391" s="289"/>
      <c r="F391" s="289"/>
      <c r="G391" s="289"/>
      <c r="H391" s="289"/>
      <c r="I391" s="289"/>
      <c r="J391" s="289"/>
      <c r="K391" s="289"/>
      <c r="L391" s="289"/>
      <c r="M391" s="289"/>
      <c r="N391" s="289"/>
      <c r="O391" s="289"/>
      <c r="P391" s="289"/>
      <c r="Q391" s="289"/>
      <c r="R391" s="382"/>
    </row>
    <row r="392" spans="2:18" x14ac:dyDescent="0.25">
      <c r="B392" s="436"/>
      <c r="C392" s="437"/>
      <c r="D392" s="437"/>
      <c r="E392" s="289"/>
      <c r="F392" s="289"/>
      <c r="G392" s="289"/>
      <c r="H392" s="289"/>
      <c r="I392" s="289"/>
      <c r="J392" s="289"/>
      <c r="K392" s="289"/>
      <c r="L392" s="289"/>
      <c r="M392" s="289"/>
      <c r="N392" s="289"/>
      <c r="O392" s="289"/>
      <c r="P392" s="289"/>
      <c r="Q392" s="289"/>
      <c r="R392" s="382"/>
    </row>
    <row r="393" spans="2:18" x14ac:dyDescent="0.25">
      <c r="B393" s="436"/>
      <c r="C393" s="437"/>
      <c r="D393" s="437"/>
      <c r="E393" s="289"/>
      <c r="F393" s="289"/>
      <c r="G393" s="289"/>
      <c r="H393" s="289"/>
      <c r="I393" s="289"/>
      <c r="J393" s="289"/>
      <c r="K393" s="289"/>
      <c r="L393" s="289"/>
      <c r="M393" s="289"/>
      <c r="N393" s="289"/>
      <c r="O393" s="289"/>
      <c r="P393" s="289"/>
      <c r="Q393" s="289"/>
      <c r="R393" s="382"/>
    </row>
    <row r="394" spans="2:18" x14ac:dyDescent="0.25">
      <c r="B394" s="436"/>
      <c r="C394" s="437"/>
      <c r="D394" s="437"/>
      <c r="E394" s="289"/>
      <c r="F394" s="289"/>
      <c r="G394" s="289"/>
      <c r="H394" s="289"/>
      <c r="I394" s="289"/>
      <c r="J394" s="289"/>
      <c r="K394" s="289"/>
      <c r="L394" s="289"/>
      <c r="M394" s="289"/>
      <c r="N394" s="289"/>
      <c r="O394" s="289"/>
      <c r="P394" s="289"/>
      <c r="Q394" s="289"/>
      <c r="R394" s="382"/>
    </row>
    <row r="395" spans="2:18" x14ac:dyDescent="0.25">
      <c r="B395" s="436"/>
      <c r="C395" s="437"/>
      <c r="D395" s="437"/>
      <c r="E395" s="289"/>
      <c r="F395" s="289"/>
      <c r="G395" s="289"/>
      <c r="H395" s="289"/>
      <c r="I395" s="289"/>
      <c r="J395" s="289"/>
      <c r="K395" s="289"/>
      <c r="L395" s="289"/>
      <c r="M395" s="289"/>
      <c r="N395" s="289"/>
      <c r="O395" s="289"/>
      <c r="P395" s="289"/>
      <c r="Q395" s="289"/>
      <c r="R395" s="382"/>
    </row>
    <row r="396" spans="2:18" x14ac:dyDescent="0.25">
      <c r="B396" s="436"/>
      <c r="C396" s="437"/>
      <c r="D396" s="437"/>
      <c r="E396" s="289"/>
      <c r="F396" s="289"/>
      <c r="G396" s="289"/>
      <c r="H396" s="289"/>
      <c r="I396" s="289"/>
      <c r="J396" s="289"/>
      <c r="K396" s="289"/>
      <c r="L396" s="289"/>
      <c r="M396" s="289"/>
      <c r="N396" s="289"/>
      <c r="O396" s="289"/>
      <c r="P396" s="289"/>
      <c r="Q396" s="289"/>
      <c r="R396" s="382"/>
    </row>
    <row r="397" spans="2:18" x14ac:dyDescent="0.25">
      <c r="B397" s="436"/>
      <c r="C397" s="437"/>
      <c r="D397" s="437"/>
      <c r="E397" s="289"/>
      <c r="F397" s="289"/>
      <c r="G397" s="289"/>
      <c r="H397" s="289"/>
      <c r="I397" s="289"/>
      <c r="J397" s="289"/>
      <c r="K397" s="289"/>
      <c r="L397" s="289"/>
      <c r="M397" s="289"/>
      <c r="N397" s="289"/>
      <c r="O397" s="289"/>
      <c r="P397" s="289"/>
      <c r="Q397" s="289"/>
      <c r="R397" s="382"/>
    </row>
    <row r="398" spans="2:18" x14ac:dyDescent="0.25">
      <c r="B398" s="436"/>
      <c r="C398" s="437"/>
      <c r="D398" s="437"/>
      <c r="E398" s="289"/>
      <c r="F398" s="289"/>
      <c r="G398" s="289"/>
      <c r="H398" s="289"/>
      <c r="I398" s="289"/>
      <c r="J398" s="289"/>
      <c r="K398" s="289"/>
      <c r="L398" s="289"/>
      <c r="M398" s="289"/>
      <c r="N398" s="289"/>
      <c r="O398" s="289"/>
      <c r="P398" s="289"/>
      <c r="Q398" s="289"/>
      <c r="R398" s="382"/>
    </row>
    <row r="399" spans="2:18" x14ac:dyDescent="0.25">
      <c r="B399" s="436"/>
      <c r="C399" s="437"/>
      <c r="D399" s="437"/>
      <c r="E399" s="289"/>
      <c r="F399" s="289"/>
      <c r="G399" s="289"/>
      <c r="H399" s="289"/>
      <c r="I399" s="289"/>
      <c r="J399" s="289"/>
      <c r="K399" s="289"/>
      <c r="L399" s="289"/>
      <c r="M399" s="289"/>
      <c r="N399" s="289"/>
      <c r="O399" s="289"/>
      <c r="P399" s="289"/>
      <c r="Q399" s="289"/>
      <c r="R399" s="382"/>
    </row>
    <row r="400" spans="2:18" x14ac:dyDescent="0.25">
      <c r="B400" s="436"/>
      <c r="C400" s="437"/>
      <c r="D400" s="437"/>
      <c r="E400" s="289"/>
      <c r="F400" s="289"/>
      <c r="G400" s="289"/>
      <c r="H400" s="289"/>
      <c r="I400" s="289"/>
      <c r="J400" s="289"/>
      <c r="K400" s="289"/>
      <c r="L400" s="289"/>
      <c r="M400" s="289"/>
      <c r="N400" s="289"/>
      <c r="O400" s="289"/>
      <c r="P400" s="289"/>
      <c r="Q400" s="289"/>
      <c r="R400" s="382"/>
    </row>
    <row r="401" spans="2:18" x14ac:dyDescent="0.25">
      <c r="B401" s="436"/>
      <c r="C401" s="437"/>
      <c r="D401" s="437"/>
      <c r="E401" s="289"/>
      <c r="F401" s="289"/>
      <c r="G401" s="289"/>
      <c r="H401" s="289"/>
      <c r="I401" s="289"/>
      <c r="J401" s="289"/>
      <c r="K401" s="289"/>
      <c r="L401" s="289"/>
      <c r="M401" s="289"/>
      <c r="N401" s="289"/>
      <c r="O401" s="289"/>
      <c r="P401" s="289"/>
      <c r="Q401" s="289"/>
      <c r="R401" s="382"/>
    </row>
    <row r="402" spans="2:18" x14ac:dyDescent="0.25">
      <c r="B402" s="436"/>
      <c r="C402" s="437"/>
      <c r="D402" s="437"/>
      <c r="E402" s="289"/>
      <c r="F402" s="289"/>
      <c r="G402" s="289"/>
      <c r="H402" s="289"/>
      <c r="I402" s="289"/>
      <c r="J402" s="289"/>
      <c r="K402" s="289"/>
      <c r="L402" s="289"/>
      <c r="M402" s="289"/>
      <c r="N402" s="289"/>
      <c r="O402" s="289"/>
      <c r="P402" s="289"/>
      <c r="Q402" s="289"/>
      <c r="R402" s="382"/>
    </row>
    <row r="403" spans="2:18" x14ac:dyDescent="0.25">
      <c r="B403" s="436"/>
      <c r="C403" s="437"/>
      <c r="D403" s="437"/>
      <c r="E403" s="289"/>
      <c r="F403" s="289"/>
      <c r="G403" s="289"/>
      <c r="H403" s="289"/>
      <c r="I403" s="289"/>
      <c r="J403" s="289"/>
      <c r="K403" s="289"/>
      <c r="L403" s="289"/>
      <c r="M403" s="289"/>
      <c r="N403" s="289"/>
      <c r="O403" s="289"/>
      <c r="P403" s="289"/>
      <c r="Q403" s="289"/>
      <c r="R403" s="382"/>
    </row>
    <row r="404" spans="2:18" x14ac:dyDescent="0.25">
      <c r="B404" s="436"/>
      <c r="C404" s="437"/>
      <c r="D404" s="437"/>
      <c r="E404" s="289"/>
      <c r="F404" s="289"/>
      <c r="G404" s="289"/>
      <c r="H404" s="289"/>
      <c r="I404" s="289"/>
      <c r="J404" s="289"/>
      <c r="K404" s="289"/>
      <c r="L404" s="289"/>
      <c r="M404" s="289"/>
      <c r="N404" s="289"/>
      <c r="O404" s="289"/>
      <c r="P404" s="289"/>
      <c r="Q404" s="289"/>
      <c r="R404" s="382"/>
    </row>
    <row r="405" spans="2:18" x14ac:dyDescent="0.25">
      <c r="B405" s="436"/>
      <c r="C405" s="437"/>
      <c r="D405" s="437"/>
      <c r="E405" s="289"/>
      <c r="F405" s="289"/>
      <c r="G405" s="289"/>
      <c r="H405" s="289"/>
      <c r="I405" s="289"/>
      <c r="J405" s="289"/>
      <c r="K405" s="289"/>
      <c r="L405" s="289"/>
      <c r="M405" s="289"/>
      <c r="N405" s="289"/>
      <c r="O405" s="289"/>
      <c r="P405" s="289"/>
      <c r="Q405" s="289"/>
      <c r="R405" s="382"/>
    </row>
    <row r="406" spans="2:18" x14ac:dyDescent="0.25">
      <c r="B406" s="436"/>
      <c r="C406" s="437"/>
      <c r="D406" s="437"/>
      <c r="E406" s="289"/>
      <c r="F406" s="289"/>
      <c r="G406" s="289"/>
      <c r="H406" s="289"/>
      <c r="I406" s="289"/>
      <c r="J406" s="289"/>
      <c r="K406" s="289"/>
      <c r="L406" s="289"/>
      <c r="M406" s="289"/>
      <c r="N406" s="289"/>
      <c r="O406" s="289"/>
      <c r="P406" s="289"/>
      <c r="Q406" s="289"/>
      <c r="R406" s="382"/>
    </row>
    <row r="407" spans="2:18" x14ac:dyDescent="0.25">
      <c r="B407" s="436"/>
      <c r="C407" s="437"/>
      <c r="D407" s="437"/>
      <c r="E407" s="289"/>
      <c r="F407" s="289"/>
      <c r="G407" s="289"/>
      <c r="H407" s="289"/>
      <c r="I407" s="289"/>
      <c r="J407" s="289"/>
      <c r="K407" s="289"/>
      <c r="L407" s="289"/>
      <c r="M407" s="289"/>
      <c r="N407" s="289"/>
      <c r="O407" s="289"/>
      <c r="P407" s="289"/>
      <c r="Q407" s="289"/>
      <c r="R407" s="382"/>
    </row>
    <row r="408" spans="2:18" x14ac:dyDescent="0.25">
      <c r="B408" s="436"/>
      <c r="C408" s="437"/>
      <c r="D408" s="437"/>
      <c r="E408" s="289"/>
      <c r="F408" s="289"/>
      <c r="G408" s="289"/>
      <c r="H408" s="289"/>
      <c r="I408" s="289"/>
      <c r="J408" s="289"/>
      <c r="K408" s="289"/>
      <c r="L408" s="289"/>
      <c r="M408" s="289"/>
      <c r="N408" s="289"/>
      <c r="O408" s="289"/>
      <c r="P408" s="289"/>
      <c r="Q408" s="289"/>
      <c r="R408" s="382"/>
    </row>
    <row r="409" spans="2:18" x14ac:dyDescent="0.25">
      <c r="B409" s="436"/>
      <c r="C409" s="437"/>
      <c r="D409" s="437"/>
      <c r="E409" s="289"/>
      <c r="F409" s="289"/>
      <c r="G409" s="289"/>
      <c r="H409" s="289"/>
      <c r="I409" s="289"/>
      <c r="J409" s="289"/>
      <c r="K409" s="289"/>
      <c r="L409" s="289"/>
      <c r="M409" s="289"/>
      <c r="N409" s="289"/>
      <c r="O409" s="289"/>
      <c r="P409" s="289"/>
      <c r="Q409" s="289"/>
      <c r="R409" s="382"/>
    </row>
    <row r="410" spans="2:18" x14ac:dyDescent="0.25">
      <c r="B410" s="436"/>
      <c r="C410" s="437"/>
      <c r="D410" s="437"/>
      <c r="E410" s="289"/>
      <c r="F410" s="289"/>
      <c r="G410" s="289"/>
      <c r="H410" s="289"/>
      <c r="I410" s="289"/>
      <c r="J410" s="289"/>
      <c r="K410" s="289"/>
      <c r="L410" s="289"/>
      <c r="M410" s="289"/>
      <c r="N410" s="289"/>
      <c r="O410" s="289"/>
      <c r="P410" s="289"/>
      <c r="Q410" s="289"/>
      <c r="R410" s="382"/>
    </row>
    <row r="411" spans="2:18" x14ac:dyDescent="0.25">
      <c r="B411" s="436"/>
      <c r="C411" s="437"/>
      <c r="D411" s="437"/>
      <c r="E411" s="289"/>
      <c r="F411" s="289"/>
      <c r="G411" s="289"/>
      <c r="H411" s="289"/>
      <c r="I411" s="289"/>
      <c r="J411" s="289"/>
      <c r="K411" s="289"/>
      <c r="L411" s="289"/>
      <c r="M411" s="289"/>
      <c r="N411" s="289"/>
      <c r="O411" s="289"/>
      <c r="P411" s="289"/>
      <c r="Q411" s="289"/>
      <c r="R411" s="382"/>
    </row>
    <row r="412" spans="2:18" x14ac:dyDescent="0.25">
      <c r="B412" s="436"/>
      <c r="C412" s="437"/>
      <c r="D412" s="437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382"/>
    </row>
    <row r="413" spans="2:18" x14ac:dyDescent="0.25">
      <c r="B413" s="436"/>
      <c r="C413" s="437"/>
      <c r="D413" s="437"/>
      <c r="E413" s="289"/>
      <c r="F413" s="289"/>
      <c r="G413" s="289"/>
      <c r="H413" s="289"/>
      <c r="I413" s="289"/>
      <c r="J413" s="289"/>
      <c r="K413" s="289"/>
      <c r="L413" s="289"/>
      <c r="M413" s="289"/>
      <c r="N413" s="289"/>
      <c r="O413" s="289"/>
      <c r="P413" s="289"/>
      <c r="Q413" s="289"/>
      <c r="R413" s="382"/>
    </row>
    <row r="414" spans="2:18" x14ac:dyDescent="0.25">
      <c r="B414" s="436"/>
      <c r="C414" s="437"/>
      <c r="D414" s="437"/>
      <c r="E414" s="289"/>
      <c r="F414" s="289"/>
      <c r="G414" s="289"/>
      <c r="H414" s="289"/>
      <c r="I414" s="289"/>
      <c r="J414" s="289"/>
      <c r="K414" s="289"/>
      <c r="L414" s="289"/>
      <c r="M414" s="289"/>
      <c r="N414" s="289"/>
      <c r="O414" s="289"/>
      <c r="P414" s="289"/>
      <c r="Q414" s="289"/>
      <c r="R414" s="382"/>
    </row>
    <row r="415" spans="2:18" x14ac:dyDescent="0.25">
      <c r="B415" s="436"/>
      <c r="C415" s="437"/>
      <c r="D415" s="437"/>
      <c r="E415" s="289"/>
      <c r="F415" s="289"/>
      <c r="G415" s="289"/>
      <c r="H415" s="289"/>
      <c r="I415" s="289"/>
      <c r="J415" s="289"/>
      <c r="K415" s="289"/>
      <c r="L415" s="289"/>
      <c r="M415" s="289"/>
      <c r="N415" s="289"/>
      <c r="O415" s="289"/>
      <c r="P415" s="289"/>
      <c r="Q415" s="289"/>
      <c r="R415" s="382"/>
    </row>
    <row r="416" spans="2:18" x14ac:dyDescent="0.25">
      <c r="B416" s="436"/>
      <c r="C416" s="437"/>
      <c r="D416" s="437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382"/>
    </row>
    <row r="417" spans="2:18" x14ac:dyDescent="0.25">
      <c r="B417" s="436"/>
      <c r="C417" s="437"/>
      <c r="D417" s="437"/>
      <c r="E417" s="289"/>
      <c r="F417" s="289"/>
      <c r="G417" s="289"/>
      <c r="H417" s="289"/>
      <c r="I417" s="289"/>
      <c r="J417" s="289"/>
      <c r="K417" s="289"/>
      <c r="L417" s="289"/>
      <c r="M417" s="289"/>
      <c r="N417" s="289"/>
      <c r="O417" s="289"/>
      <c r="P417" s="289"/>
      <c r="Q417" s="289"/>
      <c r="R417" s="382"/>
    </row>
    <row r="418" spans="2:18" x14ac:dyDescent="0.25">
      <c r="B418" s="436"/>
      <c r="C418" s="437"/>
      <c r="D418" s="437"/>
      <c r="E418" s="289"/>
      <c r="F418" s="289"/>
      <c r="G418" s="289"/>
      <c r="H418" s="289"/>
      <c r="I418" s="289"/>
      <c r="J418" s="289"/>
      <c r="K418" s="289"/>
      <c r="L418" s="289"/>
      <c r="M418" s="289"/>
      <c r="N418" s="289"/>
      <c r="O418" s="289"/>
      <c r="P418" s="289"/>
      <c r="Q418" s="289"/>
      <c r="R418" s="382"/>
    </row>
    <row r="419" spans="2:18" x14ac:dyDescent="0.25">
      <c r="B419" s="436"/>
      <c r="C419" s="437"/>
      <c r="D419" s="437"/>
      <c r="E419" s="289"/>
      <c r="F419" s="289"/>
      <c r="G419" s="289"/>
      <c r="H419" s="289"/>
      <c r="I419" s="289"/>
      <c r="J419" s="289"/>
      <c r="K419" s="289"/>
      <c r="L419" s="289"/>
      <c r="M419" s="289"/>
      <c r="N419" s="289"/>
      <c r="O419" s="289"/>
      <c r="P419" s="289"/>
      <c r="Q419" s="289"/>
      <c r="R419" s="382"/>
    </row>
    <row r="420" spans="2:18" x14ac:dyDescent="0.25">
      <c r="B420" s="436"/>
      <c r="C420" s="437"/>
      <c r="D420" s="437"/>
      <c r="E420" s="289"/>
      <c r="F420" s="289"/>
      <c r="G420" s="289"/>
      <c r="H420" s="289"/>
      <c r="I420" s="289"/>
      <c r="J420" s="289"/>
      <c r="K420" s="289"/>
      <c r="L420" s="289"/>
      <c r="M420" s="289"/>
      <c r="N420" s="289"/>
      <c r="O420" s="289"/>
      <c r="P420" s="289"/>
      <c r="Q420" s="289"/>
      <c r="R420" s="382"/>
    </row>
  </sheetData>
  <mergeCells count="4">
    <mergeCell ref="F2:H2"/>
    <mergeCell ref="J2:K2"/>
    <mergeCell ref="F3:H3"/>
    <mergeCell ref="J3:K3"/>
  </mergeCells>
  <conditionalFormatting sqref="R14">
    <cfRule type="containsText" dxfId="7" priority="23" operator="containsText" text="ERROR">
      <formula>NOT(ISERROR(SEARCH("ERROR",R14)))</formula>
    </cfRule>
    <cfRule type="containsText" dxfId="6" priority="24" operator="containsText" text="GOOD">
      <formula>NOT(ISERROR(SEARCH("GOOD",R14)))</formula>
    </cfRule>
  </conditionalFormatting>
  <conditionalFormatting sqref="F3:H3">
    <cfRule type="cellIs" dxfId="5" priority="17" operator="equal">
      <formula>"ERROR"</formula>
    </cfRule>
    <cfRule type="cellIs" dxfId="4" priority="18" operator="equal">
      <formula>"GOOD"</formula>
    </cfRule>
  </conditionalFormatting>
  <conditionalFormatting sqref="J3:K3">
    <cfRule type="cellIs" dxfId="3" priority="15" operator="equal">
      <formula>"ERROR"</formula>
    </cfRule>
    <cfRule type="cellIs" dxfId="2" priority="16" operator="equal">
      <formula>"GOOD"</formula>
    </cfRule>
  </conditionalFormatting>
  <conditionalFormatting sqref="R9:R10">
    <cfRule type="cellIs" dxfId="1" priority="1" operator="equal">
      <formula>"ERROR"</formula>
    </cfRule>
    <cfRule type="cellIs" dxfId="0" priority="2" operator="equal">
      <formula>"GOOD"</formula>
    </cfRule>
  </conditionalFormatting>
  <pageMargins left="0.7" right="0.7" top="0.75" bottom="0.75" header="0.3" footer="0.3"/>
  <pageSetup scale="66" orientation="landscape" horizontalDpi="300" verticalDpi="300" r:id="rId1"/>
  <headerFooter>
    <oddHeader>&amp;RNWN's Advice 19-06A
Exhibit A - Supporting Materials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3"/>
  <sheetViews>
    <sheetView showGridLines="0" view="pageLayout" zoomScaleNormal="100" workbookViewId="0">
      <selection activeCell="F52" sqref="F52"/>
    </sheetView>
  </sheetViews>
  <sheetFormatPr defaultColWidth="8.88671875" defaultRowHeight="13.2" x14ac:dyDescent="0.25"/>
  <cols>
    <col min="1" max="1" width="6.44140625" style="4" customWidth="1"/>
    <col min="2" max="2" width="20.6640625" style="314" customWidth="1"/>
    <col min="3" max="3" width="12.5546875" style="4" customWidth="1"/>
    <col min="4" max="16" width="12.6640625" style="4" customWidth="1"/>
    <col min="17" max="18" width="12.6640625" style="4" hidden="1" customWidth="1"/>
    <col min="19" max="29" width="12.6640625" style="4" customWidth="1"/>
    <col min="30" max="30" width="4.6640625" style="4" customWidth="1"/>
    <col min="31" max="31" width="12.6640625" style="4" customWidth="1"/>
    <col min="32" max="32" width="4.6640625" style="4" customWidth="1"/>
    <col min="33" max="54" width="12.6640625" style="4" customWidth="1"/>
    <col min="55" max="16384" width="8.88671875" style="4"/>
  </cols>
  <sheetData>
    <row r="1" spans="1:35" ht="13.8" x14ac:dyDescent="0.25">
      <c r="A1" s="255" t="s">
        <v>0</v>
      </c>
    </row>
    <row r="2" spans="1:35" ht="13.8" x14ac:dyDescent="0.25">
      <c r="A2" s="255" t="s">
        <v>205</v>
      </c>
    </row>
    <row r="3" spans="1:35" ht="13.8" x14ac:dyDescent="0.25">
      <c r="A3" s="255" t="s">
        <v>261</v>
      </c>
    </row>
    <row r="4" spans="1:35" x14ac:dyDescent="0.25">
      <c r="A4" s="314"/>
    </row>
    <row r="5" spans="1:35" ht="13.8" thickBot="1" x14ac:dyDescent="0.3"/>
    <row r="6" spans="1:35" ht="13.8" thickBot="1" x14ac:dyDescent="0.3">
      <c r="A6" s="54" t="s">
        <v>262</v>
      </c>
      <c r="B6" s="317"/>
      <c r="C6" s="318"/>
    </row>
    <row r="7" spans="1:35" ht="14.4" x14ac:dyDescent="0.3">
      <c r="A7" s="444"/>
    </row>
    <row r="8" spans="1:35" x14ac:dyDescent="0.25">
      <c r="A8" s="360"/>
      <c r="F8" s="371"/>
      <c r="G8" s="371"/>
      <c r="H8" s="371"/>
      <c r="I8" s="371"/>
      <c r="J8" s="371"/>
      <c r="K8" s="372"/>
      <c r="L8" s="372"/>
      <c r="M8" s="372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1"/>
      <c r="Z8" s="371"/>
      <c r="AA8" s="371"/>
      <c r="AB8" s="371"/>
      <c r="AC8" s="371"/>
      <c r="AD8" s="371"/>
      <c r="AE8" s="371"/>
      <c r="AF8" s="371"/>
      <c r="AG8" s="371"/>
      <c r="AH8" s="371"/>
      <c r="AI8" s="371"/>
    </row>
    <row r="9" spans="1:35" x14ac:dyDescent="0.25">
      <c r="A9" s="86">
        <v>1</v>
      </c>
      <c r="B9" s="371" t="s">
        <v>147</v>
      </c>
      <c r="C9" s="371" t="s">
        <v>148</v>
      </c>
      <c r="D9" s="371" t="s">
        <v>149</v>
      </c>
      <c r="E9" s="371" t="s">
        <v>150</v>
      </c>
      <c r="F9" s="371" t="s">
        <v>175</v>
      </c>
      <c r="G9" s="372" t="s">
        <v>153</v>
      </c>
      <c r="H9" s="372" t="s">
        <v>154</v>
      </c>
      <c r="I9" s="372" t="s">
        <v>176</v>
      </c>
      <c r="J9" s="371" t="s">
        <v>209</v>
      </c>
      <c r="K9" s="371" t="s">
        <v>210</v>
      </c>
      <c r="L9" s="371" t="s">
        <v>211</v>
      </c>
      <c r="M9" s="371" t="s">
        <v>212</v>
      </c>
      <c r="N9" s="371" t="s">
        <v>213</v>
      </c>
      <c r="O9" s="371" t="s">
        <v>214</v>
      </c>
      <c r="P9" s="371" t="s">
        <v>215</v>
      </c>
      <c r="Q9" s="371"/>
      <c r="R9" s="371"/>
      <c r="S9" s="371"/>
      <c r="T9" s="371"/>
      <c r="U9" s="371"/>
      <c r="V9" s="371"/>
      <c r="W9" s="371"/>
      <c r="X9" s="371"/>
      <c r="Y9" s="371"/>
      <c r="Z9" s="371"/>
      <c r="AA9" s="371"/>
      <c r="AB9" s="371"/>
      <c r="AC9" s="371"/>
      <c r="AD9" s="371"/>
      <c r="AE9" s="371"/>
      <c r="AF9" s="371"/>
      <c r="AG9" s="371"/>
    </row>
    <row r="10" spans="1:35" x14ac:dyDescent="0.25">
      <c r="A10" s="86">
        <v>2</v>
      </c>
      <c r="B10" s="319"/>
      <c r="C10" s="320"/>
      <c r="D10" s="321" t="s">
        <v>216</v>
      </c>
      <c r="E10" s="321" t="s">
        <v>217</v>
      </c>
      <c r="F10" s="321" t="s">
        <v>218</v>
      </c>
      <c r="G10" s="321" t="s">
        <v>219</v>
      </c>
      <c r="H10" s="321" t="s">
        <v>220</v>
      </c>
      <c r="I10" s="321" t="s">
        <v>221</v>
      </c>
      <c r="J10" s="321" t="s">
        <v>222</v>
      </c>
      <c r="K10" s="321" t="s">
        <v>223</v>
      </c>
      <c r="L10" s="321" t="s">
        <v>224</v>
      </c>
      <c r="M10" s="321" t="s">
        <v>225</v>
      </c>
      <c r="N10" s="321" t="s">
        <v>226</v>
      </c>
      <c r="O10" s="321" t="s">
        <v>227</v>
      </c>
      <c r="P10" s="321" t="s">
        <v>201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F10" s="8"/>
      <c r="AG10" s="8"/>
    </row>
    <row r="11" spans="1:35" x14ac:dyDescent="0.25">
      <c r="A11" s="86">
        <v>3</v>
      </c>
      <c r="B11" s="319"/>
      <c r="C11" s="320"/>
      <c r="D11" s="86">
        <v>30</v>
      </c>
      <c r="E11" s="86">
        <v>31</v>
      </c>
      <c r="F11" s="86">
        <v>31</v>
      </c>
      <c r="G11" s="86">
        <v>29</v>
      </c>
      <c r="H11" s="86">
        <v>31</v>
      </c>
      <c r="I11" s="86">
        <v>30</v>
      </c>
      <c r="J11" s="86">
        <v>31</v>
      </c>
      <c r="K11" s="86">
        <v>30</v>
      </c>
      <c r="L11" s="86">
        <v>31</v>
      </c>
      <c r="M11" s="86">
        <v>31</v>
      </c>
      <c r="N11" s="86">
        <v>30</v>
      </c>
      <c r="O11" s="86">
        <v>31</v>
      </c>
      <c r="P11" s="86">
        <v>366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spans="1:35" x14ac:dyDescent="0.25">
      <c r="A12" s="86">
        <v>4</v>
      </c>
      <c r="B12" s="324" t="s">
        <v>263</v>
      </c>
      <c r="C12" s="320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439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spans="1:35" x14ac:dyDescent="0.25">
      <c r="A13" s="86">
        <v>5</v>
      </c>
      <c r="B13" s="319"/>
      <c r="C13" s="319"/>
      <c r="D13" s="326"/>
      <c r="E13" s="326"/>
      <c r="F13" s="326"/>
      <c r="G13" s="326"/>
      <c r="H13" s="326"/>
      <c r="I13" s="326"/>
      <c r="J13" s="326"/>
      <c r="K13" s="326"/>
      <c r="L13" s="326"/>
      <c r="M13" s="326"/>
      <c r="N13" s="326"/>
      <c r="O13" s="326"/>
      <c r="P13" s="333"/>
      <c r="Q13" s="328"/>
      <c r="R13" s="440"/>
      <c r="S13" s="328"/>
      <c r="T13" s="328"/>
      <c r="U13" s="328"/>
      <c r="V13" s="328"/>
      <c r="W13" s="328"/>
      <c r="X13" s="328"/>
      <c r="Y13" s="328"/>
      <c r="Z13" s="328"/>
      <c r="AA13" s="328"/>
      <c r="AB13" s="328"/>
      <c r="AC13" s="328"/>
      <c r="AD13" s="328"/>
      <c r="AE13" s="8"/>
      <c r="AF13" s="328"/>
      <c r="AG13" s="328"/>
    </row>
    <row r="14" spans="1:35" ht="14.4" x14ac:dyDescent="0.3">
      <c r="A14" s="86">
        <v>6</v>
      </c>
      <c r="B14" s="330" t="s">
        <v>264</v>
      </c>
      <c r="C14" s="444"/>
      <c r="D14" s="445">
        <v>4190972.8384999996</v>
      </c>
      <c r="E14" s="445">
        <v>4330672.3664499996</v>
      </c>
      <c r="F14" s="445">
        <v>4330672.3664499996</v>
      </c>
      <c r="G14" s="445">
        <v>4051273.3105499996</v>
      </c>
      <c r="H14" s="445">
        <v>4330672.3664499996</v>
      </c>
      <c r="I14" s="445">
        <v>4095947</v>
      </c>
      <c r="J14" s="445">
        <v>4232479</v>
      </c>
      <c r="K14" s="445">
        <v>4095947</v>
      </c>
      <c r="L14" s="445">
        <v>4232479</v>
      </c>
      <c r="M14" s="445">
        <v>4232479</v>
      </c>
      <c r="N14" s="445">
        <v>4095947</v>
      </c>
      <c r="O14" s="445">
        <v>4232479</v>
      </c>
      <c r="P14" s="334">
        <v>50452020.248400003</v>
      </c>
      <c r="Q14" s="334">
        <v>176979</v>
      </c>
      <c r="R14" s="441">
        <v>3.5202159084381126E-3</v>
      </c>
      <c r="S14" s="328"/>
      <c r="T14" s="334"/>
      <c r="U14" s="361"/>
      <c r="V14" s="328"/>
      <c r="W14" s="328"/>
      <c r="X14" s="328"/>
      <c r="Y14" s="328"/>
      <c r="Z14" s="328"/>
      <c r="AA14" s="328"/>
      <c r="AB14" s="328"/>
      <c r="AC14" s="328"/>
      <c r="AD14" s="328"/>
      <c r="AE14" s="8"/>
      <c r="AF14" s="328"/>
      <c r="AG14" s="328"/>
    </row>
    <row r="15" spans="1:35" ht="14.4" x14ac:dyDescent="0.3">
      <c r="A15" s="86">
        <v>7</v>
      </c>
      <c r="B15" s="319"/>
      <c r="C15" s="444"/>
      <c r="D15" s="359"/>
      <c r="E15" s="359"/>
      <c r="F15" s="359"/>
      <c r="G15" s="359"/>
      <c r="H15" s="359"/>
      <c r="I15" s="359"/>
      <c r="J15" s="359"/>
      <c r="K15" s="359"/>
      <c r="L15" s="359"/>
      <c r="M15" s="359"/>
      <c r="N15" s="359"/>
      <c r="O15" s="359"/>
      <c r="P15" s="345"/>
      <c r="Q15" s="345"/>
      <c r="R15" s="345"/>
      <c r="S15" s="328"/>
      <c r="T15" s="345"/>
      <c r="U15" s="328"/>
      <c r="V15" s="328"/>
      <c r="W15" s="328"/>
      <c r="X15" s="328"/>
      <c r="Y15" s="328"/>
      <c r="Z15" s="328"/>
      <c r="AA15" s="328"/>
      <c r="AB15" s="328"/>
      <c r="AC15" s="328"/>
      <c r="AD15" s="328"/>
      <c r="AE15" s="8"/>
      <c r="AF15" s="328"/>
      <c r="AG15" s="328"/>
    </row>
    <row r="16" spans="1:35" x14ac:dyDescent="0.25">
      <c r="A16" s="86">
        <v>8</v>
      </c>
      <c r="B16" s="442" t="s">
        <v>265</v>
      </c>
      <c r="C16" s="442"/>
      <c r="D16" s="359">
        <v>671980.9136275216</v>
      </c>
      <c r="E16" s="359">
        <v>671980.9136275216</v>
      </c>
      <c r="F16" s="359">
        <v>671980.9136275216</v>
      </c>
      <c r="G16" s="359">
        <v>671980.9136275216</v>
      </c>
      <c r="H16" s="359">
        <v>671980.9136275216</v>
      </c>
      <c r="I16" s="359">
        <v>671980.9136275216</v>
      </c>
      <c r="J16" s="359">
        <v>671980.9136275216</v>
      </c>
      <c r="K16" s="359">
        <v>671980.9136275216</v>
      </c>
      <c r="L16" s="359">
        <v>671980.9136275216</v>
      </c>
      <c r="M16" s="359">
        <v>671980.9136275216</v>
      </c>
      <c r="N16" s="359">
        <v>671980.9136275216</v>
      </c>
      <c r="O16" s="359">
        <v>671980.9136275216</v>
      </c>
      <c r="P16" s="345">
        <v>8063770.9635302611</v>
      </c>
      <c r="Q16" s="345">
        <v>1709294.3603865849</v>
      </c>
      <c r="R16" s="441">
        <v>0.26899058209467097</v>
      </c>
      <c r="S16" s="328"/>
      <c r="T16" s="345"/>
      <c r="U16" s="361"/>
      <c r="V16" s="286"/>
      <c r="W16" s="286"/>
      <c r="X16" s="286"/>
      <c r="Y16" s="286"/>
      <c r="Z16" s="286"/>
      <c r="AA16" s="286"/>
      <c r="AB16" s="286"/>
      <c r="AC16" s="286"/>
      <c r="AD16" s="286"/>
      <c r="AE16" s="286"/>
      <c r="AF16" s="286"/>
      <c r="AG16" s="286"/>
    </row>
    <row r="17" spans="1:33" ht="14.4" x14ac:dyDescent="0.3">
      <c r="A17" s="86">
        <v>9</v>
      </c>
      <c r="B17" s="444"/>
      <c r="C17" s="444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45"/>
      <c r="Q17" s="345"/>
      <c r="R17" s="345"/>
      <c r="S17" s="286"/>
      <c r="T17" s="345"/>
      <c r="U17" s="286"/>
      <c r="V17" s="286"/>
      <c r="W17" s="286"/>
      <c r="X17" s="286"/>
      <c r="Y17" s="286"/>
      <c r="Z17" s="286"/>
      <c r="AA17" s="286"/>
      <c r="AB17" s="286"/>
      <c r="AC17" s="286"/>
      <c r="AD17" s="286"/>
      <c r="AE17" s="286"/>
      <c r="AF17" s="286"/>
      <c r="AG17" s="286"/>
    </row>
    <row r="18" spans="1:33" x14ac:dyDescent="0.25">
      <c r="A18" s="86">
        <v>10</v>
      </c>
      <c r="B18" s="442" t="s">
        <v>266</v>
      </c>
      <c r="C18" s="442"/>
      <c r="D18" s="359">
        <v>372651.11012851296</v>
      </c>
      <c r="E18" s="359">
        <v>372651.11012851296</v>
      </c>
      <c r="F18" s="359">
        <v>372651.11012851296</v>
      </c>
      <c r="G18" s="359">
        <v>372651.11012851296</v>
      </c>
      <c r="H18" s="359">
        <v>372651.11012851296</v>
      </c>
      <c r="I18" s="359">
        <v>332621.94152325153</v>
      </c>
      <c r="J18" s="359">
        <v>332621.94152325153</v>
      </c>
      <c r="K18" s="359">
        <v>332621.94152325153</v>
      </c>
      <c r="L18" s="359">
        <v>332621.94152325153</v>
      </c>
      <c r="M18" s="359">
        <v>332621.94152325153</v>
      </c>
      <c r="N18" s="359">
        <v>332621.94152325153</v>
      </c>
      <c r="O18" s="359">
        <v>372651.11012851296</v>
      </c>
      <c r="P18" s="345">
        <v>4231638.309910587</v>
      </c>
      <c r="Q18" s="345">
        <v>2275219.639603965</v>
      </c>
      <c r="R18" s="441">
        <v>1.162951301853697</v>
      </c>
      <c r="S18" s="328"/>
      <c r="T18" s="345"/>
      <c r="U18" s="361"/>
      <c r="V18" s="286"/>
      <c r="W18" s="286"/>
      <c r="X18" s="286"/>
      <c r="Y18" s="286"/>
      <c r="Z18" s="286"/>
      <c r="AA18" s="286"/>
      <c r="AB18" s="286"/>
      <c r="AC18" s="286"/>
      <c r="AD18" s="286"/>
      <c r="AE18" s="286"/>
      <c r="AF18" s="286"/>
      <c r="AG18" s="286"/>
    </row>
    <row r="19" spans="1:33" ht="14.4" x14ac:dyDescent="0.3">
      <c r="A19" s="86">
        <v>11</v>
      </c>
      <c r="B19" s="444"/>
      <c r="C19" s="444"/>
      <c r="D19" s="326"/>
      <c r="E19" s="326"/>
      <c r="F19" s="326"/>
      <c r="G19" s="326"/>
      <c r="H19" s="326"/>
      <c r="I19" s="326"/>
      <c r="J19" s="326"/>
      <c r="K19" s="326"/>
      <c r="L19" s="326"/>
      <c r="M19" s="326"/>
      <c r="N19" s="326"/>
      <c r="O19" s="326"/>
      <c r="P19" s="333"/>
      <c r="Q19" s="333"/>
      <c r="R19" s="333"/>
      <c r="S19" s="328"/>
      <c r="T19" s="333"/>
      <c r="U19" s="328"/>
      <c r="V19" s="328"/>
      <c r="W19" s="328"/>
      <c r="X19" s="328"/>
      <c r="Y19" s="328"/>
      <c r="Z19" s="328"/>
      <c r="AA19" s="328"/>
      <c r="AB19" s="328"/>
      <c r="AC19" s="328"/>
      <c r="AD19" s="328"/>
      <c r="AE19" s="8"/>
      <c r="AF19" s="328"/>
      <c r="AG19" s="328"/>
    </row>
    <row r="20" spans="1:33" x14ac:dyDescent="0.25">
      <c r="A20" s="86">
        <v>12</v>
      </c>
      <c r="B20" s="442" t="s">
        <v>267</v>
      </c>
      <c r="C20" s="442"/>
      <c r="D20" s="359">
        <v>436828.44549210009</v>
      </c>
      <c r="E20" s="359">
        <v>451389.39367517002</v>
      </c>
      <c r="F20" s="359">
        <v>417758.40444494004</v>
      </c>
      <c r="G20" s="359">
        <v>390806.24931946001</v>
      </c>
      <c r="H20" s="359">
        <v>417758.40444494004</v>
      </c>
      <c r="I20" s="359">
        <v>340227.79727039998</v>
      </c>
      <c r="J20" s="359">
        <v>351568.72384608001</v>
      </c>
      <c r="K20" s="359">
        <v>340227.79727039998</v>
      </c>
      <c r="L20" s="359">
        <v>351568.72384608001</v>
      </c>
      <c r="M20" s="359">
        <v>351568.72384608001</v>
      </c>
      <c r="N20" s="359">
        <v>340227.79727039998</v>
      </c>
      <c r="O20" s="359">
        <v>417758.40444494004</v>
      </c>
      <c r="P20" s="345">
        <v>4607688.8651709901</v>
      </c>
      <c r="Q20" s="345">
        <v>639567</v>
      </c>
      <c r="R20" s="441">
        <v>0.16117624955362617</v>
      </c>
      <c r="S20" s="328"/>
      <c r="T20" s="345"/>
      <c r="U20" s="361"/>
      <c r="V20" s="286"/>
      <c r="W20" s="286"/>
      <c r="X20" s="286"/>
      <c r="Y20" s="286"/>
      <c r="Z20" s="286"/>
      <c r="AA20" s="286"/>
      <c r="AB20" s="286"/>
      <c r="AC20" s="286"/>
      <c r="AD20" s="286"/>
      <c r="AE20" s="286"/>
      <c r="AF20" s="286"/>
      <c r="AG20" s="286"/>
    </row>
    <row r="21" spans="1:33" ht="14.4" x14ac:dyDescent="0.3">
      <c r="A21" s="86">
        <v>13</v>
      </c>
      <c r="B21" s="444"/>
      <c r="C21" s="444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345"/>
      <c r="Q21" s="345"/>
      <c r="R21" s="345"/>
      <c r="S21" s="286"/>
      <c r="T21" s="345"/>
      <c r="U21" s="361"/>
      <c r="V21" s="286"/>
      <c r="W21" s="286"/>
      <c r="X21" s="286"/>
      <c r="Y21" s="286"/>
      <c r="Z21" s="286"/>
      <c r="AA21" s="286"/>
      <c r="AB21" s="286"/>
      <c r="AC21" s="286"/>
      <c r="AD21" s="286"/>
      <c r="AE21" s="286"/>
      <c r="AF21" s="286"/>
      <c r="AG21" s="286"/>
    </row>
    <row r="22" spans="1:33" x14ac:dyDescent="0.25">
      <c r="A22" s="86">
        <v>14</v>
      </c>
      <c r="B22" s="442" t="s">
        <v>268</v>
      </c>
      <c r="C22" s="442"/>
      <c r="D22" s="359">
        <v>603390</v>
      </c>
      <c r="E22" s="359">
        <v>622603</v>
      </c>
      <c r="F22" s="359">
        <v>622603</v>
      </c>
      <c r="G22" s="359">
        <v>584177</v>
      </c>
      <c r="H22" s="359">
        <v>622603</v>
      </c>
      <c r="I22" s="359">
        <v>603390</v>
      </c>
      <c r="J22" s="359">
        <v>622603</v>
      </c>
      <c r="K22" s="359">
        <v>603390</v>
      </c>
      <c r="L22" s="359">
        <v>622603</v>
      </c>
      <c r="M22" s="359">
        <v>622603</v>
      </c>
      <c r="N22" s="359">
        <v>603390</v>
      </c>
      <c r="O22" s="359">
        <v>622603</v>
      </c>
      <c r="P22" s="345">
        <v>7355958</v>
      </c>
      <c r="Q22" s="345">
        <v>854656</v>
      </c>
      <c r="R22" s="441">
        <v>0.13145920617131768</v>
      </c>
      <c r="S22" s="328"/>
      <c r="T22" s="345"/>
      <c r="U22" s="361"/>
      <c r="V22" s="328"/>
      <c r="W22" s="328"/>
      <c r="X22" s="328"/>
      <c r="Y22" s="328"/>
      <c r="Z22" s="328"/>
      <c r="AA22" s="328"/>
      <c r="AB22" s="328"/>
      <c r="AC22" s="328"/>
      <c r="AD22" s="328"/>
      <c r="AE22" s="8"/>
      <c r="AF22" s="328"/>
      <c r="AG22" s="328"/>
    </row>
    <row r="23" spans="1:33" x14ac:dyDescent="0.25">
      <c r="A23" s="86">
        <v>15</v>
      </c>
      <c r="B23" s="442"/>
      <c r="C23" s="442"/>
      <c r="D23" s="359"/>
      <c r="E23" s="359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45"/>
      <c r="Q23" s="345"/>
      <c r="R23" s="441"/>
      <c r="S23" s="328"/>
      <c r="T23" s="345"/>
      <c r="U23" s="328"/>
      <c r="V23" s="328"/>
      <c r="W23" s="328"/>
      <c r="X23" s="328"/>
      <c r="Y23" s="328"/>
      <c r="Z23" s="328"/>
      <c r="AA23" s="328"/>
      <c r="AB23" s="328"/>
      <c r="AC23" s="328"/>
      <c r="AD23" s="328"/>
      <c r="AE23" s="8"/>
      <c r="AF23" s="328"/>
      <c r="AG23" s="328"/>
    </row>
    <row r="24" spans="1:33" x14ac:dyDescent="0.25">
      <c r="A24" s="86">
        <v>16</v>
      </c>
      <c r="B24" s="442" t="s">
        <v>269</v>
      </c>
      <c r="C24" s="442"/>
      <c r="D24" s="359">
        <v>311700</v>
      </c>
      <c r="E24" s="359">
        <v>321390</v>
      </c>
      <c r="F24" s="359">
        <v>321390</v>
      </c>
      <c r="G24" s="359">
        <v>302010</v>
      </c>
      <c r="H24" s="359">
        <v>321390</v>
      </c>
      <c r="I24" s="359">
        <v>311700</v>
      </c>
      <c r="J24" s="359">
        <v>321390</v>
      </c>
      <c r="K24" s="359">
        <v>311700</v>
      </c>
      <c r="L24" s="359">
        <v>321390</v>
      </c>
      <c r="M24" s="359">
        <v>321390</v>
      </c>
      <c r="N24" s="359">
        <v>311700</v>
      </c>
      <c r="O24" s="359">
        <v>321390</v>
      </c>
      <c r="P24" s="345">
        <v>3798540</v>
      </c>
      <c r="Q24" s="345"/>
      <c r="R24" s="441"/>
      <c r="S24" s="328"/>
      <c r="T24" s="345"/>
      <c r="U24" s="361"/>
      <c r="V24" s="328"/>
      <c r="W24" s="328"/>
      <c r="X24" s="328"/>
      <c r="Y24" s="328"/>
      <c r="Z24" s="328"/>
      <c r="AA24" s="328"/>
      <c r="AB24" s="328"/>
      <c r="AC24" s="328"/>
      <c r="AD24" s="328"/>
      <c r="AE24" s="8"/>
      <c r="AF24" s="328"/>
      <c r="AG24" s="328"/>
    </row>
    <row r="25" spans="1:33" x14ac:dyDescent="0.25">
      <c r="A25" s="86">
        <v>17</v>
      </c>
      <c r="B25" s="319"/>
      <c r="C25" s="319"/>
      <c r="D25" s="359"/>
      <c r="E25" s="359"/>
      <c r="F25" s="359"/>
      <c r="G25" s="359"/>
      <c r="H25" s="359"/>
      <c r="I25" s="359"/>
      <c r="J25" s="359"/>
      <c r="K25" s="359"/>
      <c r="L25" s="359"/>
      <c r="M25" s="359"/>
      <c r="N25" s="359"/>
      <c r="O25" s="359"/>
      <c r="P25" s="345"/>
      <c r="Q25" s="345"/>
      <c r="R25" s="345"/>
      <c r="S25" s="328"/>
      <c r="T25" s="345"/>
      <c r="U25" s="328"/>
      <c r="V25" s="328"/>
      <c r="W25" s="328"/>
      <c r="X25" s="328"/>
      <c r="Y25" s="328"/>
      <c r="Z25" s="328"/>
      <c r="AA25" s="328"/>
      <c r="AB25" s="328"/>
      <c r="AC25" s="328"/>
      <c r="AD25" s="328"/>
      <c r="AE25" s="8"/>
      <c r="AF25" s="328"/>
      <c r="AG25" s="328"/>
    </row>
    <row r="26" spans="1:33" x14ac:dyDescent="0.25">
      <c r="A26" s="86">
        <v>18</v>
      </c>
      <c r="B26" s="319" t="s">
        <v>270</v>
      </c>
      <c r="C26" s="319"/>
      <c r="D26" s="359">
        <v>18688.189999999999</v>
      </c>
      <c r="E26" s="359">
        <v>18688.189999999999</v>
      </c>
      <c r="F26" s="359">
        <v>18688.189999999999</v>
      </c>
      <c r="G26" s="359">
        <v>18688.189999999999</v>
      </c>
      <c r="H26" s="359">
        <v>18688.189999999999</v>
      </c>
      <c r="I26" s="359">
        <v>18688.189999999999</v>
      </c>
      <c r="J26" s="359">
        <v>18688.189999999999</v>
      </c>
      <c r="K26" s="359">
        <v>18688.189999999999</v>
      </c>
      <c r="L26" s="359">
        <v>18688.189999999999</v>
      </c>
      <c r="M26" s="359">
        <v>18688.189999999999</v>
      </c>
      <c r="N26" s="359">
        <v>18688.189999999999</v>
      </c>
      <c r="O26" s="359">
        <v>18688.189999999999</v>
      </c>
      <c r="P26" s="345">
        <v>224258.28</v>
      </c>
      <c r="Q26" s="345">
        <v>0</v>
      </c>
      <c r="R26" s="441">
        <v>0</v>
      </c>
      <c r="S26" s="328"/>
      <c r="T26" s="345"/>
      <c r="U26" s="361"/>
      <c r="V26" s="328"/>
      <c r="W26" s="328"/>
      <c r="X26" s="328"/>
      <c r="Y26" s="328"/>
      <c r="Z26" s="328"/>
      <c r="AA26" s="328"/>
      <c r="AB26" s="328"/>
      <c r="AC26" s="328"/>
      <c r="AD26" s="328"/>
      <c r="AE26" s="8"/>
      <c r="AF26" s="328"/>
      <c r="AG26" s="328"/>
    </row>
    <row r="27" spans="1:33" ht="14.4" x14ac:dyDescent="0.3">
      <c r="A27" s="86">
        <v>19</v>
      </c>
      <c r="B27" s="376"/>
      <c r="C27" s="376"/>
      <c r="D27" s="393"/>
      <c r="E27" s="289"/>
      <c r="F27" s="289"/>
      <c r="G27" s="289"/>
      <c r="H27" s="289"/>
      <c r="I27" s="289"/>
      <c r="J27" s="289"/>
      <c r="K27" s="289"/>
      <c r="L27" s="289"/>
      <c r="M27" s="289"/>
      <c r="N27" s="289"/>
      <c r="O27" s="289"/>
      <c r="P27" s="345"/>
      <c r="Q27" s="345"/>
      <c r="R27" s="345"/>
      <c r="S27" s="286"/>
      <c r="T27" s="286"/>
      <c r="U27" s="286"/>
      <c r="V27" s="286"/>
      <c r="W27" s="286"/>
      <c r="X27" s="286"/>
      <c r="Y27" s="286"/>
      <c r="Z27" s="286"/>
      <c r="AA27" s="286"/>
      <c r="AB27" s="286"/>
      <c r="AC27" s="286"/>
      <c r="AD27" s="286"/>
      <c r="AE27" s="286"/>
      <c r="AF27" s="286"/>
      <c r="AG27" s="286"/>
    </row>
    <row r="28" spans="1:33" ht="13.8" thickBot="1" x14ac:dyDescent="0.3">
      <c r="A28" s="86">
        <v>20</v>
      </c>
      <c r="B28" s="319" t="s">
        <v>271</v>
      </c>
      <c r="C28" s="319"/>
      <c r="D28" s="340">
        <v>6606211.4977481337</v>
      </c>
      <c r="E28" s="340">
        <v>6789374.9738812037</v>
      </c>
      <c r="F28" s="340">
        <v>6755743.9846509742</v>
      </c>
      <c r="G28" s="340">
        <v>6391586.773625494</v>
      </c>
      <c r="H28" s="340">
        <v>6755743.9846509742</v>
      </c>
      <c r="I28" s="340">
        <v>6374555.8424211731</v>
      </c>
      <c r="J28" s="340">
        <v>6551331.7689968534</v>
      </c>
      <c r="K28" s="340">
        <v>6374555.8424211731</v>
      </c>
      <c r="L28" s="340">
        <v>6551331.7689968534</v>
      </c>
      <c r="M28" s="340">
        <v>6551331.7689968534</v>
      </c>
      <c r="N28" s="340">
        <v>6374555.8424211731</v>
      </c>
      <c r="O28" s="340">
        <v>6657550.6182009755</v>
      </c>
      <c r="P28" s="340">
        <v>78733874.667011827</v>
      </c>
      <c r="Q28" s="340">
        <v>5655715.9999905499</v>
      </c>
      <c r="R28" s="441">
        <v>7.7392699859347477E-2</v>
      </c>
      <c r="S28" s="328"/>
      <c r="T28" s="328"/>
      <c r="U28" s="361"/>
      <c r="V28" s="328"/>
      <c r="W28" s="328"/>
      <c r="X28" s="328"/>
      <c r="Y28" s="328"/>
      <c r="Z28" s="328"/>
      <c r="AA28" s="328"/>
      <c r="AB28" s="328"/>
      <c r="AC28" s="328"/>
      <c r="AD28" s="328"/>
      <c r="AE28" s="8"/>
      <c r="AF28" s="328"/>
      <c r="AG28" s="328"/>
    </row>
    <row r="29" spans="1:33" ht="13.8" thickTop="1" x14ac:dyDescent="0.25">
      <c r="A29" s="86">
        <v>21</v>
      </c>
      <c r="B29" s="319"/>
      <c r="C29" s="319"/>
      <c r="D29" s="345"/>
      <c r="E29" s="345"/>
      <c r="F29" s="345"/>
      <c r="G29" s="345"/>
      <c r="H29" s="345"/>
      <c r="I29" s="345"/>
      <c r="J29" s="345"/>
      <c r="K29" s="345"/>
      <c r="L29" s="345"/>
      <c r="M29" s="345"/>
      <c r="N29" s="345"/>
      <c r="O29" s="345"/>
      <c r="P29" s="345"/>
      <c r="Q29" s="328"/>
      <c r="R29" s="328"/>
      <c r="S29" s="328"/>
      <c r="T29" s="328"/>
      <c r="U29" s="328"/>
      <c r="V29" s="328"/>
      <c r="W29" s="328"/>
      <c r="X29" s="328"/>
      <c r="Y29" s="328"/>
      <c r="Z29" s="328"/>
      <c r="AA29" s="328"/>
      <c r="AB29" s="328"/>
      <c r="AC29" s="328"/>
      <c r="AD29" s="328"/>
      <c r="AE29" s="8"/>
      <c r="AF29" s="328"/>
      <c r="AG29" s="328"/>
    </row>
    <row r="30" spans="1:33" ht="14.4" x14ac:dyDescent="0.3">
      <c r="A30" s="86"/>
      <c r="B30" s="364"/>
      <c r="C30" s="376"/>
      <c r="D30" s="363"/>
      <c r="E30" s="363"/>
      <c r="F30" s="363"/>
      <c r="G30" s="363"/>
      <c r="H30" s="363"/>
      <c r="I30" s="363"/>
      <c r="J30" s="363"/>
      <c r="K30" s="363"/>
      <c r="L30" s="363"/>
      <c r="M30" s="363"/>
      <c r="N30" s="363"/>
      <c r="O30" s="363"/>
      <c r="P30" s="363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86"/>
      <c r="AD30" s="286"/>
      <c r="AE30" s="286"/>
      <c r="AF30" s="286"/>
      <c r="AG30" s="286"/>
    </row>
    <row r="31" spans="1:33" x14ac:dyDescent="0.25">
      <c r="A31" s="86"/>
      <c r="B31" s="365"/>
      <c r="C31" s="378"/>
      <c r="D31" s="342"/>
      <c r="E31" s="443"/>
      <c r="F31" s="443"/>
      <c r="G31" s="443"/>
      <c r="H31" s="443"/>
      <c r="I31" s="443"/>
      <c r="J31" s="443"/>
      <c r="K31" s="443"/>
      <c r="L31" s="443"/>
      <c r="M31" s="443"/>
      <c r="N31" s="443"/>
      <c r="O31" s="443"/>
      <c r="P31" s="345"/>
      <c r="Q31" s="353"/>
      <c r="R31" s="353"/>
      <c r="S31" s="353"/>
      <c r="T31" s="353"/>
      <c r="U31" s="353"/>
      <c r="V31" s="353"/>
      <c r="W31" s="353"/>
      <c r="X31" s="353"/>
      <c r="Y31" s="353"/>
      <c r="Z31" s="353"/>
      <c r="AA31" s="353"/>
      <c r="AB31" s="353"/>
      <c r="AC31" s="353"/>
      <c r="AD31" s="286"/>
      <c r="AE31" s="353"/>
      <c r="AF31" s="286"/>
      <c r="AG31" s="286"/>
    </row>
    <row r="32" spans="1:33" ht="14.4" x14ac:dyDescent="0.3">
      <c r="A32" s="86"/>
      <c r="B32" s="444"/>
      <c r="C32" s="365"/>
      <c r="D32" s="342"/>
      <c r="E32" s="443"/>
      <c r="F32" s="443"/>
      <c r="G32" s="443"/>
      <c r="H32" s="443"/>
      <c r="I32" s="443"/>
      <c r="J32" s="443"/>
      <c r="K32" s="443"/>
      <c r="L32" s="443"/>
      <c r="M32" s="443"/>
      <c r="N32" s="443"/>
      <c r="O32" s="443"/>
      <c r="P32" s="353"/>
      <c r="Q32" s="353"/>
      <c r="R32" s="353"/>
      <c r="S32" s="353"/>
      <c r="T32" s="353"/>
      <c r="U32" s="353"/>
      <c r="V32" s="353"/>
      <c r="W32" s="353"/>
      <c r="X32" s="353"/>
      <c r="Y32" s="353"/>
      <c r="Z32" s="353"/>
      <c r="AA32" s="353"/>
      <c r="AB32" s="353"/>
      <c r="AC32" s="353"/>
      <c r="AD32" s="286"/>
      <c r="AE32" s="286"/>
      <c r="AF32" s="286"/>
      <c r="AG32" s="286"/>
    </row>
    <row r="33" spans="1:33" ht="14.4" x14ac:dyDescent="0.3">
      <c r="A33" s="86"/>
      <c r="B33" s="444"/>
      <c r="C33" s="376"/>
      <c r="D33" s="342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  <c r="X33" s="286"/>
      <c r="Y33" s="286"/>
      <c r="Z33" s="286"/>
      <c r="AA33" s="286"/>
      <c r="AB33" s="286"/>
      <c r="AC33" s="286"/>
      <c r="AD33" s="286"/>
      <c r="AE33" s="286"/>
      <c r="AF33" s="286"/>
      <c r="AG33" s="286"/>
    </row>
    <row r="34" spans="1:33" ht="14.4" x14ac:dyDescent="0.3">
      <c r="A34" s="86"/>
      <c r="B34" s="442"/>
      <c r="C34" s="376"/>
      <c r="D34" s="342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6"/>
      <c r="Y34" s="286"/>
      <c r="Z34" s="286"/>
      <c r="AA34" s="286"/>
      <c r="AB34" s="286"/>
      <c r="AC34" s="286"/>
      <c r="AD34" s="286"/>
      <c r="AE34" s="286"/>
      <c r="AF34" s="286"/>
      <c r="AG34" s="286"/>
    </row>
    <row r="35" spans="1:33" s="320" customFormat="1" ht="14.4" x14ac:dyDescent="0.3">
      <c r="A35" s="86"/>
      <c r="B35" s="364"/>
      <c r="C35" s="376"/>
      <c r="D35" s="342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86"/>
      <c r="W35" s="286"/>
      <c r="X35" s="286"/>
      <c r="Y35" s="286"/>
      <c r="Z35" s="286"/>
      <c r="AA35" s="286"/>
      <c r="AB35" s="286"/>
      <c r="AC35" s="286"/>
      <c r="AD35" s="286"/>
      <c r="AF35" s="286"/>
      <c r="AG35" s="286"/>
    </row>
    <row r="36" spans="1:33" s="320" customFormat="1" x14ac:dyDescent="0.25">
      <c r="A36" s="86"/>
      <c r="B36" s="352"/>
      <c r="C36" s="342"/>
      <c r="D36" s="342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286"/>
      <c r="AB36" s="286"/>
      <c r="AC36" s="286"/>
      <c r="AD36" s="286"/>
      <c r="AF36" s="286"/>
      <c r="AG36" s="286"/>
    </row>
    <row r="37" spans="1:33" s="320" customFormat="1" ht="14.4" x14ac:dyDescent="0.3">
      <c r="A37" s="86"/>
      <c r="B37" s="376"/>
      <c r="C37" s="376"/>
      <c r="D37" s="342"/>
      <c r="E37" s="335"/>
      <c r="F37" s="335"/>
      <c r="G37" s="335"/>
      <c r="H37" s="335"/>
      <c r="I37" s="335"/>
      <c r="J37" s="335"/>
      <c r="K37" s="335"/>
      <c r="L37" s="335"/>
      <c r="M37" s="335"/>
      <c r="N37" s="335"/>
      <c r="O37" s="335"/>
      <c r="P37" s="335"/>
      <c r="Q37" s="335"/>
      <c r="R37" s="335"/>
      <c r="S37" s="335"/>
      <c r="T37" s="335"/>
      <c r="U37" s="335"/>
      <c r="V37" s="335"/>
      <c r="W37" s="335"/>
      <c r="X37" s="335"/>
      <c r="Y37" s="335"/>
      <c r="Z37" s="335"/>
      <c r="AA37" s="335"/>
      <c r="AB37" s="335"/>
      <c r="AC37" s="335"/>
      <c r="AD37" s="335"/>
      <c r="AE37" s="335"/>
      <c r="AF37" s="335"/>
      <c r="AG37" s="335"/>
    </row>
    <row r="38" spans="1:33" s="320" customFormat="1" ht="14.4" x14ac:dyDescent="0.3">
      <c r="A38" s="86"/>
      <c r="B38" s="376"/>
      <c r="C38" s="376"/>
      <c r="D38" s="342"/>
      <c r="E38" s="335"/>
      <c r="F38" s="335"/>
      <c r="G38" s="335"/>
      <c r="H38" s="335"/>
      <c r="I38" s="335"/>
      <c r="J38" s="335"/>
      <c r="K38" s="335"/>
      <c r="L38" s="335"/>
      <c r="M38" s="335"/>
      <c r="N38" s="335"/>
      <c r="O38" s="335"/>
      <c r="P38" s="335"/>
      <c r="Q38" s="335"/>
      <c r="R38" s="335"/>
      <c r="S38" s="335"/>
      <c r="T38" s="335"/>
      <c r="U38" s="335"/>
      <c r="V38" s="335"/>
      <c r="W38" s="335"/>
      <c r="X38" s="335"/>
      <c r="Y38" s="335"/>
      <c r="Z38" s="335"/>
      <c r="AA38" s="335"/>
      <c r="AB38" s="335"/>
      <c r="AC38" s="335"/>
      <c r="AD38" s="335"/>
      <c r="AE38" s="335"/>
      <c r="AF38" s="335"/>
      <c r="AG38" s="335"/>
    </row>
    <row r="39" spans="1:33" s="320" customFormat="1" ht="14.4" x14ac:dyDescent="0.3">
      <c r="A39" s="86"/>
      <c r="B39" s="376"/>
      <c r="C39" s="376"/>
      <c r="D39" s="342"/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335"/>
      <c r="P39" s="335"/>
      <c r="Q39" s="335"/>
      <c r="R39" s="335"/>
      <c r="S39" s="335"/>
      <c r="T39" s="335"/>
      <c r="U39" s="335"/>
      <c r="V39" s="335"/>
      <c r="W39" s="335"/>
      <c r="X39" s="335"/>
      <c r="Y39" s="335"/>
      <c r="Z39" s="335"/>
      <c r="AA39" s="335"/>
      <c r="AB39" s="335"/>
      <c r="AC39" s="335"/>
      <c r="AD39" s="335"/>
      <c r="AE39" s="335"/>
      <c r="AF39" s="335"/>
      <c r="AG39" s="335"/>
    </row>
    <row r="40" spans="1:33" s="320" customFormat="1" ht="14.4" x14ac:dyDescent="0.3">
      <c r="A40" s="86"/>
      <c r="B40" s="376"/>
      <c r="C40" s="376"/>
      <c r="D40" s="342"/>
      <c r="E40" s="335"/>
      <c r="F40" s="335"/>
      <c r="G40" s="335"/>
      <c r="H40" s="335"/>
      <c r="I40" s="335"/>
      <c r="J40" s="335"/>
      <c r="K40" s="335"/>
      <c r="L40" s="335"/>
      <c r="M40" s="335"/>
      <c r="N40" s="335"/>
      <c r="O40" s="335"/>
      <c r="P40" s="335"/>
      <c r="Q40" s="335"/>
      <c r="R40" s="335"/>
      <c r="S40" s="335"/>
      <c r="T40" s="335"/>
      <c r="U40" s="335"/>
      <c r="V40" s="335"/>
      <c r="W40" s="335"/>
      <c r="X40" s="335"/>
      <c r="Y40" s="335"/>
      <c r="Z40" s="335"/>
      <c r="AA40" s="335"/>
      <c r="AB40" s="335"/>
      <c r="AC40" s="335"/>
      <c r="AD40" s="335"/>
      <c r="AE40" s="335"/>
      <c r="AF40" s="335"/>
      <c r="AG40" s="335"/>
    </row>
    <row r="41" spans="1:33" s="320" customFormat="1" ht="14.4" x14ac:dyDescent="0.3">
      <c r="A41" s="86"/>
      <c r="B41" s="376"/>
      <c r="C41" s="376"/>
      <c r="D41" s="342"/>
      <c r="E41" s="335"/>
      <c r="F41" s="335"/>
      <c r="G41" s="335"/>
      <c r="H41" s="335"/>
      <c r="I41" s="335"/>
      <c r="J41" s="335"/>
      <c r="K41" s="335"/>
      <c r="L41" s="335"/>
      <c r="M41" s="335"/>
      <c r="N41" s="335"/>
      <c r="O41" s="335"/>
      <c r="P41" s="335"/>
      <c r="Q41" s="335"/>
      <c r="R41" s="335"/>
      <c r="S41" s="335"/>
      <c r="T41" s="335"/>
      <c r="U41" s="335"/>
      <c r="V41" s="335"/>
      <c r="W41" s="335"/>
      <c r="X41" s="335"/>
      <c r="Y41" s="335"/>
      <c r="Z41" s="335"/>
      <c r="AA41" s="335"/>
      <c r="AB41" s="335"/>
      <c r="AC41" s="335"/>
      <c r="AD41" s="335"/>
      <c r="AE41" s="335"/>
      <c r="AF41" s="335"/>
      <c r="AG41" s="335"/>
    </row>
    <row r="42" spans="1:33" s="320" customFormat="1" ht="14.4" x14ac:dyDescent="0.3">
      <c r="A42" s="86"/>
      <c r="B42" s="376"/>
      <c r="C42" s="376"/>
      <c r="D42" s="342"/>
      <c r="E42" s="335"/>
      <c r="F42" s="335"/>
      <c r="G42" s="335"/>
      <c r="H42" s="335"/>
      <c r="I42" s="335"/>
      <c r="J42" s="335"/>
      <c r="K42" s="335"/>
      <c r="L42" s="335"/>
      <c r="M42" s="335"/>
      <c r="N42" s="335"/>
      <c r="O42" s="335"/>
      <c r="P42" s="335"/>
      <c r="Q42" s="335"/>
      <c r="R42" s="335"/>
      <c r="S42" s="335"/>
      <c r="T42" s="335"/>
      <c r="U42" s="335"/>
      <c r="V42" s="335"/>
      <c r="W42" s="335"/>
      <c r="X42" s="335"/>
      <c r="Y42" s="335"/>
      <c r="Z42" s="335"/>
      <c r="AA42" s="335"/>
      <c r="AB42" s="335"/>
      <c r="AC42" s="335"/>
      <c r="AD42" s="335"/>
      <c r="AE42" s="335"/>
      <c r="AF42" s="335"/>
      <c r="AG42" s="335"/>
    </row>
    <row r="43" spans="1:33" s="320" customFormat="1" ht="14.4" x14ac:dyDescent="0.3">
      <c r="A43" s="86"/>
      <c r="B43" s="376"/>
      <c r="C43" s="376"/>
      <c r="D43" s="342"/>
      <c r="E43" s="335"/>
      <c r="F43" s="335"/>
      <c r="G43" s="335"/>
      <c r="H43" s="335"/>
      <c r="I43" s="335"/>
      <c r="J43" s="335"/>
      <c r="K43" s="335"/>
      <c r="L43" s="335"/>
      <c r="M43" s="335"/>
      <c r="N43" s="335"/>
      <c r="O43" s="335"/>
      <c r="P43" s="335"/>
      <c r="Q43" s="335"/>
      <c r="R43" s="335"/>
      <c r="S43" s="335"/>
      <c r="T43" s="335"/>
      <c r="U43" s="335"/>
      <c r="V43" s="335"/>
      <c r="W43" s="335"/>
      <c r="X43" s="335"/>
      <c r="Y43" s="335"/>
      <c r="Z43" s="335"/>
      <c r="AA43" s="335"/>
      <c r="AB43" s="335"/>
      <c r="AC43" s="335"/>
      <c r="AD43" s="335"/>
      <c r="AE43" s="335"/>
      <c r="AF43" s="335"/>
      <c r="AG43" s="335"/>
    </row>
    <row r="44" spans="1:33" s="320" customFormat="1" ht="14.4" x14ac:dyDescent="0.3">
      <c r="A44" s="86"/>
      <c r="B44" s="376"/>
      <c r="C44" s="376"/>
      <c r="D44" s="342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5"/>
      <c r="X44" s="335"/>
      <c r="Y44" s="335"/>
      <c r="Z44" s="335"/>
      <c r="AA44" s="335"/>
      <c r="AB44" s="335"/>
      <c r="AC44" s="335"/>
      <c r="AD44" s="335"/>
      <c r="AE44" s="335"/>
      <c r="AF44" s="335"/>
      <c r="AG44" s="335"/>
    </row>
    <row r="45" spans="1:33" s="320" customFormat="1" ht="14.4" x14ac:dyDescent="0.3">
      <c r="A45" s="86"/>
      <c r="B45" s="376"/>
      <c r="C45" s="376"/>
      <c r="D45" s="342"/>
      <c r="E45" s="335"/>
      <c r="F45" s="335"/>
      <c r="G45" s="335"/>
      <c r="H45" s="335"/>
      <c r="I45" s="335"/>
      <c r="J45" s="335"/>
      <c r="K45" s="335"/>
      <c r="L45" s="335"/>
      <c r="M45" s="335"/>
      <c r="N45" s="335"/>
      <c r="O45" s="335"/>
      <c r="P45" s="335"/>
      <c r="Q45" s="335"/>
      <c r="R45" s="335"/>
      <c r="S45" s="335"/>
      <c r="T45" s="335"/>
      <c r="U45" s="335"/>
      <c r="V45" s="335"/>
      <c r="W45" s="335"/>
      <c r="X45" s="335"/>
      <c r="Y45" s="335"/>
      <c r="Z45" s="335"/>
      <c r="AA45" s="335"/>
      <c r="AB45" s="335"/>
      <c r="AC45" s="335"/>
      <c r="AD45" s="335"/>
      <c r="AE45" s="335"/>
      <c r="AF45" s="335"/>
      <c r="AG45" s="335"/>
    </row>
    <row r="46" spans="1:33" s="320" customFormat="1" ht="14.4" x14ac:dyDescent="0.3">
      <c r="A46" s="86"/>
      <c r="B46" s="376"/>
      <c r="C46" s="376"/>
      <c r="D46" s="342"/>
      <c r="E46" s="335"/>
      <c r="F46" s="335"/>
      <c r="G46" s="335"/>
      <c r="H46" s="335"/>
      <c r="I46" s="335"/>
      <c r="J46" s="335"/>
      <c r="K46" s="335"/>
      <c r="L46" s="335"/>
      <c r="M46" s="335"/>
      <c r="N46" s="335"/>
      <c r="O46" s="335"/>
      <c r="P46" s="335"/>
      <c r="Q46" s="335"/>
      <c r="R46" s="335"/>
      <c r="S46" s="335"/>
      <c r="T46" s="335"/>
      <c r="U46" s="335"/>
      <c r="V46" s="335"/>
      <c r="W46" s="335"/>
      <c r="X46" s="335"/>
      <c r="Y46" s="335"/>
      <c r="Z46" s="335"/>
      <c r="AA46" s="335"/>
      <c r="AB46" s="335"/>
      <c r="AC46" s="335"/>
      <c r="AD46" s="335"/>
      <c r="AE46" s="335"/>
      <c r="AF46" s="335"/>
      <c r="AG46" s="335"/>
    </row>
    <row r="47" spans="1:33" s="320" customFormat="1" ht="14.4" x14ac:dyDescent="0.3">
      <c r="A47" s="86"/>
      <c r="B47" s="376"/>
      <c r="C47" s="376"/>
      <c r="D47" s="342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5"/>
      <c r="V47" s="335"/>
      <c r="W47" s="335"/>
      <c r="X47" s="335"/>
      <c r="Y47" s="335"/>
      <c r="Z47" s="335"/>
      <c r="AA47" s="335"/>
      <c r="AB47" s="335"/>
      <c r="AC47" s="335"/>
      <c r="AD47" s="335"/>
      <c r="AE47" s="335"/>
      <c r="AF47" s="335"/>
      <c r="AG47" s="335"/>
    </row>
    <row r="48" spans="1:33" s="320" customFormat="1" ht="14.4" x14ac:dyDescent="0.3">
      <c r="A48" s="86"/>
      <c r="B48" s="376"/>
      <c r="C48" s="376"/>
      <c r="D48" s="342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335"/>
      <c r="V48" s="335"/>
      <c r="W48" s="335"/>
      <c r="X48" s="335"/>
      <c r="Y48" s="335"/>
      <c r="Z48" s="335"/>
      <c r="AA48" s="335"/>
      <c r="AB48" s="335"/>
      <c r="AC48" s="335"/>
      <c r="AD48" s="335"/>
      <c r="AE48" s="335"/>
      <c r="AF48" s="335"/>
      <c r="AG48" s="335"/>
    </row>
    <row r="49" spans="1:33" s="320" customFormat="1" x14ac:dyDescent="0.25">
      <c r="A49" s="86"/>
      <c r="B49" s="352"/>
      <c r="C49" s="342"/>
      <c r="D49" s="342"/>
      <c r="E49" s="335"/>
      <c r="F49" s="335"/>
      <c r="G49" s="335"/>
      <c r="H49" s="335"/>
      <c r="I49" s="335"/>
      <c r="J49" s="335"/>
      <c r="K49" s="335"/>
      <c r="L49" s="335"/>
      <c r="M49" s="335"/>
      <c r="N49" s="335"/>
      <c r="O49" s="335"/>
      <c r="P49" s="335"/>
      <c r="Q49" s="335"/>
      <c r="R49" s="335"/>
      <c r="S49" s="335"/>
      <c r="T49" s="335"/>
      <c r="U49" s="335"/>
      <c r="V49" s="335"/>
      <c r="W49" s="335"/>
      <c r="X49" s="335"/>
      <c r="Y49" s="335"/>
      <c r="Z49" s="335"/>
      <c r="AA49" s="335"/>
      <c r="AB49" s="335"/>
      <c r="AC49" s="335"/>
      <c r="AD49" s="335"/>
      <c r="AE49" s="335"/>
      <c r="AF49" s="335"/>
      <c r="AG49" s="335"/>
    </row>
    <row r="50" spans="1:33" s="320" customFormat="1" x14ac:dyDescent="0.25">
      <c r="A50" s="86"/>
      <c r="B50" s="352"/>
      <c r="C50" s="342"/>
      <c r="D50" s="342"/>
      <c r="E50" s="286"/>
      <c r="F50" s="286"/>
      <c r="G50" s="286"/>
      <c r="H50" s="286"/>
      <c r="I50" s="286"/>
      <c r="J50" s="286"/>
      <c r="K50" s="286"/>
      <c r="L50" s="286"/>
      <c r="M50" s="286"/>
      <c r="N50" s="286"/>
      <c r="O50" s="286"/>
      <c r="P50" s="286"/>
      <c r="Q50" s="286"/>
      <c r="R50" s="286"/>
      <c r="S50" s="286"/>
      <c r="T50" s="286"/>
      <c r="U50" s="286"/>
      <c r="V50" s="286"/>
      <c r="W50" s="286"/>
      <c r="X50" s="286"/>
      <c r="Y50" s="286"/>
      <c r="Z50" s="286"/>
      <c r="AA50" s="286"/>
      <c r="AB50" s="286"/>
      <c r="AC50" s="286"/>
      <c r="AD50" s="286"/>
      <c r="AF50" s="286"/>
      <c r="AG50" s="286"/>
    </row>
    <row r="51" spans="1:33" s="320" customFormat="1" x14ac:dyDescent="0.25">
      <c r="A51" s="86"/>
      <c r="B51" s="352"/>
      <c r="C51" s="342"/>
      <c r="D51" s="342"/>
      <c r="E51" s="286"/>
      <c r="F51" s="286"/>
      <c r="G51" s="286"/>
      <c r="H51" s="286"/>
      <c r="I51" s="286"/>
      <c r="J51" s="286"/>
      <c r="K51" s="286"/>
      <c r="L51" s="286"/>
      <c r="M51" s="286"/>
      <c r="N51" s="286"/>
      <c r="O51" s="286"/>
      <c r="P51" s="286"/>
      <c r="Q51" s="286"/>
      <c r="R51" s="286"/>
      <c r="S51" s="286"/>
      <c r="T51" s="286"/>
      <c r="U51" s="286"/>
      <c r="V51" s="286"/>
      <c r="W51" s="286"/>
      <c r="X51" s="286"/>
      <c r="Y51" s="286"/>
      <c r="Z51" s="286"/>
      <c r="AA51" s="286"/>
      <c r="AB51" s="286"/>
      <c r="AC51" s="286"/>
      <c r="AD51" s="286"/>
      <c r="AF51" s="286"/>
      <c r="AG51" s="286"/>
    </row>
    <row r="52" spans="1:33" s="320" customFormat="1" ht="14.4" x14ac:dyDescent="0.3">
      <c r="A52" s="86"/>
      <c r="B52" s="364"/>
      <c r="C52" s="376"/>
      <c r="D52" s="342"/>
      <c r="E52" s="286"/>
      <c r="F52" s="286"/>
      <c r="G52" s="286"/>
      <c r="H52" s="286"/>
      <c r="I52" s="286"/>
      <c r="J52" s="286"/>
      <c r="K52" s="286"/>
      <c r="L52" s="286"/>
      <c r="M52" s="286"/>
      <c r="N52" s="286"/>
      <c r="O52" s="286"/>
      <c r="P52" s="286"/>
      <c r="Q52" s="286"/>
      <c r="R52" s="286"/>
      <c r="S52" s="286"/>
      <c r="T52" s="286"/>
      <c r="U52" s="286"/>
      <c r="V52" s="286"/>
      <c r="W52" s="286"/>
      <c r="X52" s="286"/>
      <c r="Y52" s="286"/>
      <c r="Z52" s="286"/>
      <c r="AA52" s="286"/>
      <c r="AB52" s="286"/>
      <c r="AC52" s="286"/>
      <c r="AD52" s="286"/>
      <c r="AF52" s="286"/>
      <c r="AG52" s="286"/>
    </row>
    <row r="53" spans="1:33" s="320" customFormat="1" x14ac:dyDescent="0.25">
      <c r="A53" s="86"/>
      <c r="B53" s="352"/>
      <c r="C53" s="342"/>
      <c r="D53" s="342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286"/>
      <c r="P53" s="286"/>
      <c r="Q53" s="286"/>
      <c r="R53" s="286"/>
      <c r="S53" s="286"/>
      <c r="T53" s="286"/>
      <c r="U53" s="286"/>
      <c r="V53" s="286"/>
      <c r="W53" s="286"/>
      <c r="X53" s="286"/>
      <c r="Y53" s="286"/>
      <c r="Z53" s="286"/>
      <c r="AA53" s="286"/>
      <c r="AB53" s="286"/>
      <c r="AC53" s="286"/>
      <c r="AD53" s="286"/>
      <c r="AF53" s="286"/>
      <c r="AG53" s="286"/>
    </row>
    <row r="54" spans="1:33" s="320" customFormat="1" ht="14.4" x14ac:dyDescent="0.3">
      <c r="A54" s="86"/>
      <c r="B54" s="376"/>
      <c r="C54" s="376"/>
      <c r="D54" s="342"/>
      <c r="E54" s="367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  <c r="Q54" s="335"/>
      <c r="R54" s="335"/>
      <c r="S54" s="335"/>
      <c r="T54" s="335"/>
      <c r="U54" s="335"/>
      <c r="V54" s="335"/>
      <c r="W54" s="335"/>
      <c r="X54" s="335"/>
      <c r="Y54" s="335"/>
      <c r="Z54" s="335"/>
      <c r="AA54" s="335"/>
      <c r="AB54" s="335"/>
      <c r="AC54" s="335"/>
      <c r="AD54" s="335"/>
      <c r="AE54" s="367"/>
      <c r="AF54" s="335"/>
      <c r="AG54" s="335"/>
    </row>
    <row r="55" spans="1:33" s="320" customFormat="1" ht="14.4" x14ac:dyDescent="0.3">
      <c r="A55" s="86"/>
      <c r="B55" s="376"/>
      <c r="C55" s="376"/>
      <c r="D55" s="342"/>
      <c r="E55" s="367"/>
      <c r="F55" s="335"/>
      <c r="G55" s="335"/>
      <c r="H55" s="335"/>
      <c r="I55" s="335"/>
      <c r="J55" s="335"/>
      <c r="K55" s="335"/>
      <c r="L55" s="335"/>
      <c r="M55" s="335"/>
      <c r="N55" s="335"/>
      <c r="O55" s="335"/>
      <c r="P55" s="335"/>
      <c r="Q55" s="335"/>
      <c r="R55" s="335"/>
      <c r="S55" s="335"/>
      <c r="T55" s="335"/>
      <c r="U55" s="335"/>
      <c r="V55" s="335"/>
      <c r="W55" s="335"/>
      <c r="X55" s="335"/>
      <c r="Y55" s="335"/>
      <c r="Z55" s="335"/>
      <c r="AA55" s="335"/>
      <c r="AB55" s="335"/>
      <c r="AC55" s="335"/>
      <c r="AD55" s="335"/>
      <c r="AE55" s="367"/>
      <c r="AF55" s="335"/>
      <c r="AG55" s="335"/>
    </row>
    <row r="56" spans="1:33" s="320" customFormat="1" ht="14.4" x14ac:dyDescent="0.3">
      <c r="A56" s="86"/>
      <c r="B56" s="376"/>
      <c r="C56" s="376"/>
      <c r="D56" s="342"/>
      <c r="E56" s="367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335"/>
      <c r="V56" s="335"/>
      <c r="W56" s="335"/>
      <c r="X56" s="335"/>
      <c r="Y56" s="335"/>
      <c r="Z56" s="335"/>
      <c r="AA56" s="335"/>
      <c r="AB56" s="335"/>
      <c r="AC56" s="335"/>
      <c r="AD56" s="335"/>
      <c r="AE56" s="367"/>
      <c r="AF56" s="335"/>
      <c r="AG56" s="335"/>
    </row>
    <row r="57" spans="1:33" s="320" customFormat="1" ht="14.4" x14ac:dyDescent="0.3">
      <c r="A57" s="86"/>
      <c r="B57" s="376"/>
      <c r="C57" s="376"/>
      <c r="D57" s="342"/>
      <c r="E57" s="367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5"/>
      <c r="Q57" s="335"/>
      <c r="R57" s="335"/>
      <c r="S57" s="335"/>
      <c r="T57" s="335"/>
      <c r="U57" s="335"/>
      <c r="V57" s="335"/>
      <c r="W57" s="335"/>
      <c r="X57" s="335"/>
      <c r="Y57" s="335"/>
      <c r="Z57" s="335"/>
      <c r="AA57" s="335"/>
      <c r="AB57" s="335"/>
      <c r="AC57" s="335"/>
      <c r="AD57" s="335"/>
      <c r="AE57" s="367"/>
      <c r="AF57" s="335"/>
      <c r="AG57" s="335"/>
    </row>
    <row r="58" spans="1:33" s="320" customFormat="1" ht="14.4" x14ac:dyDescent="0.3">
      <c r="A58" s="86"/>
      <c r="B58" s="376"/>
      <c r="C58" s="376"/>
      <c r="D58" s="342"/>
      <c r="E58" s="367"/>
      <c r="F58" s="335"/>
      <c r="G58" s="335"/>
      <c r="H58" s="335"/>
      <c r="I58" s="335"/>
      <c r="J58" s="335"/>
      <c r="K58" s="335"/>
      <c r="L58" s="335"/>
      <c r="M58" s="335"/>
      <c r="N58" s="335"/>
      <c r="O58" s="335"/>
      <c r="P58" s="335"/>
      <c r="Q58" s="335"/>
      <c r="R58" s="335"/>
      <c r="S58" s="335"/>
      <c r="T58" s="335"/>
      <c r="U58" s="335"/>
      <c r="V58" s="335"/>
      <c r="W58" s="335"/>
      <c r="X58" s="335"/>
      <c r="Y58" s="335"/>
      <c r="Z58" s="335"/>
      <c r="AA58" s="335"/>
      <c r="AB58" s="335"/>
      <c r="AC58" s="335"/>
      <c r="AD58" s="335"/>
      <c r="AE58" s="367"/>
      <c r="AF58" s="335"/>
      <c r="AG58" s="335"/>
    </row>
    <row r="59" spans="1:33" s="320" customFormat="1" ht="14.4" x14ac:dyDescent="0.3">
      <c r="A59" s="86"/>
      <c r="B59" s="376"/>
      <c r="C59" s="376"/>
      <c r="D59" s="342"/>
      <c r="E59" s="367"/>
      <c r="F59" s="367"/>
      <c r="G59" s="367"/>
      <c r="H59" s="367"/>
      <c r="I59" s="367"/>
      <c r="J59" s="367"/>
      <c r="K59" s="367"/>
      <c r="L59" s="367"/>
      <c r="M59" s="367"/>
      <c r="N59" s="367"/>
      <c r="O59" s="367"/>
      <c r="P59" s="367"/>
      <c r="Q59" s="367"/>
      <c r="R59" s="367"/>
      <c r="S59" s="367"/>
      <c r="T59" s="367"/>
      <c r="U59" s="367"/>
      <c r="V59" s="367"/>
      <c r="W59" s="367"/>
      <c r="X59" s="367"/>
      <c r="Y59" s="367"/>
      <c r="Z59" s="367"/>
      <c r="AA59" s="367"/>
      <c r="AB59" s="367"/>
      <c r="AC59" s="367"/>
      <c r="AD59" s="335"/>
      <c r="AE59" s="367"/>
      <c r="AF59" s="335"/>
      <c r="AG59" s="335"/>
    </row>
    <row r="60" spans="1:33" s="320" customFormat="1" ht="14.4" x14ac:dyDescent="0.3">
      <c r="A60" s="86"/>
      <c r="B60" s="376"/>
      <c r="C60" s="376"/>
      <c r="D60" s="342"/>
      <c r="E60" s="367"/>
      <c r="F60" s="367"/>
      <c r="G60" s="367"/>
      <c r="H60" s="367"/>
      <c r="I60" s="367"/>
      <c r="J60" s="367"/>
      <c r="K60" s="367"/>
      <c r="L60" s="367"/>
      <c r="M60" s="367"/>
      <c r="N60" s="367"/>
      <c r="O60" s="367"/>
      <c r="P60" s="367"/>
      <c r="Q60" s="367"/>
      <c r="R60" s="367"/>
      <c r="S60" s="367"/>
      <c r="T60" s="367"/>
      <c r="U60" s="367"/>
      <c r="V60" s="367"/>
      <c r="W60" s="367"/>
      <c r="X60" s="367"/>
      <c r="Y60" s="367"/>
      <c r="Z60" s="367"/>
      <c r="AA60" s="367"/>
      <c r="AB60" s="367"/>
      <c r="AC60" s="367"/>
      <c r="AD60" s="335"/>
      <c r="AE60" s="367"/>
      <c r="AF60" s="335"/>
      <c r="AG60" s="335"/>
    </row>
    <row r="61" spans="1:33" s="320" customFormat="1" ht="14.4" x14ac:dyDescent="0.3">
      <c r="A61" s="86"/>
      <c r="B61" s="376"/>
      <c r="C61" s="376"/>
      <c r="D61" s="342"/>
      <c r="E61" s="367"/>
      <c r="F61" s="367"/>
      <c r="G61" s="367"/>
      <c r="H61" s="367"/>
      <c r="I61" s="367"/>
      <c r="J61" s="367"/>
      <c r="K61" s="367"/>
      <c r="L61" s="367"/>
      <c r="M61" s="367"/>
      <c r="N61" s="367"/>
      <c r="O61" s="367"/>
      <c r="P61" s="367"/>
      <c r="Q61" s="367"/>
      <c r="R61" s="367"/>
      <c r="S61" s="367"/>
      <c r="T61" s="367"/>
      <c r="U61" s="367"/>
      <c r="V61" s="367"/>
      <c r="W61" s="367"/>
      <c r="X61" s="367"/>
      <c r="Y61" s="367"/>
      <c r="Z61" s="367"/>
      <c r="AA61" s="367"/>
      <c r="AB61" s="367"/>
      <c r="AC61" s="367"/>
      <c r="AD61" s="335"/>
      <c r="AE61" s="367"/>
      <c r="AF61" s="335"/>
      <c r="AG61" s="335"/>
    </row>
    <row r="62" spans="1:33" s="320" customFormat="1" ht="14.4" x14ac:dyDescent="0.3">
      <c r="A62" s="86"/>
      <c r="B62" s="376"/>
      <c r="C62" s="376"/>
      <c r="D62" s="342"/>
      <c r="E62" s="367"/>
      <c r="F62" s="367"/>
      <c r="G62" s="367"/>
      <c r="H62" s="367"/>
      <c r="I62" s="367"/>
      <c r="J62" s="367"/>
      <c r="K62" s="367"/>
      <c r="L62" s="367"/>
      <c r="M62" s="367"/>
      <c r="N62" s="367"/>
      <c r="O62" s="367"/>
      <c r="P62" s="367"/>
      <c r="Q62" s="367"/>
      <c r="R62" s="367"/>
      <c r="S62" s="367"/>
      <c r="T62" s="367"/>
      <c r="U62" s="367"/>
      <c r="V62" s="367"/>
      <c r="W62" s="367"/>
      <c r="X62" s="367"/>
      <c r="Y62" s="367"/>
      <c r="Z62" s="367"/>
      <c r="AA62" s="367"/>
      <c r="AB62" s="367"/>
      <c r="AC62" s="367"/>
      <c r="AD62" s="335"/>
      <c r="AE62" s="367"/>
      <c r="AF62" s="335"/>
      <c r="AG62" s="335"/>
    </row>
    <row r="63" spans="1:33" s="320" customFormat="1" ht="14.4" x14ac:dyDescent="0.3">
      <c r="A63" s="86"/>
      <c r="B63" s="376"/>
      <c r="C63" s="376"/>
      <c r="D63" s="342"/>
      <c r="E63" s="367"/>
      <c r="F63" s="367"/>
      <c r="G63" s="367"/>
      <c r="H63" s="367"/>
      <c r="I63" s="367"/>
      <c r="J63" s="367"/>
      <c r="K63" s="367"/>
      <c r="L63" s="367"/>
      <c r="M63" s="367"/>
      <c r="N63" s="367"/>
      <c r="O63" s="367"/>
      <c r="P63" s="367"/>
      <c r="Q63" s="367"/>
      <c r="R63" s="367"/>
      <c r="S63" s="367"/>
      <c r="T63" s="367"/>
      <c r="U63" s="367"/>
      <c r="V63" s="367"/>
      <c r="W63" s="367"/>
      <c r="X63" s="367"/>
      <c r="Y63" s="367"/>
      <c r="Z63" s="367"/>
      <c r="AA63" s="367"/>
      <c r="AB63" s="367"/>
      <c r="AC63" s="367"/>
      <c r="AD63" s="335"/>
      <c r="AE63" s="367"/>
      <c r="AF63" s="335"/>
      <c r="AG63" s="335"/>
    </row>
    <row r="64" spans="1:33" s="320" customFormat="1" ht="14.4" x14ac:dyDescent="0.3">
      <c r="A64" s="86"/>
      <c r="B64" s="376"/>
      <c r="C64" s="376"/>
      <c r="D64" s="342"/>
      <c r="E64" s="367"/>
      <c r="F64" s="367"/>
      <c r="G64" s="367"/>
      <c r="H64" s="367"/>
      <c r="I64" s="367"/>
      <c r="J64" s="367"/>
      <c r="K64" s="367"/>
      <c r="L64" s="367"/>
      <c r="M64" s="367"/>
      <c r="N64" s="367"/>
      <c r="O64" s="367"/>
      <c r="P64" s="367"/>
      <c r="Q64" s="367"/>
      <c r="R64" s="367"/>
      <c r="S64" s="367"/>
      <c r="T64" s="367"/>
      <c r="U64" s="367"/>
      <c r="V64" s="367"/>
      <c r="W64" s="367"/>
      <c r="X64" s="367"/>
      <c r="Y64" s="367"/>
      <c r="Z64" s="367"/>
      <c r="AA64" s="367"/>
      <c r="AB64" s="367"/>
      <c r="AC64" s="367"/>
      <c r="AD64" s="335"/>
      <c r="AE64" s="367"/>
      <c r="AF64" s="335"/>
      <c r="AG64" s="335"/>
    </row>
    <row r="65" spans="1:33" s="320" customFormat="1" ht="14.4" x14ac:dyDescent="0.3">
      <c r="A65" s="86"/>
      <c r="B65" s="376"/>
      <c r="C65" s="376"/>
      <c r="D65" s="342"/>
      <c r="E65" s="367"/>
      <c r="F65" s="367"/>
      <c r="G65" s="367"/>
      <c r="H65" s="367"/>
      <c r="I65" s="367"/>
      <c r="J65" s="367"/>
      <c r="K65" s="367"/>
      <c r="L65" s="367"/>
      <c r="M65" s="367"/>
      <c r="N65" s="367"/>
      <c r="O65" s="367"/>
      <c r="P65" s="367"/>
      <c r="Q65" s="367"/>
      <c r="R65" s="367"/>
      <c r="S65" s="367"/>
      <c r="T65" s="367"/>
      <c r="U65" s="367"/>
      <c r="V65" s="367"/>
      <c r="W65" s="367"/>
      <c r="X65" s="367"/>
      <c r="Y65" s="367"/>
      <c r="Z65" s="367"/>
      <c r="AA65" s="367"/>
      <c r="AB65" s="367"/>
      <c r="AC65" s="367"/>
      <c r="AD65" s="335"/>
      <c r="AE65" s="367"/>
      <c r="AF65" s="335"/>
      <c r="AG65" s="335"/>
    </row>
    <row r="66" spans="1:33" s="320" customFormat="1" x14ac:dyDescent="0.25">
      <c r="A66" s="86"/>
      <c r="B66" s="352"/>
      <c r="C66" s="342"/>
      <c r="D66" s="342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  <c r="Q66" s="335"/>
      <c r="R66" s="335"/>
      <c r="S66" s="335"/>
      <c r="T66" s="335"/>
      <c r="U66" s="335"/>
      <c r="V66" s="335"/>
      <c r="W66" s="335"/>
      <c r="X66" s="335"/>
      <c r="Y66" s="335"/>
      <c r="Z66" s="335"/>
      <c r="AA66" s="335"/>
      <c r="AB66" s="335"/>
      <c r="AC66" s="335"/>
      <c r="AD66" s="335"/>
      <c r="AE66" s="335"/>
      <c r="AF66" s="335"/>
      <c r="AG66" s="335"/>
    </row>
    <row r="67" spans="1:33" s="320" customFormat="1" x14ac:dyDescent="0.25">
      <c r="A67" s="86"/>
      <c r="B67" s="352"/>
      <c r="C67" s="342"/>
      <c r="D67" s="342"/>
      <c r="E67" s="286"/>
      <c r="F67" s="286"/>
      <c r="G67" s="286"/>
      <c r="H67" s="286"/>
      <c r="I67" s="286"/>
      <c r="J67" s="286"/>
      <c r="K67" s="286"/>
      <c r="L67" s="286"/>
      <c r="M67" s="286"/>
      <c r="N67" s="286"/>
      <c r="O67" s="286"/>
      <c r="P67" s="286"/>
      <c r="Q67" s="286"/>
      <c r="R67" s="286"/>
      <c r="S67" s="286"/>
      <c r="T67" s="286"/>
      <c r="U67" s="286"/>
      <c r="V67" s="286"/>
      <c r="W67" s="286"/>
      <c r="X67" s="286"/>
      <c r="Y67" s="286"/>
      <c r="Z67" s="286"/>
      <c r="AA67" s="286"/>
      <c r="AB67" s="286"/>
      <c r="AC67" s="286"/>
      <c r="AD67" s="286"/>
      <c r="AF67" s="286"/>
      <c r="AG67" s="286"/>
    </row>
    <row r="68" spans="1:33" s="320" customFormat="1" x14ac:dyDescent="0.25">
      <c r="A68" s="86"/>
      <c r="B68" s="352"/>
      <c r="C68" s="342"/>
      <c r="D68" s="342"/>
      <c r="E68" s="286"/>
      <c r="F68" s="286"/>
      <c r="G68" s="286"/>
      <c r="H68" s="286"/>
      <c r="I68" s="286"/>
      <c r="J68" s="286"/>
      <c r="K68" s="286"/>
      <c r="L68" s="286"/>
      <c r="M68" s="286"/>
      <c r="N68" s="286"/>
      <c r="O68" s="286"/>
      <c r="P68" s="286"/>
      <c r="Q68" s="286"/>
      <c r="R68" s="286"/>
      <c r="S68" s="286"/>
      <c r="T68" s="286"/>
      <c r="U68" s="286"/>
      <c r="V68" s="286"/>
      <c r="W68" s="286"/>
      <c r="X68" s="286"/>
      <c r="Y68" s="286"/>
      <c r="Z68" s="286"/>
      <c r="AA68" s="286"/>
      <c r="AB68" s="286"/>
      <c r="AC68" s="286"/>
      <c r="AD68" s="286"/>
      <c r="AF68" s="286"/>
      <c r="AG68" s="286"/>
    </row>
    <row r="69" spans="1:33" s="320" customFormat="1" ht="14.4" x14ac:dyDescent="0.3">
      <c r="A69" s="86"/>
      <c r="B69" s="364"/>
      <c r="C69" s="376"/>
      <c r="D69" s="342"/>
      <c r="E69" s="286"/>
      <c r="F69" s="286"/>
      <c r="G69" s="286"/>
      <c r="H69" s="286"/>
      <c r="I69" s="286"/>
      <c r="J69" s="286"/>
      <c r="K69" s="286"/>
      <c r="L69" s="286"/>
      <c r="M69" s="286"/>
      <c r="N69" s="286"/>
      <c r="O69" s="286"/>
      <c r="P69" s="286"/>
      <c r="Q69" s="286"/>
      <c r="R69" s="286"/>
      <c r="S69" s="286"/>
      <c r="T69" s="286"/>
      <c r="U69" s="286"/>
      <c r="V69" s="286"/>
      <c r="W69" s="286"/>
      <c r="X69" s="286"/>
      <c r="Y69" s="286"/>
      <c r="Z69" s="286"/>
      <c r="AA69" s="286"/>
      <c r="AB69" s="286"/>
      <c r="AC69" s="286"/>
      <c r="AD69" s="286"/>
      <c r="AF69" s="286"/>
      <c r="AG69" s="286"/>
    </row>
    <row r="70" spans="1:33" s="320" customFormat="1" x14ac:dyDescent="0.25">
      <c r="A70" s="86"/>
      <c r="B70" s="352"/>
      <c r="C70" s="342"/>
      <c r="D70" s="342"/>
      <c r="E70" s="286"/>
      <c r="F70" s="286"/>
      <c r="G70" s="286"/>
      <c r="H70" s="286"/>
      <c r="I70" s="286"/>
      <c r="J70" s="286"/>
      <c r="K70" s="286"/>
      <c r="L70" s="286"/>
      <c r="M70" s="286"/>
      <c r="N70" s="286"/>
      <c r="O70" s="286"/>
      <c r="P70" s="286"/>
      <c r="Q70" s="286"/>
      <c r="R70" s="286"/>
      <c r="S70" s="286"/>
      <c r="T70" s="286"/>
      <c r="U70" s="286"/>
      <c r="V70" s="286"/>
      <c r="W70" s="286"/>
      <c r="X70" s="286"/>
      <c r="Y70" s="286"/>
      <c r="Z70" s="286"/>
      <c r="AA70" s="286"/>
      <c r="AB70" s="286"/>
      <c r="AC70" s="286"/>
      <c r="AD70" s="286"/>
      <c r="AF70" s="286"/>
      <c r="AG70" s="286"/>
    </row>
    <row r="71" spans="1:33" s="320" customFormat="1" ht="14.4" x14ac:dyDescent="0.3">
      <c r="A71" s="86"/>
      <c r="B71" s="376"/>
      <c r="C71" s="376"/>
      <c r="D71" s="342"/>
      <c r="E71" s="367"/>
      <c r="F71" s="367"/>
      <c r="G71" s="367"/>
      <c r="H71" s="367"/>
      <c r="I71" s="367"/>
      <c r="J71" s="367"/>
      <c r="K71" s="367"/>
      <c r="L71" s="367"/>
      <c r="M71" s="367"/>
      <c r="N71" s="367"/>
      <c r="O71" s="367"/>
      <c r="P71" s="367"/>
      <c r="Q71" s="367"/>
      <c r="R71" s="367"/>
      <c r="S71" s="367"/>
      <c r="T71" s="367"/>
      <c r="U71" s="367"/>
      <c r="V71" s="367"/>
      <c r="W71" s="367"/>
      <c r="X71" s="367"/>
      <c r="Y71" s="367"/>
      <c r="Z71" s="367"/>
      <c r="AA71" s="367"/>
      <c r="AB71" s="367"/>
      <c r="AC71" s="367"/>
      <c r="AD71" s="335"/>
      <c r="AE71" s="367"/>
      <c r="AF71" s="335"/>
      <c r="AG71" s="335"/>
    </row>
    <row r="72" spans="1:33" s="320" customFormat="1" ht="14.4" x14ac:dyDescent="0.3">
      <c r="A72" s="86"/>
      <c r="B72" s="376"/>
      <c r="C72" s="376"/>
      <c r="D72" s="342"/>
      <c r="E72" s="367"/>
      <c r="F72" s="367"/>
      <c r="G72" s="367"/>
      <c r="H72" s="367"/>
      <c r="I72" s="367"/>
      <c r="J72" s="367"/>
      <c r="K72" s="367"/>
      <c r="L72" s="367"/>
      <c r="M72" s="367"/>
      <c r="N72" s="367"/>
      <c r="O72" s="367"/>
      <c r="P72" s="367"/>
      <c r="Q72" s="367"/>
      <c r="R72" s="367"/>
      <c r="S72" s="367"/>
      <c r="T72" s="367"/>
      <c r="U72" s="367"/>
      <c r="V72" s="367"/>
      <c r="W72" s="367"/>
      <c r="X72" s="367"/>
      <c r="Y72" s="367"/>
      <c r="Z72" s="367"/>
      <c r="AA72" s="367"/>
      <c r="AB72" s="367"/>
      <c r="AC72" s="367"/>
      <c r="AD72" s="335"/>
      <c r="AE72" s="367"/>
      <c r="AF72" s="335"/>
      <c r="AG72" s="335"/>
    </row>
    <row r="73" spans="1:33" s="320" customFormat="1" ht="14.4" x14ac:dyDescent="0.3">
      <c r="A73" s="86"/>
      <c r="B73" s="376"/>
      <c r="C73" s="376"/>
      <c r="D73" s="342"/>
      <c r="E73" s="367"/>
      <c r="F73" s="367"/>
      <c r="G73" s="367"/>
      <c r="H73" s="367"/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7"/>
      <c r="W73" s="367"/>
      <c r="X73" s="367"/>
      <c r="Y73" s="367"/>
      <c r="Z73" s="367"/>
      <c r="AA73" s="367"/>
      <c r="AB73" s="367"/>
      <c r="AC73" s="367"/>
      <c r="AD73" s="335"/>
      <c r="AE73" s="367"/>
      <c r="AF73" s="335"/>
      <c r="AG73" s="335"/>
    </row>
    <row r="74" spans="1:33" s="320" customFormat="1" ht="14.4" x14ac:dyDescent="0.3">
      <c r="A74" s="86"/>
      <c r="B74" s="376"/>
      <c r="C74" s="376"/>
      <c r="D74" s="342"/>
      <c r="E74" s="367"/>
      <c r="F74" s="367"/>
      <c r="G74" s="367"/>
      <c r="H74" s="367"/>
      <c r="I74" s="367"/>
      <c r="J74" s="367"/>
      <c r="K74" s="367"/>
      <c r="L74" s="367"/>
      <c r="M74" s="367"/>
      <c r="N74" s="367"/>
      <c r="O74" s="367"/>
      <c r="P74" s="367"/>
      <c r="Q74" s="367"/>
      <c r="R74" s="367"/>
      <c r="S74" s="367"/>
      <c r="T74" s="367"/>
      <c r="U74" s="367"/>
      <c r="V74" s="367"/>
      <c r="W74" s="367"/>
      <c r="X74" s="367"/>
      <c r="Y74" s="367"/>
      <c r="Z74" s="367"/>
      <c r="AA74" s="367"/>
      <c r="AB74" s="367"/>
      <c r="AC74" s="367"/>
      <c r="AD74" s="335"/>
      <c r="AE74" s="367"/>
      <c r="AF74" s="335"/>
      <c r="AG74" s="335"/>
    </row>
    <row r="75" spans="1:33" s="320" customFormat="1" ht="14.4" x14ac:dyDescent="0.3">
      <c r="A75" s="86"/>
      <c r="B75" s="376"/>
      <c r="C75" s="376"/>
      <c r="D75" s="342"/>
      <c r="E75" s="367"/>
      <c r="F75" s="367"/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367"/>
      <c r="Z75" s="367"/>
      <c r="AA75" s="367"/>
      <c r="AB75" s="367"/>
      <c r="AC75" s="367"/>
      <c r="AD75" s="335"/>
      <c r="AE75" s="367"/>
      <c r="AF75" s="335"/>
      <c r="AG75" s="335"/>
    </row>
    <row r="76" spans="1:33" s="320" customFormat="1" ht="14.4" x14ac:dyDescent="0.3">
      <c r="A76" s="86"/>
      <c r="B76" s="376"/>
      <c r="C76" s="376"/>
      <c r="D76" s="342"/>
      <c r="E76" s="367"/>
      <c r="F76" s="367"/>
      <c r="G76" s="367"/>
      <c r="H76" s="367"/>
      <c r="I76" s="367"/>
      <c r="J76" s="367"/>
      <c r="K76" s="367"/>
      <c r="L76" s="367"/>
      <c r="M76" s="367"/>
      <c r="N76" s="367"/>
      <c r="O76" s="367"/>
      <c r="P76" s="367"/>
      <c r="Q76" s="367"/>
      <c r="R76" s="367"/>
      <c r="S76" s="367"/>
      <c r="T76" s="367"/>
      <c r="U76" s="367"/>
      <c r="V76" s="367"/>
      <c r="W76" s="367"/>
      <c r="X76" s="367"/>
      <c r="Y76" s="367"/>
      <c r="Z76" s="367"/>
      <c r="AA76" s="367"/>
      <c r="AB76" s="367"/>
      <c r="AC76" s="367"/>
      <c r="AD76" s="335"/>
      <c r="AE76" s="367"/>
      <c r="AF76" s="335"/>
      <c r="AG76" s="335"/>
    </row>
    <row r="77" spans="1:33" s="320" customFormat="1" ht="14.4" x14ac:dyDescent="0.3">
      <c r="A77" s="86"/>
      <c r="B77" s="376"/>
      <c r="C77" s="376"/>
      <c r="D77" s="342"/>
      <c r="E77" s="367"/>
      <c r="F77" s="367"/>
      <c r="G77" s="367"/>
      <c r="H77" s="367"/>
      <c r="I77" s="367"/>
      <c r="J77" s="367"/>
      <c r="K77" s="367"/>
      <c r="L77" s="367"/>
      <c r="M77" s="367"/>
      <c r="N77" s="367"/>
      <c r="O77" s="367"/>
      <c r="P77" s="367"/>
      <c r="Q77" s="367"/>
      <c r="R77" s="367"/>
      <c r="S77" s="367"/>
      <c r="T77" s="367"/>
      <c r="U77" s="367"/>
      <c r="V77" s="367"/>
      <c r="W77" s="367"/>
      <c r="X77" s="367"/>
      <c r="Y77" s="367"/>
      <c r="Z77" s="367"/>
      <c r="AA77" s="367"/>
      <c r="AB77" s="367"/>
      <c r="AC77" s="367"/>
      <c r="AD77" s="335"/>
      <c r="AE77" s="367"/>
      <c r="AF77" s="335"/>
      <c r="AG77" s="335"/>
    </row>
    <row r="78" spans="1:33" s="320" customFormat="1" ht="14.4" x14ac:dyDescent="0.3">
      <c r="A78" s="86"/>
      <c r="B78" s="376"/>
      <c r="C78" s="376"/>
      <c r="D78" s="342"/>
      <c r="E78" s="367"/>
      <c r="F78" s="367"/>
      <c r="G78" s="367"/>
      <c r="H78" s="367"/>
      <c r="I78" s="367"/>
      <c r="J78" s="367"/>
      <c r="K78" s="367"/>
      <c r="L78" s="367"/>
      <c r="M78" s="367"/>
      <c r="N78" s="367"/>
      <c r="O78" s="367"/>
      <c r="P78" s="367"/>
      <c r="Q78" s="367"/>
      <c r="R78" s="367"/>
      <c r="S78" s="367"/>
      <c r="T78" s="367"/>
      <c r="U78" s="367"/>
      <c r="V78" s="367"/>
      <c r="W78" s="367"/>
      <c r="X78" s="367"/>
      <c r="Y78" s="367"/>
      <c r="Z78" s="367"/>
      <c r="AA78" s="367"/>
      <c r="AB78" s="367"/>
      <c r="AC78" s="367"/>
      <c r="AD78" s="335"/>
      <c r="AE78" s="367"/>
      <c r="AF78" s="335"/>
      <c r="AG78" s="335"/>
    </row>
    <row r="79" spans="1:33" s="320" customFormat="1" ht="14.4" x14ac:dyDescent="0.3">
      <c r="A79" s="86"/>
      <c r="B79" s="376"/>
      <c r="C79" s="376"/>
      <c r="D79" s="342"/>
      <c r="E79" s="367"/>
      <c r="F79" s="367"/>
      <c r="G79" s="367"/>
      <c r="H79" s="367"/>
      <c r="I79" s="367"/>
      <c r="J79" s="367"/>
      <c r="K79" s="367"/>
      <c r="L79" s="367"/>
      <c r="M79" s="367"/>
      <c r="N79" s="367"/>
      <c r="O79" s="367"/>
      <c r="P79" s="367"/>
      <c r="Q79" s="367"/>
      <c r="R79" s="367"/>
      <c r="S79" s="367"/>
      <c r="T79" s="367"/>
      <c r="U79" s="367"/>
      <c r="V79" s="367"/>
      <c r="W79" s="367"/>
      <c r="X79" s="367"/>
      <c r="Y79" s="367"/>
      <c r="Z79" s="367"/>
      <c r="AA79" s="367"/>
      <c r="AB79" s="367"/>
      <c r="AC79" s="367"/>
      <c r="AD79" s="335"/>
      <c r="AE79" s="367"/>
      <c r="AF79" s="335"/>
      <c r="AG79" s="335"/>
    </row>
    <row r="80" spans="1:33" s="320" customFormat="1" ht="14.4" x14ac:dyDescent="0.3">
      <c r="A80" s="86"/>
      <c r="B80" s="376"/>
      <c r="C80" s="376"/>
      <c r="D80" s="342"/>
      <c r="E80" s="367"/>
      <c r="F80" s="367"/>
      <c r="G80" s="367"/>
      <c r="H80" s="367"/>
      <c r="I80" s="367"/>
      <c r="J80" s="367"/>
      <c r="K80" s="367"/>
      <c r="L80" s="367"/>
      <c r="M80" s="367"/>
      <c r="N80" s="367"/>
      <c r="O80" s="367"/>
      <c r="P80" s="367"/>
      <c r="Q80" s="367"/>
      <c r="R80" s="367"/>
      <c r="S80" s="367"/>
      <c r="T80" s="367"/>
      <c r="U80" s="367"/>
      <c r="V80" s="367"/>
      <c r="W80" s="367"/>
      <c r="X80" s="367"/>
      <c r="Y80" s="367"/>
      <c r="Z80" s="367"/>
      <c r="AA80" s="367"/>
      <c r="AB80" s="367"/>
      <c r="AC80" s="367"/>
      <c r="AD80" s="335"/>
      <c r="AE80" s="367"/>
      <c r="AF80" s="335"/>
      <c r="AG80" s="335"/>
    </row>
    <row r="81" spans="1:33" s="320" customFormat="1" ht="14.4" x14ac:dyDescent="0.3">
      <c r="A81" s="86"/>
      <c r="B81" s="449"/>
      <c r="C81" s="376"/>
      <c r="D81" s="342"/>
      <c r="E81" s="367"/>
      <c r="F81" s="367"/>
      <c r="G81" s="367"/>
      <c r="H81" s="367"/>
      <c r="I81" s="367"/>
      <c r="J81" s="367"/>
      <c r="K81" s="367"/>
      <c r="L81" s="367"/>
      <c r="M81" s="367"/>
      <c r="N81" s="367"/>
      <c r="O81" s="367"/>
      <c r="P81" s="367"/>
      <c r="Q81" s="367"/>
      <c r="R81" s="367"/>
      <c r="S81" s="367"/>
      <c r="T81" s="367"/>
      <c r="U81" s="367"/>
      <c r="V81" s="367"/>
      <c r="W81" s="367"/>
      <c r="X81" s="367"/>
      <c r="Y81" s="367"/>
      <c r="Z81" s="367"/>
      <c r="AA81" s="367"/>
      <c r="AB81" s="367"/>
      <c r="AC81" s="367"/>
      <c r="AD81" s="335"/>
      <c r="AE81" s="367"/>
      <c r="AF81" s="335"/>
      <c r="AG81" s="335"/>
    </row>
    <row r="82" spans="1:33" s="320" customFormat="1" ht="14.4" x14ac:dyDescent="0.3">
      <c r="A82" s="86"/>
      <c r="B82" s="376"/>
      <c r="C82" s="376"/>
      <c r="D82" s="342"/>
      <c r="E82" s="367"/>
      <c r="F82" s="367"/>
      <c r="G82" s="367"/>
      <c r="H82" s="367"/>
      <c r="I82" s="367"/>
      <c r="J82" s="367"/>
      <c r="K82" s="367"/>
      <c r="L82" s="367"/>
      <c r="M82" s="367"/>
      <c r="N82" s="367"/>
      <c r="O82" s="367"/>
      <c r="P82" s="367"/>
      <c r="Q82" s="367"/>
      <c r="R82" s="367"/>
      <c r="S82" s="367"/>
      <c r="T82" s="367"/>
      <c r="U82" s="367"/>
      <c r="V82" s="367"/>
      <c r="W82" s="367"/>
      <c r="X82" s="367"/>
      <c r="Y82" s="367"/>
      <c r="Z82" s="367"/>
      <c r="AA82" s="367"/>
      <c r="AB82" s="367"/>
      <c r="AC82" s="367"/>
      <c r="AD82" s="335"/>
      <c r="AE82" s="367"/>
      <c r="AF82" s="335"/>
      <c r="AG82" s="335"/>
    </row>
    <row r="83" spans="1:33" s="320" customFormat="1" x14ac:dyDescent="0.25">
      <c r="A83" s="86"/>
      <c r="B83" s="352"/>
      <c r="C83" s="342"/>
      <c r="D83" s="342"/>
      <c r="E83" s="335"/>
      <c r="F83" s="335"/>
      <c r="G83" s="335"/>
      <c r="H83" s="335"/>
      <c r="I83" s="335"/>
      <c r="J83" s="335"/>
      <c r="K83" s="335"/>
      <c r="L83" s="335"/>
      <c r="M83" s="335"/>
      <c r="N83" s="335"/>
      <c r="O83" s="335"/>
      <c r="P83" s="335"/>
      <c r="Q83" s="335"/>
      <c r="R83" s="335"/>
      <c r="S83" s="335"/>
      <c r="T83" s="335"/>
      <c r="U83" s="335"/>
      <c r="V83" s="335"/>
      <c r="W83" s="335"/>
      <c r="X83" s="335"/>
      <c r="Y83" s="335"/>
      <c r="Z83" s="335"/>
      <c r="AA83" s="335"/>
      <c r="AB83" s="335"/>
      <c r="AC83" s="335"/>
      <c r="AD83" s="335"/>
      <c r="AE83" s="335"/>
      <c r="AF83" s="335"/>
      <c r="AG83" s="335"/>
    </row>
    <row r="84" spans="1:33" x14ac:dyDescent="0.25">
      <c r="A84" s="86"/>
      <c r="B84" s="368"/>
      <c r="C84" s="369"/>
      <c r="D84" s="369"/>
      <c r="E84" s="286"/>
      <c r="F84" s="286"/>
      <c r="G84" s="286"/>
      <c r="H84" s="286"/>
      <c r="I84" s="286"/>
      <c r="J84" s="286"/>
      <c r="K84" s="286"/>
      <c r="L84" s="286"/>
      <c r="M84" s="286"/>
      <c r="N84" s="286"/>
      <c r="O84" s="286"/>
      <c r="P84" s="286"/>
      <c r="Q84" s="286"/>
      <c r="R84" s="286"/>
      <c r="S84" s="286"/>
      <c r="T84" s="286"/>
      <c r="U84" s="286"/>
      <c r="V84" s="286"/>
      <c r="W84" s="286"/>
      <c r="X84" s="286"/>
      <c r="Y84" s="286"/>
      <c r="Z84" s="286"/>
      <c r="AA84" s="286"/>
      <c r="AB84" s="286"/>
      <c r="AC84" s="286"/>
      <c r="AD84" s="286"/>
      <c r="AF84" s="286"/>
      <c r="AG84" s="286"/>
    </row>
    <row r="85" spans="1:33" x14ac:dyDescent="0.25">
      <c r="A85" s="86"/>
      <c r="B85" s="368"/>
      <c r="C85" s="369"/>
      <c r="D85" s="369"/>
      <c r="E85" s="286"/>
      <c r="F85" s="286"/>
      <c r="G85" s="286"/>
      <c r="H85" s="286"/>
      <c r="I85" s="286"/>
      <c r="J85" s="286"/>
      <c r="K85" s="286"/>
      <c r="L85" s="286"/>
      <c r="M85" s="286"/>
      <c r="N85" s="286"/>
      <c r="O85" s="286"/>
      <c r="P85" s="286"/>
      <c r="Q85" s="286"/>
      <c r="R85" s="286"/>
      <c r="S85" s="286"/>
      <c r="T85" s="286"/>
      <c r="U85" s="286"/>
      <c r="V85" s="286"/>
      <c r="W85" s="286"/>
      <c r="X85" s="286"/>
      <c r="Y85" s="286"/>
      <c r="Z85" s="286"/>
      <c r="AA85" s="286"/>
      <c r="AB85" s="286"/>
      <c r="AC85" s="286"/>
      <c r="AD85" s="286"/>
      <c r="AF85" s="286"/>
      <c r="AG85" s="286"/>
    </row>
    <row r="86" spans="1:33" x14ac:dyDescent="0.25">
      <c r="A86" s="86"/>
      <c r="B86" s="368"/>
      <c r="C86" s="369"/>
      <c r="D86" s="369"/>
      <c r="E86" s="286"/>
      <c r="F86" s="286"/>
      <c r="G86" s="286"/>
      <c r="H86" s="286"/>
      <c r="I86" s="286"/>
      <c r="J86" s="286"/>
      <c r="K86" s="286"/>
      <c r="L86" s="286"/>
      <c r="M86" s="286"/>
      <c r="N86" s="286"/>
      <c r="O86" s="286"/>
      <c r="P86" s="286"/>
      <c r="Q86" s="286"/>
      <c r="R86" s="286"/>
      <c r="S86" s="286"/>
      <c r="T86" s="286"/>
      <c r="U86" s="286"/>
      <c r="V86" s="286"/>
      <c r="W86" s="286"/>
      <c r="X86" s="286"/>
      <c r="Y86" s="286"/>
      <c r="Z86" s="286"/>
      <c r="AA86" s="286"/>
      <c r="AB86" s="286"/>
      <c r="AC86" s="286"/>
      <c r="AD86" s="286"/>
      <c r="AF86" s="286"/>
      <c r="AG86" s="286"/>
    </row>
    <row r="87" spans="1:33" x14ac:dyDescent="0.25">
      <c r="B87" s="368"/>
      <c r="C87" s="369"/>
      <c r="D87" s="369"/>
      <c r="E87" s="286"/>
      <c r="F87" s="286"/>
      <c r="G87" s="286"/>
      <c r="H87" s="286"/>
      <c r="I87" s="286"/>
      <c r="J87" s="286"/>
      <c r="K87" s="286"/>
      <c r="L87" s="286"/>
      <c r="M87" s="286"/>
      <c r="N87" s="286"/>
      <c r="O87" s="286"/>
      <c r="P87" s="286"/>
      <c r="Q87" s="286"/>
      <c r="R87" s="286"/>
      <c r="S87" s="286"/>
      <c r="T87" s="286"/>
      <c r="U87" s="286"/>
      <c r="V87" s="286"/>
      <c r="W87" s="286"/>
      <c r="X87" s="286"/>
      <c r="Y87" s="286"/>
      <c r="Z87" s="286"/>
      <c r="AA87" s="286"/>
      <c r="AB87" s="286"/>
      <c r="AC87" s="286"/>
      <c r="AD87" s="286"/>
      <c r="AF87" s="286"/>
      <c r="AG87" s="286"/>
    </row>
    <row r="88" spans="1:33" x14ac:dyDescent="0.25">
      <c r="B88" s="368"/>
      <c r="C88" s="369"/>
      <c r="D88" s="369"/>
      <c r="E88" s="286"/>
      <c r="F88" s="286"/>
      <c r="G88" s="286"/>
      <c r="H88" s="286"/>
      <c r="I88" s="286"/>
      <c r="J88" s="286"/>
      <c r="K88" s="286"/>
      <c r="L88" s="286"/>
      <c r="M88" s="286"/>
      <c r="N88" s="286"/>
      <c r="O88" s="286"/>
      <c r="P88" s="286"/>
      <c r="Q88" s="286"/>
      <c r="R88" s="286"/>
      <c r="S88" s="286"/>
      <c r="T88" s="286"/>
      <c r="U88" s="286"/>
      <c r="V88" s="286"/>
      <c r="W88" s="286"/>
      <c r="X88" s="286"/>
      <c r="Y88" s="286"/>
      <c r="Z88" s="286"/>
      <c r="AA88" s="286"/>
      <c r="AB88" s="286"/>
      <c r="AC88" s="286"/>
      <c r="AD88" s="286"/>
      <c r="AF88" s="286"/>
      <c r="AG88" s="286"/>
    </row>
    <row r="89" spans="1:33" x14ac:dyDescent="0.25">
      <c r="B89" s="368"/>
      <c r="C89" s="369"/>
      <c r="D89" s="369"/>
      <c r="E89" s="286"/>
      <c r="F89" s="286"/>
      <c r="G89" s="286"/>
      <c r="H89" s="286"/>
      <c r="I89" s="286"/>
      <c r="J89" s="286"/>
      <c r="K89" s="286"/>
      <c r="L89" s="286"/>
      <c r="M89" s="286"/>
      <c r="N89" s="286"/>
      <c r="O89" s="286"/>
      <c r="P89" s="286"/>
      <c r="Q89" s="286"/>
      <c r="R89" s="286"/>
      <c r="S89" s="286"/>
      <c r="T89" s="286"/>
      <c r="U89" s="286"/>
      <c r="V89" s="286"/>
      <c r="W89" s="286"/>
      <c r="X89" s="286"/>
      <c r="Y89" s="286"/>
      <c r="Z89" s="286"/>
      <c r="AA89" s="286"/>
      <c r="AB89" s="286"/>
      <c r="AC89" s="286"/>
      <c r="AD89" s="286"/>
      <c r="AF89" s="286"/>
      <c r="AG89" s="286"/>
    </row>
    <row r="90" spans="1:33" x14ac:dyDescent="0.25">
      <c r="B90" s="368"/>
      <c r="C90" s="369"/>
      <c r="D90" s="369"/>
      <c r="E90" s="286"/>
      <c r="F90" s="286"/>
      <c r="G90" s="286"/>
      <c r="H90" s="286"/>
      <c r="I90" s="286"/>
      <c r="J90" s="286"/>
      <c r="K90" s="286"/>
      <c r="L90" s="286"/>
      <c r="M90" s="286"/>
      <c r="N90" s="286"/>
      <c r="O90" s="286"/>
      <c r="P90" s="286"/>
      <c r="Q90" s="286"/>
      <c r="R90" s="286"/>
      <c r="S90" s="286"/>
      <c r="T90" s="286"/>
      <c r="U90" s="286"/>
      <c r="V90" s="286"/>
      <c r="W90" s="286"/>
      <c r="X90" s="286"/>
      <c r="Y90" s="286"/>
      <c r="Z90" s="286"/>
      <c r="AA90" s="286"/>
      <c r="AB90" s="286"/>
      <c r="AC90" s="286"/>
      <c r="AD90" s="286"/>
      <c r="AF90" s="286"/>
      <c r="AG90" s="286"/>
    </row>
    <row r="91" spans="1:33" x14ac:dyDescent="0.25">
      <c r="B91" s="368"/>
      <c r="C91" s="369"/>
      <c r="D91" s="369"/>
      <c r="E91" s="286"/>
      <c r="F91" s="286"/>
      <c r="G91" s="286"/>
      <c r="H91" s="286"/>
      <c r="I91" s="286"/>
      <c r="J91" s="286"/>
      <c r="K91" s="286"/>
      <c r="L91" s="286"/>
      <c r="M91" s="286"/>
      <c r="N91" s="286"/>
      <c r="O91" s="286"/>
      <c r="P91" s="286"/>
      <c r="Q91" s="286"/>
      <c r="R91" s="286"/>
      <c r="S91" s="286"/>
      <c r="T91" s="286"/>
      <c r="U91" s="286"/>
      <c r="V91" s="286"/>
      <c r="W91" s="286"/>
      <c r="X91" s="286"/>
      <c r="Y91" s="286"/>
      <c r="Z91" s="286"/>
      <c r="AA91" s="286"/>
      <c r="AB91" s="286"/>
      <c r="AC91" s="286"/>
      <c r="AD91" s="286"/>
      <c r="AF91" s="286"/>
      <c r="AG91" s="286"/>
    </row>
    <row r="92" spans="1:33" x14ac:dyDescent="0.25">
      <c r="B92" s="368"/>
      <c r="C92" s="369"/>
      <c r="D92" s="369"/>
      <c r="E92" s="286"/>
      <c r="F92" s="286"/>
      <c r="G92" s="286"/>
      <c r="H92" s="286"/>
      <c r="I92" s="286"/>
      <c r="J92" s="286"/>
      <c r="K92" s="286"/>
      <c r="L92" s="286"/>
      <c r="M92" s="286"/>
      <c r="N92" s="286"/>
      <c r="O92" s="286"/>
      <c r="P92" s="286"/>
      <c r="Q92" s="286"/>
      <c r="R92" s="286"/>
      <c r="S92" s="286"/>
      <c r="T92" s="286"/>
      <c r="U92" s="286"/>
      <c r="V92" s="286"/>
      <c r="W92" s="286"/>
      <c r="X92" s="286"/>
      <c r="Y92" s="286"/>
      <c r="Z92" s="286"/>
      <c r="AA92" s="286"/>
      <c r="AB92" s="286"/>
      <c r="AC92" s="286"/>
      <c r="AD92" s="286"/>
      <c r="AF92" s="286"/>
      <c r="AG92" s="286"/>
    </row>
    <row r="93" spans="1:33" x14ac:dyDescent="0.25">
      <c r="B93" s="368"/>
      <c r="C93" s="369"/>
      <c r="D93" s="369"/>
      <c r="E93" s="286"/>
      <c r="F93" s="286"/>
      <c r="G93" s="286"/>
      <c r="H93" s="286"/>
      <c r="I93" s="286"/>
      <c r="J93" s="286"/>
      <c r="K93" s="286"/>
      <c r="L93" s="286"/>
      <c r="M93" s="286"/>
      <c r="N93" s="286"/>
      <c r="O93" s="286"/>
      <c r="P93" s="286"/>
      <c r="Q93" s="286"/>
      <c r="R93" s="286"/>
      <c r="S93" s="286"/>
      <c r="T93" s="286"/>
      <c r="U93" s="286"/>
      <c r="V93" s="286"/>
      <c r="W93" s="286"/>
      <c r="X93" s="286"/>
      <c r="Y93" s="286"/>
      <c r="Z93" s="286"/>
      <c r="AA93" s="286"/>
      <c r="AB93" s="286"/>
      <c r="AC93" s="286"/>
      <c r="AD93" s="286"/>
      <c r="AF93" s="286"/>
      <c r="AG93" s="286"/>
    </row>
    <row r="94" spans="1:33" x14ac:dyDescent="0.25">
      <c r="B94" s="368"/>
      <c r="C94" s="369"/>
      <c r="D94" s="369"/>
      <c r="E94" s="286"/>
      <c r="F94" s="286"/>
      <c r="G94" s="286"/>
      <c r="H94" s="286"/>
      <c r="I94" s="286"/>
      <c r="J94" s="286"/>
      <c r="K94" s="286"/>
      <c r="L94" s="286"/>
      <c r="M94" s="286"/>
      <c r="N94" s="286"/>
      <c r="O94" s="286"/>
      <c r="P94" s="286"/>
      <c r="Q94" s="286"/>
      <c r="R94" s="286"/>
      <c r="S94" s="286"/>
      <c r="T94" s="286"/>
      <c r="U94" s="286"/>
      <c r="V94" s="286"/>
      <c r="W94" s="286"/>
      <c r="X94" s="286"/>
      <c r="Y94" s="286"/>
      <c r="Z94" s="286"/>
      <c r="AA94" s="286"/>
      <c r="AB94" s="286"/>
      <c r="AC94" s="286"/>
      <c r="AD94" s="286"/>
      <c r="AF94" s="286"/>
      <c r="AG94" s="286"/>
    </row>
    <row r="95" spans="1:33" x14ac:dyDescent="0.25">
      <c r="B95" s="368"/>
      <c r="C95" s="369"/>
      <c r="D95" s="369"/>
      <c r="E95" s="286"/>
      <c r="F95" s="286"/>
      <c r="G95" s="286"/>
      <c r="H95" s="286"/>
      <c r="I95" s="286"/>
      <c r="J95" s="286"/>
      <c r="K95" s="286"/>
      <c r="L95" s="286"/>
      <c r="M95" s="286"/>
      <c r="N95" s="286"/>
      <c r="O95" s="286"/>
      <c r="P95" s="286"/>
      <c r="Q95" s="286"/>
      <c r="R95" s="286"/>
      <c r="S95" s="286"/>
      <c r="T95" s="286"/>
      <c r="U95" s="286"/>
      <c r="V95" s="286"/>
      <c r="W95" s="286"/>
      <c r="X95" s="286"/>
      <c r="Y95" s="286"/>
      <c r="Z95" s="286"/>
      <c r="AA95" s="286"/>
      <c r="AB95" s="286"/>
      <c r="AC95" s="286"/>
      <c r="AD95" s="286"/>
      <c r="AF95" s="286"/>
      <c r="AG95" s="286"/>
    </row>
    <row r="96" spans="1:33" x14ac:dyDescent="0.25">
      <c r="B96" s="368"/>
      <c r="C96" s="369"/>
      <c r="D96" s="369"/>
      <c r="E96" s="286"/>
      <c r="F96" s="286"/>
      <c r="G96" s="286"/>
      <c r="H96" s="286"/>
      <c r="I96" s="286"/>
      <c r="J96" s="286"/>
      <c r="K96" s="286"/>
      <c r="L96" s="286"/>
      <c r="M96" s="286"/>
      <c r="N96" s="286"/>
      <c r="O96" s="286"/>
      <c r="P96" s="286"/>
      <c r="Q96" s="286"/>
      <c r="R96" s="286"/>
      <c r="S96" s="286"/>
      <c r="T96" s="286"/>
      <c r="U96" s="286"/>
      <c r="V96" s="286"/>
      <c r="W96" s="286"/>
      <c r="X96" s="286"/>
      <c r="Y96" s="286"/>
      <c r="Z96" s="286"/>
      <c r="AA96" s="286"/>
      <c r="AB96" s="286"/>
      <c r="AC96" s="286"/>
      <c r="AD96" s="286"/>
      <c r="AF96" s="286"/>
      <c r="AG96" s="286"/>
    </row>
    <row r="97" spans="2:33" x14ac:dyDescent="0.25">
      <c r="B97" s="368"/>
      <c r="C97" s="369"/>
      <c r="D97" s="369"/>
      <c r="E97" s="286"/>
      <c r="F97" s="286"/>
      <c r="G97" s="286"/>
      <c r="H97" s="286"/>
      <c r="I97" s="286"/>
      <c r="J97" s="286"/>
      <c r="K97" s="286"/>
      <c r="L97" s="286"/>
      <c r="M97" s="286"/>
      <c r="N97" s="286"/>
      <c r="O97" s="286"/>
      <c r="P97" s="286"/>
      <c r="Q97" s="286"/>
      <c r="R97" s="286"/>
      <c r="S97" s="286"/>
      <c r="T97" s="286"/>
      <c r="U97" s="286"/>
      <c r="V97" s="286"/>
      <c r="W97" s="286"/>
      <c r="X97" s="286"/>
      <c r="Y97" s="286"/>
      <c r="Z97" s="286"/>
      <c r="AA97" s="286"/>
      <c r="AB97" s="286"/>
      <c r="AC97" s="286"/>
      <c r="AD97" s="286"/>
      <c r="AF97" s="286"/>
      <c r="AG97" s="286"/>
    </row>
    <row r="98" spans="2:33" x14ac:dyDescent="0.25">
      <c r="B98" s="368"/>
      <c r="C98" s="369"/>
      <c r="D98" s="369"/>
      <c r="E98" s="286"/>
      <c r="F98" s="286"/>
      <c r="G98" s="286"/>
      <c r="H98" s="286"/>
      <c r="I98" s="286"/>
      <c r="J98" s="286"/>
      <c r="K98" s="286"/>
      <c r="L98" s="286"/>
      <c r="M98" s="286"/>
      <c r="N98" s="286"/>
      <c r="O98" s="286"/>
      <c r="P98" s="286"/>
      <c r="Q98" s="286"/>
      <c r="R98" s="286"/>
      <c r="S98" s="286"/>
      <c r="T98" s="286"/>
      <c r="U98" s="286"/>
      <c r="V98" s="286"/>
      <c r="W98" s="286"/>
      <c r="X98" s="286"/>
      <c r="Y98" s="286"/>
      <c r="Z98" s="286"/>
      <c r="AA98" s="286"/>
      <c r="AB98" s="286"/>
      <c r="AC98" s="286"/>
      <c r="AD98" s="286"/>
      <c r="AF98" s="286"/>
      <c r="AG98" s="286"/>
    </row>
    <row r="99" spans="2:33" x14ac:dyDescent="0.25">
      <c r="B99" s="368"/>
      <c r="C99" s="369"/>
      <c r="D99" s="369"/>
      <c r="E99" s="286"/>
      <c r="F99" s="286"/>
      <c r="G99" s="286"/>
      <c r="H99" s="286"/>
      <c r="I99" s="286"/>
      <c r="J99" s="286"/>
      <c r="K99" s="286"/>
      <c r="L99" s="286"/>
      <c r="M99" s="286"/>
      <c r="N99" s="286"/>
      <c r="O99" s="286"/>
      <c r="P99" s="286"/>
      <c r="Q99" s="286"/>
      <c r="R99" s="286"/>
      <c r="S99" s="286"/>
      <c r="T99" s="286"/>
      <c r="U99" s="286"/>
      <c r="V99" s="286"/>
      <c r="W99" s="286"/>
      <c r="X99" s="286"/>
      <c r="Y99" s="286"/>
      <c r="Z99" s="286"/>
      <c r="AA99" s="286"/>
      <c r="AB99" s="286"/>
      <c r="AC99" s="286"/>
      <c r="AD99" s="286"/>
      <c r="AF99" s="286"/>
      <c r="AG99" s="286"/>
    </row>
    <row r="100" spans="2:33" x14ac:dyDescent="0.25">
      <c r="B100" s="368"/>
      <c r="C100" s="369"/>
      <c r="D100" s="369"/>
      <c r="E100" s="286"/>
      <c r="F100" s="286"/>
      <c r="G100" s="286"/>
      <c r="H100" s="286"/>
      <c r="I100" s="286"/>
      <c r="J100" s="286"/>
      <c r="K100" s="286"/>
      <c r="L100" s="286"/>
      <c r="M100" s="286"/>
      <c r="N100" s="286"/>
      <c r="O100" s="286"/>
      <c r="P100" s="286"/>
      <c r="Q100" s="286"/>
      <c r="R100" s="286"/>
      <c r="S100" s="286"/>
      <c r="T100" s="286"/>
      <c r="U100" s="286"/>
      <c r="V100" s="286"/>
      <c r="W100" s="286"/>
      <c r="X100" s="286"/>
      <c r="Y100" s="286"/>
      <c r="Z100" s="286"/>
      <c r="AA100" s="286"/>
      <c r="AB100" s="286"/>
      <c r="AC100" s="286"/>
      <c r="AD100" s="286"/>
      <c r="AF100" s="286"/>
      <c r="AG100" s="286"/>
    </row>
    <row r="101" spans="2:33" x14ac:dyDescent="0.25">
      <c r="B101" s="368"/>
      <c r="C101" s="369"/>
      <c r="D101" s="369"/>
      <c r="E101" s="286"/>
      <c r="F101" s="286"/>
      <c r="G101" s="286"/>
      <c r="H101" s="286"/>
      <c r="I101" s="286"/>
      <c r="J101" s="286"/>
      <c r="K101" s="286"/>
      <c r="L101" s="286"/>
      <c r="M101" s="286"/>
      <c r="N101" s="286"/>
      <c r="O101" s="286"/>
      <c r="P101" s="286"/>
      <c r="Q101" s="286"/>
      <c r="R101" s="286"/>
      <c r="S101" s="286"/>
      <c r="T101" s="286"/>
      <c r="U101" s="286"/>
      <c r="V101" s="286"/>
      <c r="W101" s="286"/>
      <c r="X101" s="286"/>
      <c r="Y101" s="286"/>
      <c r="Z101" s="286"/>
      <c r="AA101" s="286"/>
      <c r="AB101" s="286"/>
      <c r="AC101" s="286"/>
      <c r="AD101" s="286"/>
      <c r="AF101" s="286"/>
      <c r="AG101" s="286"/>
    </row>
    <row r="102" spans="2:33" x14ac:dyDescent="0.25">
      <c r="B102" s="368"/>
      <c r="C102" s="369"/>
      <c r="D102" s="369"/>
      <c r="E102" s="286"/>
      <c r="F102" s="286"/>
      <c r="G102" s="286"/>
      <c r="H102" s="286"/>
      <c r="I102" s="286"/>
      <c r="J102" s="286"/>
      <c r="K102" s="286"/>
      <c r="L102" s="286"/>
      <c r="M102" s="286"/>
      <c r="N102" s="286"/>
      <c r="O102" s="286"/>
      <c r="P102" s="286"/>
      <c r="Q102" s="286"/>
      <c r="R102" s="286"/>
      <c r="S102" s="286"/>
      <c r="T102" s="286"/>
      <c r="U102" s="286"/>
      <c r="V102" s="286"/>
      <c r="W102" s="286"/>
      <c r="X102" s="286"/>
      <c r="Y102" s="286"/>
      <c r="Z102" s="286"/>
      <c r="AA102" s="286"/>
      <c r="AB102" s="286"/>
      <c r="AC102" s="286"/>
      <c r="AD102" s="286"/>
      <c r="AF102" s="286"/>
      <c r="AG102" s="286"/>
    </row>
    <row r="103" spans="2:33" x14ac:dyDescent="0.25">
      <c r="B103" s="368"/>
      <c r="C103" s="369"/>
      <c r="D103" s="369"/>
      <c r="E103" s="286"/>
      <c r="F103" s="286"/>
      <c r="G103" s="286"/>
      <c r="H103" s="286"/>
      <c r="I103" s="286"/>
      <c r="J103" s="286"/>
      <c r="K103" s="286"/>
      <c r="L103" s="286"/>
      <c r="M103" s="286"/>
      <c r="N103" s="286"/>
      <c r="O103" s="286"/>
      <c r="P103" s="286"/>
      <c r="Q103" s="286"/>
      <c r="R103" s="286"/>
      <c r="S103" s="286"/>
      <c r="T103" s="286"/>
      <c r="U103" s="286"/>
      <c r="V103" s="286"/>
      <c r="W103" s="286"/>
      <c r="X103" s="286"/>
      <c r="Y103" s="286"/>
      <c r="Z103" s="286"/>
      <c r="AA103" s="286"/>
      <c r="AB103" s="286"/>
      <c r="AC103" s="286"/>
      <c r="AD103" s="286"/>
      <c r="AF103" s="286"/>
      <c r="AG103" s="286"/>
    </row>
    <row r="104" spans="2:33" x14ac:dyDescent="0.25">
      <c r="B104" s="368"/>
      <c r="C104" s="369"/>
      <c r="D104" s="369"/>
      <c r="E104" s="286"/>
      <c r="F104" s="286"/>
      <c r="G104" s="286"/>
      <c r="H104" s="286"/>
      <c r="I104" s="286"/>
      <c r="J104" s="286"/>
      <c r="K104" s="286"/>
      <c r="L104" s="286"/>
      <c r="M104" s="286"/>
      <c r="N104" s="286"/>
      <c r="O104" s="286"/>
      <c r="P104" s="286"/>
      <c r="Q104" s="286"/>
      <c r="R104" s="286"/>
      <c r="S104" s="286"/>
      <c r="T104" s="286"/>
      <c r="U104" s="286"/>
      <c r="V104" s="286"/>
      <c r="W104" s="286"/>
      <c r="X104" s="286"/>
      <c r="Y104" s="286"/>
      <c r="Z104" s="286"/>
      <c r="AA104" s="286"/>
      <c r="AB104" s="286"/>
      <c r="AC104" s="286"/>
      <c r="AD104" s="286"/>
      <c r="AF104" s="286"/>
      <c r="AG104" s="286"/>
    </row>
    <row r="105" spans="2:33" x14ac:dyDescent="0.25">
      <c r="B105" s="368"/>
      <c r="C105" s="369"/>
      <c r="D105" s="369"/>
      <c r="E105" s="286"/>
      <c r="F105" s="286"/>
      <c r="G105" s="286"/>
      <c r="H105" s="286"/>
      <c r="I105" s="286"/>
      <c r="J105" s="286"/>
      <c r="K105" s="286"/>
      <c r="L105" s="286"/>
      <c r="M105" s="286"/>
      <c r="N105" s="286"/>
      <c r="O105" s="286"/>
      <c r="P105" s="286"/>
      <c r="Q105" s="286"/>
      <c r="R105" s="286"/>
      <c r="S105" s="286"/>
      <c r="T105" s="286"/>
      <c r="U105" s="286"/>
      <c r="V105" s="286"/>
      <c r="W105" s="286"/>
      <c r="X105" s="286"/>
      <c r="Y105" s="286"/>
      <c r="Z105" s="286"/>
      <c r="AA105" s="286"/>
      <c r="AB105" s="286"/>
      <c r="AC105" s="286"/>
      <c r="AD105" s="286"/>
      <c r="AF105" s="286"/>
      <c r="AG105" s="286"/>
    </row>
    <row r="106" spans="2:33" x14ac:dyDescent="0.25">
      <c r="B106" s="368"/>
      <c r="C106" s="369"/>
      <c r="D106" s="369"/>
      <c r="E106" s="286"/>
      <c r="F106" s="286"/>
      <c r="G106" s="286"/>
      <c r="H106" s="286"/>
      <c r="I106" s="286"/>
      <c r="J106" s="286"/>
      <c r="K106" s="286"/>
      <c r="L106" s="286"/>
      <c r="M106" s="286"/>
      <c r="N106" s="286"/>
      <c r="O106" s="286"/>
      <c r="P106" s="286"/>
      <c r="Q106" s="286"/>
      <c r="R106" s="286"/>
      <c r="S106" s="286"/>
      <c r="T106" s="286"/>
      <c r="U106" s="286"/>
      <c r="V106" s="286"/>
      <c r="W106" s="286"/>
      <c r="X106" s="286"/>
      <c r="Y106" s="286"/>
      <c r="Z106" s="286"/>
      <c r="AA106" s="286"/>
      <c r="AB106" s="286"/>
      <c r="AC106" s="286"/>
      <c r="AD106" s="286"/>
      <c r="AF106" s="286"/>
      <c r="AG106" s="286"/>
    </row>
    <row r="107" spans="2:33" x14ac:dyDescent="0.25">
      <c r="B107" s="368"/>
      <c r="C107" s="369"/>
      <c r="D107" s="369"/>
      <c r="E107" s="286"/>
      <c r="F107" s="286"/>
      <c r="G107" s="286"/>
      <c r="H107" s="286"/>
      <c r="I107" s="286"/>
      <c r="J107" s="286"/>
      <c r="K107" s="286"/>
      <c r="L107" s="286"/>
      <c r="M107" s="286"/>
      <c r="N107" s="286"/>
      <c r="O107" s="286"/>
      <c r="P107" s="286"/>
      <c r="Q107" s="286"/>
      <c r="R107" s="286"/>
      <c r="S107" s="286"/>
      <c r="T107" s="286"/>
      <c r="U107" s="286"/>
      <c r="V107" s="286"/>
      <c r="W107" s="286"/>
      <c r="X107" s="286"/>
      <c r="Y107" s="286"/>
      <c r="Z107" s="286"/>
      <c r="AA107" s="286"/>
      <c r="AB107" s="286"/>
      <c r="AC107" s="286"/>
      <c r="AD107" s="286"/>
      <c r="AF107" s="286"/>
      <c r="AG107" s="286"/>
    </row>
    <row r="108" spans="2:33" x14ac:dyDescent="0.25">
      <c r="B108" s="368"/>
      <c r="C108" s="369"/>
      <c r="D108" s="369"/>
      <c r="E108" s="286"/>
      <c r="F108" s="286"/>
      <c r="G108" s="286"/>
      <c r="H108" s="286"/>
      <c r="I108" s="286"/>
      <c r="J108" s="286"/>
      <c r="K108" s="286"/>
      <c r="L108" s="286"/>
      <c r="M108" s="286"/>
      <c r="N108" s="286"/>
      <c r="O108" s="286"/>
      <c r="P108" s="286"/>
      <c r="Q108" s="286"/>
      <c r="R108" s="286"/>
      <c r="S108" s="286"/>
      <c r="T108" s="286"/>
      <c r="U108" s="286"/>
      <c r="V108" s="286"/>
      <c r="W108" s="286"/>
      <c r="X108" s="286"/>
      <c r="Y108" s="286"/>
      <c r="Z108" s="286"/>
      <c r="AA108" s="286"/>
      <c r="AB108" s="286"/>
      <c r="AC108" s="286"/>
      <c r="AD108" s="286"/>
      <c r="AF108" s="286"/>
      <c r="AG108" s="286"/>
    </row>
    <row r="109" spans="2:33" x14ac:dyDescent="0.25">
      <c r="B109" s="368"/>
      <c r="C109" s="369"/>
      <c r="D109" s="369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286"/>
      <c r="R109" s="286"/>
      <c r="S109" s="286"/>
      <c r="T109" s="286"/>
      <c r="U109" s="286"/>
      <c r="V109" s="286"/>
      <c r="W109" s="286"/>
      <c r="X109" s="286"/>
      <c r="Y109" s="286"/>
      <c r="Z109" s="286"/>
      <c r="AA109" s="286"/>
      <c r="AB109" s="286"/>
      <c r="AC109" s="286"/>
      <c r="AD109" s="286"/>
      <c r="AF109" s="286"/>
      <c r="AG109" s="286"/>
    </row>
    <row r="110" spans="2:33" x14ac:dyDescent="0.25">
      <c r="B110" s="368"/>
      <c r="C110" s="369"/>
      <c r="D110" s="369"/>
      <c r="E110" s="286"/>
      <c r="F110" s="286"/>
      <c r="G110" s="286"/>
      <c r="H110" s="286"/>
      <c r="I110" s="286"/>
      <c r="J110" s="286"/>
      <c r="K110" s="286"/>
      <c r="L110" s="286"/>
      <c r="M110" s="286"/>
      <c r="N110" s="286"/>
      <c r="O110" s="286"/>
      <c r="P110" s="286"/>
      <c r="Q110" s="286"/>
      <c r="R110" s="286"/>
      <c r="S110" s="286"/>
      <c r="T110" s="286"/>
      <c r="U110" s="286"/>
      <c r="V110" s="286"/>
      <c r="W110" s="286"/>
      <c r="X110" s="286"/>
      <c r="Y110" s="286"/>
      <c r="Z110" s="286"/>
      <c r="AA110" s="286"/>
      <c r="AB110" s="286"/>
      <c r="AC110" s="286"/>
      <c r="AD110" s="286"/>
      <c r="AF110" s="286"/>
      <c r="AG110" s="286"/>
    </row>
    <row r="111" spans="2:33" x14ac:dyDescent="0.25">
      <c r="B111" s="368"/>
      <c r="C111" s="369"/>
      <c r="D111" s="369"/>
      <c r="E111" s="286"/>
      <c r="F111" s="286"/>
      <c r="G111" s="286"/>
      <c r="H111" s="286"/>
      <c r="I111" s="286"/>
      <c r="J111" s="286"/>
      <c r="K111" s="286"/>
      <c r="L111" s="286"/>
      <c r="M111" s="286"/>
      <c r="N111" s="286"/>
      <c r="O111" s="286"/>
      <c r="P111" s="286"/>
      <c r="Q111" s="286"/>
      <c r="R111" s="286"/>
      <c r="S111" s="286"/>
      <c r="T111" s="286"/>
      <c r="U111" s="286"/>
      <c r="V111" s="286"/>
      <c r="W111" s="286"/>
      <c r="X111" s="286"/>
      <c r="Y111" s="286"/>
      <c r="Z111" s="286"/>
      <c r="AA111" s="286"/>
      <c r="AB111" s="286"/>
      <c r="AC111" s="286"/>
      <c r="AD111" s="286"/>
      <c r="AF111" s="286"/>
      <c r="AG111" s="286"/>
    </row>
    <row r="112" spans="2:33" x14ac:dyDescent="0.25">
      <c r="B112" s="368"/>
      <c r="C112" s="369"/>
      <c r="D112" s="369"/>
      <c r="E112" s="286"/>
      <c r="F112" s="286"/>
      <c r="G112" s="286"/>
      <c r="H112" s="286"/>
      <c r="I112" s="286"/>
      <c r="J112" s="286"/>
      <c r="K112" s="286"/>
      <c r="L112" s="286"/>
      <c r="M112" s="286"/>
      <c r="N112" s="286"/>
      <c r="O112" s="286"/>
      <c r="P112" s="286"/>
      <c r="Q112" s="286"/>
      <c r="R112" s="286"/>
      <c r="S112" s="286"/>
      <c r="T112" s="286"/>
      <c r="U112" s="286"/>
      <c r="V112" s="286"/>
      <c r="W112" s="286"/>
      <c r="X112" s="286"/>
      <c r="Y112" s="286"/>
      <c r="Z112" s="286"/>
      <c r="AA112" s="286"/>
      <c r="AB112" s="286"/>
      <c r="AC112" s="286"/>
      <c r="AD112" s="286"/>
      <c r="AF112" s="286"/>
      <c r="AG112" s="286"/>
    </row>
    <row r="113" spans="2:33" x14ac:dyDescent="0.25">
      <c r="B113" s="368"/>
      <c r="C113" s="369"/>
      <c r="D113" s="369"/>
      <c r="E113" s="286"/>
      <c r="F113" s="286"/>
      <c r="G113" s="286"/>
      <c r="H113" s="286"/>
      <c r="I113" s="286"/>
      <c r="J113" s="286"/>
      <c r="K113" s="286"/>
      <c r="L113" s="286"/>
      <c r="M113" s="286"/>
      <c r="N113" s="286"/>
      <c r="O113" s="286"/>
      <c r="P113" s="286"/>
      <c r="Q113" s="286"/>
      <c r="R113" s="286"/>
      <c r="S113" s="286"/>
      <c r="T113" s="286"/>
      <c r="U113" s="286"/>
      <c r="V113" s="286"/>
      <c r="W113" s="286"/>
      <c r="X113" s="286"/>
      <c r="Y113" s="286"/>
      <c r="Z113" s="286"/>
      <c r="AA113" s="286"/>
      <c r="AB113" s="286"/>
      <c r="AC113" s="286"/>
      <c r="AD113" s="286"/>
      <c r="AF113" s="286"/>
      <c r="AG113" s="286"/>
    </row>
    <row r="114" spans="2:33" x14ac:dyDescent="0.25">
      <c r="B114" s="368"/>
      <c r="C114" s="369"/>
      <c r="D114" s="369"/>
      <c r="E114" s="286"/>
      <c r="F114" s="286"/>
      <c r="G114" s="286"/>
      <c r="H114" s="286"/>
      <c r="I114" s="286"/>
      <c r="J114" s="286"/>
      <c r="K114" s="286"/>
      <c r="L114" s="286"/>
      <c r="M114" s="286"/>
      <c r="N114" s="286"/>
      <c r="O114" s="286"/>
      <c r="P114" s="286"/>
      <c r="Q114" s="286"/>
      <c r="R114" s="286"/>
      <c r="S114" s="286"/>
      <c r="T114" s="286"/>
      <c r="U114" s="286"/>
      <c r="V114" s="286"/>
      <c r="W114" s="286"/>
      <c r="X114" s="286"/>
      <c r="Y114" s="286"/>
      <c r="Z114" s="286"/>
      <c r="AA114" s="286"/>
      <c r="AB114" s="286"/>
      <c r="AC114" s="286"/>
      <c r="AD114" s="286"/>
      <c r="AF114" s="286"/>
      <c r="AG114" s="286"/>
    </row>
    <row r="115" spans="2:33" x14ac:dyDescent="0.25">
      <c r="B115" s="368"/>
      <c r="C115" s="369"/>
      <c r="D115" s="369"/>
      <c r="E115" s="286"/>
      <c r="F115" s="286"/>
      <c r="G115" s="286"/>
      <c r="H115" s="286"/>
      <c r="I115" s="286"/>
      <c r="J115" s="286"/>
      <c r="K115" s="286"/>
      <c r="L115" s="286"/>
      <c r="M115" s="286"/>
      <c r="N115" s="286"/>
      <c r="O115" s="286"/>
      <c r="P115" s="286"/>
      <c r="Q115" s="286"/>
      <c r="R115" s="286"/>
      <c r="S115" s="286"/>
      <c r="T115" s="286"/>
      <c r="U115" s="286"/>
      <c r="V115" s="286"/>
      <c r="W115" s="286"/>
      <c r="X115" s="286"/>
      <c r="Y115" s="286"/>
      <c r="Z115" s="286"/>
      <c r="AA115" s="286"/>
      <c r="AB115" s="286"/>
      <c r="AC115" s="286"/>
      <c r="AD115" s="286"/>
      <c r="AF115" s="286"/>
      <c r="AG115" s="286"/>
    </row>
    <row r="116" spans="2:33" x14ac:dyDescent="0.25">
      <c r="B116" s="368"/>
      <c r="C116" s="369"/>
      <c r="D116" s="369"/>
      <c r="E116" s="286"/>
      <c r="F116" s="286"/>
      <c r="G116" s="286"/>
      <c r="H116" s="286"/>
      <c r="I116" s="286"/>
      <c r="J116" s="286"/>
      <c r="K116" s="286"/>
      <c r="L116" s="286"/>
      <c r="M116" s="286"/>
      <c r="N116" s="286"/>
      <c r="O116" s="286"/>
      <c r="P116" s="286"/>
      <c r="Q116" s="286"/>
      <c r="R116" s="286"/>
      <c r="S116" s="286"/>
      <c r="T116" s="286"/>
      <c r="U116" s="286"/>
      <c r="V116" s="286"/>
      <c r="W116" s="286"/>
      <c r="X116" s="286"/>
      <c r="Y116" s="286"/>
      <c r="Z116" s="286"/>
      <c r="AA116" s="286"/>
      <c r="AB116" s="286"/>
      <c r="AC116" s="286"/>
      <c r="AD116" s="286"/>
      <c r="AF116" s="286"/>
      <c r="AG116" s="286"/>
    </row>
    <row r="117" spans="2:33" x14ac:dyDescent="0.25">
      <c r="B117" s="368"/>
      <c r="C117" s="369"/>
      <c r="D117" s="369"/>
      <c r="E117" s="286"/>
      <c r="F117" s="286"/>
      <c r="G117" s="286"/>
      <c r="H117" s="286"/>
      <c r="I117" s="286"/>
      <c r="J117" s="286"/>
      <c r="K117" s="286"/>
      <c r="L117" s="286"/>
      <c r="M117" s="286"/>
      <c r="N117" s="286"/>
      <c r="O117" s="286"/>
      <c r="P117" s="286"/>
      <c r="Q117" s="286"/>
      <c r="R117" s="286"/>
      <c r="S117" s="286"/>
      <c r="T117" s="286"/>
      <c r="U117" s="286"/>
      <c r="V117" s="286"/>
      <c r="W117" s="286"/>
      <c r="X117" s="286"/>
      <c r="Y117" s="286"/>
      <c r="Z117" s="286"/>
      <c r="AA117" s="286"/>
      <c r="AB117" s="286"/>
      <c r="AC117" s="286"/>
      <c r="AD117" s="286"/>
      <c r="AF117" s="286"/>
      <c r="AG117" s="286"/>
    </row>
    <row r="118" spans="2:33" x14ac:dyDescent="0.25">
      <c r="B118" s="368"/>
      <c r="C118" s="369"/>
      <c r="D118" s="369"/>
      <c r="E118" s="286"/>
      <c r="F118" s="286"/>
      <c r="G118" s="286"/>
      <c r="H118" s="286"/>
      <c r="I118" s="286"/>
      <c r="J118" s="286"/>
      <c r="K118" s="286"/>
      <c r="L118" s="286"/>
      <c r="M118" s="286"/>
      <c r="N118" s="286"/>
      <c r="O118" s="286"/>
      <c r="P118" s="286"/>
      <c r="Q118" s="286"/>
      <c r="R118" s="286"/>
      <c r="S118" s="286"/>
      <c r="T118" s="286"/>
      <c r="U118" s="286"/>
      <c r="V118" s="286"/>
      <c r="W118" s="286"/>
      <c r="X118" s="286"/>
      <c r="Y118" s="286"/>
      <c r="Z118" s="286"/>
      <c r="AA118" s="286"/>
      <c r="AB118" s="286"/>
      <c r="AC118" s="286"/>
      <c r="AD118" s="286"/>
      <c r="AF118" s="286"/>
      <c r="AG118" s="286"/>
    </row>
    <row r="119" spans="2:33" x14ac:dyDescent="0.25">
      <c r="B119" s="368"/>
      <c r="C119" s="369"/>
      <c r="D119" s="369"/>
      <c r="E119" s="286"/>
      <c r="F119" s="286"/>
      <c r="G119" s="286"/>
      <c r="H119" s="286"/>
      <c r="I119" s="286"/>
      <c r="J119" s="286"/>
      <c r="K119" s="286"/>
      <c r="L119" s="286"/>
      <c r="M119" s="286"/>
      <c r="N119" s="286"/>
      <c r="O119" s="286"/>
      <c r="P119" s="286"/>
      <c r="Q119" s="286"/>
      <c r="R119" s="286"/>
      <c r="S119" s="286"/>
      <c r="T119" s="286"/>
      <c r="U119" s="286"/>
      <c r="V119" s="286"/>
      <c r="W119" s="286"/>
      <c r="X119" s="286"/>
      <c r="Y119" s="286"/>
      <c r="Z119" s="286"/>
      <c r="AA119" s="286"/>
      <c r="AB119" s="286"/>
      <c r="AC119" s="286"/>
      <c r="AD119" s="286"/>
      <c r="AF119" s="286"/>
      <c r="AG119" s="286"/>
    </row>
    <row r="120" spans="2:33" x14ac:dyDescent="0.25">
      <c r="B120" s="368"/>
      <c r="C120" s="369"/>
      <c r="D120" s="369"/>
      <c r="E120" s="286"/>
      <c r="F120" s="286"/>
      <c r="G120" s="286"/>
      <c r="H120" s="286"/>
      <c r="I120" s="286"/>
      <c r="J120" s="286"/>
      <c r="K120" s="286"/>
      <c r="L120" s="286"/>
      <c r="M120" s="286"/>
      <c r="N120" s="286"/>
      <c r="O120" s="286"/>
      <c r="P120" s="286"/>
      <c r="Q120" s="286"/>
      <c r="R120" s="286"/>
      <c r="S120" s="286"/>
      <c r="T120" s="286"/>
      <c r="U120" s="286"/>
      <c r="V120" s="286"/>
      <c r="W120" s="286"/>
      <c r="X120" s="286"/>
      <c r="Y120" s="286"/>
      <c r="Z120" s="286"/>
      <c r="AA120" s="286"/>
      <c r="AB120" s="286"/>
      <c r="AC120" s="286"/>
      <c r="AD120" s="286"/>
      <c r="AF120" s="286"/>
      <c r="AG120" s="286"/>
    </row>
    <row r="121" spans="2:33" x14ac:dyDescent="0.25">
      <c r="B121" s="368"/>
      <c r="C121" s="369"/>
      <c r="D121" s="369"/>
      <c r="E121" s="286"/>
      <c r="F121" s="286"/>
      <c r="G121" s="286"/>
      <c r="H121" s="286"/>
      <c r="I121" s="286"/>
      <c r="J121" s="286"/>
      <c r="K121" s="286"/>
      <c r="L121" s="286"/>
      <c r="M121" s="286"/>
      <c r="N121" s="286"/>
      <c r="O121" s="286"/>
      <c r="P121" s="286"/>
      <c r="Q121" s="286"/>
      <c r="R121" s="286"/>
      <c r="S121" s="286"/>
      <c r="T121" s="286"/>
      <c r="U121" s="286"/>
      <c r="V121" s="286"/>
      <c r="W121" s="286"/>
      <c r="X121" s="286"/>
      <c r="Y121" s="286"/>
      <c r="Z121" s="286"/>
      <c r="AA121" s="286"/>
      <c r="AB121" s="286"/>
      <c r="AC121" s="286"/>
      <c r="AD121" s="286"/>
      <c r="AF121" s="286"/>
      <c r="AG121" s="286"/>
    </row>
    <row r="122" spans="2:33" x14ac:dyDescent="0.25">
      <c r="B122" s="368"/>
      <c r="C122" s="369"/>
      <c r="D122" s="369"/>
      <c r="E122" s="286"/>
      <c r="F122" s="286"/>
      <c r="G122" s="286"/>
      <c r="H122" s="286"/>
      <c r="I122" s="286"/>
      <c r="J122" s="286"/>
      <c r="K122" s="286"/>
      <c r="L122" s="286"/>
      <c r="M122" s="286"/>
      <c r="N122" s="286"/>
      <c r="O122" s="286"/>
      <c r="P122" s="286"/>
      <c r="Q122" s="286"/>
      <c r="R122" s="286"/>
      <c r="S122" s="286"/>
      <c r="T122" s="286"/>
      <c r="U122" s="286"/>
      <c r="V122" s="286"/>
      <c r="W122" s="286"/>
      <c r="X122" s="286"/>
      <c r="Y122" s="286"/>
      <c r="Z122" s="286"/>
      <c r="AA122" s="286"/>
      <c r="AB122" s="286"/>
      <c r="AC122" s="286"/>
      <c r="AD122" s="286"/>
      <c r="AF122" s="286"/>
      <c r="AG122" s="286"/>
    </row>
    <row r="123" spans="2:33" x14ac:dyDescent="0.25">
      <c r="B123" s="368"/>
      <c r="C123" s="369"/>
      <c r="D123" s="369"/>
      <c r="E123" s="286"/>
      <c r="F123" s="286"/>
      <c r="G123" s="286"/>
      <c r="H123" s="286"/>
      <c r="I123" s="286"/>
      <c r="J123" s="286"/>
      <c r="K123" s="286"/>
      <c r="L123" s="286"/>
      <c r="M123" s="286"/>
      <c r="N123" s="286"/>
      <c r="O123" s="286"/>
      <c r="P123" s="286"/>
      <c r="Q123" s="286"/>
      <c r="R123" s="286"/>
      <c r="S123" s="286"/>
      <c r="T123" s="286"/>
      <c r="U123" s="286"/>
      <c r="V123" s="286"/>
      <c r="W123" s="286"/>
      <c r="X123" s="286"/>
      <c r="Y123" s="286"/>
      <c r="Z123" s="286"/>
      <c r="AA123" s="286"/>
      <c r="AB123" s="286"/>
      <c r="AC123" s="286"/>
      <c r="AD123" s="286"/>
      <c r="AF123" s="286"/>
      <c r="AG123" s="286"/>
    </row>
    <row r="124" spans="2:33" x14ac:dyDescent="0.25">
      <c r="B124" s="368"/>
      <c r="C124" s="369"/>
      <c r="D124" s="369"/>
      <c r="E124" s="286"/>
      <c r="F124" s="286"/>
      <c r="G124" s="286"/>
      <c r="H124" s="286"/>
      <c r="I124" s="286"/>
      <c r="J124" s="286"/>
      <c r="K124" s="286"/>
      <c r="L124" s="286"/>
      <c r="M124" s="286"/>
      <c r="N124" s="286"/>
      <c r="O124" s="286"/>
      <c r="P124" s="286"/>
      <c r="Q124" s="286"/>
      <c r="R124" s="286"/>
      <c r="S124" s="286"/>
      <c r="T124" s="286"/>
      <c r="U124" s="286"/>
      <c r="V124" s="286"/>
      <c r="W124" s="286"/>
      <c r="X124" s="286"/>
      <c r="Y124" s="286"/>
      <c r="Z124" s="286"/>
      <c r="AA124" s="286"/>
      <c r="AB124" s="286"/>
      <c r="AC124" s="286"/>
      <c r="AD124" s="286"/>
      <c r="AF124" s="286"/>
      <c r="AG124" s="286"/>
    </row>
    <row r="125" spans="2:33" x14ac:dyDescent="0.25">
      <c r="B125" s="368"/>
      <c r="C125" s="369"/>
      <c r="D125" s="369"/>
      <c r="E125" s="286"/>
      <c r="F125" s="286"/>
      <c r="G125" s="286"/>
      <c r="H125" s="286"/>
      <c r="I125" s="286"/>
      <c r="J125" s="286"/>
      <c r="K125" s="286"/>
      <c r="L125" s="286"/>
      <c r="M125" s="286"/>
      <c r="N125" s="286"/>
      <c r="O125" s="286"/>
      <c r="P125" s="286"/>
      <c r="Q125" s="286"/>
      <c r="R125" s="286"/>
      <c r="S125" s="286"/>
      <c r="T125" s="286"/>
      <c r="U125" s="286"/>
      <c r="V125" s="286"/>
      <c r="W125" s="286"/>
      <c r="X125" s="286"/>
      <c r="Y125" s="286"/>
      <c r="Z125" s="286"/>
      <c r="AA125" s="286"/>
      <c r="AB125" s="286"/>
      <c r="AC125" s="286"/>
      <c r="AD125" s="286"/>
      <c r="AF125" s="286"/>
      <c r="AG125" s="286"/>
    </row>
    <row r="126" spans="2:33" x14ac:dyDescent="0.25">
      <c r="B126" s="368"/>
      <c r="C126" s="369"/>
      <c r="D126" s="369"/>
      <c r="E126" s="286"/>
      <c r="F126" s="286"/>
      <c r="G126" s="286"/>
      <c r="H126" s="286"/>
      <c r="I126" s="286"/>
      <c r="J126" s="286"/>
      <c r="K126" s="286"/>
      <c r="L126" s="286"/>
      <c r="M126" s="286"/>
      <c r="N126" s="286"/>
      <c r="O126" s="286"/>
      <c r="P126" s="286"/>
      <c r="Q126" s="286"/>
      <c r="R126" s="286"/>
      <c r="S126" s="286"/>
      <c r="T126" s="286"/>
      <c r="U126" s="286"/>
      <c r="V126" s="286"/>
      <c r="W126" s="286"/>
      <c r="X126" s="286"/>
      <c r="Y126" s="286"/>
      <c r="Z126" s="286"/>
      <c r="AA126" s="286"/>
      <c r="AB126" s="286"/>
      <c r="AC126" s="286"/>
      <c r="AD126" s="286"/>
      <c r="AF126" s="286"/>
      <c r="AG126" s="286"/>
    </row>
    <row r="127" spans="2:33" x14ac:dyDescent="0.25">
      <c r="B127" s="368"/>
      <c r="C127" s="369"/>
      <c r="D127" s="369"/>
      <c r="E127" s="286"/>
      <c r="F127" s="286"/>
      <c r="G127" s="286"/>
      <c r="H127" s="286"/>
      <c r="I127" s="286"/>
      <c r="J127" s="286"/>
      <c r="K127" s="286"/>
      <c r="L127" s="286"/>
      <c r="M127" s="286"/>
      <c r="N127" s="286"/>
      <c r="O127" s="286"/>
      <c r="P127" s="286"/>
      <c r="Q127" s="286"/>
      <c r="R127" s="286"/>
      <c r="S127" s="286"/>
      <c r="T127" s="286"/>
      <c r="U127" s="286"/>
      <c r="V127" s="286"/>
      <c r="W127" s="286"/>
      <c r="X127" s="286"/>
      <c r="Y127" s="286"/>
      <c r="Z127" s="286"/>
      <c r="AA127" s="286"/>
      <c r="AB127" s="286"/>
      <c r="AC127" s="286"/>
      <c r="AD127" s="286"/>
      <c r="AF127" s="286"/>
      <c r="AG127" s="286"/>
    </row>
    <row r="128" spans="2:33" x14ac:dyDescent="0.25">
      <c r="B128" s="368"/>
      <c r="C128" s="369"/>
      <c r="D128" s="369"/>
      <c r="E128" s="286"/>
      <c r="F128" s="286"/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286"/>
      <c r="S128" s="286"/>
      <c r="T128" s="286"/>
      <c r="U128" s="286"/>
      <c r="V128" s="286"/>
      <c r="W128" s="286"/>
      <c r="X128" s="286"/>
      <c r="Y128" s="286"/>
      <c r="Z128" s="286"/>
      <c r="AA128" s="286"/>
      <c r="AB128" s="286"/>
      <c r="AC128" s="286"/>
      <c r="AD128" s="286"/>
      <c r="AF128" s="286"/>
      <c r="AG128" s="286"/>
    </row>
    <row r="129" spans="2:33" x14ac:dyDescent="0.25">
      <c r="B129" s="368"/>
      <c r="C129" s="369"/>
      <c r="D129" s="369"/>
      <c r="E129" s="286"/>
      <c r="F129" s="286"/>
      <c r="G129" s="286"/>
      <c r="H129" s="286"/>
      <c r="I129" s="286"/>
      <c r="J129" s="286"/>
      <c r="K129" s="286"/>
      <c r="L129" s="286"/>
      <c r="M129" s="286"/>
      <c r="N129" s="286"/>
      <c r="O129" s="286"/>
      <c r="P129" s="286"/>
      <c r="Q129" s="286"/>
      <c r="R129" s="286"/>
      <c r="S129" s="286"/>
      <c r="T129" s="286"/>
      <c r="U129" s="286"/>
      <c r="V129" s="286"/>
      <c r="W129" s="286"/>
      <c r="X129" s="286"/>
      <c r="Y129" s="286"/>
      <c r="Z129" s="286"/>
      <c r="AA129" s="286"/>
      <c r="AB129" s="286"/>
      <c r="AC129" s="286"/>
      <c r="AD129" s="286"/>
      <c r="AF129" s="286"/>
      <c r="AG129" s="286"/>
    </row>
    <row r="130" spans="2:33" x14ac:dyDescent="0.25">
      <c r="B130" s="368"/>
      <c r="C130" s="369"/>
      <c r="D130" s="369"/>
      <c r="E130" s="286"/>
      <c r="F130" s="286"/>
      <c r="G130" s="286"/>
      <c r="H130" s="286"/>
      <c r="I130" s="286"/>
      <c r="J130" s="286"/>
      <c r="K130" s="286"/>
      <c r="L130" s="286"/>
      <c r="M130" s="286"/>
      <c r="N130" s="286"/>
      <c r="O130" s="286"/>
      <c r="P130" s="286"/>
      <c r="Q130" s="286"/>
      <c r="R130" s="286"/>
      <c r="S130" s="286"/>
      <c r="T130" s="286"/>
      <c r="U130" s="286"/>
      <c r="V130" s="286"/>
      <c r="W130" s="286"/>
      <c r="X130" s="286"/>
      <c r="Y130" s="286"/>
      <c r="Z130" s="286"/>
      <c r="AA130" s="286"/>
      <c r="AB130" s="286"/>
      <c r="AC130" s="286"/>
      <c r="AD130" s="286"/>
      <c r="AF130" s="286"/>
      <c r="AG130" s="286"/>
    </row>
    <row r="131" spans="2:33" x14ac:dyDescent="0.25">
      <c r="B131" s="368"/>
      <c r="C131" s="369"/>
      <c r="D131" s="369"/>
      <c r="E131" s="286"/>
      <c r="F131" s="286"/>
      <c r="G131" s="286"/>
      <c r="H131" s="286"/>
      <c r="I131" s="286"/>
      <c r="J131" s="286"/>
      <c r="K131" s="286"/>
      <c r="L131" s="286"/>
      <c r="M131" s="286"/>
      <c r="N131" s="286"/>
      <c r="O131" s="286"/>
      <c r="P131" s="286"/>
      <c r="Q131" s="286"/>
      <c r="R131" s="286"/>
      <c r="S131" s="286"/>
      <c r="T131" s="286"/>
      <c r="U131" s="286"/>
      <c r="V131" s="286"/>
      <c r="W131" s="286"/>
      <c r="X131" s="286"/>
      <c r="Y131" s="286"/>
      <c r="Z131" s="286"/>
      <c r="AA131" s="286"/>
      <c r="AB131" s="286"/>
      <c r="AC131" s="286"/>
      <c r="AD131" s="286"/>
      <c r="AF131" s="286"/>
      <c r="AG131" s="286"/>
    </row>
    <row r="132" spans="2:33" x14ac:dyDescent="0.25">
      <c r="B132" s="368"/>
      <c r="C132" s="369"/>
      <c r="D132" s="369"/>
      <c r="E132" s="286"/>
      <c r="F132" s="286"/>
      <c r="G132" s="286"/>
      <c r="H132" s="286"/>
      <c r="I132" s="286"/>
      <c r="J132" s="286"/>
      <c r="K132" s="286"/>
      <c r="L132" s="286"/>
      <c r="M132" s="286"/>
      <c r="N132" s="286"/>
      <c r="O132" s="286"/>
      <c r="P132" s="286"/>
      <c r="Q132" s="286"/>
      <c r="R132" s="286"/>
      <c r="S132" s="286"/>
      <c r="T132" s="286"/>
      <c r="U132" s="286"/>
      <c r="V132" s="286"/>
      <c r="W132" s="286"/>
      <c r="X132" s="286"/>
      <c r="Y132" s="286"/>
      <c r="Z132" s="286"/>
      <c r="AA132" s="286"/>
      <c r="AB132" s="286"/>
      <c r="AC132" s="286"/>
      <c r="AD132" s="286"/>
      <c r="AF132" s="286"/>
      <c r="AG132" s="286"/>
    </row>
    <row r="133" spans="2:33" x14ac:dyDescent="0.25">
      <c r="B133" s="368"/>
      <c r="C133" s="369"/>
      <c r="D133" s="369"/>
      <c r="E133" s="286"/>
      <c r="F133" s="286"/>
      <c r="G133" s="286"/>
      <c r="H133" s="286"/>
      <c r="I133" s="286"/>
      <c r="J133" s="286"/>
      <c r="K133" s="286"/>
      <c r="L133" s="286"/>
      <c r="M133" s="286"/>
      <c r="N133" s="286"/>
      <c r="O133" s="286"/>
      <c r="P133" s="286"/>
      <c r="Q133" s="286"/>
      <c r="R133" s="286"/>
      <c r="S133" s="286"/>
      <c r="T133" s="286"/>
      <c r="U133" s="286"/>
      <c r="V133" s="286"/>
      <c r="W133" s="286"/>
      <c r="X133" s="286"/>
      <c r="Y133" s="286"/>
      <c r="Z133" s="286"/>
      <c r="AA133" s="286"/>
      <c r="AB133" s="286"/>
      <c r="AC133" s="286"/>
      <c r="AD133" s="286"/>
      <c r="AF133" s="286"/>
      <c r="AG133" s="286"/>
    </row>
    <row r="134" spans="2:33" x14ac:dyDescent="0.25">
      <c r="B134" s="368"/>
      <c r="C134" s="369"/>
      <c r="D134" s="369"/>
      <c r="E134" s="286"/>
      <c r="F134" s="286"/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6"/>
      <c r="W134" s="286"/>
      <c r="X134" s="286"/>
      <c r="Y134" s="286"/>
      <c r="Z134" s="286"/>
      <c r="AA134" s="286"/>
      <c r="AB134" s="286"/>
      <c r="AC134" s="286"/>
      <c r="AD134" s="286"/>
      <c r="AF134" s="286"/>
      <c r="AG134" s="286"/>
    </row>
    <row r="135" spans="2:33" x14ac:dyDescent="0.25">
      <c r="B135" s="368"/>
      <c r="C135" s="369"/>
      <c r="D135" s="369"/>
      <c r="E135" s="286"/>
      <c r="F135" s="286"/>
      <c r="G135" s="286"/>
      <c r="H135" s="286"/>
      <c r="I135" s="286"/>
      <c r="J135" s="286"/>
      <c r="K135" s="286"/>
      <c r="L135" s="286"/>
      <c r="M135" s="286"/>
      <c r="N135" s="286"/>
      <c r="O135" s="286"/>
      <c r="P135" s="286"/>
      <c r="Q135" s="286"/>
      <c r="R135" s="286"/>
      <c r="S135" s="286"/>
      <c r="T135" s="286"/>
      <c r="U135" s="286"/>
      <c r="V135" s="286"/>
      <c r="W135" s="286"/>
      <c r="X135" s="286"/>
      <c r="Y135" s="286"/>
      <c r="Z135" s="286"/>
      <c r="AA135" s="286"/>
      <c r="AB135" s="286"/>
      <c r="AC135" s="286"/>
      <c r="AD135" s="286"/>
      <c r="AF135" s="286"/>
      <c r="AG135" s="286"/>
    </row>
    <row r="136" spans="2:33" x14ac:dyDescent="0.25">
      <c r="B136" s="368"/>
      <c r="C136" s="369"/>
      <c r="D136" s="369"/>
      <c r="E136" s="286"/>
      <c r="F136" s="286"/>
      <c r="G136" s="286"/>
      <c r="H136" s="286"/>
      <c r="I136" s="286"/>
      <c r="J136" s="286"/>
      <c r="K136" s="286"/>
      <c r="L136" s="286"/>
      <c r="M136" s="286"/>
      <c r="N136" s="286"/>
      <c r="O136" s="286"/>
      <c r="P136" s="286"/>
      <c r="Q136" s="286"/>
      <c r="R136" s="286"/>
      <c r="S136" s="286"/>
      <c r="T136" s="286"/>
      <c r="U136" s="286"/>
      <c r="V136" s="286"/>
      <c r="W136" s="286"/>
      <c r="X136" s="286"/>
      <c r="Y136" s="286"/>
      <c r="Z136" s="286"/>
      <c r="AA136" s="286"/>
      <c r="AB136" s="286"/>
      <c r="AC136" s="286"/>
      <c r="AD136" s="286"/>
      <c r="AF136" s="286"/>
      <c r="AG136" s="286"/>
    </row>
    <row r="137" spans="2:33" x14ac:dyDescent="0.25">
      <c r="B137" s="368"/>
      <c r="C137" s="369"/>
      <c r="D137" s="369"/>
      <c r="E137" s="286"/>
      <c r="F137" s="286"/>
      <c r="G137" s="286"/>
      <c r="H137" s="286"/>
      <c r="I137" s="286"/>
      <c r="J137" s="286"/>
      <c r="K137" s="286"/>
      <c r="L137" s="286"/>
      <c r="M137" s="286"/>
      <c r="N137" s="286"/>
      <c r="O137" s="286"/>
      <c r="P137" s="286"/>
      <c r="Q137" s="286"/>
      <c r="R137" s="286"/>
      <c r="S137" s="286"/>
      <c r="T137" s="286"/>
      <c r="U137" s="286"/>
      <c r="V137" s="286"/>
      <c r="W137" s="286"/>
      <c r="X137" s="286"/>
      <c r="Y137" s="286"/>
      <c r="Z137" s="286"/>
      <c r="AA137" s="286"/>
      <c r="AB137" s="286"/>
      <c r="AC137" s="286"/>
      <c r="AD137" s="286"/>
      <c r="AF137" s="286"/>
      <c r="AG137" s="286"/>
    </row>
    <row r="138" spans="2:33" x14ac:dyDescent="0.25">
      <c r="B138" s="368"/>
      <c r="C138" s="369"/>
      <c r="D138" s="369"/>
      <c r="E138" s="286"/>
      <c r="F138" s="286"/>
      <c r="G138" s="286"/>
      <c r="H138" s="286"/>
      <c r="I138" s="286"/>
      <c r="J138" s="286"/>
      <c r="K138" s="286"/>
      <c r="L138" s="286"/>
      <c r="M138" s="286"/>
      <c r="N138" s="286"/>
      <c r="O138" s="286"/>
      <c r="P138" s="286"/>
      <c r="Q138" s="286"/>
      <c r="R138" s="286"/>
      <c r="S138" s="286"/>
      <c r="T138" s="286"/>
      <c r="U138" s="286"/>
      <c r="V138" s="286"/>
      <c r="W138" s="286"/>
      <c r="X138" s="286"/>
      <c r="Y138" s="286"/>
      <c r="Z138" s="286"/>
      <c r="AA138" s="286"/>
      <c r="AB138" s="286"/>
      <c r="AC138" s="286"/>
      <c r="AD138" s="286"/>
      <c r="AF138" s="286"/>
      <c r="AG138" s="286"/>
    </row>
    <row r="139" spans="2:33" x14ac:dyDescent="0.25">
      <c r="B139" s="368"/>
      <c r="C139" s="369"/>
      <c r="D139" s="369"/>
      <c r="E139" s="286"/>
      <c r="F139" s="286"/>
      <c r="G139" s="286"/>
      <c r="H139" s="286"/>
      <c r="I139" s="286"/>
      <c r="J139" s="286"/>
      <c r="K139" s="286"/>
      <c r="L139" s="286"/>
      <c r="M139" s="286"/>
      <c r="N139" s="286"/>
      <c r="O139" s="286"/>
      <c r="P139" s="286"/>
      <c r="Q139" s="286"/>
      <c r="R139" s="286"/>
      <c r="S139" s="286"/>
      <c r="T139" s="286"/>
      <c r="U139" s="286"/>
      <c r="V139" s="286"/>
      <c r="W139" s="286"/>
      <c r="X139" s="286"/>
      <c r="Y139" s="286"/>
      <c r="Z139" s="286"/>
      <c r="AA139" s="286"/>
      <c r="AB139" s="286"/>
      <c r="AC139" s="286"/>
      <c r="AD139" s="286"/>
      <c r="AF139" s="286"/>
      <c r="AG139" s="286"/>
    </row>
    <row r="140" spans="2:33" x14ac:dyDescent="0.25">
      <c r="B140" s="368"/>
      <c r="C140" s="369"/>
      <c r="D140" s="369"/>
      <c r="E140" s="286"/>
      <c r="F140" s="286"/>
      <c r="G140" s="286"/>
      <c r="H140" s="286"/>
      <c r="I140" s="286"/>
      <c r="J140" s="286"/>
      <c r="K140" s="286"/>
      <c r="L140" s="286"/>
      <c r="M140" s="286"/>
      <c r="N140" s="286"/>
      <c r="O140" s="286"/>
      <c r="P140" s="286"/>
      <c r="Q140" s="286"/>
      <c r="R140" s="286"/>
      <c r="S140" s="286"/>
      <c r="T140" s="286"/>
      <c r="U140" s="286"/>
      <c r="V140" s="286"/>
      <c r="W140" s="286"/>
      <c r="X140" s="286"/>
      <c r="Y140" s="286"/>
      <c r="Z140" s="286"/>
      <c r="AA140" s="286"/>
      <c r="AB140" s="286"/>
      <c r="AC140" s="286"/>
      <c r="AD140" s="286"/>
      <c r="AF140" s="286"/>
      <c r="AG140" s="286"/>
    </row>
    <row r="141" spans="2:33" x14ac:dyDescent="0.25">
      <c r="B141" s="368"/>
      <c r="C141" s="369"/>
      <c r="D141" s="369"/>
      <c r="E141" s="286"/>
      <c r="F141" s="286"/>
      <c r="G141" s="286"/>
      <c r="H141" s="286"/>
      <c r="I141" s="286"/>
      <c r="J141" s="286"/>
      <c r="K141" s="286"/>
      <c r="L141" s="286"/>
      <c r="M141" s="286"/>
      <c r="N141" s="286"/>
      <c r="O141" s="286"/>
      <c r="P141" s="286"/>
      <c r="Q141" s="286"/>
      <c r="R141" s="286"/>
      <c r="S141" s="286"/>
      <c r="T141" s="286"/>
      <c r="U141" s="286"/>
      <c r="V141" s="286"/>
      <c r="W141" s="286"/>
      <c r="X141" s="286"/>
      <c r="Y141" s="286"/>
      <c r="Z141" s="286"/>
      <c r="AA141" s="286"/>
      <c r="AB141" s="286"/>
      <c r="AC141" s="286"/>
      <c r="AD141" s="286"/>
      <c r="AF141" s="286"/>
      <c r="AG141" s="286"/>
    </row>
    <row r="142" spans="2:33" x14ac:dyDescent="0.25">
      <c r="B142" s="368"/>
      <c r="C142" s="369"/>
      <c r="D142" s="369"/>
      <c r="E142" s="286"/>
      <c r="F142" s="286"/>
      <c r="G142" s="286"/>
      <c r="H142" s="286"/>
      <c r="I142" s="286"/>
      <c r="J142" s="286"/>
      <c r="K142" s="286"/>
      <c r="L142" s="286"/>
      <c r="M142" s="286"/>
      <c r="N142" s="286"/>
      <c r="O142" s="286"/>
      <c r="P142" s="286"/>
      <c r="Q142" s="286"/>
      <c r="R142" s="286"/>
      <c r="S142" s="286"/>
      <c r="T142" s="286"/>
      <c r="U142" s="286"/>
      <c r="V142" s="286"/>
      <c r="W142" s="286"/>
      <c r="X142" s="286"/>
      <c r="Y142" s="286"/>
      <c r="Z142" s="286"/>
      <c r="AA142" s="286"/>
      <c r="AB142" s="286"/>
      <c r="AC142" s="286"/>
      <c r="AD142" s="286"/>
      <c r="AF142" s="286"/>
      <c r="AG142" s="286"/>
    </row>
    <row r="143" spans="2:33" x14ac:dyDescent="0.25">
      <c r="B143" s="368"/>
      <c r="C143" s="369"/>
      <c r="D143" s="369"/>
      <c r="E143" s="286"/>
      <c r="F143" s="286"/>
      <c r="G143" s="286"/>
      <c r="H143" s="286"/>
      <c r="I143" s="286"/>
      <c r="J143" s="286"/>
      <c r="K143" s="286"/>
      <c r="L143" s="286"/>
      <c r="M143" s="286"/>
      <c r="N143" s="286"/>
      <c r="O143" s="286"/>
      <c r="P143" s="286"/>
      <c r="Q143" s="286"/>
      <c r="R143" s="286"/>
      <c r="S143" s="286"/>
      <c r="T143" s="286"/>
      <c r="U143" s="286"/>
      <c r="V143" s="286"/>
      <c r="W143" s="286"/>
      <c r="X143" s="286"/>
      <c r="Y143" s="286"/>
      <c r="Z143" s="286"/>
      <c r="AA143" s="286"/>
      <c r="AB143" s="286"/>
      <c r="AC143" s="286"/>
      <c r="AD143" s="286"/>
      <c r="AF143" s="286"/>
      <c r="AG143" s="286"/>
    </row>
    <row r="144" spans="2:33" x14ac:dyDescent="0.25">
      <c r="B144" s="368"/>
      <c r="C144" s="369"/>
      <c r="D144" s="369"/>
      <c r="E144" s="286"/>
      <c r="F144" s="286"/>
      <c r="G144" s="286"/>
      <c r="H144" s="286"/>
      <c r="I144" s="286"/>
      <c r="J144" s="286"/>
      <c r="K144" s="286"/>
      <c r="L144" s="286"/>
      <c r="M144" s="286"/>
      <c r="N144" s="286"/>
      <c r="O144" s="286"/>
      <c r="P144" s="286"/>
      <c r="Q144" s="286"/>
      <c r="R144" s="286"/>
      <c r="S144" s="286"/>
      <c r="T144" s="286"/>
      <c r="U144" s="286"/>
      <c r="V144" s="286"/>
      <c r="W144" s="286"/>
      <c r="X144" s="286"/>
      <c r="Y144" s="286"/>
      <c r="Z144" s="286"/>
      <c r="AA144" s="286"/>
      <c r="AB144" s="286"/>
      <c r="AC144" s="286"/>
      <c r="AD144" s="286"/>
      <c r="AF144" s="286"/>
      <c r="AG144" s="286"/>
    </row>
    <row r="145" spans="2:33" x14ac:dyDescent="0.25">
      <c r="B145" s="368"/>
      <c r="C145" s="369"/>
      <c r="D145" s="369"/>
      <c r="E145" s="286"/>
      <c r="F145" s="286"/>
      <c r="G145" s="286"/>
      <c r="H145" s="286"/>
      <c r="I145" s="286"/>
      <c r="J145" s="286"/>
      <c r="K145" s="286"/>
      <c r="L145" s="286"/>
      <c r="M145" s="286"/>
      <c r="N145" s="286"/>
      <c r="O145" s="286"/>
      <c r="P145" s="286"/>
      <c r="Q145" s="286"/>
      <c r="R145" s="286"/>
      <c r="S145" s="286"/>
      <c r="T145" s="286"/>
      <c r="U145" s="286"/>
      <c r="V145" s="286"/>
      <c r="W145" s="286"/>
      <c r="X145" s="286"/>
      <c r="Y145" s="286"/>
      <c r="Z145" s="286"/>
      <c r="AA145" s="286"/>
      <c r="AB145" s="286"/>
      <c r="AC145" s="286"/>
      <c r="AD145" s="286"/>
      <c r="AF145" s="286"/>
      <c r="AG145" s="286"/>
    </row>
    <row r="146" spans="2:33" x14ac:dyDescent="0.25">
      <c r="B146" s="368"/>
      <c r="C146" s="369"/>
      <c r="D146" s="369"/>
      <c r="E146" s="286"/>
      <c r="F146" s="286"/>
      <c r="G146" s="286"/>
      <c r="H146" s="286"/>
      <c r="I146" s="286"/>
      <c r="J146" s="286"/>
      <c r="K146" s="286"/>
      <c r="L146" s="286"/>
      <c r="M146" s="286"/>
      <c r="N146" s="286"/>
      <c r="O146" s="286"/>
      <c r="P146" s="286"/>
      <c r="Q146" s="286"/>
      <c r="R146" s="286"/>
      <c r="S146" s="286"/>
      <c r="T146" s="286"/>
      <c r="U146" s="286"/>
      <c r="V146" s="286"/>
      <c r="W146" s="286"/>
      <c r="X146" s="286"/>
      <c r="Y146" s="286"/>
      <c r="Z146" s="286"/>
      <c r="AA146" s="286"/>
      <c r="AB146" s="286"/>
      <c r="AC146" s="286"/>
      <c r="AD146" s="286"/>
      <c r="AF146" s="286"/>
      <c r="AG146" s="286"/>
    </row>
    <row r="147" spans="2:33" x14ac:dyDescent="0.25">
      <c r="B147" s="368"/>
      <c r="C147" s="369"/>
      <c r="D147" s="369"/>
      <c r="E147" s="286"/>
      <c r="F147" s="286"/>
      <c r="G147" s="286"/>
      <c r="H147" s="286"/>
      <c r="I147" s="286"/>
      <c r="J147" s="286"/>
      <c r="K147" s="286"/>
      <c r="L147" s="286"/>
      <c r="M147" s="286"/>
      <c r="N147" s="286"/>
      <c r="O147" s="286"/>
      <c r="P147" s="286"/>
      <c r="Q147" s="286"/>
      <c r="R147" s="286"/>
      <c r="S147" s="286"/>
      <c r="T147" s="286"/>
      <c r="U147" s="286"/>
      <c r="V147" s="286"/>
      <c r="W147" s="286"/>
      <c r="X147" s="286"/>
      <c r="Y147" s="286"/>
      <c r="Z147" s="286"/>
      <c r="AA147" s="286"/>
      <c r="AB147" s="286"/>
      <c r="AC147" s="286"/>
      <c r="AD147" s="286"/>
      <c r="AF147" s="286"/>
      <c r="AG147" s="286"/>
    </row>
    <row r="148" spans="2:33" x14ac:dyDescent="0.25">
      <c r="B148" s="368"/>
      <c r="C148" s="369"/>
      <c r="D148" s="369"/>
      <c r="E148" s="286"/>
      <c r="F148" s="286"/>
      <c r="G148" s="286"/>
      <c r="H148" s="286"/>
      <c r="I148" s="286"/>
      <c r="J148" s="286"/>
      <c r="K148" s="286"/>
      <c r="L148" s="286"/>
      <c r="M148" s="286"/>
      <c r="N148" s="286"/>
      <c r="O148" s="286"/>
      <c r="P148" s="286"/>
      <c r="Q148" s="286"/>
      <c r="R148" s="286"/>
      <c r="S148" s="286"/>
      <c r="T148" s="286"/>
      <c r="U148" s="286"/>
      <c r="V148" s="286"/>
      <c r="W148" s="286"/>
      <c r="X148" s="286"/>
      <c r="Y148" s="286"/>
      <c r="Z148" s="286"/>
      <c r="AA148" s="286"/>
      <c r="AB148" s="286"/>
      <c r="AC148" s="286"/>
      <c r="AD148" s="286"/>
      <c r="AF148" s="286"/>
      <c r="AG148" s="286"/>
    </row>
    <row r="149" spans="2:33" x14ac:dyDescent="0.25">
      <c r="B149" s="368"/>
      <c r="C149" s="369"/>
      <c r="D149" s="369"/>
      <c r="E149" s="286"/>
      <c r="F149" s="286"/>
      <c r="G149" s="286"/>
      <c r="H149" s="286"/>
      <c r="I149" s="286"/>
      <c r="J149" s="286"/>
      <c r="K149" s="286"/>
      <c r="L149" s="286"/>
      <c r="M149" s="286"/>
      <c r="N149" s="286"/>
      <c r="O149" s="286"/>
      <c r="P149" s="286"/>
      <c r="Q149" s="286"/>
      <c r="R149" s="286"/>
      <c r="S149" s="286"/>
      <c r="T149" s="286"/>
      <c r="U149" s="286"/>
      <c r="V149" s="286"/>
      <c r="W149" s="286"/>
      <c r="X149" s="286"/>
      <c r="Y149" s="286"/>
      <c r="Z149" s="286"/>
      <c r="AA149" s="286"/>
      <c r="AB149" s="286"/>
      <c r="AC149" s="286"/>
      <c r="AD149" s="286"/>
      <c r="AF149" s="286"/>
      <c r="AG149" s="286"/>
    </row>
    <row r="150" spans="2:33" x14ac:dyDescent="0.25">
      <c r="B150" s="368"/>
      <c r="C150" s="369"/>
      <c r="D150" s="369"/>
      <c r="E150" s="286"/>
      <c r="F150" s="286"/>
      <c r="G150" s="286"/>
      <c r="H150" s="286"/>
      <c r="I150" s="286"/>
      <c r="J150" s="286"/>
      <c r="K150" s="286"/>
      <c r="L150" s="286"/>
      <c r="M150" s="286"/>
      <c r="N150" s="286"/>
      <c r="O150" s="286"/>
      <c r="P150" s="286"/>
      <c r="Q150" s="286"/>
      <c r="R150" s="286"/>
      <c r="S150" s="286"/>
      <c r="T150" s="286"/>
      <c r="U150" s="286"/>
      <c r="V150" s="286"/>
      <c r="W150" s="286"/>
      <c r="X150" s="286"/>
      <c r="Y150" s="286"/>
      <c r="Z150" s="286"/>
      <c r="AA150" s="286"/>
      <c r="AB150" s="286"/>
      <c r="AC150" s="286"/>
      <c r="AD150" s="286"/>
      <c r="AF150" s="286"/>
      <c r="AG150" s="286"/>
    </row>
    <row r="151" spans="2:33" x14ac:dyDescent="0.25">
      <c r="B151" s="368"/>
      <c r="C151" s="369"/>
      <c r="D151" s="369"/>
      <c r="E151" s="286"/>
      <c r="F151" s="286"/>
      <c r="G151" s="286"/>
      <c r="H151" s="286"/>
      <c r="I151" s="286"/>
      <c r="J151" s="286"/>
      <c r="K151" s="286"/>
      <c r="L151" s="286"/>
      <c r="M151" s="286"/>
      <c r="N151" s="286"/>
      <c r="O151" s="286"/>
      <c r="P151" s="286"/>
      <c r="Q151" s="286"/>
      <c r="R151" s="286"/>
      <c r="S151" s="286"/>
      <c r="T151" s="286"/>
      <c r="U151" s="286"/>
      <c r="V151" s="286"/>
      <c r="W151" s="286"/>
      <c r="X151" s="286"/>
      <c r="Y151" s="286"/>
      <c r="Z151" s="286"/>
      <c r="AA151" s="286"/>
      <c r="AB151" s="286"/>
      <c r="AC151" s="286"/>
      <c r="AD151" s="286"/>
      <c r="AF151" s="286"/>
      <c r="AG151" s="286"/>
    </row>
    <row r="152" spans="2:33" x14ac:dyDescent="0.25">
      <c r="B152" s="368"/>
      <c r="C152" s="369"/>
      <c r="D152" s="369"/>
      <c r="E152" s="286"/>
      <c r="F152" s="286"/>
      <c r="G152" s="286"/>
      <c r="H152" s="286"/>
      <c r="I152" s="286"/>
      <c r="J152" s="286"/>
      <c r="K152" s="286"/>
      <c r="L152" s="286"/>
      <c r="M152" s="286"/>
      <c r="N152" s="286"/>
      <c r="O152" s="286"/>
      <c r="P152" s="286"/>
      <c r="Q152" s="286"/>
      <c r="R152" s="286"/>
      <c r="S152" s="286"/>
      <c r="T152" s="286"/>
      <c r="U152" s="286"/>
      <c r="V152" s="286"/>
      <c r="W152" s="286"/>
      <c r="X152" s="286"/>
      <c r="Y152" s="286"/>
      <c r="Z152" s="286"/>
      <c r="AA152" s="286"/>
      <c r="AB152" s="286"/>
      <c r="AC152" s="286"/>
      <c r="AD152" s="286"/>
      <c r="AF152" s="286"/>
      <c r="AG152" s="286"/>
    </row>
    <row r="153" spans="2:33" x14ac:dyDescent="0.25">
      <c r="B153" s="368"/>
      <c r="C153" s="369"/>
      <c r="D153" s="369"/>
      <c r="E153" s="286"/>
      <c r="F153" s="286"/>
      <c r="G153" s="286"/>
      <c r="H153" s="286"/>
      <c r="I153" s="286"/>
      <c r="J153" s="286"/>
      <c r="K153" s="286"/>
      <c r="L153" s="286"/>
      <c r="M153" s="286"/>
      <c r="N153" s="286"/>
      <c r="O153" s="286"/>
      <c r="P153" s="286"/>
      <c r="Q153" s="286"/>
      <c r="R153" s="286"/>
      <c r="S153" s="286"/>
      <c r="T153" s="286"/>
      <c r="U153" s="286"/>
      <c r="V153" s="286"/>
      <c r="W153" s="286"/>
      <c r="X153" s="286"/>
      <c r="Y153" s="286"/>
      <c r="Z153" s="286"/>
      <c r="AA153" s="286"/>
      <c r="AB153" s="286"/>
      <c r="AC153" s="286"/>
      <c r="AD153" s="286"/>
      <c r="AF153" s="286"/>
      <c r="AG153" s="286"/>
    </row>
    <row r="154" spans="2:33" x14ac:dyDescent="0.25">
      <c r="B154" s="368"/>
      <c r="C154" s="369"/>
      <c r="D154" s="369"/>
      <c r="E154" s="286"/>
      <c r="F154" s="286"/>
      <c r="G154" s="286"/>
      <c r="H154" s="286"/>
      <c r="I154" s="286"/>
      <c r="J154" s="286"/>
      <c r="K154" s="286"/>
      <c r="L154" s="286"/>
      <c r="M154" s="286"/>
      <c r="N154" s="286"/>
      <c r="O154" s="286"/>
      <c r="P154" s="286"/>
      <c r="Q154" s="286"/>
      <c r="R154" s="286"/>
      <c r="S154" s="286"/>
      <c r="T154" s="286"/>
      <c r="U154" s="286"/>
      <c r="V154" s="286"/>
      <c r="W154" s="286"/>
      <c r="X154" s="286"/>
      <c r="Y154" s="286"/>
      <c r="Z154" s="286"/>
      <c r="AA154" s="286"/>
      <c r="AB154" s="286"/>
      <c r="AC154" s="286"/>
      <c r="AD154" s="286"/>
      <c r="AF154" s="286"/>
      <c r="AG154" s="286"/>
    </row>
    <row r="155" spans="2:33" x14ac:dyDescent="0.25">
      <c r="B155" s="368"/>
      <c r="C155" s="369"/>
      <c r="D155" s="369"/>
      <c r="E155" s="286"/>
      <c r="F155" s="286"/>
      <c r="G155" s="286"/>
      <c r="H155" s="286"/>
      <c r="I155" s="286"/>
      <c r="J155" s="286"/>
      <c r="K155" s="286"/>
      <c r="L155" s="286"/>
      <c r="M155" s="286"/>
      <c r="N155" s="286"/>
      <c r="O155" s="286"/>
      <c r="P155" s="286"/>
      <c r="Q155" s="286"/>
      <c r="R155" s="286"/>
      <c r="S155" s="286"/>
      <c r="T155" s="286"/>
      <c r="U155" s="286"/>
      <c r="V155" s="286"/>
      <c r="W155" s="286"/>
      <c r="X155" s="286"/>
      <c r="Y155" s="286"/>
      <c r="Z155" s="286"/>
      <c r="AA155" s="286"/>
      <c r="AB155" s="286"/>
      <c r="AC155" s="286"/>
      <c r="AD155" s="286"/>
      <c r="AF155" s="286"/>
      <c r="AG155" s="286"/>
    </row>
    <row r="156" spans="2:33" x14ac:dyDescent="0.25">
      <c r="B156" s="368"/>
      <c r="C156" s="369"/>
      <c r="D156" s="369"/>
      <c r="E156" s="286"/>
      <c r="F156" s="286"/>
      <c r="G156" s="286"/>
      <c r="H156" s="286"/>
      <c r="I156" s="286"/>
      <c r="J156" s="286"/>
      <c r="K156" s="286"/>
      <c r="L156" s="286"/>
      <c r="M156" s="286"/>
      <c r="N156" s="286"/>
      <c r="O156" s="286"/>
      <c r="P156" s="286"/>
      <c r="Q156" s="286"/>
      <c r="R156" s="286"/>
      <c r="S156" s="286"/>
      <c r="T156" s="286"/>
      <c r="U156" s="286"/>
      <c r="V156" s="286"/>
      <c r="W156" s="286"/>
      <c r="X156" s="286"/>
      <c r="Y156" s="286"/>
      <c r="Z156" s="286"/>
      <c r="AA156" s="286"/>
      <c r="AB156" s="286"/>
      <c r="AC156" s="286"/>
      <c r="AD156" s="286"/>
      <c r="AF156" s="286"/>
      <c r="AG156" s="286"/>
    </row>
    <row r="157" spans="2:33" x14ac:dyDescent="0.25">
      <c r="B157" s="368"/>
      <c r="C157" s="369"/>
      <c r="D157" s="369"/>
      <c r="E157" s="286"/>
      <c r="F157" s="286"/>
      <c r="G157" s="286"/>
      <c r="H157" s="286"/>
      <c r="I157" s="286"/>
      <c r="J157" s="286"/>
      <c r="K157" s="286"/>
      <c r="L157" s="286"/>
      <c r="M157" s="286"/>
      <c r="N157" s="286"/>
      <c r="O157" s="286"/>
      <c r="P157" s="286"/>
      <c r="Q157" s="286"/>
      <c r="R157" s="286"/>
      <c r="S157" s="286"/>
      <c r="T157" s="286"/>
      <c r="U157" s="286"/>
      <c r="V157" s="286"/>
      <c r="W157" s="286"/>
      <c r="X157" s="286"/>
      <c r="Y157" s="286"/>
      <c r="Z157" s="286"/>
      <c r="AA157" s="286"/>
      <c r="AB157" s="286"/>
      <c r="AC157" s="286"/>
      <c r="AD157" s="286"/>
      <c r="AF157" s="286"/>
      <c r="AG157" s="286"/>
    </row>
    <row r="158" spans="2:33" x14ac:dyDescent="0.25">
      <c r="B158" s="368"/>
      <c r="C158" s="369"/>
      <c r="D158" s="369"/>
      <c r="E158" s="286"/>
      <c r="F158" s="286"/>
      <c r="G158" s="286"/>
      <c r="H158" s="286"/>
      <c r="I158" s="286"/>
      <c r="J158" s="286"/>
      <c r="K158" s="286"/>
      <c r="L158" s="286"/>
      <c r="M158" s="286"/>
      <c r="N158" s="286"/>
      <c r="O158" s="286"/>
      <c r="P158" s="286"/>
      <c r="Q158" s="286"/>
      <c r="R158" s="286"/>
      <c r="S158" s="286"/>
      <c r="T158" s="286"/>
      <c r="U158" s="286"/>
      <c r="V158" s="286"/>
      <c r="W158" s="286"/>
      <c r="X158" s="286"/>
      <c r="Y158" s="286"/>
      <c r="Z158" s="286"/>
      <c r="AA158" s="286"/>
      <c r="AB158" s="286"/>
      <c r="AC158" s="286"/>
      <c r="AD158" s="286"/>
      <c r="AF158" s="286"/>
      <c r="AG158" s="286"/>
    </row>
    <row r="159" spans="2:33" x14ac:dyDescent="0.25">
      <c r="B159" s="368"/>
      <c r="C159" s="369"/>
      <c r="D159" s="369"/>
      <c r="E159" s="286"/>
      <c r="F159" s="286"/>
      <c r="G159" s="286"/>
      <c r="H159" s="286"/>
      <c r="I159" s="286"/>
      <c r="J159" s="286"/>
      <c r="K159" s="286"/>
      <c r="L159" s="286"/>
      <c r="M159" s="286"/>
      <c r="N159" s="286"/>
      <c r="O159" s="286"/>
      <c r="P159" s="286"/>
      <c r="Q159" s="286"/>
      <c r="R159" s="286"/>
      <c r="S159" s="286"/>
      <c r="T159" s="286"/>
      <c r="U159" s="286"/>
      <c r="V159" s="286"/>
      <c r="W159" s="286"/>
      <c r="X159" s="286"/>
      <c r="Y159" s="286"/>
      <c r="Z159" s="286"/>
      <c r="AA159" s="286"/>
      <c r="AB159" s="286"/>
      <c r="AC159" s="286"/>
      <c r="AD159" s="286"/>
      <c r="AF159" s="286"/>
      <c r="AG159" s="286"/>
    </row>
    <row r="160" spans="2:33" x14ac:dyDescent="0.25">
      <c r="B160" s="368"/>
      <c r="C160" s="369"/>
      <c r="D160" s="369"/>
      <c r="E160" s="286"/>
      <c r="F160" s="286"/>
      <c r="G160" s="286"/>
      <c r="H160" s="286"/>
      <c r="I160" s="286"/>
      <c r="J160" s="286"/>
      <c r="K160" s="286"/>
      <c r="L160" s="286"/>
      <c r="M160" s="286"/>
      <c r="N160" s="286"/>
      <c r="O160" s="286"/>
      <c r="P160" s="286"/>
      <c r="Q160" s="286"/>
      <c r="R160" s="286"/>
      <c r="S160" s="286"/>
      <c r="T160" s="286"/>
      <c r="U160" s="286"/>
      <c r="V160" s="286"/>
      <c r="W160" s="286"/>
      <c r="X160" s="286"/>
      <c r="Y160" s="286"/>
      <c r="Z160" s="286"/>
      <c r="AA160" s="286"/>
      <c r="AB160" s="286"/>
      <c r="AC160" s="286"/>
      <c r="AD160" s="286"/>
      <c r="AF160" s="286"/>
      <c r="AG160" s="286"/>
    </row>
    <row r="161" spans="2:33" x14ac:dyDescent="0.25">
      <c r="B161" s="368"/>
      <c r="C161" s="369"/>
      <c r="D161" s="369"/>
      <c r="E161" s="286"/>
      <c r="F161" s="286"/>
      <c r="G161" s="286"/>
      <c r="H161" s="286"/>
      <c r="I161" s="286"/>
      <c r="J161" s="286"/>
      <c r="K161" s="286"/>
      <c r="L161" s="286"/>
      <c r="M161" s="286"/>
      <c r="N161" s="286"/>
      <c r="O161" s="286"/>
      <c r="P161" s="286"/>
      <c r="Q161" s="286"/>
      <c r="R161" s="286"/>
      <c r="S161" s="286"/>
      <c r="T161" s="286"/>
      <c r="U161" s="286"/>
      <c r="V161" s="286"/>
      <c r="W161" s="286"/>
      <c r="X161" s="286"/>
      <c r="Y161" s="286"/>
      <c r="Z161" s="286"/>
      <c r="AA161" s="286"/>
      <c r="AB161" s="286"/>
      <c r="AC161" s="286"/>
      <c r="AD161" s="286"/>
      <c r="AF161" s="286"/>
      <c r="AG161" s="286"/>
    </row>
    <row r="162" spans="2:33" x14ac:dyDescent="0.25">
      <c r="B162" s="368"/>
      <c r="C162" s="369"/>
      <c r="D162" s="369"/>
      <c r="E162" s="286"/>
      <c r="F162" s="286"/>
      <c r="G162" s="286"/>
      <c r="H162" s="286"/>
      <c r="I162" s="286"/>
      <c r="J162" s="286"/>
      <c r="K162" s="286"/>
      <c r="L162" s="286"/>
      <c r="M162" s="286"/>
      <c r="N162" s="286"/>
      <c r="O162" s="286"/>
      <c r="P162" s="286"/>
      <c r="Q162" s="286"/>
      <c r="R162" s="286"/>
      <c r="S162" s="286"/>
      <c r="T162" s="286"/>
      <c r="U162" s="286"/>
      <c r="V162" s="286"/>
      <c r="W162" s="286"/>
      <c r="X162" s="286"/>
      <c r="Y162" s="286"/>
      <c r="Z162" s="286"/>
      <c r="AA162" s="286"/>
      <c r="AB162" s="286"/>
      <c r="AC162" s="286"/>
      <c r="AD162" s="286"/>
      <c r="AF162" s="286"/>
      <c r="AG162" s="286"/>
    </row>
    <row r="163" spans="2:33" x14ac:dyDescent="0.25">
      <c r="B163" s="368"/>
      <c r="C163" s="369"/>
      <c r="D163" s="369"/>
      <c r="E163" s="286"/>
      <c r="F163" s="286"/>
      <c r="G163" s="286"/>
      <c r="H163" s="286"/>
      <c r="I163" s="286"/>
      <c r="J163" s="286"/>
      <c r="K163" s="286"/>
      <c r="L163" s="286"/>
      <c r="M163" s="286"/>
      <c r="N163" s="286"/>
      <c r="O163" s="286"/>
      <c r="P163" s="286"/>
      <c r="Q163" s="286"/>
      <c r="R163" s="286"/>
      <c r="S163" s="286"/>
      <c r="T163" s="286"/>
      <c r="U163" s="286"/>
      <c r="V163" s="286"/>
      <c r="W163" s="286"/>
      <c r="X163" s="286"/>
      <c r="Y163" s="286"/>
      <c r="Z163" s="286"/>
      <c r="AA163" s="286"/>
      <c r="AB163" s="286"/>
      <c r="AC163" s="286"/>
      <c r="AD163" s="286"/>
      <c r="AF163" s="286"/>
      <c r="AG163" s="286"/>
    </row>
    <row r="164" spans="2:33" x14ac:dyDescent="0.25">
      <c r="B164" s="368"/>
      <c r="C164" s="369"/>
      <c r="D164" s="369"/>
      <c r="E164" s="286"/>
      <c r="F164" s="286"/>
      <c r="G164" s="286"/>
      <c r="H164" s="286"/>
      <c r="I164" s="286"/>
      <c r="J164" s="286"/>
      <c r="K164" s="286"/>
      <c r="L164" s="286"/>
      <c r="M164" s="286"/>
      <c r="N164" s="286"/>
      <c r="O164" s="286"/>
      <c r="P164" s="286"/>
      <c r="Q164" s="286"/>
      <c r="R164" s="286"/>
      <c r="S164" s="286"/>
      <c r="T164" s="286"/>
      <c r="U164" s="286"/>
      <c r="V164" s="286"/>
      <c r="W164" s="286"/>
      <c r="X164" s="286"/>
      <c r="Y164" s="286"/>
      <c r="Z164" s="286"/>
      <c r="AA164" s="286"/>
      <c r="AB164" s="286"/>
      <c r="AC164" s="286"/>
      <c r="AD164" s="286"/>
      <c r="AF164" s="286"/>
      <c r="AG164" s="286"/>
    </row>
    <row r="165" spans="2:33" x14ac:dyDescent="0.25">
      <c r="B165" s="368"/>
      <c r="C165" s="369"/>
      <c r="D165" s="369"/>
      <c r="E165" s="286"/>
      <c r="F165" s="286"/>
      <c r="G165" s="286"/>
      <c r="H165" s="286"/>
      <c r="I165" s="286"/>
      <c r="J165" s="286"/>
      <c r="K165" s="286"/>
      <c r="L165" s="286"/>
      <c r="M165" s="286"/>
      <c r="N165" s="286"/>
      <c r="O165" s="286"/>
      <c r="P165" s="286"/>
      <c r="Q165" s="286"/>
      <c r="R165" s="286"/>
      <c r="S165" s="286"/>
      <c r="T165" s="286"/>
      <c r="U165" s="286"/>
      <c r="V165" s="286"/>
      <c r="W165" s="286"/>
      <c r="X165" s="286"/>
      <c r="Y165" s="286"/>
      <c r="Z165" s="286"/>
      <c r="AA165" s="286"/>
      <c r="AB165" s="286"/>
      <c r="AC165" s="286"/>
      <c r="AD165" s="286"/>
      <c r="AF165" s="286"/>
      <c r="AG165" s="286"/>
    </row>
    <row r="166" spans="2:33" x14ac:dyDescent="0.25">
      <c r="B166" s="368"/>
      <c r="C166" s="369"/>
      <c r="D166" s="369"/>
      <c r="E166" s="286"/>
      <c r="F166" s="286"/>
      <c r="G166" s="286"/>
      <c r="H166" s="286"/>
      <c r="I166" s="286"/>
      <c r="J166" s="286"/>
      <c r="K166" s="286"/>
      <c r="L166" s="286"/>
      <c r="M166" s="286"/>
      <c r="N166" s="286"/>
      <c r="O166" s="286"/>
      <c r="P166" s="286"/>
      <c r="Q166" s="286"/>
      <c r="R166" s="286"/>
      <c r="S166" s="286"/>
      <c r="T166" s="286"/>
      <c r="U166" s="286"/>
      <c r="V166" s="286"/>
      <c r="W166" s="286"/>
      <c r="X166" s="286"/>
      <c r="Y166" s="286"/>
      <c r="Z166" s="286"/>
      <c r="AA166" s="286"/>
      <c r="AB166" s="286"/>
      <c r="AC166" s="286"/>
      <c r="AD166" s="286"/>
      <c r="AF166" s="286"/>
      <c r="AG166" s="286"/>
    </row>
    <row r="167" spans="2:33" x14ac:dyDescent="0.25">
      <c r="B167" s="368"/>
      <c r="C167" s="369"/>
      <c r="D167" s="369"/>
      <c r="E167" s="286"/>
      <c r="F167" s="286"/>
      <c r="G167" s="286"/>
      <c r="H167" s="286"/>
      <c r="I167" s="286"/>
      <c r="J167" s="286"/>
      <c r="K167" s="286"/>
      <c r="L167" s="286"/>
      <c r="M167" s="286"/>
      <c r="N167" s="286"/>
      <c r="O167" s="286"/>
      <c r="P167" s="286"/>
      <c r="Q167" s="286"/>
      <c r="R167" s="286"/>
      <c r="S167" s="286"/>
      <c r="T167" s="286"/>
      <c r="U167" s="286"/>
      <c r="V167" s="286"/>
      <c r="W167" s="286"/>
      <c r="X167" s="286"/>
      <c r="Y167" s="286"/>
      <c r="Z167" s="286"/>
      <c r="AA167" s="286"/>
      <c r="AB167" s="286"/>
      <c r="AC167" s="286"/>
      <c r="AD167" s="286"/>
      <c r="AF167" s="286"/>
      <c r="AG167" s="286"/>
    </row>
    <row r="168" spans="2:33" x14ac:dyDescent="0.25">
      <c r="B168" s="368"/>
      <c r="C168" s="369"/>
      <c r="D168" s="369"/>
      <c r="E168" s="286"/>
      <c r="F168" s="286"/>
      <c r="G168" s="286"/>
      <c r="H168" s="286"/>
      <c r="I168" s="286"/>
      <c r="J168" s="286"/>
      <c r="K168" s="286"/>
      <c r="L168" s="286"/>
      <c r="M168" s="286"/>
      <c r="N168" s="286"/>
      <c r="O168" s="286"/>
      <c r="P168" s="286"/>
      <c r="Q168" s="286"/>
      <c r="R168" s="286"/>
      <c r="S168" s="286"/>
      <c r="T168" s="286"/>
      <c r="U168" s="286"/>
      <c r="V168" s="286"/>
      <c r="W168" s="286"/>
      <c r="X168" s="286"/>
      <c r="Y168" s="286"/>
      <c r="Z168" s="286"/>
      <c r="AA168" s="286"/>
      <c r="AB168" s="286"/>
      <c r="AC168" s="286"/>
      <c r="AD168" s="286"/>
      <c r="AF168" s="286"/>
      <c r="AG168" s="286"/>
    </row>
    <row r="169" spans="2:33" x14ac:dyDescent="0.25">
      <c r="B169" s="368"/>
      <c r="C169" s="369"/>
      <c r="D169" s="369"/>
      <c r="E169" s="286"/>
      <c r="F169" s="286"/>
      <c r="G169" s="286"/>
      <c r="H169" s="286"/>
      <c r="I169" s="286"/>
      <c r="J169" s="286"/>
      <c r="K169" s="286"/>
      <c r="L169" s="286"/>
      <c r="M169" s="286"/>
      <c r="N169" s="286"/>
      <c r="O169" s="286"/>
      <c r="P169" s="286"/>
      <c r="Q169" s="286"/>
      <c r="R169" s="286"/>
      <c r="S169" s="286"/>
      <c r="T169" s="286"/>
      <c r="U169" s="286"/>
      <c r="V169" s="286"/>
      <c r="W169" s="286"/>
      <c r="X169" s="286"/>
      <c r="Y169" s="286"/>
      <c r="Z169" s="286"/>
      <c r="AA169" s="286"/>
      <c r="AB169" s="286"/>
      <c r="AC169" s="286"/>
      <c r="AD169" s="286"/>
      <c r="AF169" s="286"/>
      <c r="AG169" s="286"/>
    </row>
    <row r="170" spans="2:33" x14ac:dyDescent="0.25">
      <c r="B170" s="368"/>
      <c r="C170" s="369"/>
      <c r="D170" s="369"/>
      <c r="E170" s="286"/>
      <c r="F170" s="286"/>
      <c r="G170" s="286"/>
      <c r="H170" s="286"/>
      <c r="I170" s="286"/>
      <c r="J170" s="286"/>
      <c r="K170" s="286"/>
      <c r="L170" s="286"/>
      <c r="M170" s="286"/>
      <c r="N170" s="286"/>
      <c r="O170" s="286"/>
      <c r="P170" s="286"/>
      <c r="Q170" s="286"/>
      <c r="R170" s="286"/>
      <c r="S170" s="286"/>
      <c r="T170" s="286"/>
      <c r="U170" s="286"/>
      <c r="V170" s="286"/>
      <c r="W170" s="286"/>
      <c r="X170" s="286"/>
      <c r="Y170" s="286"/>
      <c r="Z170" s="286"/>
      <c r="AA170" s="286"/>
      <c r="AB170" s="286"/>
      <c r="AC170" s="286"/>
      <c r="AD170" s="286"/>
      <c r="AF170" s="286"/>
      <c r="AG170" s="286"/>
    </row>
    <row r="171" spans="2:33" x14ac:dyDescent="0.25">
      <c r="B171" s="368"/>
      <c r="C171" s="369"/>
      <c r="D171" s="369"/>
      <c r="E171" s="286"/>
      <c r="F171" s="286"/>
      <c r="G171" s="286"/>
      <c r="H171" s="286"/>
      <c r="I171" s="286"/>
      <c r="J171" s="286"/>
      <c r="K171" s="286"/>
      <c r="L171" s="286"/>
      <c r="M171" s="286"/>
      <c r="N171" s="286"/>
      <c r="O171" s="286"/>
      <c r="P171" s="286"/>
      <c r="Q171" s="286"/>
      <c r="R171" s="286"/>
      <c r="S171" s="286"/>
      <c r="T171" s="286"/>
      <c r="U171" s="286"/>
      <c r="V171" s="286"/>
      <c r="W171" s="286"/>
      <c r="X171" s="286"/>
      <c r="Y171" s="286"/>
      <c r="Z171" s="286"/>
      <c r="AA171" s="286"/>
      <c r="AB171" s="286"/>
      <c r="AC171" s="286"/>
      <c r="AD171" s="286"/>
      <c r="AF171" s="286"/>
      <c r="AG171" s="286"/>
    </row>
    <row r="172" spans="2:33" x14ac:dyDescent="0.25">
      <c r="B172" s="368"/>
      <c r="C172" s="369"/>
      <c r="D172" s="369"/>
      <c r="E172" s="286"/>
      <c r="F172" s="286"/>
      <c r="G172" s="286"/>
      <c r="H172" s="286"/>
      <c r="I172" s="286"/>
      <c r="J172" s="286"/>
      <c r="K172" s="286"/>
      <c r="L172" s="286"/>
      <c r="M172" s="286"/>
      <c r="N172" s="286"/>
      <c r="O172" s="286"/>
      <c r="P172" s="286"/>
      <c r="Q172" s="286"/>
      <c r="R172" s="286"/>
      <c r="S172" s="286"/>
      <c r="T172" s="286"/>
      <c r="U172" s="286"/>
      <c r="V172" s="286"/>
      <c r="W172" s="286"/>
      <c r="X172" s="286"/>
      <c r="Y172" s="286"/>
      <c r="Z172" s="286"/>
      <c r="AA172" s="286"/>
      <c r="AB172" s="286"/>
      <c r="AC172" s="286"/>
      <c r="AD172" s="286"/>
      <c r="AF172" s="286"/>
      <c r="AG172" s="286"/>
    </row>
    <row r="173" spans="2:33" x14ac:dyDescent="0.25">
      <c r="B173" s="368"/>
      <c r="C173" s="369"/>
      <c r="D173" s="369"/>
      <c r="E173" s="286"/>
      <c r="F173" s="286"/>
      <c r="G173" s="286"/>
      <c r="H173" s="286"/>
      <c r="I173" s="286"/>
      <c r="J173" s="286"/>
      <c r="K173" s="286"/>
      <c r="L173" s="286"/>
      <c r="M173" s="286"/>
      <c r="N173" s="286"/>
      <c r="O173" s="286"/>
      <c r="P173" s="286"/>
      <c r="Q173" s="286"/>
      <c r="R173" s="286"/>
      <c r="S173" s="286"/>
      <c r="T173" s="286"/>
      <c r="U173" s="286"/>
      <c r="V173" s="286"/>
      <c r="W173" s="286"/>
      <c r="X173" s="286"/>
      <c r="Y173" s="286"/>
      <c r="Z173" s="286"/>
      <c r="AA173" s="286"/>
      <c r="AB173" s="286"/>
      <c r="AC173" s="286"/>
      <c r="AD173" s="286"/>
      <c r="AF173" s="286"/>
      <c r="AG173" s="286"/>
    </row>
    <row r="174" spans="2:33" x14ac:dyDescent="0.25">
      <c r="B174" s="368"/>
      <c r="C174" s="369"/>
      <c r="D174" s="369"/>
      <c r="E174" s="286"/>
      <c r="F174" s="286"/>
      <c r="G174" s="286"/>
      <c r="H174" s="286"/>
      <c r="I174" s="286"/>
      <c r="J174" s="286"/>
      <c r="K174" s="286"/>
      <c r="L174" s="286"/>
      <c r="M174" s="286"/>
      <c r="N174" s="286"/>
      <c r="O174" s="286"/>
      <c r="P174" s="286"/>
      <c r="Q174" s="286"/>
      <c r="R174" s="286"/>
      <c r="S174" s="286"/>
      <c r="T174" s="286"/>
      <c r="U174" s="286"/>
      <c r="V174" s="286"/>
      <c r="W174" s="286"/>
      <c r="X174" s="286"/>
      <c r="Y174" s="286"/>
      <c r="Z174" s="286"/>
      <c r="AA174" s="286"/>
      <c r="AB174" s="286"/>
      <c r="AC174" s="286"/>
      <c r="AD174" s="286"/>
      <c r="AF174" s="286"/>
      <c r="AG174" s="286"/>
    </row>
    <row r="175" spans="2:33" x14ac:dyDescent="0.25">
      <c r="B175" s="368"/>
      <c r="C175" s="369"/>
      <c r="D175" s="369"/>
      <c r="E175" s="286"/>
      <c r="F175" s="286"/>
      <c r="G175" s="286"/>
      <c r="H175" s="286"/>
      <c r="I175" s="286"/>
      <c r="J175" s="286"/>
      <c r="K175" s="286"/>
      <c r="L175" s="286"/>
      <c r="M175" s="286"/>
      <c r="N175" s="286"/>
      <c r="O175" s="286"/>
      <c r="P175" s="286"/>
      <c r="Q175" s="286"/>
      <c r="R175" s="286"/>
      <c r="S175" s="286"/>
      <c r="T175" s="286"/>
      <c r="U175" s="286"/>
      <c r="V175" s="286"/>
      <c r="W175" s="286"/>
      <c r="X175" s="286"/>
      <c r="Y175" s="286"/>
      <c r="Z175" s="286"/>
      <c r="AA175" s="286"/>
      <c r="AB175" s="286"/>
      <c r="AC175" s="286"/>
      <c r="AD175" s="286"/>
      <c r="AF175" s="286"/>
      <c r="AG175" s="286"/>
    </row>
    <row r="176" spans="2:33" x14ac:dyDescent="0.25">
      <c r="B176" s="368"/>
      <c r="C176" s="369"/>
      <c r="D176" s="369"/>
      <c r="E176" s="286"/>
      <c r="F176" s="286"/>
      <c r="G176" s="286"/>
      <c r="H176" s="286"/>
      <c r="I176" s="286"/>
      <c r="J176" s="286"/>
      <c r="K176" s="286"/>
      <c r="L176" s="286"/>
      <c r="M176" s="286"/>
      <c r="N176" s="286"/>
      <c r="O176" s="286"/>
      <c r="P176" s="286"/>
      <c r="Q176" s="286"/>
      <c r="R176" s="286"/>
      <c r="S176" s="286"/>
      <c r="T176" s="286"/>
      <c r="U176" s="286"/>
      <c r="V176" s="286"/>
      <c r="W176" s="286"/>
      <c r="X176" s="286"/>
      <c r="Y176" s="286"/>
      <c r="Z176" s="286"/>
      <c r="AA176" s="286"/>
      <c r="AB176" s="286"/>
      <c r="AC176" s="286"/>
      <c r="AD176" s="286"/>
      <c r="AF176" s="286"/>
      <c r="AG176" s="286"/>
    </row>
    <row r="177" spans="2:33" x14ac:dyDescent="0.25">
      <c r="B177" s="368"/>
      <c r="C177" s="369"/>
      <c r="D177" s="369"/>
      <c r="E177" s="286"/>
      <c r="F177" s="286"/>
      <c r="G177" s="286"/>
      <c r="H177" s="286"/>
      <c r="I177" s="286"/>
      <c r="J177" s="286"/>
      <c r="K177" s="286"/>
      <c r="L177" s="286"/>
      <c r="M177" s="286"/>
      <c r="N177" s="286"/>
      <c r="O177" s="286"/>
      <c r="P177" s="286"/>
      <c r="Q177" s="286"/>
      <c r="R177" s="286"/>
      <c r="S177" s="286"/>
      <c r="T177" s="286"/>
      <c r="U177" s="286"/>
      <c r="V177" s="286"/>
      <c r="W177" s="286"/>
      <c r="X177" s="286"/>
      <c r="Y177" s="286"/>
      <c r="Z177" s="286"/>
      <c r="AA177" s="286"/>
      <c r="AB177" s="286"/>
      <c r="AC177" s="286"/>
      <c r="AD177" s="286"/>
      <c r="AF177" s="286"/>
      <c r="AG177" s="286"/>
    </row>
    <row r="178" spans="2:33" x14ac:dyDescent="0.25">
      <c r="B178" s="368"/>
      <c r="C178" s="369"/>
      <c r="D178" s="369"/>
      <c r="E178" s="286"/>
      <c r="F178" s="286"/>
      <c r="G178" s="286"/>
      <c r="H178" s="286"/>
      <c r="I178" s="286"/>
      <c r="J178" s="286"/>
      <c r="K178" s="286"/>
      <c r="L178" s="286"/>
      <c r="M178" s="286"/>
      <c r="N178" s="286"/>
      <c r="O178" s="286"/>
      <c r="P178" s="286"/>
      <c r="Q178" s="286"/>
      <c r="R178" s="286"/>
      <c r="S178" s="286"/>
      <c r="T178" s="286"/>
      <c r="U178" s="286"/>
      <c r="V178" s="286"/>
      <c r="W178" s="286"/>
      <c r="X178" s="286"/>
      <c r="Y178" s="286"/>
      <c r="Z178" s="286"/>
      <c r="AA178" s="286"/>
      <c r="AB178" s="286"/>
      <c r="AC178" s="286"/>
      <c r="AD178" s="286"/>
      <c r="AF178" s="286"/>
      <c r="AG178" s="286"/>
    </row>
    <row r="179" spans="2:33" x14ac:dyDescent="0.25">
      <c r="B179" s="368"/>
      <c r="C179" s="369"/>
      <c r="D179" s="369"/>
      <c r="E179" s="286"/>
      <c r="F179" s="286"/>
      <c r="G179" s="286"/>
      <c r="H179" s="286"/>
      <c r="I179" s="286"/>
      <c r="J179" s="286"/>
      <c r="K179" s="286"/>
      <c r="L179" s="286"/>
      <c r="M179" s="286"/>
      <c r="N179" s="286"/>
      <c r="O179" s="286"/>
      <c r="P179" s="286"/>
      <c r="Q179" s="286"/>
      <c r="R179" s="286"/>
      <c r="S179" s="286"/>
      <c r="T179" s="286"/>
      <c r="U179" s="286"/>
      <c r="V179" s="286"/>
      <c r="W179" s="286"/>
      <c r="X179" s="286"/>
      <c r="Y179" s="286"/>
      <c r="Z179" s="286"/>
      <c r="AA179" s="286"/>
      <c r="AB179" s="286"/>
      <c r="AC179" s="286"/>
      <c r="AD179" s="286"/>
      <c r="AF179" s="286"/>
      <c r="AG179" s="286"/>
    </row>
    <row r="180" spans="2:33" x14ac:dyDescent="0.25">
      <c r="B180" s="368"/>
      <c r="C180" s="369"/>
      <c r="D180" s="369"/>
      <c r="E180" s="286"/>
      <c r="F180" s="286"/>
      <c r="G180" s="286"/>
      <c r="H180" s="286"/>
      <c r="I180" s="286"/>
      <c r="J180" s="286"/>
      <c r="K180" s="286"/>
      <c r="L180" s="286"/>
      <c r="M180" s="286"/>
      <c r="N180" s="286"/>
      <c r="O180" s="286"/>
      <c r="P180" s="286"/>
      <c r="Q180" s="286"/>
      <c r="R180" s="286"/>
      <c r="S180" s="286"/>
      <c r="T180" s="286"/>
      <c r="U180" s="286"/>
      <c r="V180" s="286"/>
      <c r="W180" s="286"/>
      <c r="X180" s="286"/>
      <c r="Y180" s="286"/>
      <c r="Z180" s="286"/>
      <c r="AA180" s="286"/>
      <c r="AB180" s="286"/>
      <c r="AC180" s="286"/>
      <c r="AD180" s="286"/>
      <c r="AF180" s="286"/>
      <c r="AG180" s="286"/>
    </row>
    <row r="181" spans="2:33" x14ac:dyDescent="0.25">
      <c r="B181" s="368"/>
      <c r="C181" s="369"/>
      <c r="D181" s="369"/>
      <c r="E181" s="286"/>
      <c r="F181" s="286"/>
      <c r="G181" s="286"/>
      <c r="H181" s="286"/>
      <c r="I181" s="286"/>
      <c r="J181" s="286"/>
      <c r="K181" s="286"/>
      <c r="L181" s="286"/>
      <c r="M181" s="286"/>
      <c r="N181" s="286"/>
      <c r="O181" s="286"/>
      <c r="P181" s="286"/>
      <c r="Q181" s="286"/>
      <c r="R181" s="286"/>
      <c r="S181" s="286"/>
      <c r="T181" s="286"/>
      <c r="U181" s="286"/>
      <c r="V181" s="286"/>
      <c r="W181" s="286"/>
      <c r="X181" s="286"/>
      <c r="Y181" s="286"/>
      <c r="Z181" s="286"/>
      <c r="AA181" s="286"/>
      <c r="AB181" s="286"/>
      <c r="AC181" s="286"/>
      <c r="AD181" s="286"/>
      <c r="AF181" s="286"/>
      <c r="AG181" s="286"/>
    </row>
    <row r="182" spans="2:33" x14ac:dyDescent="0.25">
      <c r="B182" s="368"/>
      <c r="C182" s="369"/>
      <c r="D182" s="369"/>
      <c r="E182" s="286"/>
      <c r="F182" s="286"/>
      <c r="G182" s="286"/>
      <c r="H182" s="286"/>
      <c r="I182" s="286"/>
      <c r="J182" s="286"/>
      <c r="K182" s="286"/>
      <c r="L182" s="286"/>
      <c r="M182" s="286"/>
      <c r="N182" s="286"/>
      <c r="O182" s="286"/>
      <c r="P182" s="286"/>
      <c r="Q182" s="286"/>
      <c r="R182" s="286"/>
      <c r="S182" s="286"/>
      <c r="T182" s="286"/>
      <c r="U182" s="286"/>
      <c r="V182" s="286"/>
      <c r="W182" s="286"/>
      <c r="X182" s="286"/>
      <c r="Y182" s="286"/>
      <c r="Z182" s="286"/>
      <c r="AA182" s="286"/>
      <c r="AB182" s="286"/>
      <c r="AC182" s="286"/>
      <c r="AD182" s="286"/>
      <c r="AF182" s="286"/>
      <c r="AG182" s="286"/>
    </row>
    <row r="183" spans="2:33" x14ac:dyDescent="0.25">
      <c r="B183" s="368"/>
      <c r="C183" s="369"/>
      <c r="D183" s="369"/>
      <c r="E183" s="286"/>
      <c r="F183" s="286"/>
      <c r="G183" s="286"/>
      <c r="H183" s="286"/>
      <c r="I183" s="286"/>
      <c r="J183" s="286"/>
      <c r="K183" s="286"/>
      <c r="L183" s="286"/>
      <c r="M183" s="286"/>
      <c r="N183" s="286"/>
      <c r="O183" s="286"/>
      <c r="P183" s="286"/>
      <c r="Q183" s="286"/>
      <c r="R183" s="286"/>
      <c r="S183" s="286"/>
      <c r="T183" s="286"/>
      <c r="U183" s="286"/>
      <c r="V183" s="286"/>
      <c r="W183" s="286"/>
      <c r="X183" s="286"/>
      <c r="Y183" s="286"/>
      <c r="Z183" s="286"/>
      <c r="AA183" s="286"/>
      <c r="AB183" s="286"/>
      <c r="AC183" s="286"/>
      <c r="AD183" s="286"/>
      <c r="AF183" s="286"/>
      <c r="AG183" s="286"/>
    </row>
    <row r="184" spans="2:33" x14ac:dyDescent="0.25">
      <c r="B184" s="368"/>
      <c r="C184" s="369"/>
      <c r="D184" s="369"/>
      <c r="E184" s="286"/>
      <c r="F184" s="286"/>
      <c r="G184" s="286"/>
      <c r="H184" s="286"/>
      <c r="I184" s="286"/>
      <c r="J184" s="286"/>
      <c r="K184" s="286"/>
      <c r="L184" s="286"/>
      <c r="M184" s="286"/>
      <c r="N184" s="286"/>
      <c r="O184" s="286"/>
      <c r="P184" s="286"/>
      <c r="Q184" s="286"/>
      <c r="R184" s="286"/>
      <c r="S184" s="286"/>
      <c r="T184" s="286"/>
      <c r="U184" s="286"/>
      <c r="V184" s="286"/>
      <c r="W184" s="286"/>
      <c r="X184" s="286"/>
      <c r="Y184" s="286"/>
      <c r="Z184" s="286"/>
      <c r="AA184" s="286"/>
      <c r="AB184" s="286"/>
      <c r="AC184" s="286"/>
      <c r="AD184" s="286"/>
      <c r="AF184" s="286"/>
      <c r="AG184" s="286"/>
    </row>
    <row r="185" spans="2:33" x14ac:dyDescent="0.25">
      <c r="B185" s="368"/>
      <c r="C185" s="369"/>
      <c r="D185" s="369"/>
      <c r="E185" s="286"/>
      <c r="F185" s="286"/>
      <c r="G185" s="286"/>
      <c r="H185" s="286"/>
      <c r="I185" s="286"/>
      <c r="J185" s="286"/>
      <c r="K185" s="286"/>
      <c r="L185" s="286"/>
      <c r="M185" s="286"/>
      <c r="N185" s="286"/>
      <c r="O185" s="286"/>
      <c r="P185" s="286"/>
      <c r="Q185" s="286"/>
      <c r="R185" s="286"/>
      <c r="S185" s="286"/>
      <c r="T185" s="286"/>
      <c r="U185" s="286"/>
      <c r="V185" s="286"/>
      <c r="W185" s="286"/>
      <c r="X185" s="286"/>
      <c r="Y185" s="286"/>
      <c r="Z185" s="286"/>
      <c r="AA185" s="286"/>
      <c r="AB185" s="286"/>
      <c r="AC185" s="286"/>
      <c r="AD185" s="286"/>
      <c r="AF185" s="286"/>
      <c r="AG185" s="286"/>
    </row>
    <row r="186" spans="2:33" x14ac:dyDescent="0.25">
      <c r="B186" s="368"/>
      <c r="C186" s="369"/>
      <c r="D186" s="369"/>
      <c r="E186" s="286"/>
      <c r="F186" s="286"/>
      <c r="G186" s="286"/>
      <c r="H186" s="286"/>
      <c r="I186" s="286"/>
      <c r="J186" s="286"/>
      <c r="K186" s="286"/>
      <c r="L186" s="286"/>
      <c r="M186" s="286"/>
      <c r="N186" s="286"/>
      <c r="O186" s="286"/>
      <c r="P186" s="286"/>
      <c r="Q186" s="286"/>
      <c r="R186" s="286"/>
      <c r="S186" s="286"/>
      <c r="T186" s="286"/>
      <c r="U186" s="286"/>
      <c r="V186" s="286"/>
      <c r="W186" s="286"/>
      <c r="X186" s="286"/>
      <c r="Y186" s="286"/>
      <c r="Z186" s="286"/>
      <c r="AA186" s="286"/>
      <c r="AB186" s="286"/>
      <c r="AC186" s="286"/>
      <c r="AD186" s="286"/>
      <c r="AF186" s="286"/>
      <c r="AG186" s="286"/>
    </row>
    <row r="187" spans="2:33" x14ac:dyDescent="0.25">
      <c r="B187" s="368"/>
      <c r="C187" s="369"/>
      <c r="D187" s="369"/>
      <c r="E187" s="286"/>
      <c r="F187" s="286"/>
      <c r="G187" s="286"/>
      <c r="H187" s="286"/>
      <c r="I187" s="286"/>
      <c r="J187" s="286"/>
      <c r="K187" s="286"/>
      <c r="L187" s="286"/>
      <c r="M187" s="286"/>
      <c r="N187" s="286"/>
      <c r="O187" s="286"/>
      <c r="P187" s="286"/>
      <c r="Q187" s="286"/>
      <c r="R187" s="286"/>
      <c r="S187" s="286"/>
      <c r="T187" s="286"/>
      <c r="U187" s="286"/>
      <c r="V187" s="286"/>
      <c r="W187" s="286"/>
      <c r="X187" s="286"/>
      <c r="Y187" s="286"/>
      <c r="Z187" s="286"/>
      <c r="AA187" s="286"/>
      <c r="AB187" s="286"/>
      <c r="AC187" s="286"/>
      <c r="AD187" s="286"/>
      <c r="AF187" s="286"/>
      <c r="AG187" s="286"/>
    </row>
    <row r="188" spans="2:33" x14ac:dyDescent="0.25">
      <c r="B188" s="368"/>
      <c r="C188" s="369"/>
      <c r="D188" s="369"/>
      <c r="E188" s="286"/>
      <c r="F188" s="286"/>
      <c r="G188" s="286"/>
      <c r="H188" s="286"/>
      <c r="I188" s="286"/>
      <c r="J188" s="286"/>
      <c r="K188" s="286"/>
      <c r="L188" s="286"/>
      <c r="M188" s="286"/>
      <c r="N188" s="286"/>
      <c r="O188" s="286"/>
      <c r="P188" s="286"/>
      <c r="Q188" s="286"/>
      <c r="R188" s="286"/>
      <c r="S188" s="286"/>
      <c r="T188" s="286"/>
      <c r="U188" s="286"/>
      <c r="V188" s="286"/>
      <c r="W188" s="286"/>
      <c r="X188" s="286"/>
      <c r="Y188" s="286"/>
      <c r="Z188" s="286"/>
      <c r="AA188" s="286"/>
      <c r="AB188" s="286"/>
      <c r="AC188" s="286"/>
      <c r="AD188" s="286"/>
      <c r="AF188" s="286"/>
      <c r="AG188" s="286"/>
    </row>
    <row r="189" spans="2:33" x14ac:dyDescent="0.25">
      <c r="B189" s="368"/>
      <c r="C189" s="369"/>
      <c r="D189" s="369"/>
      <c r="E189" s="286"/>
      <c r="F189" s="286"/>
      <c r="G189" s="286"/>
      <c r="H189" s="286"/>
      <c r="I189" s="286"/>
      <c r="J189" s="286"/>
      <c r="K189" s="286"/>
      <c r="L189" s="286"/>
      <c r="M189" s="286"/>
      <c r="N189" s="286"/>
      <c r="O189" s="286"/>
      <c r="P189" s="286"/>
      <c r="Q189" s="286"/>
      <c r="R189" s="286"/>
      <c r="S189" s="286"/>
      <c r="T189" s="286"/>
      <c r="U189" s="286"/>
      <c r="V189" s="286"/>
      <c r="W189" s="286"/>
      <c r="X189" s="286"/>
      <c r="Y189" s="286"/>
      <c r="Z189" s="286"/>
      <c r="AA189" s="286"/>
      <c r="AB189" s="286"/>
      <c r="AC189" s="286"/>
      <c r="AD189" s="286"/>
      <c r="AF189" s="286"/>
      <c r="AG189" s="286"/>
    </row>
    <row r="190" spans="2:33" x14ac:dyDescent="0.25">
      <c r="B190" s="368"/>
      <c r="C190" s="369"/>
      <c r="D190" s="369"/>
      <c r="E190" s="286"/>
      <c r="F190" s="286"/>
      <c r="G190" s="286"/>
      <c r="H190" s="286"/>
      <c r="I190" s="286"/>
      <c r="J190" s="286"/>
      <c r="K190" s="286"/>
      <c r="L190" s="286"/>
      <c r="M190" s="286"/>
      <c r="N190" s="286"/>
      <c r="O190" s="286"/>
      <c r="P190" s="286"/>
      <c r="Q190" s="286"/>
      <c r="R190" s="286"/>
      <c r="S190" s="286"/>
      <c r="T190" s="286"/>
      <c r="U190" s="286"/>
      <c r="V190" s="286"/>
      <c r="W190" s="286"/>
      <c r="X190" s="286"/>
      <c r="Y190" s="286"/>
      <c r="Z190" s="286"/>
      <c r="AA190" s="286"/>
      <c r="AB190" s="286"/>
      <c r="AC190" s="286"/>
      <c r="AD190" s="286"/>
      <c r="AF190" s="286"/>
      <c r="AG190" s="286"/>
    </row>
    <row r="191" spans="2:33" x14ac:dyDescent="0.25">
      <c r="B191" s="368"/>
      <c r="C191" s="369"/>
      <c r="D191" s="369"/>
      <c r="E191" s="286"/>
      <c r="F191" s="286"/>
      <c r="G191" s="286"/>
      <c r="H191" s="286"/>
      <c r="I191" s="286"/>
      <c r="J191" s="286"/>
      <c r="K191" s="286"/>
      <c r="L191" s="286"/>
      <c r="M191" s="286"/>
      <c r="N191" s="286"/>
      <c r="O191" s="286"/>
      <c r="P191" s="286"/>
      <c r="Q191" s="286"/>
      <c r="R191" s="286"/>
      <c r="S191" s="286"/>
      <c r="T191" s="286"/>
      <c r="U191" s="286"/>
      <c r="V191" s="286"/>
      <c r="W191" s="286"/>
      <c r="X191" s="286"/>
      <c r="Y191" s="286"/>
      <c r="Z191" s="286"/>
      <c r="AA191" s="286"/>
      <c r="AB191" s="286"/>
      <c r="AC191" s="286"/>
      <c r="AD191" s="286"/>
      <c r="AF191" s="286"/>
      <c r="AG191" s="286"/>
    </row>
    <row r="192" spans="2:33" x14ac:dyDescent="0.25">
      <c r="B192" s="368"/>
      <c r="C192" s="369"/>
      <c r="D192" s="369"/>
      <c r="E192" s="286"/>
      <c r="F192" s="286"/>
      <c r="G192" s="286"/>
      <c r="H192" s="286"/>
      <c r="I192" s="286"/>
      <c r="J192" s="286"/>
      <c r="K192" s="286"/>
      <c r="L192" s="286"/>
      <c r="M192" s="286"/>
      <c r="N192" s="286"/>
      <c r="O192" s="286"/>
      <c r="P192" s="286"/>
      <c r="Q192" s="286"/>
      <c r="R192" s="286"/>
      <c r="S192" s="286"/>
      <c r="T192" s="286"/>
      <c r="U192" s="286"/>
      <c r="V192" s="286"/>
      <c r="W192" s="286"/>
      <c r="X192" s="286"/>
      <c r="Y192" s="286"/>
      <c r="Z192" s="286"/>
      <c r="AA192" s="286"/>
      <c r="AB192" s="286"/>
      <c r="AC192" s="286"/>
      <c r="AD192" s="286"/>
      <c r="AF192" s="286"/>
      <c r="AG192" s="286"/>
    </row>
    <row r="193" spans="2:33" x14ac:dyDescent="0.25">
      <c r="B193" s="368"/>
      <c r="C193" s="369"/>
      <c r="D193" s="369"/>
      <c r="E193" s="286"/>
      <c r="F193" s="286"/>
      <c r="G193" s="286"/>
      <c r="H193" s="286"/>
      <c r="I193" s="286"/>
      <c r="J193" s="286"/>
      <c r="K193" s="286"/>
      <c r="L193" s="286"/>
      <c r="M193" s="286"/>
      <c r="N193" s="286"/>
      <c r="O193" s="286"/>
      <c r="P193" s="286"/>
      <c r="Q193" s="286"/>
      <c r="R193" s="286"/>
      <c r="S193" s="286"/>
      <c r="T193" s="286"/>
      <c r="U193" s="286"/>
      <c r="V193" s="286"/>
      <c r="W193" s="286"/>
      <c r="X193" s="286"/>
      <c r="Y193" s="286"/>
      <c r="Z193" s="286"/>
      <c r="AA193" s="286"/>
      <c r="AB193" s="286"/>
      <c r="AC193" s="286"/>
      <c r="AD193" s="286"/>
      <c r="AF193" s="286"/>
      <c r="AG193" s="286"/>
    </row>
    <row r="194" spans="2:33" x14ac:dyDescent="0.25">
      <c r="B194" s="368"/>
      <c r="C194" s="369"/>
      <c r="D194" s="369"/>
      <c r="E194" s="286"/>
      <c r="F194" s="286"/>
      <c r="G194" s="286"/>
      <c r="H194" s="286"/>
      <c r="I194" s="286"/>
      <c r="J194" s="286"/>
      <c r="K194" s="286"/>
      <c r="L194" s="286"/>
      <c r="M194" s="286"/>
      <c r="N194" s="286"/>
      <c r="O194" s="286"/>
      <c r="P194" s="286"/>
      <c r="Q194" s="286"/>
      <c r="R194" s="286"/>
      <c r="S194" s="286"/>
      <c r="T194" s="286"/>
      <c r="U194" s="286"/>
      <c r="V194" s="286"/>
      <c r="W194" s="286"/>
      <c r="X194" s="286"/>
      <c r="Y194" s="286"/>
      <c r="Z194" s="286"/>
      <c r="AA194" s="286"/>
      <c r="AB194" s="286"/>
      <c r="AC194" s="286"/>
      <c r="AD194" s="286"/>
      <c r="AF194" s="286"/>
      <c r="AG194" s="286"/>
    </row>
    <row r="195" spans="2:33" x14ac:dyDescent="0.25">
      <c r="B195" s="368"/>
      <c r="C195" s="369"/>
      <c r="D195" s="369"/>
      <c r="E195" s="286"/>
      <c r="F195" s="286"/>
      <c r="G195" s="286"/>
      <c r="H195" s="286"/>
      <c r="I195" s="286"/>
      <c r="J195" s="286"/>
      <c r="K195" s="286"/>
      <c r="L195" s="286"/>
      <c r="M195" s="286"/>
      <c r="N195" s="286"/>
      <c r="O195" s="286"/>
      <c r="P195" s="286"/>
      <c r="Q195" s="286"/>
      <c r="R195" s="286"/>
      <c r="S195" s="286"/>
      <c r="T195" s="286"/>
      <c r="U195" s="286"/>
      <c r="V195" s="286"/>
      <c r="W195" s="286"/>
      <c r="X195" s="286"/>
      <c r="Y195" s="286"/>
      <c r="Z195" s="286"/>
      <c r="AA195" s="286"/>
      <c r="AB195" s="286"/>
      <c r="AC195" s="286"/>
      <c r="AD195" s="286"/>
      <c r="AF195" s="286"/>
      <c r="AG195" s="286"/>
    </row>
    <row r="196" spans="2:33" x14ac:dyDescent="0.25">
      <c r="B196" s="368"/>
      <c r="C196" s="369"/>
      <c r="D196" s="369"/>
      <c r="E196" s="286"/>
      <c r="F196" s="286"/>
      <c r="G196" s="286"/>
      <c r="H196" s="286"/>
      <c r="I196" s="286"/>
      <c r="J196" s="286"/>
      <c r="K196" s="286"/>
      <c r="L196" s="286"/>
      <c r="M196" s="286"/>
      <c r="N196" s="286"/>
      <c r="O196" s="286"/>
      <c r="P196" s="286"/>
      <c r="Q196" s="286"/>
      <c r="R196" s="286"/>
      <c r="S196" s="286"/>
      <c r="T196" s="286"/>
      <c r="U196" s="286"/>
      <c r="V196" s="286"/>
      <c r="W196" s="286"/>
      <c r="X196" s="286"/>
      <c r="Y196" s="286"/>
      <c r="Z196" s="286"/>
      <c r="AA196" s="286"/>
      <c r="AB196" s="286"/>
      <c r="AC196" s="286"/>
      <c r="AD196" s="286"/>
      <c r="AF196" s="286"/>
      <c r="AG196" s="286"/>
    </row>
    <row r="197" spans="2:33" x14ac:dyDescent="0.25">
      <c r="B197" s="368"/>
      <c r="C197" s="369"/>
      <c r="D197" s="369"/>
      <c r="E197" s="286"/>
      <c r="F197" s="286"/>
      <c r="G197" s="286"/>
      <c r="H197" s="286"/>
      <c r="I197" s="286"/>
      <c r="J197" s="286"/>
      <c r="K197" s="286"/>
      <c r="L197" s="286"/>
      <c r="M197" s="286"/>
      <c r="N197" s="286"/>
      <c r="O197" s="286"/>
      <c r="P197" s="286"/>
      <c r="Q197" s="286"/>
      <c r="R197" s="286"/>
      <c r="S197" s="286"/>
      <c r="T197" s="286"/>
      <c r="U197" s="286"/>
      <c r="V197" s="286"/>
      <c r="W197" s="286"/>
      <c r="X197" s="286"/>
      <c r="Y197" s="286"/>
      <c r="Z197" s="286"/>
      <c r="AA197" s="286"/>
      <c r="AB197" s="286"/>
      <c r="AC197" s="286"/>
      <c r="AD197" s="286"/>
      <c r="AF197" s="286"/>
      <c r="AG197" s="286"/>
    </row>
    <row r="198" spans="2:33" x14ac:dyDescent="0.25">
      <c r="B198" s="368"/>
      <c r="C198" s="369"/>
      <c r="D198" s="369"/>
      <c r="E198" s="286"/>
      <c r="F198" s="286"/>
      <c r="G198" s="286"/>
      <c r="H198" s="286"/>
      <c r="I198" s="286"/>
      <c r="J198" s="286"/>
      <c r="K198" s="286"/>
      <c r="L198" s="286"/>
      <c r="M198" s="286"/>
      <c r="N198" s="286"/>
      <c r="O198" s="286"/>
      <c r="P198" s="286"/>
      <c r="Q198" s="286"/>
      <c r="R198" s="286"/>
      <c r="S198" s="286"/>
      <c r="T198" s="286"/>
      <c r="U198" s="286"/>
      <c r="V198" s="286"/>
      <c r="W198" s="286"/>
      <c r="X198" s="286"/>
      <c r="Y198" s="286"/>
      <c r="Z198" s="286"/>
      <c r="AA198" s="286"/>
      <c r="AB198" s="286"/>
      <c r="AC198" s="286"/>
      <c r="AD198" s="286"/>
      <c r="AF198" s="286"/>
      <c r="AG198" s="286"/>
    </row>
    <row r="199" spans="2:33" x14ac:dyDescent="0.25">
      <c r="B199" s="368"/>
      <c r="C199" s="369"/>
      <c r="D199" s="369"/>
      <c r="E199" s="286"/>
      <c r="F199" s="286"/>
      <c r="G199" s="286"/>
      <c r="H199" s="286"/>
      <c r="I199" s="286"/>
      <c r="J199" s="286"/>
      <c r="K199" s="286"/>
      <c r="L199" s="286"/>
      <c r="M199" s="286"/>
      <c r="N199" s="286"/>
      <c r="O199" s="286"/>
      <c r="P199" s="286"/>
      <c r="Q199" s="286"/>
      <c r="R199" s="286"/>
      <c r="S199" s="286"/>
      <c r="T199" s="286"/>
      <c r="U199" s="286"/>
      <c r="V199" s="286"/>
      <c r="W199" s="286"/>
      <c r="X199" s="286"/>
      <c r="Y199" s="286"/>
      <c r="Z199" s="286"/>
      <c r="AA199" s="286"/>
      <c r="AB199" s="286"/>
      <c r="AC199" s="286"/>
      <c r="AD199" s="286"/>
      <c r="AF199" s="286"/>
      <c r="AG199" s="286"/>
    </row>
    <row r="200" spans="2:33" x14ac:dyDescent="0.25">
      <c r="B200" s="368"/>
      <c r="C200" s="369"/>
      <c r="D200" s="369"/>
      <c r="E200" s="286"/>
      <c r="F200" s="286"/>
      <c r="G200" s="286"/>
      <c r="H200" s="286"/>
      <c r="I200" s="286"/>
      <c r="J200" s="286"/>
      <c r="K200" s="286"/>
      <c r="L200" s="286"/>
      <c r="M200" s="286"/>
      <c r="N200" s="286"/>
      <c r="O200" s="286"/>
      <c r="P200" s="286"/>
      <c r="Q200" s="286"/>
      <c r="R200" s="286"/>
      <c r="S200" s="286"/>
      <c r="T200" s="286"/>
      <c r="U200" s="286"/>
      <c r="V200" s="286"/>
      <c r="W200" s="286"/>
      <c r="X200" s="286"/>
      <c r="Y200" s="286"/>
      <c r="Z200" s="286"/>
      <c r="AA200" s="286"/>
      <c r="AB200" s="286"/>
      <c r="AC200" s="286"/>
      <c r="AD200" s="286"/>
      <c r="AF200" s="286"/>
      <c r="AG200" s="286"/>
    </row>
    <row r="201" spans="2:33" x14ac:dyDescent="0.25">
      <c r="B201" s="368"/>
      <c r="C201" s="369"/>
      <c r="D201" s="369"/>
      <c r="E201" s="286"/>
      <c r="F201" s="286"/>
      <c r="G201" s="286"/>
      <c r="H201" s="286"/>
      <c r="I201" s="286"/>
      <c r="J201" s="286"/>
      <c r="K201" s="286"/>
      <c r="L201" s="286"/>
      <c r="M201" s="286"/>
      <c r="N201" s="286"/>
      <c r="O201" s="286"/>
      <c r="P201" s="286"/>
      <c r="Q201" s="286"/>
      <c r="R201" s="286"/>
      <c r="S201" s="286"/>
      <c r="T201" s="286"/>
      <c r="U201" s="286"/>
      <c r="V201" s="286"/>
      <c r="W201" s="286"/>
      <c r="X201" s="286"/>
      <c r="Y201" s="286"/>
      <c r="Z201" s="286"/>
      <c r="AA201" s="286"/>
      <c r="AB201" s="286"/>
      <c r="AC201" s="286"/>
      <c r="AD201" s="286"/>
      <c r="AF201" s="286"/>
      <c r="AG201" s="286"/>
    </row>
    <row r="202" spans="2:33" x14ac:dyDescent="0.25">
      <c r="B202" s="368"/>
      <c r="C202" s="369"/>
      <c r="D202" s="369"/>
      <c r="E202" s="286"/>
      <c r="F202" s="286"/>
      <c r="G202" s="286"/>
      <c r="H202" s="286"/>
      <c r="I202" s="286"/>
      <c r="J202" s="286"/>
      <c r="K202" s="286"/>
      <c r="L202" s="286"/>
      <c r="M202" s="286"/>
      <c r="N202" s="286"/>
      <c r="O202" s="286"/>
      <c r="P202" s="286"/>
      <c r="Q202" s="286"/>
      <c r="R202" s="286"/>
      <c r="S202" s="286"/>
      <c r="T202" s="286"/>
      <c r="U202" s="286"/>
      <c r="V202" s="286"/>
      <c r="W202" s="286"/>
      <c r="X202" s="286"/>
      <c r="Y202" s="286"/>
      <c r="Z202" s="286"/>
      <c r="AA202" s="286"/>
      <c r="AB202" s="286"/>
      <c r="AC202" s="286"/>
      <c r="AD202" s="286"/>
      <c r="AF202" s="286"/>
      <c r="AG202" s="286"/>
    </row>
    <row r="203" spans="2:33" x14ac:dyDescent="0.25">
      <c r="B203" s="368"/>
      <c r="C203" s="369"/>
      <c r="D203" s="369"/>
      <c r="E203" s="286"/>
      <c r="F203" s="286"/>
      <c r="G203" s="286"/>
      <c r="H203" s="286"/>
      <c r="I203" s="286"/>
      <c r="J203" s="286"/>
      <c r="K203" s="286"/>
      <c r="L203" s="286"/>
      <c r="M203" s="286"/>
      <c r="N203" s="286"/>
      <c r="O203" s="286"/>
      <c r="P203" s="286"/>
      <c r="Q203" s="286"/>
      <c r="R203" s="286"/>
      <c r="S203" s="286"/>
      <c r="T203" s="286"/>
      <c r="U203" s="286"/>
      <c r="V203" s="286"/>
      <c r="W203" s="286"/>
      <c r="X203" s="286"/>
      <c r="Y203" s="286"/>
      <c r="Z203" s="286"/>
      <c r="AA203" s="286"/>
      <c r="AB203" s="286"/>
      <c r="AC203" s="286"/>
      <c r="AD203" s="286"/>
      <c r="AF203" s="286"/>
      <c r="AG203" s="286"/>
    </row>
    <row r="204" spans="2:33" x14ac:dyDescent="0.25">
      <c r="B204" s="368"/>
      <c r="C204" s="369"/>
      <c r="D204" s="369"/>
      <c r="E204" s="286"/>
      <c r="F204" s="286"/>
      <c r="G204" s="286"/>
      <c r="H204" s="286"/>
      <c r="I204" s="286"/>
      <c r="J204" s="286"/>
      <c r="K204" s="286"/>
      <c r="L204" s="286"/>
      <c r="M204" s="286"/>
      <c r="N204" s="286"/>
      <c r="O204" s="286"/>
      <c r="P204" s="286"/>
      <c r="Q204" s="286"/>
      <c r="R204" s="286"/>
      <c r="S204" s="286"/>
      <c r="T204" s="286"/>
      <c r="U204" s="286"/>
      <c r="V204" s="286"/>
      <c r="W204" s="286"/>
      <c r="X204" s="286"/>
      <c r="Y204" s="286"/>
      <c r="Z204" s="286"/>
      <c r="AA204" s="286"/>
      <c r="AB204" s="286"/>
      <c r="AC204" s="286"/>
      <c r="AD204" s="286"/>
      <c r="AF204" s="286"/>
      <c r="AG204" s="286"/>
    </row>
    <row r="205" spans="2:33" x14ac:dyDescent="0.25">
      <c r="B205" s="368"/>
      <c r="C205" s="369"/>
      <c r="D205" s="369"/>
      <c r="E205" s="286"/>
      <c r="F205" s="286"/>
      <c r="G205" s="286"/>
      <c r="H205" s="286"/>
      <c r="I205" s="286"/>
      <c r="J205" s="286"/>
      <c r="K205" s="286"/>
      <c r="L205" s="286"/>
      <c r="M205" s="286"/>
      <c r="N205" s="286"/>
      <c r="O205" s="286"/>
      <c r="P205" s="286"/>
      <c r="Q205" s="286"/>
      <c r="R205" s="286"/>
      <c r="S205" s="286"/>
      <c r="T205" s="286"/>
      <c r="U205" s="286"/>
      <c r="V205" s="286"/>
      <c r="W205" s="286"/>
      <c r="X205" s="286"/>
      <c r="Y205" s="286"/>
      <c r="Z205" s="286"/>
      <c r="AA205" s="286"/>
      <c r="AB205" s="286"/>
      <c r="AC205" s="286"/>
      <c r="AD205" s="286"/>
      <c r="AF205" s="286"/>
      <c r="AG205" s="286"/>
    </row>
    <row r="206" spans="2:33" x14ac:dyDescent="0.25">
      <c r="B206" s="368"/>
      <c r="C206" s="369"/>
      <c r="D206" s="369"/>
      <c r="E206" s="286"/>
      <c r="F206" s="286"/>
      <c r="G206" s="286"/>
      <c r="H206" s="286"/>
      <c r="I206" s="286"/>
      <c r="J206" s="286"/>
      <c r="K206" s="286"/>
      <c r="L206" s="286"/>
      <c r="M206" s="286"/>
      <c r="N206" s="286"/>
      <c r="O206" s="286"/>
      <c r="P206" s="286"/>
      <c r="Q206" s="286"/>
      <c r="R206" s="286"/>
      <c r="S206" s="286"/>
      <c r="T206" s="286"/>
      <c r="U206" s="286"/>
      <c r="V206" s="286"/>
      <c r="W206" s="286"/>
      <c r="X206" s="286"/>
      <c r="Y206" s="286"/>
      <c r="Z206" s="286"/>
      <c r="AA206" s="286"/>
      <c r="AB206" s="286"/>
      <c r="AC206" s="286"/>
      <c r="AD206" s="286"/>
      <c r="AF206" s="286"/>
      <c r="AG206" s="286"/>
    </row>
    <row r="207" spans="2:33" x14ac:dyDescent="0.25">
      <c r="B207" s="368"/>
      <c r="C207" s="369"/>
      <c r="D207" s="369"/>
      <c r="E207" s="286"/>
      <c r="F207" s="286"/>
      <c r="G207" s="286"/>
      <c r="H207" s="286"/>
      <c r="I207" s="286"/>
      <c r="J207" s="286"/>
      <c r="K207" s="286"/>
      <c r="L207" s="286"/>
      <c r="M207" s="286"/>
      <c r="N207" s="286"/>
      <c r="O207" s="286"/>
      <c r="P207" s="286"/>
      <c r="Q207" s="286"/>
      <c r="R207" s="286"/>
      <c r="S207" s="286"/>
      <c r="T207" s="286"/>
      <c r="U207" s="286"/>
      <c r="V207" s="286"/>
      <c r="W207" s="286"/>
      <c r="X207" s="286"/>
      <c r="Y207" s="286"/>
      <c r="Z207" s="286"/>
      <c r="AA207" s="286"/>
      <c r="AB207" s="286"/>
      <c r="AC207" s="286"/>
      <c r="AD207" s="286"/>
      <c r="AF207" s="286"/>
      <c r="AG207" s="286"/>
    </row>
    <row r="208" spans="2:33" x14ac:dyDescent="0.25">
      <c r="B208" s="368"/>
      <c r="C208" s="369"/>
      <c r="D208" s="369"/>
      <c r="E208" s="286"/>
      <c r="F208" s="286"/>
      <c r="G208" s="286"/>
      <c r="H208" s="286"/>
      <c r="I208" s="286"/>
      <c r="J208" s="286"/>
      <c r="K208" s="286"/>
      <c r="L208" s="286"/>
      <c r="M208" s="286"/>
      <c r="N208" s="286"/>
      <c r="O208" s="286"/>
      <c r="P208" s="286"/>
      <c r="Q208" s="286"/>
      <c r="R208" s="286"/>
      <c r="S208" s="286"/>
      <c r="T208" s="286"/>
      <c r="U208" s="286"/>
      <c r="V208" s="286"/>
      <c r="W208" s="286"/>
      <c r="X208" s="286"/>
      <c r="Y208" s="286"/>
      <c r="Z208" s="286"/>
      <c r="AA208" s="286"/>
      <c r="AB208" s="286"/>
      <c r="AC208" s="286"/>
      <c r="AD208" s="286"/>
      <c r="AF208" s="286"/>
      <c r="AG208" s="286"/>
    </row>
    <row r="209" spans="2:33" x14ac:dyDescent="0.25">
      <c r="B209" s="368"/>
      <c r="C209" s="369"/>
      <c r="D209" s="369"/>
      <c r="E209" s="286"/>
      <c r="F209" s="286"/>
      <c r="G209" s="286"/>
      <c r="H209" s="286"/>
      <c r="I209" s="286"/>
      <c r="J209" s="286"/>
      <c r="K209" s="286"/>
      <c r="L209" s="286"/>
      <c r="M209" s="286"/>
      <c r="N209" s="286"/>
      <c r="O209" s="286"/>
      <c r="P209" s="286"/>
      <c r="Q209" s="286"/>
      <c r="R209" s="286"/>
      <c r="S209" s="286"/>
      <c r="T209" s="286"/>
      <c r="U209" s="286"/>
      <c r="V209" s="286"/>
      <c r="W209" s="286"/>
      <c r="X209" s="286"/>
      <c r="Y209" s="286"/>
      <c r="Z209" s="286"/>
      <c r="AA209" s="286"/>
      <c r="AB209" s="286"/>
      <c r="AC209" s="286"/>
      <c r="AD209" s="286"/>
      <c r="AF209" s="286"/>
      <c r="AG209" s="286"/>
    </row>
    <row r="210" spans="2:33" x14ac:dyDescent="0.25">
      <c r="B210" s="368"/>
      <c r="C210" s="369"/>
      <c r="D210" s="369"/>
      <c r="E210" s="286"/>
      <c r="F210" s="286"/>
      <c r="G210" s="286"/>
      <c r="H210" s="286"/>
      <c r="I210" s="286"/>
      <c r="J210" s="286"/>
      <c r="K210" s="286"/>
      <c r="L210" s="286"/>
      <c r="M210" s="286"/>
      <c r="N210" s="286"/>
      <c r="O210" s="286"/>
      <c r="P210" s="286"/>
      <c r="Q210" s="286"/>
      <c r="R210" s="286"/>
      <c r="S210" s="286"/>
      <c r="T210" s="286"/>
      <c r="U210" s="286"/>
      <c r="V210" s="286"/>
      <c r="W210" s="286"/>
      <c r="X210" s="286"/>
      <c r="Y210" s="286"/>
      <c r="Z210" s="286"/>
      <c r="AA210" s="286"/>
      <c r="AB210" s="286"/>
      <c r="AC210" s="286"/>
      <c r="AD210" s="286"/>
      <c r="AF210" s="286"/>
      <c r="AG210" s="286"/>
    </row>
    <row r="211" spans="2:33" x14ac:dyDescent="0.25">
      <c r="B211" s="368"/>
      <c r="C211" s="369"/>
      <c r="D211" s="369"/>
      <c r="E211" s="286"/>
      <c r="F211" s="286"/>
      <c r="G211" s="286"/>
      <c r="H211" s="286"/>
      <c r="I211" s="286"/>
      <c r="J211" s="286"/>
      <c r="K211" s="286"/>
      <c r="L211" s="286"/>
      <c r="M211" s="286"/>
      <c r="N211" s="286"/>
      <c r="O211" s="286"/>
      <c r="P211" s="286"/>
      <c r="Q211" s="286"/>
      <c r="R211" s="286"/>
      <c r="S211" s="286"/>
      <c r="T211" s="286"/>
      <c r="U211" s="286"/>
      <c r="V211" s="286"/>
      <c r="W211" s="286"/>
      <c r="X211" s="286"/>
      <c r="Y211" s="286"/>
      <c r="Z211" s="286"/>
      <c r="AA211" s="286"/>
      <c r="AB211" s="286"/>
      <c r="AC211" s="286"/>
      <c r="AD211" s="286"/>
      <c r="AF211" s="286"/>
      <c r="AG211" s="286"/>
    </row>
    <row r="212" spans="2:33" x14ac:dyDescent="0.25">
      <c r="B212" s="368"/>
      <c r="C212" s="369"/>
      <c r="D212" s="369"/>
      <c r="E212" s="286"/>
      <c r="F212" s="286"/>
      <c r="G212" s="286"/>
      <c r="H212" s="286"/>
      <c r="I212" s="286"/>
      <c r="J212" s="286"/>
      <c r="K212" s="286"/>
      <c r="L212" s="286"/>
      <c r="M212" s="286"/>
      <c r="N212" s="286"/>
      <c r="O212" s="286"/>
      <c r="P212" s="286"/>
      <c r="Q212" s="286"/>
      <c r="R212" s="286"/>
      <c r="S212" s="286"/>
      <c r="T212" s="286"/>
      <c r="U212" s="286"/>
      <c r="V212" s="286"/>
      <c r="W212" s="286"/>
      <c r="X212" s="286"/>
      <c r="Y212" s="286"/>
      <c r="Z212" s="286"/>
      <c r="AA212" s="286"/>
      <c r="AB212" s="286"/>
      <c r="AC212" s="286"/>
      <c r="AD212" s="286"/>
      <c r="AF212" s="286"/>
      <c r="AG212" s="286"/>
    </row>
    <row r="213" spans="2:33" x14ac:dyDescent="0.25">
      <c r="B213" s="368"/>
      <c r="C213" s="369"/>
      <c r="D213" s="369"/>
      <c r="E213" s="286"/>
      <c r="F213" s="286"/>
      <c r="G213" s="286"/>
      <c r="H213" s="286"/>
      <c r="I213" s="286"/>
      <c r="J213" s="286"/>
      <c r="K213" s="286"/>
      <c r="L213" s="286"/>
      <c r="M213" s="286"/>
      <c r="N213" s="286"/>
      <c r="O213" s="286"/>
      <c r="P213" s="286"/>
      <c r="Q213" s="286"/>
      <c r="R213" s="286"/>
      <c r="S213" s="286"/>
      <c r="T213" s="286"/>
      <c r="U213" s="286"/>
      <c r="V213" s="286"/>
      <c r="W213" s="286"/>
      <c r="X213" s="286"/>
      <c r="Y213" s="286"/>
      <c r="Z213" s="286"/>
      <c r="AA213" s="286"/>
      <c r="AB213" s="286"/>
      <c r="AC213" s="286"/>
      <c r="AD213" s="286"/>
      <c r="AF213" s="286"/>
      <c r="AG213" s="286"/>
    </row>
    <row r="214" spans="2:33" x14ac:dyDescent="0.25">
      <c r="B214" s="368"/>
      <c r="C214" s="369"/>
      <c r="D214" s="369"/>
      <c r="E214" s="286"/>
      <c r="F214" s="286"/>
      <c r="G214" s="286"/>
      <c r="H214" s="286"/>
      <c r="I214" s="286"/>
      <c r="J214" s="286"/>
      <c r="K214" s="286"/>
      <c r="L214" s="286"/>
      <c r="M214" s="286"/>
      <c r="N214" s="286"/>
      <c r="O214" s="286"/>
      <c r="P214" s="286"/>
      <c r="Q214" s="286"/>
      <c r="R214" s="286"/>
      <c r="S214" s="286"/>
      <c r="T214" s="286"/>
      <c r="U214" s="286"/>
      <c r="V214" s="286"/>
      <c r="W214" s="286"/>
      <c r="X214" s="286"/>
      <c r="Y214" s="286"/>
      <c r="Z214" s="286"/>
      <c r="AA214" s="286"/>
      <c r="AB214" s="286"/>
      <c r="AC214" s="286"/>
      <c r="AD214" s="286"/>
      <c r="AF214" s="286"/>
      <c r="AG214" s="286"/>
    </row>
    <row r="215" spans="2:33" x14ac:dyDescent="0.25">
      <c r="B215" s="368"/>
      <c r="C215" s="369"/>
      <c r="D215" s="369"/>
      <c r="E215" s="286"/>
      <c r="F215" s="286"/>
      <c r="G215" s="286"/>
      <c r="H215" s="286"/>
      <c r="I215" s="286"/>
      <c r="J215" s="286"/>
      <c r="K215" s="286"/>
      <c r="L215" s="286"/>
      <c r="M215" s="286"/>
      <c r="N215" s="286"/>
      <c r="O215" s="286"/>
      <c r="P215" s="286"/>
      <c r="Q215" s="286"/>
      <c r="R215" s="286"/>
      <c r="S215" s="286"/>
      <c r="T215" s="286"/>
      <c r="U215" s="286"/>
      <c r="V215" s="286"/>
      <c r="W215" s="286"/>
      <c r="X215" s="286"/>
      <c r="Y215" s="286"/>
      <c r="Z215" s="286"/>
      <c r="AA215" s="286"/>
      <c r="AB215" s="286"/>
      <c r="AC215" s="286"/>
      <c r="AD215" s="286"/>
      <c r="AF215" s="286"/>
      <c r="AG215" s="286"/>
    </row>
    <row r="216" spans="2:33" x14ac:dyDescent="0.25">
      <c r="B216" s="368"/>
      <c r="C216" s="369"/>
      <c r="D216" s="369"/>
      <c r="E216" s="286"/>
      <c r="F216" s="286"/>
      <c r="G216" s="286"/>
      <c r="H216" s="286"/>
      <c r="I216" s="286"/>
      <c r="J216" s="286"/>
      <c r="K216" s="286"/>
      <c r="L216" s="286"/>
      <c r="M216" s="286"/>
      <c r="N216" s="286"/>
      <c r="O216" s="286"/>
      <c r="P216" s="286"/>
      <c r="Q216" s="286"/>
      <c r="R216" s="286"/>
      <c r="S216" s="286"/>
      <c r="T216" s="286"/>
      <c r="U216" s="286"/>
      <c r="V216" s="286"/>
      <c r="W216" s="286"/>
      <c r="X216" s="286"/>
      <c r="Y216" s="286"/>
      <c r="Z216" s="286"/>
      <c r="AA216" s="286"/>
      <c r="AB216" s="286"/>
      <c r="AC216" s="286"/>
      <c r="AD216" s="286"/>
      <c r="AF216" s="286"/>
      <c r="AG216" s="286"/>
    </row>
    <row r="217" spans="2:33" x14ac:dyDescent="0.25">
      <c r="B217" s="368"/>
      <c r="C217" s="369"/>
      <c r="D217" s="369"/>
      <c r="E217" s="286"/>
      <c r="F217" s="286"/>
      <c r="G217" s="286"/>
      <c r="H217" s="286"/>
      <c r="I217" s="286"/>
      <c r="J217" s="286"/>
      <c r="K217" s="286"/>
      <c r="L217" s="286"/>
      <c r="M217" s="286"/>
      <c r="N217" s="286"/>
      <c r="O217" s="286"/>
      <c r="P217" s="286"/>
      <c r="Q217" s="286"/>
      <c r="R217" s="286"/>
      <c r="S217" s="286"/>
      <c r="T217" s="286"/>
      <c r="U217" s="286"/>
      <c r="V217" s="286"/>
      <c r="W217" s="286"/>
      <c r="X217" s="286"/>
      <c r="Y217" s="286"/>
      <c r="Z217" s="286"/>
      <c r="AA217" s="286"/>
      <c r="AB217" s="286"/>
      <c r="AC217" s="286"/>
      <c r="AD217" s="286"/>
      <c r="AF217" s="286"/>
      <c r="AG217" s="286"/>
    </row>
    <row r="218" spans="2:33" x14ac:dyDescent="0.25">
      <c r="B218" s="368"/>
      <c r="C218" s="369"/>
      <c r="D218" s="369"/>
      <c r="E218" s="286"/>
      <c r="F218" s="286"/>
      <c r="G218" s="286"/>
      <c r="H218" s="286"/>
      <c r="I218" s="286"/>
      <c r="J218" s="286"/>
      <c r="K218" s="286"/>
      <c r="L218" s="286"/>
      <c r="M218" s="286"/>
      <c r="N218" s="286"/>
      <c r="O218" s="286"/>
      <c r="P218" s="286"/>
      <c r="Q218" s="286"/>
      <c r="R218" s="286"/>
      <c r="S218" s="286"/>
      <c r="T218" s="286"/>
      <c r="U218" s="286"/>
      <c r="V218" s="286"/>
      <c r="W218" s="286"/>
      <c r="X218" s="286"/>
      <c r="Y218" s="286"/>
      <c r="Z218" s="286"/>
      <c r="AA218" s="286"/>
      <c r="AB218" s="286"/>
      <c r="AC218" s="286"/>
      <c r="AD218" s="286"/>
      <c r="AF218" s="286"/>
      <c r="AG218" s="286"/>
    </row>
    <row r="219" spans="2:33" x14ac:dyDescent="0.25">
      <c r="B219" s="368"/>
      <c r="C219" s="369"/>
      <c r="D219" s="369"/>
      <c r="E219" s="286"/>
      <c r="F219" s="286"/>
      <c r="G219" s="286"/>
      <c r="H219" s="286"/>
      <c r="I219" s="286"/>
      <c r="J219" s="286"/>
      <c r="K219" s="286"/>
      <c r="L219" s="286"/>
      <c r="M219" s="286"/>
      <c r="N219" s="286"/>
      <c r="O219" s="286"/>
      <c r="P219" s="286"/>
      <c r="Q219" s="286"/>
      <c r="R219" s="286"/>
      <c r="S219" s="286"/>
      <c r="T219" s="286"/>
      <c r="U219" s="286"/>
      <c r="V219" s="286"/>
      <c r="W219" s="286"/>
      <c r="X219" s="286"/>
      <c r="Y219" s="286"/>
      <c r="Z219" s="286"/>
      <c r="AA219" s="286"/>
      <c r="AB219" s="286"/>
      <c r="AC219" s="286"/>
      <c r="AD219" s="286"/>
      <c r="AF219" s="286"/>
      <c r="AG219" s="286"/>
    </row>
    <row r="220" spans="2:33" x14ac:dyDescent="0.25">
      <c r="B220" s="368"/>
      <c r="C220" s="369"/>
      <c r="D220" s="369"/>
      <c r="E220" s="286"/>
      <c r="F220" s="286"/>
      <c r="G220" s="286"/>
      <c r="H220" s="286"/>
      <c r="I220" s="286"/>
      <c r="J220" s="286"/>
      <c r="K220" s="286"/>
      <c r="L220" s="286"/>
      <c r="M220" s="286"/>
      <c r="N220" s="286"/>
      <c r="O220" s="286"/>
      <c r="P220" s="286"/>
      <c r="Q220" s="286"/>
      <c r="R220" s="286"/>
      <c r="S220" s="286"/>
      <c r="T220" s="286"/>
      <c r="U220" s="286"/>
      <c r="V220" s="286"/>
      <c r="W220" s="286"/>
      <c r="X220" s="286"/>
      <c r="Y220" s="286"/>
      <c r="Z220" s="286"/>
      <c r="AA220" s="286"/>
      <c r="AB220" s="286"/>
      <c r="AC220" s="286"/>
      <c r="AD220" s="286"/>
      <c r="AF220" s="286"/>
      <c r="AG220" s="286"/>
    </row>
    <row r="221" spans="2:33" x14ac:dyDescent="0.25">
      <c r="B221" s="368"/>
      <c r="C221" s="369"/>
      <c r="D221" s="369"/>
      <c r="E221" s="286"/>
      <c r="F221" s="286"/>
      <c r="G221" s="286"/>
      <c r="H221" s="286"/>
      <c r="I221" s="286"/>
      <c r="J221" s="286"/>
      <c r="K221" s="286"/>
      <c r="L221" s="286"/>
      <c r="M221" s="286"/>
      <c r="N221" s="286"/>
      <c r="O221" s="286"/>
      <c r="P221" s="286"/>
      <c r="Q221" s="286"/>
      <c r="R221" s="286"/>
      <c r="S221" s="286"/>
      <c r="T221" s="286"/>
      <c r="U221" s="286"/>
      <c r="V221" s="286"/>
      <c r="W221" s="286"/>
      <c r="X221" s="286"/>
      <c r="Y221" s="286"/>
      <c r="Z221" s="286"/>
      <c r="AA221" s="286"/>
      <c r="AB221" s="286"/>
      <c r="AC221" s="286"/>
      <c r="AD221" s="286"/>
      <c r="AF221" s="286"/>
      <c r="AG221" s="286"/>
    </row>
    <row r="222" spans="2:33" x14ac:dyDescent="0.25">
      <c r="B222" s="368"/>
      <c r="C222" s="369"/>
      <c r="D222" s="369"/>
      <c r="E222" s="286"/>
      <c r="F222" s="286"/>
      <c r="G222" s="286"/>
      <c r="H222" s="286"/>
      <c r="I222" s="286"/>
      <c r="J222" s="286"/>
      <c r="K222" s="286"/>
      <c r="L222" s="286"/>
      <c r="M222" s="286"/>
      <c r="N222" s="286"/>
      <c r="O222" s="286"/>
      <c r="P222" s="286"/>
      <c r="Q222" s="286"/>
      <c r="R222" s="286"/>
      <c r="S222" s="286"/>
      <c r="T222" s="286"/>
      <c r="U222" s="286"/>
      <c r="V222" s="286"/>
      <c r="W222" s="286"/>
      <c r="X222" s="286"/>
      <c r="Y222" s="286"/>
      <c r="Z222" s="286"/>
      <c r="AA222" s="286"/>
      <c r="AB222" s="286"/>
      <c r="AC222" s="286"/>
      <c r="AD222" s="286"/>
      <c r="AF222" s="286"/>
      <c r="AG222" s="286"/>
    </row>
    <row r="223" spans="2:33" x14ac:dyDescent="0.25">
      <c r="B223" s="368"/>
      <c r="C223" s="369"/>
      <c r="D223" s="369"/>
      <c r="E223" s="286"/>
      <c r="F223" s="286"/>
      <c r="G223" s="286"/>
      <c r="H223" s="286"/>
      <c r="I223" s="286"/>
      <c r="J223" s="286"/>
      <c r="K223" s="286"/>
      <c r="L223" s="286"/>
      <c r="M223" s="286"/>
      <c r="N223" s="286"/>
      <c r="O223" s="286"/>
      <c r="P223" s="286"/>
      <c r="Q223" s="286"/>
      <c r="R223" s="286"/>
      <c r="S223" s="286"/>
      <c r="T223" s="286"/>
      <c r="U223" s="286"/>
      <c r="V223" s="286"/>
      <c r="W223" s="286"/>
      <c r="X223" s="286"/>
      <c r="Y223" s="286"/>
      <c r="Z223" s="286"/>
      <c r="AA223" s="286"/>
      <c r="AB223" s="286"/>
      <c r="AC223" s="286"/>
      <c r="AD223" s="286"/>
      <c r="AF223" s="286"/>
      <c r="AG223" s="286"/>
    </row>
    <row r="224" spans="2:33" x14ac:dyDescent="0.25">
      <c r="B224" s="368"/>
      <c r="C224" s="369"/>
      <c r="D224" s="369"/>
      <c r="E224" s="286"/>
      <c r="F224" s="286"/>
      <c r="G224" s="286"/>
      <c r="H224" s="286"/>
      <c r="I224" s="286"/>
      <c r="J224" s="286"/>
      <c r="K224" s="286"/>
      <c r="L224" s="286"/>
      <c r="M224" s="286"/>
      <c r="N224" s="286"/>
      <c r="O224" s="286"/>
      <c r="P224" s="286"/>
      <c r="Q224" s="286"/>
      <c r="R224" s="286"/>
      <c r="S224" s="286"/>
      <c r="T224" s="286"/>
      <c r="U224" s="286"/>
      <c r="V224" s="286"/>
      <c r="W224" s="286"/>
      <c r="X224" s="286"/>
      <c r="Y224" s="286"/>
      <c r="Z224" s="286"/>
      <c r="AA224" s="286"/>
      <c r="AB224" s="286"/>
      <c r="AC224" s="286"/>
      <c r="AD224" s="286"/>
      <c r="AF224" s="286"/>
      <c r="AG224" s="286"/>
    </row>
    <row r="225" spans="2:33" x14ac:dyDescent="0.25">
      <c r="B225" s="368"/>
      <c r="C225" s="369"/>
      <c r="D225" s="369"/>
      <c r="E225" s="286"/>
      <c r="F225" s="286"/>
      <c r="G225" s="286"/>
      <c r="H225" s="286"/>
      <c r="I225" s="286"/>
      <c r="J225" s="286"/>
      <c r="K225" s="286"/>
      <c r="L225" s="286"/>
      <c r="M225" s="286"/>
      <c r="N225" s="286"/>
      <c r="O225" s="286"/>
      <c r="P225" s="286"/>
      <c r="Q225" s="286"/>
      <c r="R225" s="286"/>
      <c r="S225" s="286"/>
      <c r="T225" s="286"/>
      <c r="U225" s="286"/>
      <c r="V225" s="286"/>
      <c r="W225" s="286"/>
      <c r="X225" s="286"/>
      <c r="Y225" s="286"/>
      <c r="Z225" s="286"/>
      <c r="AA225" s="286"/>
      <c r="AB225" s="286"/>
      <c r="AC225" s="286"/>
      <c r="AD225" s="286"/>
      <c r="AF225" s="286"/>
      <c r="AG225" s="286"/>
    </row>
    <row r="226" spans="2:33" x14ac:dyDescent="0.25">
      <c r="B226" s="368"/>
      <c r="C226" s="369"/>
      <c r="D226" s="369"/>
      <c r="E226" s="286"/>
      <c r="F226" s="286"/>
      <c r="G226" s="286"/>
      <c r="H226" s="286"/>
      <c r="I226" s="286"/>
      <c r="J226" s="286"/>
      <c r="K226" s="286"/>
      <c r="L226" s="286"/>
      <c r="M226" s="286"/>
      <c r="N226" s="286"/>
      <c r="O226" s="286"/>
      <c r="P226" s="286"/>
      <c r="Q226" s="286"/>
      <c r="R226" s="286"/>
      <c r="S226" s="286"/>
      <c r="T226" s="286"/>
      <c r="U226" s="286"/>
      <c r="V226" s="286"/>
      <c r="W226" s="286"/>
      <c r="X226" s="286"/>
      <c r="Y226" s="286"/>
      <c r="Z226" s="286"/>
      <c r="AA226" s="286"/>
      <c r="AB226" s="286"/>
      <c r="AC226" s="286"/>
      <c r="AD226" s="286"/>
      <c r="AF226" s="286"/>
      <c r="AG226" s="286"/>
    </row>
    <row r="227" spans="2:33" x14ac:dyDescent="0.25">
      <c r="B227" s="368"/>
      <c r="C227" s="369"/>
      <c r="D227" s="369"/>
      <c r="E227" s="286"/>
      <c r="F227" s="286"/>
      <c r="G227" s="286"/>
      <c r="H227" s="286"/>
      <c r="I227" s="286"/>
      <c r="J227" s="286"/>
      <c r="K227" s="286"/>
      <c r="L227" s="286"/>
      <c r="M227" s="286"/>
      <c r="N227" s="286"/>
      <c r="O227" s="286"/>
      <c r="P227" s="286"/>
      <c r="Q227" s="286"/>
      <c r="R227" s="286"/>
      <c r="S227" s="286"/>
      <c r="T227" s="286"/>
      <c r="U227" s="286"/>
      <c r="V227" s="286"/>
      <c r="W227" s="286"/>
      <c r="X227" s="286"/>
      <c r="Y227" s="286"/>
      <c r="Z227" s="286"/>
      <c r="AA227" s="286"/>
      <c r="AB227" s="286"/>
      <c r="AC227" s="286"/>
      <c r="AD227" s="286"/>
      <c r="AF227" s="286"/>
      <c r="AG227" s="286"/>
    </row>
    <row r="228" spans="2:33" x14ac:dyDescent="0.25">
      <c r="B228" s="368"/>
      <c r="C228" s="369"/>
      <c r="D228" s="369"/>
      <c r="E228" s="286"/>
      <c r="F228" s="286"/>
      <c r="G228" s="286"/>
      <c r="H228" s="286"/>
      <c r="I228" s="286"/>
      <c r="J228" s="286"/>
      <c r="K228" s="286"/>
      <c r="L228" s="286"/>
      <c r="M228" s="286"/>
      <c r="N228" s="286"/>
      <c r="O228" s="286"/>
      <c r="P228" s="286"/>
      <c r="Q228" s="286"/>
      <c r="R228" s="286"/>
      <c r="S228" s="286"/>
      <c r="T228" s="286"/>
      <c r="U228" s="286"/>
      <c r="V228" s="286"/>
      <c r="W228" s="286"/>
      <c r="X228" s="286"/>
      <c r="Y228" s="286"/>
      <c r="Z228" s="286"/>
      <c r="AA228" s="286"/>
      <c r="AB228" s="286"/>
      <c r="AC228" s="286"/>
      <c r="AD228" s="286"/>
      <c r="AF228" s="286"/>
      <c r="AG228" s="286"/>
    </row>
    <row r="229" spans="2:33" x14ac:dyDescent="0.25">
      <c r="B229" s="368"/>
      <c r="C229" s="369"/>
      <c r="D229" s="369"/>
      <c r="E229" s="286"/>
      <c r="F229" s="286"/>
      <c r="G229" s="286"/>
      <c r="H229" s="286"/>
      <c r="I229" s="286"/>
      <c r="J229" s="286"/>
      <c r="K229" s="286"/>
      <c r="L229" s="286"/>
      <c r="M229" s="286"/>
      <c r="N229" s="286"/>
      <c r="O229" s="286"/>
      <c r="P229" s="286"/>
      <c r="Q229" s="286"/>
      <c r="R229" s="286"/>
      <c r="S229" s="286"/>
      <c r="T229" s="286"/>
      <c r="U229" s="286"/>
      <c r="V229" s="286"/>
      <c r="W229" s="286"/>
      <c r="X229" s="286"/>
      <c r="Y229" s="286"/>
      <c r="Z229" s="286"/>
      <c r="AA229" s="286"/>
      <c r="AB229" s="286"/>
      <c r="AC229" s="286"/>
      <c r="AD229" s="286"/>
      <c r="AF229" s="286"/>
      <c r="AG229" s="286"/>
    </row>
    <row r="230" spans="2:33" x14ac:dyDescent="0.25">
      <c r="B230" s="368"/>
      <c r="C230" s="369"/>
      <c r="D230" s="369"/>
      <c r="E230" s="286"/>
      <c r="F230" s="286"/>
      <c r="G230" s="286"/>
      <c r="H230" s="286"/>
      <c r="I230" s="286"/>
      <c r="J230" s="286"/>
      <c r="K230" s="286"/>
      <c r="L230" s="286"/>
      <c r="M230" s="286"/>
      <c r="N230" s="286"/>
      <c r="O230" s="286"/>
      <c r="P230" s="286"/>
      <c r="Q230" s="286"/>
      <c r="R230" s="286"/>
      <c r="S230" s="286"/>
      <c r="T230" s="286"/>
      <c r="U230" s="286"/>
      <c r="V230" s="286"/>
      <c r="W230" s="286"/>
      <c r="X230" s="286"/>
      <c r="Y230" s="286"/>
      <c r="Z230" s="286"/>
      <c r="AA230" s="286"/>
      <c r="AB230" s="286"/>
      <c r="AC230" s="286"/>
      <c r="AD230" s="286"/>
      <c r="AF230" s="286"/>
      <c r="AG230" s="286"/>
    </row>
    <row r="231" spans="2:33" x14ac:dyDescent="0.25">
      <c r="B231" s="368"/>
      <c r="C231" s="369"/>
      <c r="D231" s="369"/>
      <c r="E231" s="286"/>
      <c r="F231" s="286"/>
      <c r="G231" s="286"/>
      <c r="H231" s="286"/>
      <c r="I231" s="286"/>
      <c r="J231" s="286"/>
      <c r="K231" s="286"/>
      <c r="L231" s="286"/>
      <c r="M231" s="286"/>
      <c r="N231" s="286"/>
      <c r="O231" s="286"/>
      <c r="P231" s="286"/>
      <c r="Q231" s="286"/>
      <c r="R231" s="286"/>
      <c r="S231" s="286"/>
      <c r="T231" s="286"/>
      <c r="U231" s="286"/>
      <c r="V231" s="286"/>
      <c r="W231" s="286"/>
      <c r="X231" s="286"/>
      <c r="Y231" s="286"/>
      <c r="Z231" s="286"/>
      <c r="AA231" s="286"/>
      <c r="AB231" s="286"/>
      <c r="AC231" s="286"/>
      <c r="AD231" s="286"/>
      <c r="AF231" s="286"/>
      <c r="AG231" s="286"/>
    </row>
    <row r="232" spans="2:33" x14ac:dyDescent="0.25">
      <c r="B232" s="368"/>
      <c r="C232" s="369"/>
      <c r="D232" s="369"/>
      <c r="E232" s="286"/>
      <c r="F232" s="286"/>
      <c r="G232" s="286"/>
      <c r="H232" s="286"/>
      <c r="I232" s="286"/>
      <c r="J232" s="286"/>
      <c r="K232" s="286"/>
      <c r="L232" s="286"/>
      <c r="M232" s="286"/>
      <c r="N232" s="286"/>
      <c r="O232" s="286"/>
      <c r="P232" s="286"/>
      <c r="Q232" s="286"/>
      <c r="R232" s="286"/>
      <c r="S232" s="286"/>
      <c r="T232" s="286"/>
      <c r="U232" s="286"/>
      <c r="V232" s="286"/>
      <c r="W232" s="286"/>
      <c r="X232" s="286"/>
      <c r="Y232" s="286"/>
      <c r="Z232" s="286"/>
      <c r="AA232" s="286"/>
      <c r="AB232" s="286"/>
      <c r="AC232" s="286"/>
      <c r="AD232" s="286"/>
      <c r="AF232" s="286"/>
      <c r="AG232" s="286"/>
    </row>
    <row r="233" spans="2:33" x14ac:dyDescent="0.25">
      <c r="B233" s="368"/>
      <c r="C233" s="369"/>
      <c r="D233" s="369"/>
      <c r="E233" s="286"/>
      <c r="F233" s="286"/>
      <c r="G233" s="286"/>
      <c r="H233" s="286"/>
      <c r="I233" s="286"/>
      <c r="J233" s="286"/>
      <c r="K233" s="286"/>
      <c r="L233" s="286"/>
      <c r="M233" s="286"/>
      <c r="N233" s="286"/>
      <c r="O233" s="286"/>
      <c r="P233" s="286"/>
      <c r="Q233" s="286"/>
      <c r="R233" s="286"/>
      <c r="S233" s="286"/>
      <c r="T233" s="286"/>
      <c r="U233" s="286"/>
      <c r="V233" s="286"/>
      <c r="W233" s="286"/>
      <c r="X233" s="286"/>
      <c r="Y233" s="286"/>
      <c r="Z233" s="286"/>
      <c r="AA233" s="286"/>
      <c r="AB233" s="286"/>
      <c r="AC233" s="286"/>
      <c r="AD233" s="286"/>
      <c r="AF233" s="286"/>
      <c r="AG233" s="286"/>
    </row>
    <row r="234" spans="2:33" x14ac:dyDescent="0.25">
      <c r="B234" s="368"/>
      <c r="C234" s="369"/>
      <c r="D234" s="369"/>
      <c r="E234" s="286"/>
      <c r="F234" s="286"/>
      <c r="G234" s="286"/>
      <c r="H234" s="286"/>
      <c r="I234" s="286"/>
      <c r="J234" s="286"/>
      <c r="K234" s="286"/>
      <c r="L234" s="286"/>
      <c r="M234" s="286"/>
      <c r="N234" s="286"/>
      <c r="O234" s="286"/>
      <c r="P234" s="286"/>
      <c r="Q234" s="286"/>
      <c r="R234" s="286"/>
      <c r="S234" s="286"/>
      <c r="T234" s="286"/>
      <c r="U234" s="286"/>
      <c r="V234" s="286"/>
      <c r="W234" s="286"/>
      <c r="X234" s="286"/>
      <c r="Y234" s="286"/>
      <c r="Z234" s="286"/>
      <c r="AA234" s="286"/>
      <c r="AB234" s="286"/>
      <c r="AC234" s="286"/>
      <c r="AD234" s="286"/>
      <c r="AF234" s="286"/>
      <c r="AG234" s="286"/>
    </row>
    <row r="235" spans="2:33" x14ac:dyDescent="0.25">
      <c r="B235" s="368"/>
      <c r="C235" s="369"/>
      <c r="D235" s="369"/>
      <c r="E235" s="286"/>
      <c r="F235" s="286"/>
      <c r="G235" s="286"/>
      <c r="H235" s="286"/>
      <c r="I235" s="286"/>
      <c r="J235" s="286"/>
      <c r="K235" s="286"/>
      <c r="L235" s="286"/>
      <c r="M235" s="286"/>
      <c r="N235" s="286"/>
      <c r="O235" s="286"/>
      <c r="P235" s="286"/>
      <c r="Q235" s="286"/>
      <c r="R235" s="286"/>
      <c r="S235" s="286"/>
      <c r="T235" s="286"/>
      <c r="U235" s="286"/>
      <c r="V235" s="286"/>
      <c r="W235" s="286"/>
      <c r="X235" s="286"/>
      <c r="Y235" s="286"/>
      <c r="Z235" s="286"/>
      <c r="AA235" s="286"/>
      <c r="AB235" s="286"/>
      <c r="AC235" s="286"/>
      <c r="AD235" s="286"/>
      <c r="AF235" s="286"/>
      <c r="AG235" s="286"/>
    </row>
    <row r="236" spans="2:33" x14ac:dyDescent="0.25">
      <c r="B236" s="368"/>
      <c r="C236" s="369"/>
      <c r="D236" s="369"/>
      <c r="E236" s="286"/>
      <c r="F236" s="286"/>
      <c r="G236" s="286"/>
      <c r="H236" s="286"/>
      <c r="I236" s="286"/>
      <c r="J236" s="286"/>
      <c r="K236" s="286"/>
      <c r="L236" s="286"/>
      <c r="M236" s="286"/>
      <c r="N236" s="286"/>
      <c r="O236" s="286"/>
      <c r="P236" s="286"/>
      <c r="Q236" s="286"/>
      <c r="R236" s="286"/>
      <c r="S236" s="286"/>
      <c r="T236" s="286"/>
      <c r="U236" s="286"/>
      <c r="V236" s="286"/>
      <c r="W236" s="286"/>
      <c r="X236" s="286"/>
      <c r="Y236" s="286"/>
      <c r="Z236" s="286"/>
      <c r="AA236" s="286"/>
      <c r="AB236" s="286"/>
      <c r="AC236" s="286"/>
      <c r="AD236" s="286"/>
      <c r="AF236" s="286"/>
      <c r="AG236" s="286"/>
    </row>
    <row r="237" spans="2:33" x14ac:dyDescent="0.25">
      <c r="B237" s="368"/>
      <c r="C237" s="369"/>
      <c r="D237" s="369"/>
      <c r="E237" s="286"/>
      <c r="F237" s="286"/>
      <c r="G237" s="286"/>
      <c r="H237" s="286"/>
      <c r="I237" s="286"/>
      <c r="J237" s="286"/>
      <c r="K237" s="286"/>
      <c r="L237" s="286"/>
      <c r="M237" s="286"/>
      <c r="N237" s="286"/>
      <c r="O237" s="286"/>
      <c r="P237" s="286"/>
      <c r="Q237" s="286"/>
      <c r="R237" s="286"/>
      <c r="S237" s="286"/>
      <c r="T237" s="286"/>
      <c r="U237" s="286"/>
      <c r="V237" s="286"/>
      <c r="W237" s="286"/>
      <c r="X237" s="286"/>
      <c r="Y237" s="286"/>
      <c r="Z237" s="286"/>
      <c r="AA237" s="286"/>
      <c r="AB237" s="286"/>
      <c r="AC237" s="286"/>
      <c r="AD237" s="286"/>
      <c r="AF237" s="286"/>
      <c r="AG237" s="286"/>
    </row>
    <row r="238" spans="2:33" x14ac:dyDescent="0.25">
      <c r="B238" s="368"/>
      <c r="C238" s="369"/>
      <c r="D238" s="369"/>
      <c r="E238" s="286"/>
      <c r="F238" s="286"/>
      <c r="G238" s="286"/>
      <c r="H238" s="286"/>
      <c r="I238" s="286"/>
      <c r="J238" s="286"/>
      <c r="K238" s="286"/>
      <c r="L238" s="286"/>
      <c r="M238" s="286"/>
      <c r="N238" s="286"/>
      <c r="O238" s="286"/>
      <c r="P238" s="286"/>
      <c r="Q238" s="286"/>
      <c r="R238" s="286"/>
      <c r="S238" s="286"/>
      <c r="T238" s="286"/>
      <c r="U238" s="286"/>
      <c r="V238" s="286"/>
      <c r="W238" s="286"/>
      <c r="X238" s="286"/>
      <c r="Y238" s="286"/>
      <c r="Z238" s="286"/>
      <c r="AA238" s="286"/>
      <c r="AB238" s="286"/>
      <c r="AC238" s="286"/>
      <c r="AD238" s="286"/>
      <c r="AF238" s="286"/>
      <c r="AG238" s="286"/>
    </row>
    <row r="239" spans="2:33" x14ac:dyDescent="0.25">
      <c r="B239" s="368"/>
      <c r="C239" s="369"/>
      <c r="D239" s="369"/>
      <c r="E239" s="286"/>
      <c r="F239" s="286"/>
      <c r="G239" s="286"/>
      <c r="H239" s="286"/>
      <c r="I239" s="286"/>
      <c r="J239" s="286"/>
      <c r="K239" s="286"/>
      <c r="L239" s="286"/>
      <c r="M239" s="286"/>
      <c r="N239" s="286"/>
      <c r="O239" s="286"/>
      <c r="P239" s="286"/>
      <c r="Q239" s="286"/>
      <c r="R239" s="286"/>
      <c r="S239" s="286"/>
      <c r="T239" s="286"/>
      <c r="U239" s="286"/>
      <c r="V239" s="286"/>
      <c r="W239" s="286"/>
      <c r="X239" s="286"/>
      <c r="Y239" s="286"/>
      <c r="Z239" s="286"/>
      <c r="AA239" s="286"/>
      <c r="AB239" s="286"/>
      <c r="AC239" s="286"/>
      <c r="AD239" s="286"/>
      <c r="AF239" s="286"/>
      <c r="AG239" s="286"/>
    </row>
    <row r="240" spans="2:33" x14ac:dyDescent="0.25">
      <c r="B240" s="368"/>
      <c r="C240" s="369"/>
      <c r="D240" s="369"/>
      <c r="E240" s="286"/>
      <c r="F240" s="286"/>
      <c r="G240" s="286"/>
      <c r="H240" s="286"/>
      <c r="I240" s="286"/>
      <c r="J240" s="286"/>
      <c r="K240" s="286"/>
      <c r="L240" s="286"/>
      <c r="M240" s="286"/>
      <c r="N240" s="286"/>
      <c r="O240" s="286"/>
      <c r="P240" s="286"/>
      <c r="Q240" s="286"/>
      <c r="R240" s="286"/>
      <c r="S240" s="286"/>
      <c r="T240" s="286"/>
      <c r="U240" s="286"/>
      <c r="V240" s="286"/>
      <c r="W240" s="286"/>
      <c r="X240" s="286"/>
      <c r="Y240" s="286"/>
      <c r="Z240" s="286"/>
      <c r="AA240" s="286"/>
      <c r="AB240" s="286"/>
      <c r="AC240" s="286"/>
      <c r="AD240" s="286"/>
      <c r="AF240" s="286"/>
      <c r="AG240" s="286"/>
    </row>
    <row r="241" spans="2:33" x14ac:dyDescent="0.25">
      <c r="B241" s="368"/>
      <c r="C241" s="369"/>
      <c r="D241" s="369"/>
      <c r="E241" s="286"/>
      <c r="F241" s="286"/>
      <c r="G241" s="286"/>
      <c r="H241" s="286"/>
      <c r="I241" s="286"/>
      <c r="J241" s="286"/>
      <c r="K241" s="286"/>
      <c r="L241" s="286"/>
      <c r="M241" s="286"/>
      <c r="N241" s="286"/>
      <c r="O241" s="286"/>
      <c r="P241" s="286"/>
      <c r="Q241" s="286"/>
      <c r="R241" s="286"/>
      <c r="S241" s="286"/>
      <c r="T241" s="286"/>
      <c r="U241" s="286"/>
      <c r="V241" s="286"/>
      <c r="W241" s="286"/>
      <c r="X241" s="286"/>
      <c r="Y241" s="286"/>
      <c r="Z241" s="286"/>
      <c r="AA241" s="286"/>
      <c r="AB241" s="286"/>
      <c r="AC241" s="286"/>
      <c r="AD241" s="286"/>
      <c r="AF241" s="286"/>
      <c r="AG241" s="286"/>
    </row>
    <row r="242" spans="2:33" x14ac:dyDescent="0.25">
      <c r="B242" s="368"/>
      <c r="C242" s="369"/>
      <c r="D242" s="369"/>
      <c r="E242" s="286"/>
      <c r="F242" s="286"/>
      <c r="G242" s="286"/>
      <c r="H242" s="286"/>
      <c r="I242" s="286"/>
      <c r="J242" s="286"/>
      <c r="K242" s="286"/>
      <c r="L242" s="286"/>
      <c r="M242" s="286"/>
      <c r="N242" s="286"/>
      <c r="O242" s="286"/>
      <c r="P242" s="286"/>
      <c r="Q242" s="286"/>
      <c r="R242" s="286"/>
      <c r="S242" s="286"/>
      <c r="T242" s="286"/>
      <c r="U242" s="286"/>
      <c r="V242" s="286"/>
      <c r="W242" s="286"/>
      <c r="X242" s="286"/>
      <c r="Y242" s="286"/>
      <c r="Z242" s="286"/>
      <c r="AA242" s="286"/>
      <c r="AB242" s="286"/>
      <c r="AC242" s="286"/>
      <c r="AD242" s="286"/>
      <c r="AF242" s="286"/>
      <c r="AG242" s="286"/>
    </row>
    <row r="243" spans="2:33" x14ac:dyDescent="0.25">
      <c r="B243" s="368"/>
      <c r="C243" s="369"/>
      <c r="D243" s="369"/>
      <c r="E243" s="286"/>
      <c r="F243" s="286"/>
      <c r="G243" s="286"/>
      <c r="H243" s="286"/>
      <c r="I243" s="286"/>
      <c r="J243" s="286"/>
      <c r="K243" s="286"/>
      <c r="L243" s="286"/>
      <c r="M243" s="286"/>
      <c r="N243" s="286"/>
      <c r="O243" s="286"/>
      <c r="P243" s="286"/>
      <c r="Q243" s="286"/>
      <c r="R243" s="286"/>
      <c r="S243" s="286"/>
      <c r="T243" s="286"/>
      <c r="U243" s="286"/>
      <c r="V243" s="286"/>
      <c r="W243" s="286"/>
      <c r="X243" s="286"/>
      <c r="Y243" s="286"/>
      <c r="Z243" s="286"/>
      <c r="AA243" s="286"/>
      <c r="AB243" s="286"/>
      <c r="AC243" s="286"/>
      <c r="AD243" s="286"/>
      <c r="AF243" s="286"/>
      <c r="AG243" s="286"/>
    </row>
    <row r="244" spans="2:33" x14ac:dyDescent="0.25">
      <c r="B244" s="368"/>
      <c r="C244" s="369"/>
      <c r="D244" s="369"/>
      <c r="E244" s="286"/>
      <c r="F244" s="286"/>
      <c r="G244" s="286"/>
      <c r="H244" s="286"/>
      <c r="I244" s="286"/>
      <c r="J244" s="286"/>
      <c r="K244" s="286"/>
      <c r="L244" s="286"/>
      <c r="M244" s="286"/>
      <c r="N244" s="286"/>
      <c r="O244" s="286"/>
      <c r="P244" s="286"/>
      <c r="Q244" s="286"/>
      <c r="R244" s="286"/>
      <c r="S244" s="286"/>
      <c r="T244" s="286"/>
      <c r="U244" s="286"/>
      <c r="V244" s="286"/>
      <c r="W244" s="286"/>
      <c r="X244" s="286"/>
      <c r="Y244" s="286"/>
      <c r="Z244" s="286"/>
      <c r="AA244" s="286"/>
      <c r="AB244" s="286"/>
      <c r="AC244" s="286"/>
      <c r="AD244" s="286"/>
      <c r="AF244" s="286"/>
      <c r="AG244" s="286"/>
    </row>
    <row r="245" spans="2:33" x14ac:dyDescent="0.25">
      <c r="B245" s="368"/>
      <c r="C245" s="369"/>
      <c r="D245" s="369"/>
      <c r="E245" s="286"/>
      <c r="F245" s="286"/>
      <c r="G245" s="286"/>
      <c r="H245" s="286"/>
      <c r="I245" s="286"/>
      <c r="J245" s="286"/>
      <c r="K245" s="286"/>
      <c r="L245" s="286"/>
      <c r="M245" s="286"/>
      <c r="N245" s="286"/>
      <c r="O245" s="286"/>
      <c r="P245" s="286"/>
      <c r="Q245" s="286"/>
      <c r="R245" s="286"/>
      <c r="S245" s="286"/>
      <c r="T245" s="286"/>
      <c r="U245" s="286"/>
      <c r="V245" s="286"/>
      <c r="W245" s="286"/>
      <c r="X245" s="286"/>
      <c r="Y245" s="286"/>
      <c r="Z245" s="286"/>
      <c r="AA245" s="286"/>
      <c r="AB245" s="286"/>
      <c r="AC245" s="286"/>
      <c r="AD245" s="286"/>
      <c r="AF245" s="286"/>
      <c r="AG245" s="286"/>
    </row>
    <row r="246" spans="2:33" x14ac:dyDescent="0.25">
      <c r="B246" s="368"/>
      <c r="C246" s="369"/>
      <c r="D246" s="369"/>
      <c r="E246" s="286"/>
      <c r="F246" s="286"/>
      <c r="G246" s="286"/>
      <c r="H246" s="286"/>
      <c r="I246" s="286"/>
      <c r="J246" s="286"/>
      <c r="K246" s="286"/>
      <c r="L246" s="286"/>
      <c r="M246" s="286"/>
      <c r="N246" s="286"/>
      <c r="O246" s="286"/>
      <c r="P246" s="286"/>
      <c r="Q246" s="286"/>
      <c r="R246" s="286"/>
      <c r="S246" s="286"/>
      <c r="T246" s="286"/>
      <c r="U246" s="286"/>
      <c r="V246" s="286"/>
      <c r="W246" s="286"/>
      <c r="X246" s="286"/>
      <c r="Y246" s="286"/>
      <c r="Z246" s="286"/>
      <c r="AA246" s="286"/>
      <c r="AB246" s="286"/>
      <c r="AC246" s="286"/>
      <c r="AD246" s="286"/>
      <c r="AF246" s="286"/>
      <c r="AG246" s="286"/>
    </row>
    <row r="247" spans="2:33" x14ac:dyDescent="0.25">
      <c r="B247" s="368"/>
      <c r="C247" s="369"/>
      <c r="D247" s="369"/>
      <c r="E247" s="286"/>
      <c r="F247" s="286"/>
      <c r="G247" s="286"/>
      <c r="H247" s="286"/>
      <c r="I247" s="286"/>
      <c r="J247" s="286"/>
      <c r="K247" s="286"/>
      <c r="L247" s="286"/>
      <c r="M247" s="286"/>
      <c r="N247" s="286"/>
      <c r="O247" s="286"/>
      <c r="P247" s="286"/>
      <c r="Q247" s="286"/>
      <c r="R247" s="286"/>
      <c r="S247" s="286"/>
      <c r="T247" s="286"/>
      <c r="U247" s="286"/>
      <c r="V247" s="286"/>
      <c r="W247" s="286"/>
      <c r="X247" s="286"/>
      <c r="Y247" s="286"/>
      <c r="Z247" s="286"/>
      <c r="AA247" s="286"/>
      <c r="AB247" s="286"/>
      <c r="AC247" s="286"/>
      <c r="AD247" s="286"/>
      <c r="AF247" s="286"/>
      <c r="AG247" s="286"/>
    </row>
    <row r="248" spans="2:33" x14ac:dyDescent="0.25">
      <c r="B248" s="368"/>
      <c r="C248" s="369"/>
      <c r="D248" s="369"/>
      <c r="E248" s="286"/>
      <c r="F248" s="286"/>
      <c r="G248" s="286"/>
      <c r="H248" s="286"/>
      <c r="I248" s="286"/>
      <c r="J248" s="286"/>
      <c r="K248" s="286"/>
      <c r="L248" s="286"/>
      <c r="M248" s="286"/>
      <c r="N248" s="286"/>
      <c r="O248" s="286"/>
      <c r="P248" s="286"/>
      <c r="Q248" s="286"/>
      <c r="R248" s="286"/>
      <c r="S248" s="286"/>
      <c r="T248" s="286"/>
      <c r="U248" s="286"/>
      <c r="V248" s="286"/>
      <c r="W248" s="286"/>
      <c r="X248" s="286"/>
      <c r="Y248" s="286"/>
      <c r="Z248" s="286"/>
      <c r="AA248" s="286"/>
      <c r="AB248" s="286"/>
      <c r="AC248" s="286"/>
      <c r="AD248" s="286"/>
      <c r="AF248" s="286"/>
      <c r="AG248" s="286"/>
    </row>
    <row r="249" spans="2:33" x14ac:dyDescent="0.25">
      <c r="B249" s="368"/>
      <c r="C249" s="369"/>
      <c r="D249" s="369"/>
      <c r="E249" s="286"/>
      <c r="F249" s="286"/>
      <c r="G249" s="286"/>
      <c r="H249" s="286"/>
      <c r="I249" s="286"/>
      <c r="J249" s="286"/>
      <c r="K249" s="286"/>
      <c r="L249" s="286"/>
      <c r="M249" s="286"/>
      <c r="N249" s="286"/>
      <c r="O249" s="286"/>
      <c r="P249" s="286"/>
      <c r="Q249" s="286"/>
      <c r="R249" s="286"/>
      <c r="S249" s="286"/>
      <c r="T249" s="286"/>
      <c r="U249" s="286"/>
      <c r="V249" s="286"/>
      <c r="W249" s="286"/>
      <c r="X249" s="286"/>
      <c r="Y249" s="286"/>
      <c r="Z249" s="286"/>
      <c r="AA249" s="286"/>
      <c r="AB249" s="286"/>
      <c r="AC249" s="286"/>
      <c r="AD249" s="286"/>
      <c r="AF249" s="286"/>
      <c r="AG249" s="286"/>
    </row>
    <row r="250" spans="2:33" x14ac:dyDescent="0.25">
      <c r="B250" s="368"/>
      <c r="C250" s="369"/>
      <c r="D250" s="369"/>
      <c r="E250" s="286"/>
      <c r="F250" s="286"/>
      <c r="G250" s="286"/>
      <c r="H250" s="286"/>
      <c r="I250" s="286"/>
      <c r="J250" s="286"/>
      <c r="K250" s="286"/>
      <c r="L250" s="286"/>
      <c r="M250" s="286"/>
      <c r="N250" s="286"/>
      <c r="O250" s="286"/>
      <c r="P250" s="286"/>
      <c r="Q250" s="286"/>
      <c r="R250" s="286"/>
      <c r="S250" s="286"/>
      <c r="T250" s="286"/>
      <c r="U250" s="286"/>
      <c r="V250" s="286"/>
      <c r="W250" s="286"/>
      <c r="X250" s="286"/>
      <c r="Y250" s="286"/>
      <c r="Z250" s="286"/>
      <c r="AA250" s="286"/>
      <c r="AB250" s="286"/>
      <c r="AC250" s="286"/>
      <c r="AD250" s="286"/>
      <c r="AF250" s="286"/>
      <c r="AG250" s="286"/>
    </row>
    <row r="251" spans="2:33" x14ac:dyDescent="0.25">
      <c r="B251" s="368"/>
      <c r="C251" s="369"/>
      <c r="D251" s="369"/>
      <c r="E251" s="286"/>
      <c r="F251" s="286"/>
      <c r="G251" s="286"/>
      <c r="H251" s="286"/>
      <c r="I251" s="286"/>
      <c r="J251" s="286"/>
      <c r="K251" s="286"/>
      <c r="L251" s="286"/>
      <c r="M251" s="286"/>
      <c r="N251" s="286"/>
      <c r="O251" s="286"/>
      <c r="P251" s="286"/>
      <c r="Q251" s="286"/>
      <c r="R251" s="286"/>
      <c r="S251" s="286"/>
      <c r="T251" s="286"/>
      <c r="U251" s="286"/>
      <c r="V251" s="286"/>
      <c r="W251" s="286"/>
      <c r="X251" s="286"/>
      <c r="Y251" s="286"/>
      <c r="Z251" s="286"/>
      <c r="AA251" s="286"/>
      <c r="AB251" s="286"/>
      <c r="AC251" s="286"/>
      <c r="AD251" s="286"/>
      <c r="AF251" s="286"/>
      <c r="AG251" s="286"/>
    </row>
    <row r="252" spans="2:33" x14ac:dyDescent="0.25">
      <c r="B252" s="368"/>
      <c r="C252" s="369"/>
      <c r="D252" s="369"/>
      <c r="E252" s="286"/>
      <c r="F252" s="286"/>
      <c r="G252" s="286"/>
      <c r="H252" s="286"/>
      <c r="I252" s="286"/>
      <c r="J252" s="286"/>
      <c r="K252" s="286"/>
      <c r="L252" s="286"/>
      <c r="M252" s="286"/>
      <c r="N252" s="286"/>
      <c r="O252" s="286"/>
      <c r="P252" s="286"/>
      <c r="Q252" s="286"/>
      <c r="R252" s="286"/>
      <c r="S252" s="286"/>
      <c r="T252" s="286"/>
      <c r="U252" s="286"/>
      <c r="V252" s="286"/>
      <c r="W252" s="286"/>
      <c r="X252" s="286"/>
      <c r="Y252" s="286"/>
      <c r="Z252" s="286"/>
      <c r="AA252" s="286"/>
      <c r="AB252" s="286"/>
      <c r="AC252" s="286"/>
      <c r="AD252" s="286"/>
      <c r="AF252" s="286"/>
      <c r="AG252" s="286"/>
    </row>
    <row r="253" spans="2:33" x14ac:dyDescent="0.25">
      <c r="B253" s="368"/>
      <c r="C253" s="369"/>
      <c r="D253" s="369"/>
      <c r="E253" s="286"/>
      <c r="F253" s="286"/>
      <c r="G253" s="286"/>
      <c r="H253" s="286"/>
      <c r="I253" s="286"/>
      <c r="J253" s="286"/>
      <c r="K253" s="286"/>
      <c r="L253" s="286"/>
      <c r="M253" s="286"/>
      <c r="N253" s="286"/>
      <c r="O253" s="286"/>
      <c r="P253" s="286"/>
      <c r="Q253" s="286"/>
      <c r="R253" s="286"/>
      <c r="S253" s="286"/>
      <c r="T253" s="286"/>
      <c r="U253" s="286"/>
      <c r="V253" s="286"/>
      <c r="W253" s="286"/>
      <c r="X253" s="286"/>
      <c r="Y253" s="286"/>
      <c r="Z253" s="286"/>
      <c r="AA253" s="286"/>
      <c r="AB253" s="286"/>
      <c r="AC253" s="286"/>
      <c r="AD253" s="286"/>
      <c r="AF253" s="286"/>
      <c r="AG253" s="286"/>
    </row>
    <row r="254" spans="2:33" x14ac:dyDescent="0.25">
      <c r="B254" s="368"/>
      <c r="C254" s="369"/>
      <c r="D254" s="369"/>
      <c r="E254" s="286"/>
      <c r="F254" s="286"/>
      <c r="G254" s="286"/>
      <c r="H254" s="286"/>
      <c r="I254" s="286"/>
      <c r="J254" s="286"/>
      <c r="K254" s="286"/>
      <c r="L254" s="286"/>
      <c r="M254" s="286"/>
      <c r="N254" s="286"/>
      <c r="O254" s="286"/>
      <c r="P254" s="286"/>
      <c r="Q254" s="286"/>
      <c r="R254" s="286"/>
      <c r="S254" s="286"/>
      <c r="T254" s="286"/>
      <c r="U254" s="286"/>
      <c r="V254" s="286"/>
      <c r="W254" s="286"/>
      <c r="X254" s="286"/>
      <c r="Y254" s="286"/>
      <c r="Z254" s="286"/>
      <c r="AA254" s="286"/>
      <c r="AB254" s="286"/>
      <c r="AC254" s="286"/>
      <c r="AD254" s="286"/>
      <c r="AF254" s="286"/>
      <c r="AG254" s="286"/>
    </row>
    <row r="255" spans="2:33" x14ac:dyDescent="0.25">
      <c r="B255" s="368"/>
      <c r="C255" s="369"/>
      <c r="D255" s="369"/>
      <c r="E255" s="286"/>
      <c r="F255" s="286"/>
      <c r="G255" s="286"/>
      <c r="H255" s="286"/>
      <c r="I255" s="286"/>
      <c r="J255" s="286"/>
      <c r="K255" s="286"/>
      <c r="L255" s="286"/>
      <c r="M255" s="286"/>
      <c r="N255" s="286"/>
      <c r="O255" s="286"/>
      <c r="P255" s="286"/>
      <c r="Q255" s="286"/>
      <c r="R255" s="286"/>
      <c r="S255" s="286"/>
      <c r="T255" s="286"/>
      <c r="U255" s="286"/>
      <c r="V255" s="286"/>
      <c r="W255" s="286"/>
      <c r="X255" s="286"/>
      <c r="Y255" s="286"/>
      <c r="Z255" s="286"/>
      <c r="AA255" s="286"/>
      <c r="AB255" s="286"/>
      <c r="AC255" s="286"/>
      <c r="AD255" s="286"/>
      <c r="AF255" s="286"/>
      <c r="AG255" s="286"/>
    </row>
    <row r="256" spans="2:33" x14ac:dyDescent="0.25">
      <c r="B256" s="368"/>
      <c r="C256" s="369"/>
      <c r="D256" s="369"/>
      <c r="E256" s="286"/>
      <c r="F256" s="286"/>
      <c r="G256" s="286"/>
      <c r="H256" s="286"/>
      <c r="I256" s="286"/>
      <c r="J256" s="286"/>
      <c r="K256" s="286"/>
      <c r="L256" s="286"/>
      <c r="M256" s="286"/>
      <c r="N256" s="286"/>
      <c r="O256" s="286"/>
      <c r="P256" s="286"/>
      <c r="Q256" s="286"/>
      <c r="R256" s="286"/>
      <c r="S256" s="286"/>
      <c r="T256" s="286"/>
      <c r="U256" s="286"/>
      <c r="V256" s="286"/>
      <c r="W256" s="286"/>
      <c r="X256" s="286"/>
      <c r="Y256" s="286"/>
      <c r="Z256" s="286"/>
      <c r="AA256" s="286"/>
      <c r="AB256" s="286"/>
      <c r="AC256" s="286"/>
      <c r="AD256" s="286"/>
      <c r="AF256" s="286"/>
      <c r="AG256" s="286"/>
    </row>
    <row r="257" spans="2:33" x14ac:dyDescent="0.25">
      <c r="B257" s="368"/>
      <c r="C257" s="369"/>
      <c r="D257" s="369"/>
      <c r="E257" s="286"/>
      <c r="F257" s="286"/>
      <c r="G257" s="286"/>
      <c r="H257" s="286"/>
      <c r="I257" s="286"/>
      <c r="J257" s="286"/>
      <c r="K257" s="286"/>
      <c r="L257" s="286"/>
      <c r="M257" s="286"/>
      <c r="N257" s="286"/>
      <c r="O257" s="286"/>
      <c r="P257" s="286"/>
      <c r="Q257" s="286"/>
      <c r="R257" s="286"/>
      <c r="S257" s="286"/>
      <c r="T257" s="286"/>
      <c r="U257" s="286"/>
      <c r="V257" s="286"/>
      <c r="W257" s="286"/>
      <c r="X257" s="286"/>
      <c r="Y257" s="286"/>
      <c r="Z257" s="286"/>
      <c r="AA257" s="286"/>
      <c r="AB257" s="286"/>
      <c r="AC257" s="286"/>
      <c r="AD257" s="286"/>
      <c r="AF257" s="286"/>
      <c r="AG257" s="286"/>
    </row>
    <row r="258" spans="2:33" x14ac:dyDescent="0.25">
      <c r="B258" s="368"/>
      <c r="C258" s="369"/>
      <c r="D258" s="369"/>
      <c r="E258" s="286"/>
      <c r="F258" s="286"/>
      <c r="G258" s="286"/>
      <c r="H258" s="286"/>
      <c r="I258" s="286"/>
      <c r="J258" s="286"/>
      <c r="K258" s="286"/>
      <c r="L258" s="286"/>
      <c r="M258" s="286"/>
      <c r="N258" s="286"/>
      <c r="O258" s="286"/>
      <c r="P258" s="286"/>
      <c r="Q258" s="286"/>
      <c r="R258" s="286"/>
      <c r="S258" s="286"/>
      <c r="T258" s="286"/>
      <c r="U258" s="286"/>
      <c r="V258" s="286"/>
      <c r="W258" s="286"/>
      <c r="X258" s="286"/>
      <c r="Y258" s="286"/>
      <c r="Z258" s="286"/>
      <c r="AA258" s="286"/>
      <c r="AB258" s="286"/>
      <c r="AC258" s="286"/>
      <c r="AD258" s="286"/>
      <c r="AF258" s="286"/>
      <c r="AG258" s="286"/>
    </row>
    <row r="259" spans="2:33" x14ac:dyDescent="0.25">
      <c r="B259" s="368"/>
      <c r="C259" s="369"/>
      <c r="D259" s="369"/>
      <c r="E259" s="286"/>
      <c r="F259" s="286"/>
      <c r="G259" s="286"/>
      <c r="H259" s="286"/>
      <c r="I259" s="286"/>
      <c r="J259" s="286"/>
      <c r="K259" s="286"/>
      <c r="L259" s="286"/>
      <c r="M259" s="286"/>
      <c r="N259" s="286"/>
      <c r="O259" s="286"/>
      <c r="P259" s="286"/>
      <c r="Q259" s="286"/>
      <c r="R259" s="286"/>
      <c r="S259" s="286"/>
      <c r="T259" s="286"/>
      <c r="U259" s="286"/>
      <c r="V259" s="286"/>
      <c r="W259" s="286"/>
      <c r="X259" s="286"/>
      <c r="Y259" s="286"/>
      <c r="Z259" s="286"/>
      <c r="AA259" s="286"/>
      <c r="AB259" s="286"/>
      <c r="AC259" s="286"/>
      <c r="AD259" s="286"/>
      <c r="AF259" s="286"/>
      <c r="AG259" s="286"/>
    </row>
    <row r="260" spans="2:33" x14ac:dyDescent="0.25">
      <c r="B260" s="368"/>
      <c r="C260" s="369"/>
      <c r="D260" s="369"/>
      <c r="E260" s="286"/>
      <c r="F260" s="286"/>
      <c r="G260" s="286"/>
      <c r="H260" s="286"/>
      <c r="I260" s="286"/>
      <c r="J260" s="286"/>
      <c r="K260" s="286"/>
      <c r="L260" s="286"/>
      <c r="M260" s="286"/>
      <c r="N260" s="286"/>
      <c r="O260" s="286"/>
      <c r="P260" s="286"/>
      <c r="Q260" s="286"/>
      <c r="R260" s="286"/>
      <c r="S260" s="286"/>
      <c r="T260" s="286"/>
      <c r="U260" s="286"/>
      <c r="V260" s="286"/>
      <c r="W260" s="286"/>
      <c r="X260" s="286"/>
      <c r="Y260" s="286"/>
      <c r="Z260" s="286"/>
      <c r="AA260" s="286"/>
      <c r="AB260" s="286"/>
      <c r="AC260" s="286"/>
      <c r="AD260" s="286"/>
      <c r="AF260" s="286"/>
      <c r="AG260" s="286"/>
    </row>
    <row r="261" spans="2:33" x14ac:dyDescent="0.25">
      <c r="B261" s="368"/>
      <c r="C261" s="369"/>
      <c r="D261" s="369"/>
      <c r="E261" s="286"/>
      <c r="F261" s="286"/>
      <c r="G261" s="286"/>
      <c r="H261" s="286"/>
      <c r="I261" s="286"/>
      <c r="J261" s="286"/>
      <c r="K261" s="286"/>
      <c r="L261" s="286"/>
      <c r="M261" s="286"/>
      <c r="N261" s="286"/>
      <c r="O261" s="286"/>
      <c r="P261" s="286"/>
      <c r="Q261" s="286"/>
      <c r="R261" s="286"/>
      <c r="S261" s="286"/>
      <c r="T261" s="286"/>
      <c r="U261" s="286"/>
      <c r="V261" s="286"/>
      <c r="W261" s="286"/>
      <c r="X261" s="286"/>
      <c r="Y261" s="286"/>
      <c r="Z261" s="286"/>
      <c r="AA261" s="286"/>
      <c r="AB261" s="286"/>
      <c r="AC261" s="286"/>
      <c r="AD261" s="286"/>
      <c r="AF261" s="286"/>
      <c r="AG261" s="286"/>
    </row>
    <row r="262" spans="2:33" x14ac:dyDescent="0.25">
      <c r="B262" s="368"/>
      <c r="C262" s="369"/>
      <c r="D262" s="369"/>
      <c r="E262" s="286"/>
      <c r="F262" s="286"/>
      <c r="G262" s="286"/>
      <c r="H262" s="286"/>
      <c r="I262" s="286"/>
      <c r="J262" s="286"/>
      <c r="K262" s="286"/>
      <c r="L262" s="286"/>
      <c r="M262" s="286"/>
      <c r="N262" s="286"/>
      <c r="O262" s="286"/>
      <c r="P262" s="286"/>
      <c r="Q262" s="286"/>
      <c r="R262" s="286"/>
      <c r="S262" s="286"/>
      <c r="T262" s="286"/>
      <c r="U262" s="286"/>
      <c r="V262" s="286"/>
      <c r="W262" s="286"/>
      <c r="X262" s="286"/>
      <c r="Y262" s="286"/>
      <c r="Z262" s="286"/>
      <c r="AA262" s="286"/>
      <c r="AB262" s="286"/>
      <c r="AC262" s="286"/>
      <c r="AD262" s="286"/>
      <c r="AF262" s="286"/>
      <c r="AG262" s="286"/>
    </row>
    <row r="263" spans="2:33" x14ac:dyDescent="0.25">
      <c r="B263" s="368"/>
      <c r="C263" s="369"/>
      <c r="D263" s="369"/>
      <c r="E263" s="286"/>
      <c r="F263" s="286"/>
      <c r="G263" s="286"/>
      <c r="H263" s="286"/>
      <c r="I263" s="286"/>
      <c r="J263" s="286"/>
      <c r="K263" s="286"/>
      <c r="L263" s="286"/>
      <c r="M263" s="286"/>
      <c r="N263" s="286"/>
      <c r="O263" s="286"/>
      <c r="P263" s="286"/>
      <c r="Q263" s="286"/>
      <c r="R263" s="286"/>
      <c r="S263" s="286"/>
      <c r="T263" s="286"/>
      <c r="U263" s="286"/>
      <c r="V263" s="286"/>
      <c r="W263" s="286"/>
      <c r="X263" s="286"/>
      <c r="Y263" s="286"/>
      <c r="Z263" s="286"/>
      <c r="AA263" s="286"/>
      <c r="AB263" s="286"/>
      <c r="AC263" s="286"/>
      <c r="AD263" s="286"/>
      <c r="AF263" s="286"/>
      <c r="AG263" s="286"/>
    </row>
    <row r="264" spans="2:33" x14ac:dyDescent="0.25">
      <c r="B264" s="368"/>
      <c r="C264" s="369"/>
      <c r="D264" s="369"/>
      <c r="E264" s="286"/>
      <c r="F264" s="286"/>
      <c r="G264" s="286"/>
      <c r="H264" s="286"/>
      <c r="I264" s="286"/>
      <c r="J264" s="286"/>
      <c r="K264" s="286"/>
      <c r="L264" s="286"/>
      <c r="M264" s="286"/>
      <c r="N264" s="286"/>
      <c r="O264" s="286"/>
      <c r="P264" s="286"/>
      <c r="Q264" s="286"/>
      <c r="R264" s="286"/>
      <c r="S264" s="286"/>
      <c r="T264" s="286"/>
      <c r="U264" s="286"/>
      <c r="V264" s="286"/>
      <c r="W264" s="286"/>
      <c r="X264" s="286"/>
      <c r="Y264" s="286"/>
      <c r="Z264" s="286"/>
      <c r="AA264" s="286"/>
      <c r="AB264" s="286"/>
      <c r="AC264" s="286"/>
      <c r="AD264" s="286"/>
      <c r="AF264" s="286"/>
      <c r="AG264" s="286"/>
    </row>
    <row r="265" spans="2:33" x14ac:dyDescent="0.25">
      <c r="B265" s="368"/>
      <c r="C265" s="369"/>
      <c r="D265" s="369"/>
      <c r="E265" s="286"/>
      <c r="F265" s="286"/>
      <c r="G265" s="286"/>
      <c r="H265" s="286"/>
      <c r="I265" s="286"/>
      <c r="J265" s="286"/>
      <c r="K265" s="286"/>
      <c r="L265" s="286"/>
      <c r="M265" s="286"/>
      <c r="N265" s="286"/>
      <c r="O265" s="286"/>
      <c r="P265" s="286"/>
      <c r="Q265" s="286"/>
      <c r="R265" s="286"/>
      <c r="S265" s="286"/>
      <c r="T265" s="286"/>
      <c r="U265" s="286"/>
      <c r="V265" s="286"/>
      <c r="W265" s="286"/>
      <c r="X265" s="286"/>
      <c r="Y265" s="286"/>
      <c r="Z265" s="286"/>
      <c r="AA265" s="286"/>
      <c r="AB265" s="286"/>
      <c r="AC265" s="286"/>
      <c r="AD265" s="286"/>
      <c r="AF265" s="286"/>
      <c r="AG265" s="286"/>
    </row>
    <row r="266" spans="2:33" x14ac:dyDescent="0.25">
      <c r="B266" s="368"/>
      <c r="C266" s="369"/>
      <c r="D266" s="369"/>
      <c r="E266" s="286"/>
      <c r="F266" s="286"/>
      <c r="G266" s="286"/>
      <c r="H266" s="286"/>
      <c r="I266" s="286"/>
      <c r="J266" s="286"/>
      <c r="K266" s="286"/>
      <c r="L266" s="286"/>
      <c r="M266" s="286"/>
      <c r="N266" s="286"/>
      <c r="O266" s="286"/>
      <c r="P266" s="286"/>
      <c r="Q266" s="286"/>
      <c r="R266" s="286"/>
      <c r="S266" s="286"/>
      <c r="T266" s="286"/>
      <c r="U266" s="286"/>
      <c r="V266" s="286"/>
      <c r="W266" s="286"/>
      <c r="X266" s="286"/>
      <c r="Y266" s="286"/>
      <c r="Z266" s="286"/>
      <c r="AA266" s="286"/>
      <c r="AB266" s="286"/>
      <c r="AC266" s="286"/>
      <c r="AD266" s="286"/>
      <c r="AF266" s="286"/>
      <c r="AG266" s="286"/>
    </row>
    <row r="267" spans="2:33" x14ac:dyDescent="0.25">
      <c r="B267" s="368"/>
      <c r="C267" s="369"/>
      <c r="D267" s="369"/>
      <c r="E267" s="286"/>
      <c r="F267" s="286"/>
      <c r="G267" s="286"/>
      <c r="H267" s="286"/>
      <c r="I267" s="286"/>
      <c r="J267" s="286"/>
      <c r="K267" s="286"/>
      <c r="L267" s="286"/>
      <c r="M267" s="286"/>
      <c r="N267" s="286"/>
      <c r="O267" s="286"/>
      <c r="P267" s="286"/>
      <c r="Q267" s="286"/>
      <c r="R267" s="286"/>
      <c r="S267" s="286"/>
      <c r="T267" s="286"/>
      <c r="U267" s="286"/>
      <c r="V267" s="286"/>
      <c r="W267" s="286"/>
      <c r="X267" s="286"/>
      <c r="Y267" s="286"/>
      <c r="Z267" s="286"/>
      <c r="AA267" s="286"/>
      <c r="AB267" s="286"/>
      <c r="AC267" s="286"/>
      <c r="AD267" s="286"/>
      <c r="AF267" s="286"/>
      <c r="AG267" s="286"/>
    </row>
    <row r="268" spans="2:33" x14ac:dyDescent="0.25">
      <c r="B268" s="368"/>
      <c r="C268" s="369"/>
      <c r="D268" s="369"/>
      <c r="E268" s="286"/>
      <c r="F268" s="286"/>
      <c r="G268" s="286"/>
      <c r="H268" s="286"/>
      <c r="I268" s="286"/>
      <c r="J268" s="286"/>
      <c r="K268" s="286"/>
      <c r="L268" s="286"/>
      <c r="M268" s="286"/>
      <c r="N268" s="286"/>
      <c r="O268" s="286"/>
      <c r="P268" s="286"/>
      <c r="Q268" s="286"/>
      <c r="R268" s="286"/>
      <c r="S268" s="286"/>
      <c r="T268" s="286"/>
      <c r="U268" s="286"/>
      <c r="V268" s="286"/>
      <c r="W268" s="286"/>
      <c r="X268" s="286"/>
      <c r="Y268" s="286"/>
      <c r="Z268" s="286"/>
      <c r="AA268" s="286"/>
      <c r="AB268" s="286"/>
      <c r="AC268" s="286"/>
      <c r="AD268" s="286"/>
      <c r="AF268" s="286"/>
      <c r="AG268" s="286"/>
    </row>
    <row r="269" spans="2:33" x14ac:dyDescent="0.25">
      <c r="B269" s="368"/>
      <c r="C269" s="369"/>
      <c r="D269" s="369"/>
      <c r="E269" s="286"/>
      <c r="F269" s="286"/>
      <c r="G269" s="286"/>
      <c r="H269" s="286"/>
      <c r="I269" s="286"/>
      <c r="J269" s="286"/>
      <c r="K269" s="286"/>
      <c r="L269" s="286"/>
      <c r="M269" s="286"/>
      <c r="N269" s="286"/>
      <c r="O269" s="286"/>
      <c r="P269" s="286"/>
      <c r="Q269" s="286"/>
      <c r="R269" s="286"/>
      <c r="S269" s="286"/>
      <c r="T269" s="286"/>
      <c r="U269" s="286"/>
      <c r="V269" s="286"/>
      <c r="W269" s="286"/>
      <c r="X269" s="286"/>
      <c r="Y269" s="286"/>
      <c r="Z269" s="286"/>
      <c r="AA269" s="286"/>
      <c r="AB269" s="286"/>
      <c r="AC269" s="286"/>
      <c r="AD269" s="286"/>
      <c r="AF269" s="286"/>
      <c r="AG269" s="286"/>
    </row>
    <row r="270" spans="2:33" x14ac:dyDescent="0.25">
      <c r="B270" s="368"/>
      <c r="C270" s="369"/>
      <c r="D270" s="369"/>
      <c r="E270" s="286"/>
      <c r="F270" s="286"/>
      <c r="G270" s="286"/>
      <c r="H270" s="286"/>
      <c r="I270" s="286"/>
      <c r="J270" s="286"/>
      <c r="K270" s="286"/>
      <c r="L270" s="286"/>
      <c r="M270" s="286"/>
      <c r="N270" s="286"/>
      <c r="O270" s="286"/>
      <c r="P270" s="286"/>
      <c r="Q270" s="286"/>
      <c r="R270" s="286"/>
      <c r="S270" s="286"/>
      <c r="T270" s="286"/>
      <c r="U270" s="286"/>
      <c r="V270" s="286"/>
      <c r="W270" s="286"/>
      <c r="X270" s="286"/>
      <c r="Y270" s="286"/>
      <c r="Z270" s="286"/>
      <c r="AA270" s="286"/>
      <c r="AB270" s="286"/>
      <c r="AC270" s="286"/>
      <c r="AD270" s="286"/>
      <c r="AF270" s="286"/>
      <c r="AG270" s="286"/>
    </row>
    <row r="271" spans="2:33" x14ac:dyDescent="0.25">
      <c r="B271" s="368"/>
      <c r="C271" s="369"/>
      <c r="D271" s="369"/>
      <c r="E271" s="286"/>
      <c r="F271" s="286"/>
      <c r="G271" s="286"/>
      <c r="H271" s="286"/>
      <c r="I271" s="286"/>
      <c r="J271" s="286"/>
      <c r="K271" s="286"/>
      <c r="L271" s="286"/>
      <c r="M271" s="286"/>
      <c r="N271" s="286"/>
      <c r="O271" s="286"/>
      <c r="P271" s="286"/>
      <c r="Q271" s="286"/>
      <c r="R271" s="286"/>
      <c r="S271" s="286"/>
      <c r="T271" s="286"/>
      <c r="U271" s="286"/>
      <c r="V271" s="286"/>
      <c r="W271" s="286"/>
      <c r="X271" s="286"/>
      <c r="Y271" s="286"/>
      <c r="Z271" s="286"/>
      <c r="AA271" s="286"/>
      <c r="AB271" s="286"/>
      <c r="AC271" s="286"/>
      <c r="AD271" s="286"/>
      <c r="AF271" s="286"/>
      <c r="AG271" s="286"/>
    </row>
    <row r="272" spans="2:33" x14ac:dyDescent="0.25">
      <c r="B272" s="368"/>
      <c r="C272" s="369"/>
      <c r="D272" s="369"/>
      <c r="E272" s="286"/>
      <c r="F272" s="286"/>
      <c r="G272" s="286"/>
      <c r="H272" s="286"/>
      <c r="I272" s="286"/>
      <c r="J272" s="286"/>
      <c r="K272" s="286"/>
      <c r="L272" s="286"/>
      <c r="M272" s="286"/>
      <c r="N272" s="286"/>
      <c r="O272" s="286"/>
      <c r="P272" s="286"/>
      <c r="Q272" s="286"/>
      <c r="R272" s="286"/>
      <c r="S272" s="286"/>
      <c r="T272" s="286"/>
      <c r="U272" s="286"/>
      <c r="V272" s="286"/>
      <c r="W272" s="286"/>
      <c r="X272" s="286"/>
      <c r="Y272" s="286"/>
      <c r="Z272" s="286"/>
      <c r="AA272" s="286"/>
      <c r="AB272" s="286"/>
      <c r="AC272" s="286"/>
      <c r="AD272" s="286"/>
      <c r="AF272" s="286"/>
      <c r="AG272" s="286"/>
    </row>
    <row r="273" spans="2:33" x14ac:dyDescent="0.25">
      <c r="B273" s="368"/>
      <c r="C273" s="369"/>
      <c r="D273" s="369"/>
      <c r="E273" s="286"/>
      <c r="F273" s="286"/>
      <c r="G273" s="286"/>
      <c r="H273" s="286"/>
      <c r="I273" s="286"/>
      <c r="J273" s="286"/>
      <c r="K273" s="286"/>
      <c r="L273" s="286"/>
      <c r="M273" s="286"/>
      <c r="N273" s="286"/>
      <c r="O273" s="286"/>
      <c r="P273" s="286"/>
      <c r="Q273" s="286"/>
      <c r="R273" s="286"/>
      <c r="S273" s="286"/>
      <c r="T273" s="286"/>
      <c r="U273" s="286"/>
      <c r="V273" s="286"/>
      <c r="W273" s="286"/>
      <c r="X273" s="286"/>
      <c r="Y273" s="286"/>
      <c r="Z273" s="286"/>
      <c r="AA273" s="286"/>
      <c r="AB273" s="286"/>
      <c r="AC273" s="286"/>
      <c r="AD273" s="286"/>
      <c r="AF273" s="286"/>
      <c r="AG273" s="286"/>
    </row>
    <row r="274" spans="2:33" x14ac:dyDescent="0.25">
      <c r="B274" s="368"/>
      <c r="C274" s="369"/>
      <c r="D274" s="369"/>
      <c r="E274" s="286"/>
      <c r="F274" s="286"/>
      <c r="G274" s="286"/>
      <c r="H274" s="286"/>
      <c r="I274" s="286"/>
      <c r="J274" s="286"/>
      <c r="K274" s="286"/>
      <c r="L274" s="286"/>
      <c r="M274" s="286"/>
      <c r="N274" s="286"/>
      <c r="O274" s="286"/>
      <c r="P274" s="286"/>
      <c r="Q274" s="286"/>
      <c r="R274" s="286"/>
      <c r="S274" s="286"/>
      <c r="T274" s="286"/>
      <c r="U274" s="286"/>
      <c r="V274" s="286"/>
      <c r="W274" s="286"/>
      <c r="X274" s="286"/>
      <c r="Y274" s="286"/>
      <c r="Z274" s="286"/>
      <c r="AA274" s="286"/>
      <c r="AB274" s="286"/>
      <c r="AC274" s="286"/>
      <c r="AD274" s="286"/>
      <c r="AF274" s="286"/>
      <c r="AG274" s="286"/>
    </row>
    <row r="275" spans="2:33" x14ac:dyDescent="0.25">
      <c r="B275" s="368"/>
      <c r="C275" s="369"/>
      <c r="D275" s="369"/>
      <c r="E275" s="286"/>
      <c r="F275" s="286"/>
      <c r="G275" s="286"/>
      <c r="H275" s="286"/>
      <c r="I275" s="286"/>
      <c r="J275" s="286"/>
      <c r="K275" s="286"/>
      <c r="L275" s="286"/>
      <c r="M275" s="286"/>
      <c r="N275" s="286"/>
      <c r="O275" s="286"/>
      <c r="P275" s="286"/>
      <c r="Q275" s="286"/>
      <c r="R275" s="286"/>
      <c r="S275" s="286"/>
      <c r="T275" s="286"/>
      <c r="U275" s="286"/>
      <c r="V275" s="286"/>
      <c r="W275" s="286"/>
      <c r="X275" s="286"/>
      <c r="Y275" s="286"/>
      <c r="Z275" s="286"/>
      <c r="AA275" s="286"/>
      <c r="AB275" s="286"/>
      <c r="AC275" s="286"/>
      <c r="AD275" s="286"/>
      <c r="AF275" s="286"/>
      <c r="AG275" s="286"/>
    </row>
    <row r="276" spans="2:33" x14ac:dyDescent="0.25">
      <c r="B276" s="368"/>
      <c r="C276" s="369"/>
      <c r="D276" s="369"/>
      <c r="E276" s="286"/>
      <c r="F276" s="286"/>
      <c r="G276" s="286"/>
      <c r="H276" s="286"/>
      <c r="I276" s="286"/>
      <c r="J276" s="286"/>
      <c r="K276" s="286"/>
      <c r="L276" s="286"/>
      <c r="M276" s="286"/>
      <c r="N276" s="286"/>
      <c r="O276" s="286"/>
      <c r="P276" s="286"/>
      <c r="Q276" s="286"/>
      <c r="R276" s="286"/>
      <c r="S276" s="286"/>
      <c r="T276" s="286"/>
      <c r="U276" s="286"/>
      <c r="V276" s="286"/>
      <c r="W276" s="286"/>
      <c r="X276" s="286"/>
      <c r="Y276" s="286"/>
      <c r="Z276" s="286"/>
      <c r="AA276" s="286"/>
      <c r="AB276" s="286"/>
      <c r="AC276" s="286"/>
      <c r="AD276" s="286"/>
      <c r="AF276" s="286"/>
      <c r="AG276" s="286"/>
    </row>
    <row r="277" spans="2:33" x14ac:dyDescent="0.25">
      <c r="B277" s="368"/>
      <c r="C277" s="369"/>
      <c r="D277" s="369"/>
      <c r="E277" s="286"/>
      <c r="F277" s="286"/>
      <c r="G277" s="286"/>
      <c r="H277" s="286"/>
      <c r="I277" s="286"/>
      <c r="J277" s="286"/>
      <c r="K277" s="286"/>
      <c r="L277" s="286"/>
      <c r="M277" s="286"/>
      <c r="N277" s="286"/>
      <c r="O277" s="286"/>
      <c r="P277" s="286"/>
      <c r="Q277" s="286"/>
      <c r="R277" s="286"/>
      <c r="S277" s="286"/>
      <c r="T277" s="286"/>
      <c r="U277" s="286"/>
      <c r="V277" s="286"/>
      <c r="W277" s="286"/>
      <c r="X277" s="286"/>
      <c r="Y277" s="286"/>
      <c r="Z277" s="286"/>
      <c r="AA277" s="286"/>
      <c r="AB277" s="286"/>
      <c r="AC277" s="286"/>
      <c r="AD277" s="286"/>
      <c r="AF277" s="286"/>
      <c r="AG277" s="286"/>
    </row>
    <row r="278" spans="2:33" x14ac:dyDescent="0.25">
      <c r="B278" s="368"/>
      <c r="C278" s="369"/>
      <c r="D278" s="369"/>
      <c r="E278" s="286"/>
      <c r="F278" s="286"/>
      <c r="G278" s="286"/>
      <c r="H278" s="286"/>
      <c r="I278" s="286"/>
      <c r="J278" s="286"/>
      <c r="K278" s="286"/>
      <c r="L278" s="286"/>
      <c r="M278" s="286"/>
      <c r="N278" s="286"/>
      <c r="O278" s="286"/>
      <c r="P278" s="286"/>
      <c r="Q278" s="286"/>
      <c r="R278" s="286"/>
      <c r="S278" s="286"/>
      <c r="T278" s="286"/>
      <c r="U278" s="286"/>
      <c r="V278" s="286"/>
      <c r="W278" s="286"/>
      <c r="X278" s="286"/>
      <c r="Y278" s="286"/>
      <c r="Z278" s="286"/>
      <c r="AA278" s="286"/>
      <c r="AB278" s="286"/>
      <c r="AC278" s="286"/>
      <c r="AD278" s="286"/>
      <c r="AF278" s="286"/>
      <c r="AG278" s="286"/>
    </row>
    <row r="279" spans="2:33" x14ac:dyDescent="0.25">
      <c r="B279" s="368"/>
      <c r="C279" s="369"/>
      <c r="D279" s="369"/>
      <c r="E279" s="286"/>
      <c r="F279" s="286"/>
      <c r="G279" s="286"/>
      <c r="H279" s="286"/>
      <c r="I279" s="286"/>
      <c r="J279" s="286"/>
      <c r="K279" s="286"/>
      <c r="L279" s="286"/>
      <c r="M279" s="286"/>
      <c r="N279" s="286"/>
      <c r="O279" s="286"/>
      <c r="P279" s="286"/>
      <c r="Q279" s="286"/>
      <c r="R279" s="286"/>
      <c r="S279" s="286"/>
      <c r="T279" s="286"/>
      <c r="U279" s="286"/>
      <c r="V279" s="286"/>
      <c r="W279" s="286"/>
      <c r="X279" s="286"/>
      <c r="Y279" s="286"/>
      <c r="Z279" s="286"/>
      <c r="AA279" s="286"/>
      <c r="AB279" s="286"/>
      <c r="AC279" s="286"/>
      <c r="AD279" s="286"/>
      <c r="AF279" s="286"/>
      <c r="AG279" s="286"/>
    </row>
    <row r="280" spans="2:33" x14ac:dyDescent="0.25">
      <c r="B280" s="368"/>
      <c r="C280" s="369"/>
      <c r="D280" s="369"/>
      <c r="E280" s="286"/>
      <c r="F280" s="286"/>
      <c r="G280" s="286"/>
      <c r="H280" s="286"/>
      <c r="I280" s="286"/>
      <c r="J280" s="286"/>
      <c r="K280" s="286"/>
      <c r="L280" s="286"/>
      <c r="M280" s="286"/>
      <c r="N280" s="286"/>
      <c r="O280" s="286"/>
      <c r="P280" s="286"/>
      <c r="Q280" s="286"/>
      <c r="R280" s="286"/>
      <c r="S280" s="286"/>
      <c r="T280" s="286"/>
      <c r="U280" s="286"/>
      <c r="V280" s="286"/>
      <c r="W280" s="286"/>
      <c r="X280" s="286"/>
      <c r="Y280" s="286"/>
      <c r="Z280" s="286"/>
      <c r="AA280" s="286"/>
      <c r="AB280" s="286"/>
      <c r="AC280" s="286"/>
      <c r="AD280" s="286"/>
      <c r="AF280" s="286"/>
      <c r="AG280" s="286"/>
    </row>
    <row r="281" spans="2:33" x14ac:dyDescent="0.25">
      <c r="B281" s="368"/>
      <c r="C281" s="369"/>
      <c r="D281" s="369"/>
      <c r="E281" s="286"/>
      <c r="F281" s="286"/>
      <c r="G281" s="286"/>
      <c r="H281" s="286"/>
      <c r="I281" s="286"/>
      <c r="J281" s="286"/>
      <c r="K281" s="286"/>
      <c r="L281" s="286"/>
      <c r="M281" s="286"/>
      <c r="N281" s="286"/>
      <c r="O281" s="286"/>
      <c r="P281" s="286"/>
      <c r="Q281" s="286"/>
      <c r="R281" s="286"/>
      <c r="S281" s="286"/>
      <c r="T281" s="286"/>
      <c r="U281" s="286"/>
      <c r="V281" s="286"/>
      <c r="W281" s="286"/>
      <c r="X281" s="286"/>
      <c r="Y281" s="286"/>
      <c r="Z281" s="286"/>
      <c r="AA281" s="286"/>
      <c r="AB281" s="286"/>
      <c r="AC281" s="286"/>
      <c r="AD281" s="286"/>
      <c r="AF281" s="286"/>
      <c r="AG281" s="286"/>
    </row>
    <row r="282" spans="2:33" x14ac:dyDescent="0.25">
      <c r="B282" s="368"/>
      <c r="C282" s="369"/>
      <c r="D282" s="369"/>
      <c r="E282" s="286"/>
      <c r="F282" s="286"/>
      <c r="G282" s="286"/>
      <c r="H282" s="286"/>
      <c r="I282" s="286"/>
      <c r="J282" s="286"/>
      <c r="K282" s="286"/>
      <c r="L282" s="286"/>
      <c r="M282" s="286"/>
      <c r="N282" s="286"/>
      <c r="O282" s="286"/>
      <c r="P282" s="286"/>
      <c r="Q282" s="286"/>
      <c r="R282" s="286"/>
      <c r="S282" s="286"/>
      <c r="T282" s="286"/>
      <c r="U282" s="286"/>
      <c r="V282" s="286"/>
      <c r="W282" s="286"/>
      <c r="X282" s="286"/>
      <c r="Y282" s="286"/>
      <c r="Z282" s="286"/>
      <c r="AA282" s="286"/>
      <c r="AB282" s="286"/>
      <c r="AC282" s="286"/>
      <c r="AD282" s="286"/>
      <c r="AF282" s="286"/>
      <c r="AG282" s="286"/>
    </row>
    <row r="283" spans="2:33" x14ac:dyDescent="0.25">
      <c r="B283" s="368"/>
      <c r="C283" s="369"/>
      <c r="D283" s="369"/>
      <c r="E283" s="286"/>
      <c r="F283" s="286"/>
      <c r="G283" s="286"/>
      <c r="H283" s="286"/>
      <c r="I283" s="286"/>
      <c r="J283" s="286"/>
      <c r="K283" s="286"/>
      <c r="L283" s="286"/>
      <c r="M283" s="286"/>
      <c r="N283" s="286"/>
      <c r="O283" s="286"/>
      <c r="P283" s="286"/>
      <c r="Q283" s="286"/>
      <c r="R283" s="286"/>
      <c r="S283" s="286"/>
      <c r="T283" s="286"/>
      <c r="U283" s="286"/>
      <c r="V283" s="286"/>
      <c r="W283" s="286"/>
      <c r="X283" s="286"/>
      <c r="Y283" s="286"/>
      <c r="Z283" s="286"/>
      <c r="AA283" s="286"/>
      <c r="AB283" s="286"/>
      <c r="AC283" s="286"/>
      <c r="AD283" s="286"/>
      <c r="AF283" s="286"/>
      <c r="AG283" s="286"/>
    </row>
    <row r="284" spans="2:33" x14ac:dyDescent="0.25">
      <c r="B284" s="368"/>
      <c r="C284" s="369"/>
      <c r="D284" s="369"/>
      <c r="E284" s="286"/>
      <c r="F284" s="286"/>
      <c r="G284" s="286"/>
      <c r="H284" s="286"/>
      <c r="I284" s="286"/>
      <c r="J284" s="286"/>
      <c r="K284" s="286"/>
      <c r="L284" s="286"/>
      <c r="M284" s="286"/>
      <c r="N284" s="286"/>
      <c r="O284" s="286"/>
      <c r="P284" s="286"/>
      <c r="Q284" s="286"/>
      <c r="R284" s="286"/>
      <c r="S284" s="286"/>
      <c r="T284" s="286"/>
      <c r="U284" s="286"/>
      <c r="V284" s="286"/>
      <c r="W284" s="286"/>
      <c r="X284" s="286"/>
      <c r="Y284" s="286"/>
      <c r="Z284" s="286"/>
      <c r="AA284" s="286"/>
      <c r="AB284" s="286"/>
      <c r="AC284" s="286"/>
      <c r="AD284" s="286"/>
      <c r="AF284" s="286"/>
      <c r="AG284" s="286"/>
    </row>
    <row r="285" spans="2:33" x14ac:dyDescent="0.25">
      <c r="B285" s="368"/>
      <c r="C285" s="369"/>
      <c r="D285" s="369"/>
      <c r="E285" s="286"/>
      <c r="F285" s="286"/>
      <c r="G285" s="286"/>
      <c r="H285" s="286"/>
      <c r="I285" s="286"/>
      <c r="J285" s="286"/>
      <c r="K285" s="286"/>
      <c r="L285" s="286"/>
      <c r="M285" s="286"/>
      <c r="N285" s="286"/>
      <c r="O285" s="286"/>
      <c r="P285" s="286"/>
      <c r="Q285" s="286"/>
      <c r="R285" s="286"/>
      <c r="S285" s="286"/>
      <c r="T285" s="286"/>
      <c r="U285" s="286"/>
      <c r="V285" s="286"/>
      <c r="W285" s="286"/>
      <c r="X285" s="286"/>
      <c r="Y285" s="286"/>
      <c r="Z285" s="286"/>
      <c r="AA285" s="286"/>
      <c r="AB285" s="286"/>
      <c r="AC285" s="286"/>
      <c r="AD285" s="286"/>
      <c r="AF285" s="286"/>
      <c r="AG285" s="286"/>
    </row>
    <row r="286" spans="2:33" x14ac:dyDescent="0.25">
      <c r="B286" s="368"/>
      <c r="C286" s="369"/>
      <c r="D286" s="369"/>
      <c r="E286" s="286"/>
      <c r="F286" s="286"/>
      <c r="G286" s="286"/>
      <c r="H286" s="286"/>
      <c r="I286" s="286"/>
      <c r="J286" s="286"/>
      <c r="K286" s="286"/>
      <c r="L286" s="286"/>
      <c r="M286" s="286"/>
      <c r="N286" s="286"/>
      <c r="O286" s="286"/>
      <c r="P286" s="286"/>
      <c r="Q286" s="286"/>
      <c r="R286" s="286"/>
      <c r="S286" s="286"/>
      <c r="T286" s="286"/>
      <c r="U286" s="286"/>
      <c r="V286" s="286"/>
      <c r="W286" s="286"/>
      <c r="X286" s="286"/>
      <c r="Y286" s="286"/>
      <c r="Z286" s="286"/>
      <c r="AA286" s="286"/>
      <c r="AB286" s="286"/>
      <c r="AC286" s="286"/>
      <c r="AD286" s="286"/>
      <c r="AF286" s="286"/>
      <c r="AG286" s="286"/>
    </row>
    <row r="287" spans="2:33" x14ac:dyDescent="0.25">
      <c r="B287" s="368"/>
      <c r="C287" s="369"/>
      <c r="D287" s="369"/>
      <c r="E287" s="286"/>
      <c r="F287" s="286"/>
      <c r="G287" s="286"/>
      <c r="H287" s="286"/>
      <c r="I287" s="286"/>
      <c r="J287" s="286"/>
      <c r="K287" s="286"/>
      <c r="L287" s="286"/>
      <c r="M287" s="286"/>
      <c r="N287" s="286"/>
      <c r="O287" s="286"/>
      <c r="P287" s="286"/>
      <c r="Q287" s="286"/>
      <c r="R287" s="286"/>
      <c r="S287" s="286"/>
      <c r="T287" s="286"/>
      <c r="U287" s="286"/>
      <c r="V287" s="286"/>
      <c r="W287" s="286"/>
      <c r="X287" s="286"/>
      <c r="Y287" s="286"/>
      <c r="Z287" s="286"/>
      <c r="AA287" s="286"/>
      <c r="AB287" s="286"/>
      <c r="AC287" s="286"/>
      <c r="AD287" s="286"/>
      <c r="AF287" s="286"/>
      <c r="AG287" s="286"/>
    </row>
    <row r="288" spans="2:33" x14ac:dyDescent="0.25">
      <c r="B288" s="368"/>
      <c r="C288" s="369"/>
      <c r="D288" s="369"/>
      <c r="E288" s="286"/>
      <c r="F288" s="286"/>
      <c r="G288" s="286"/>
      <c r="H288" s="286"/>
      <c r="I288" s="286"/>
      <c r="J288" s="286"/>
      <c r="K288" s="286"/>
      <c r="L288" s="286"/>
      <c r="M288" s="286"/>
      <c r="N288" s="286"/>
      <c r="O288" s="286"/>
      <c r="P288" s="286"/>
      <c r="Q288" s="286"/>
      <c r="R288" s="286"/>
      <c r="S288" s="286"/>
      <c r="T288" s="286"/>
      <c r="U288" s="286"/>
      <c r="V288" s="286"/>
      <c r="W288" s="286"/>
      <c r="X288" s="286"/>
      <c r="Y288" s="286"/>
      <c r="Z288" s="286"/>
      <c r="AA288" s="286"/>
      <c r="AB288" s="286"/>
      <c r="AC288" s="286"/>
      <c r="AD288" s="286"/>
      <c r="AF288" s="286"/>
      <c r="AG288" s="286"/>
    </row>
    <row r="289" spans="2:33" x14ac:dyDescent="0.25">
      <c r="B289" s="368"/>
      <c r="C289" s="369"/>
      <c r="D289" s="369"/>
      <c r="E289" s="286"/>
      <c r="F289" s="286"/>
      <c r="G289" s="286"/>
      <c r="H289" s="286"/>
      <c r="I289" s="286"/>
      <c r="J289" s="286"/>
      <c r="K289" s="286"/>
      <c r="L289" s="286"/>
      <c r="M289" s="286"/>
      <c r="N289" s="286"/>
      <c r="O289" s="286"/>
      <c r="P289" s="286"/>
      <c r="Q289" s="286"/>
      <c r="R289" s="286"/>
      <c r="S289" s="286"/>
      <c r="T289" s="286"/>
      <c r="U289" s="286"/>
      <c r="V289" s="286"/>
      <c r="W289" s="286"/>
      <c r="X289" s="286"/>
      <c r="Y289" s="286"/>
      <c r="Z289" s="286"/>
      <c r="AA289" s="286"/>
      <c r="AB289" s="286"/>
      <c r="AC289" s="286"/>
      <c r="AD289" s="286"/>
      <c r="AF289" s="286"/>
      <c r="AG289" s="286"/>
    </row>
    <row r="290" spans="2:33" x14ac:dyDescent="0.25">
      <c r="B290" s="368"/>
      <c r="C290" s="369"/>
      <c r="D290" s="369"/>
      <c r="E290" s="286"/>
      <c r="F290" s="286"/>
      <c r="G290" s="286"/>
      <c r="H290" s="286"/>
      <c r="I290" s="286"/>
      <c r="J290" s="286"/>
      <c r="K290" s="286"/>
      <c r="L290" s="286"/>
      <c r="M290" s="286"/>
      <c r="N290" s="286"/>
      <c r="O290" s="286"/>
      <c r="P290" s="286"/>
      <c r="Q290" s="286"/>
      <c r="R290" s="286"/>
      <c r="S290" s="286"/>
      <c r="T290" s="286"/>
      <c r="U290" s="286"/>
      <c r="V290" s="286"/>
      <c r="W290" s="286"/>
      <c r="X290" s="286"/>
      <c r="Y290" s="286"/>
      <c r="Z290" s="286"/>
      <c r="AA290" s="286"/>
      <c r="AB290" s="286"/>
      <c r="AC290" s="286"/>
      <c r="AD290" s="286"/>
      <c r="AF290" s="286"/>
      <c r="AG290" s="286"/>
    </row>
    <row r="291" spans="2:33" x14ac:dyDescent="0.25">
      <c r="B291" s="368"/>
      <c r="C291" s="369"/>
      <c r="D291" s="369"/>
      <c r="E291" s="286"/>
      <c r="F291" s="286"/>
      <c r="G291" s="286"/>
      <c r="H291" s="286"/>
      <c r="I291" s="286"/>
      <c r="J291" s="286"/>
      <c r="K291" s="286"/>
      <c r="L291" s="286"/>
      <c r="M291" s="286"/>
      <c r="N291" s="286"/>
      <c r="O291" s="286"/>
      <c r="P291" s="286"/>
      <c r="Q291" s="286"/>
      <c r="R291" s="286"/>
      <c r="S291" s="286"/>
      <c r="T291" s="286"/>
      <c r="U291" s="286"/>
      <c r="V291" s="286"/>
      <c r="W291" s="286"/>
      <c r="X291" s="286"/>
      <c r="Y291" s="286"/>
      <c r="Z291" s="286"/>
      <c r="AA291" s="286"/>
      <c r="AB291" s="286"/>
      <c r="AC291" s="286"/>
      <c r="AD291" s="286"/>
      <c r="AF291" s="286"/>
      <c r="AG291" s="286"/>
    </row>
    <row r="292" spans="2:33" x14ac:dyDescent="0.25">
      <c r="B292" s="368"/>
      <c r="C292" s="369"/>
      <c r="D292" s="369"/>
      <c r="E292" s="286"/>
      <c r="F292" s="286"/>
      <c r="G292" s="286"/>
      <c r="H292" s="286"/>
      <c r="I292" s="286"/>
      <c r="J292" s="286"/>
      <c r="K292" s="286"/>
      <c r="L292" s="286"/>
      <c r="M292" s="286"/>
      <c r="N292" s="286"/>
      <c r="O292" s="286"/>
      <c r="P292" s="286"/>
      <c r="Q292" s="286"/>
      <c r="R292" s="286"/>
      <c r="S292" s="286"/>
      <c r="T292" s="286"/>
      <c r="U292" s="286"/>
      <c r="V292" s="286"/>
      <c r="W292" s="286"/>
      <c r="X292" s="286"/>
      <c r="Y292" s="286"/>
      <c r="Z292" s="286"/>
      <c r="AA292" s="286"/>
      <c r="AB292" s="286"/>
      <c r="AC292" s="286"/>
      <c r="AD292" s="286"/>
      <c r="AF292" s="286"/>
      <c r="AG292" s="286"/>
    </row>
    <row r="293" spans="2:33" x14ac:dyDescent="0.25">
      <c r="B293" s="368"/>
      <c r="C293" s="369"/>
      <c r="D293" s="369"/>
      <c r="E293" s="286"/>
      <c r="F293" s="286"/>
      <c r="G293" s="286"/>
      <c r="H293" s="286"/>
      <c r="I293" s="286"/>
      <c r="J293" s="286"/>
      <c r="K293" s="286"/>
      <c r="L293" s="286"/>
      <c r="M293" s="286"/>
      <c r="N293" s="286"/>
      <c r="O293" s="286"/>
      <c r="P293" s="286"/>
      <c r="Q293" s="286"/>
      <c r="R293" s="286"/>
      <c r="S293" s="286"/>
      <c r="T293" s="286"/>
      <c r="U293" s="286"/>
      <c r="V293" s="286"/>
      <c r="W293" s="286"/>
      <c r="X293" s="286"/>
      <c r="Y293" s="286"/>
      <c r="Z293" s="286"/>
      <c r="AA293" s="286"/>
      <c r="AB293" s="286"/>
      <c r="AC293" s="286"/>
      <c r="AD293" s="286"/>
      <c r="AF293" s="286"/>
      <c r="AG293" s="286"/>
    </row>
    <row r="294" spans="2:33" x14ac:dyDescent="0.25">
      <c r="B294" s="368"/>
      <c r="C294" s="369"/>
      <c r="D294" s="369"/>
      <c r="E294" s="286"/>
      <c r="F294" s="286"/>
      <c r="G294" s="286"/>
      <c r="H294" s="286"/>
      <c r="I294" s="286"/>
      <c r="J294" s="286"/>
      <c r="K294" s="286"/>
      <c r="L294" s="286"/>
      <c r="M294" s="286"/>
      <c r="N294" s="286"/>
      <c r="O294" s="286"/>
      <c r="P294" s="286"/>
      <c r="Q294" s="286"/>
      <c r="R294" s="286"/>
      <c r="S294" s="286"/>
      <c r="T294" s="286"/>
      <c r="U294" s="286"/>
      <c r="V294" s="286"/>
      <c r="W294" s="286"/>
      <c r="X294" s="286"/>
      <c r="Y294" s="286"/>
      <c r="Z294" s="286"/>
      <c r="AA294" s="286"/>
      <c r="AB294" s="286"/>
      <c r="AC294" s="286"/>
      <c r="AD294" s="286"/>
      <c r="AF294" s="286"/>
      <c r="AG294" s="286"/>
    </row>
    <row r="295" spans="2:33" x14ac:dyDescent="0.25">
      <c r="B295" s="368"/>
      <c r="C295" s="369"/>
      <c r="D295" s="369"/>
      <c r="E295" s="286"/>
      <c r="F295" s="286"/>
      <c r="G295" s="286"/>
      <c r="H295" s="286"/>
      <c r="I295" s="286"/>
      <c r="J295" s="286"/>
      <c r="K295" s="286"/>
      <c r="L295" s="286"/>
      <c r="M295" s="286"/>
      <c r="N295" s="286"/>
      <c r="O295" s="286"/>
      <c r="P295" s="286"/>
      <c r="Q295" s="286"/>
      <c r="R295" s="286"/>
      <c r="S295" s="286"/>
      <c r="T295" s="286"/>
      <c r="U295" s="286"/>
      <c r="V295" s="286"/>
      <c r="W295" s="286"/>
      <c r="X295" s="286"/>
      <c r="Y295" s="286"/>
      <c r="Z295" s="286"/>
      <c r="AA295" s="286"/>
      <c r="AB295" s="286"/>
      <c r="AC295" s="286"/>
      <c r="AD295" s="286"/>
      <c r="AF295" s="286"/>
      <c r="AG295" s="286"/>
    </row>
    <row r="296" spans="2:33" x14ac:dyDescent="0.25">
      <c r="B296" s="368"/>
      <c r="C296" s="369"/>
      <c r="D296" s="369"/>
      <c r="E296" s="286"/>
      <c r="F296" s="286"/>
      <c r="G296" s="286"/>
      <c r="H296" s="286"/>
      <c r="I296" s="286"/>
      <c r="J296" s="286"/>
      <c r="K296" s="286"/>
      <c r="L296" s="286"/>
      <c r="M296" s="286"/>
      <c r="N296" s="286"/>
      <c r="O296" s="286"/>
      <c r="P296" s="286"/>
      <c r="Q296" s="286"/>
      <c r="R296" s="286"/>
      <c r="S296" s="286"/>
      <c r="T296" s="286"/>
      <c r="U296" s="286"/>
      <c r="V296" s="286"/>
      <c r="W296" s="286"/>
      <c r="X296" s="286"/>
      <c r="Y296" s="286"/>
      <c r="Z296" s="286"/>
      <c r="AA296" s="286"/>
      <c r="AB296" s="286"/>
      <c r="AC296" s="286"/>
      <c r="AD296" s="286"/>
      <c r="AF296" s="286"/>
      <c r="AG296" s="286"/>
    </row>
    <row r="297" spans="2:33" x14ac:dyDescent="0.25">
      <c r="B297" s="368"/>
      <c r="C297" s="369"/>
      <c r="D297" s="369"/>
      <c r="E297" s="286"/>
      <c r="F297" s="286"/>
      <c r="G297" s="286"/>
      <c r="H297" s="286"/>
      <c r="I297" s="286"/>
      <c r="J297" s="286"/>
      <c r="K297" s="286"/>
      <c r="L297" s="286"/>
      <c r="M297" s="286"/>
      <c r="N297" s="286"/>
      <c r="O297" s="286"/>
      <c r="P297" s="286"/>
      <c r="Q297" s="286"/>
      <c r="R297" s="286"/>
      <c r="S297" s="286"/>
      <c r="T297" s="286"/>
      <c r="U297" s="286"/>
      <c r="V297" s="286"/>
      <c r="W297" s="286"/>
      <c r="X297" s="286"/>
      <c r="Y297" s="286"/>
      <c r="Z297" s="286"/>
      <c r="AA297" s="286"/>
      <c r="AB297" s="286"/>
      <c r="AC297" s="286"/>
      <c r="AD297" s="286"/>
      <c r="AF297" s="286"/>
      <c r="AG297" s="286"/>
    </row>
    <row r="298" spans="2:33" x14ac:dyDescent="0.25">
      <c r="B298" s="368"/>
      <c r="C298" s="369"/>
      <c r="D298" s="369"/>
      <c r="E298" s="286"/>
      <c r="F298" s="286"/>
      <c r="G298" s="286"/>
      <c r="H298" s="286"/>
      <c r="I298" s="286"/>
      <c r="J298" s="286"/>
      <c r="K298" s="286"/>
      <c r="L298" s="286"/>
      <c r="M298" s="286"/>
      <c r="N298" s="286"/>
      <c r="O298" s="286"/>
      <c r="P298" s="286"/>
      <c r="Q298" s="286"/>
      <c r="R298" s="286"/>
      <c r="S298" s="286"/>
      <c r="T298" s="286"/>
      <c r="U298" s="286"/>
      <c r="V298" s="286"/>
      <c r="W298" s="286"/>
      <c r="X298" s="286"/>
      <c r="Y298" s="286"/>
      <c r="Z298" s="286"/>
      <c r="AA298" s="286"/>
      <c r="AB298" s="286"/>
      <c r="AC298" s="286"/>
      <c r="AD298" s="286"/>
      <c r="AF298" s="286"/>
      <c r="AG298" s="286"/>
    </row>
    <row r="299" spans="2:33" x14ac:dyDescent="0.25">
      <c r="B299" s="368"/>
      <c r="C299" s="369"/>
      <c r="D299" s="369"/>
      <c r="E299" s="286"/>
      <c r="F299" s="286"/>
      <c r="G299" s="286"/>
      <c r="H299" s="286"/>
      <c r="I299" s="286"/>
      <c r="J299" s="286"/>
      <c r="K299" s="286"/>
      <c r="L299" s="286"/>
      <c r="M299" s="286"/>
      <c r="N299" s="286"/>
      <c r="O299" s="286"/>
      <c r="P299" s="286"/>
      <c r="Q299" s="286"/>
      <c r="R299" s="286"/>
      <c r="S299" s="286"/>
      <c r="T299" s="286"/>
      <c r="U299" s="286"/>
      <c r="V299" s="286"/>
      <c r="W299" s="286"/>
      <c r="X299" s="286"/>
      <c r="Y299" s="286"/>
      <c r="Z299" s="286"/>
      <c r="AA299" s="286"/>
      <c r="AB299" s="286"/>
      <c r="AC299" s="286"/>
      <c r="AD299" s="286"/>
      <c r="AF299" s="286"/>
      <c r="AG299" s="286"/>
    </row>
    <row r="300" spans="2:33" x14ac:dyDescent="0.25">
      <c r="B300" s="368"/>
      <c r="C300" s="369"/>
      <c r="D300" s="369"/>
      <c r="E300" s="286"/>
      <c r="F300" s="286"/>
      <c r="G300" s="286"/>
      <c r="H300" s="286"/>
      <c r="I300" s="286"/>
      <c r="J300" s="286"/>
      <c r="K300" s="286"/>
      <c r="L300" s="286"/>
      <c r="M300" s="286"/>
      <c r="N300" s="286"/>
      <c r="O300" s="286"/>
      <c r="P300" s="286"/>
      <c r="Q300" s="286"/>
      <c r="R300" s="286"/>
      <c r="S300" s="286"/>
      <c r="T300" s="286"/>
      <c r="U300" s="286"/>
      <c r="V300" s="286"/>
      <c r="W300" s="286"/>
      <c r="X300" s="286"/>
      <c r="Y300" s="286"/>
      <c r="Z300" s="286"/>
      <c r="AA300" s="286"/>
      <c r="AB300" s="286"/>
      <c r="AC300" s="286"/>
      <c r="AD300" s="286"/>
      <c r="AF300" s="286"/>
      <c r="AG300" s="286"/>
    </row>
    <row r="301" spans="2:33" x14ac:dyDescent="0.25">
      <c r="B301" s="368"/>
      <c r="C301" s="369"/>
      <c r="D301" s="369"/>
      <c r="E301" s="286"/>
      <c r="F301" s="286"/>
      <c r="G301" s="286"/>
      <c r="H301" s="286"/>
      <c r="I301" s="286"/>
      <c r="J301" s="286"/>
      <c r="K301" s="286"/>
      <c r="L301" s="286"/>
      <c r="M301" s="286"/>
      <c r="N301" s="286"/>
      <c r="O301" s="286"/>
      <c r="P301" s="286"/>
      <c r="Q301" s="286"/>
      <c r="R301" s="286"/>
      <c r="S301" s="286"/>
      <c r="T301" s="286"/>
      <c r="U301" s="286"/>
      <c r="V301" s="286"/>
      <c r="W301" s="286"/>
      <c r="X301" s="286"/>
      <c r="Y301" s="286"/>
      <c r="Z301" s="286"/>
      <c r="AA301" s="286"/>
      <c r="AB301" s="286"/>
      <c r="AC301" s="286"/>
      <c r="AD301" s="286"/>
      <c r="AF301" s="286"/>
      <c r="AG301" s="286"/>
    </row>
    <row r="302" spans="2:33" x14ac:dyDescent="0.25">
      <c r="B302" s="368"/>
      <c r="C302" s="369"/>
      <c r="D302" s="369"/>
      <c r="E302" s="286"/>
      <c r="F302" s="286"/>
      <c r="G302" s="286"/>
      <c r="H302" s="286"/>
      <c r="I302" s="286"/>
      <c r="J302" s="286"/>
      <c r="K302" s="286"/>
      <c r="L302" s="286"/>
      <c r="M302" s="286"/>
      <c r="N302" s="286"/>
      <c r="O302" s="286"/>
      <c r="P302" s="286"/>
      <c r="Q302" s="286"/>
      <c r="R302" s="286"/>
      <c r="S302" s="286"/>
      <c r="T302" s="286"/>
      <c r="U302" s="286"/>
      <c r="V302" s="286"/>
      <c r="W302" s="286"/>
      <c r="X302" s="286"/>
      <c r="Y302" s="286"/>
      <c r="Z302" s="286"/>
      <c r="AA302" s="286"/>
      <c r="AB302" s="286"/>
      <c r="AC302" s="286"/>
      <c r="AD302" s="286"/>
      <c r="AF302" s="286"/>
      <c r="AG302" s="286"/>
    </row>
    <row r="303" spans="2:33" x14ac:dyDescent="0.25">
      <c r="B303" s="368"/>
      <c r="C303" s="369"/>
      <c r="D303" s="369"/>
      <c r="E303" s="286"/>
      <c r="F303" s="286"/>
      <c r="G303" s="286"/>
      <c r="H303" s="286"/>
      <c r="I303" s="286"/>
      <c r="J303" s="286"/>
      <c r="K303" s="286"/>
      <c r="L303" s="286"/>
      <c r="M303" s="286"/>
      <c r="N303" s="286"/>
      <c r="O303" s="286"/>
      <c r="P303" s="286"/>
      <c r="Q303" s="286"/>
      <c r="R303" s="286"/>
      <c r="S303" s="286"/>
      <c r="T303" s="286"/>
      <c r="U303" s="286"/>
      <c r="V303" s="286"/>
      <c r="W303" s="286"/>
      <c r="X303" s="286"/>
      <c r="Y303" s="286"/>
      <c r="Z303" s="286"/>
      <c r="AA303" s="286"/>
      <c r="AB303" s="286"/>
      <c r="AC303" s="286"/>
      <c r="AD303" s="286"/>
      <c r="AF303" s="286"/>
      <c r="AG303" s="286"/>
    </row>
    <row r="304" spans="2:33" x14ac:dyDescent="0.25">
      <c r="B304" s="368"/>
      <c r="C304" s="369"/>
      <c r="D304" s="369"/>
      <c r="E304" s="286"/>
      <c r="F304" s="286"/>
      <c r="G304" s="286"/>
      <c r="H304" s="286"/>
      <c r="I304" s="286"/>
      <c r="J304" s="286"/>
      <c r="K304" s="286"/>
      <c r="L304" s="286"/>
      <c r="M304" s="286"/>
      <c r="N304" s="286"/>
      <c r="O304" s="286"/>
      <c r="P304" s="286"/>
      <c r="Q304" s="286"/>
      <c r="R304" s="286"/>
      <c r="S304" s="286"/>
      <c r="T304" s="286"/>
      <c r="U304" s="286"/>
      <c r="V304" s="286"/>
      <c r="W304" s="286"/>
      <c r="X304" s="286"/>
      <c r="Y304" s="286"/>
      <c r="Z304" s="286"/>
      <c r="AA304" s="286"/>
      <c r="AB304" s="286"/>
      <c r="AC304" s="286"/>
      <c r="AD304" s="286"/>
      <c r="AF304" s="286"/>
      <c r="AG304" s="286"/>
    </row>
    <row r="305" spans="2:33" x14ac:dyDescent="0.25">
      <c r="B305" s="368"/>
      <c r="C305" s="369"/>
      <c r="D305" s="369"/>
      <c r="E305" s="286"/>
      <c r="F305" s="286"/>
      <c r="G305" s="286"/>
      <c r="H305" s="286"/>
      <c r="I305" s="286"/>
      <c r="J305" s="286"/>
      <c r="K305" s="286"/>
      <c r="L305" s="286"/>
      <c r="M305" s="286"/>
      <c r="N305" s="286"/>
      <c r="O305" s="286"/>
      <c r="P305" s="286"/>
      <c r="Q305" s="286"/>
      <c r="R305" s="286"/>
      <c r="S305" s="286"/>
      <c r="T305" s="286"/>
      <c r="U305" s="286"/>
      <c r="V305" s="286"/>
      <c r="W305" s="286"/>
      <c r="X305" s="286"/>
      <c r="Y305" s="286"/>
      <c r="Z305" s="286"/>
      <c r="AA305" s="286"/>
      <c r="AB305" s="286"/>
      <c r="AC305" s="286"/>
      <c r="AD305" s="286"/>
      <c r="AF305" s="286"/>
      <c r="AG305" s="286"/>
    </row>
    <row r="306" spans="2:33" x14ac:dyDescent="0.25">
      <c r="B306" s="368"/>
      <c r="C306" s="369"/>
      <c r="D306" s="369"/>
      <c r="E306" s="286"/>
      <c r="F306" s="286"/>
      <c r="G306" s="286"/>
      <c r="H306" s="286"/>
      <c r="I306" s="286"/>
      <c r="J306" s="286"/>
      <c r="K306" s="286"/>
      <c r="L306" s="286"/>
      <c r="M306" s="286"/>
      <c r="N306" s="286"/>
      <c r="O306" s="286"/>
      <c r="P306" s="286"/>
      <c r="Q306" s="286"/>
      <c r="R306" s="286"/>
      <c r="S306" s="286"/>
      <c r="T306" s="286"/>
      <c r="U306" s="286"/>
      <c r="V306" s="286"/>
      <c r="W306" s="286"/>
      <c r="X306" s="286"/>
      <c r="Y306" s="286"/>
      <c r="Z306" s="286"/>
      <c r="AA306" s="286"/>
      <c r="AB306" s="286"/>
      <c r="AC306" s="286"/>
      <c r="AD306" s="286"/>
      <c r="AF306" s="286"/>
      <c r="AG306" s="286"/>
    </row>
    <row r="307" spans="2:33" x14ac:dyDescent="0.25">
      <c r="B307" s="368"/>
      <c r="C307" s="369"/>
      <c r="D307" s="369"/>
      <c r="E307" s="286"/>
      <c r="F307" s="286"/>
      <c r="G307" s="286"/>
      <c r="H307" s="286"/>
      <c r="I307" s="286"/>
      <c r="J307" s="286"/>
      <c r="K307" s="286"/>
      <c r="L307" s="286"/>
      <c r="M307" s="286"/>
      <c r="N307" s="286"/>
      <c r="O307" s="286"/>
      <c r="P307" s="286"/>
      <c r="Q307" s="286"/>
      <c r="R307" s="286"/>
      <c r="S307" s="286"/>
      <c r="T307" s="286"/>
      <c r="U307" s="286"/>
      <c r="V307" s="286"/>
      <c r="W307" s="286"/>
      <c r="X307" s="286"/>
      <c r="Y307" s="286"/>
      <c r="Z307" s="286"/>
      <c r="AA307" s="286"/>
      <c r="AB307" s="286"/>
      <c r="AC307" s="286"/>
      <c r="AD307" s="286"/>
      <c r="AF307" s="286"/>
      <c r="AG307" s="286"/>
    </row>
    <row r="308" spans="2:33" x14ac:dyDescent="0.25">
      <c r="B308" s="368"/>
      <c r="C308" s="369"/>
      <c r="D308" s="369"/>
      <c r="E308" s="286"/>
      <c r="F308" s="286"/>
      <c r="G308" s="286"/>
      <c r="H308" s="286"/>
      <c r="I308" s="286"/>
      <c r="J308" s="286"/>
      <c r="K308" s="286"/>
      <c r="L308" s="286"/>
      <c r="M308" s="286"/>
      <c r="N308" s="286"/>
      <c r="O308" s="286"/>
      <c r="P308" s="286"/>
      <c r="Q308" s="286"/>
      <c r="R308" s="286"/>
      <c r="S308" s="286"/>
      <c r="T308" s="286"/>
      <c r="U308" s="286"/>
      <c r="V308" s="286"/>
      <c r="W308" s="286"/>
      <c r="X308" s="286"/>
      <c r="Y308" s="286"/>
      <c r="Z308" s="286"/>
      <c r="AA308" s="286"/>
      <c r="AB308" s="286"/>
      <c r="AC308" s="286"/>
      <c r="AD308" s="286"/>
      <c r="AF308" s="286"/>
      <c r="AG308" s="286"/>
    </row>
    <row r="309" spans="2:33" x14ac:dyDescent="0.25">
      <c r="B309" s="368"/>
      <c r="C309" s="369"/>
      <c r="D309" s="369"/>
      <c r="E309" s="286"/>
      <c r="F309" s="286"/>
      <c r="G309" s="286"/>
      <c r="H309" s="286"/>
      <c r="I309" s="286"/>
      <c r="J309" s="286"/>
      <c r="K309" s="286"/>
      <c r="L309" s="286"/>
      <c r="M309" s="286"/>
      <c r="N309" s="286"/>
      <c r="O309" s="286"/>
      <c r="P309" s="286"/>
      <c r="Q309" s="286"/>
      <c r="R309" s="286"/>
      <c r="S309" s="286"/>
      <c r="T309" s="286"/>
      <c r="U309" s="286"/>
      <c r="V309" s="286"/>
      <c r="W309" s="286"/>
      <c r="X309" s="286"/>
      <c r="Y309" s="286"/>
      <c r="Z309" s="286"/>
      <c r="AA309" s="286"/>
      <c r="AB309" s="286"/>
      <c r="AC309" s="286"/>
      <c r="AD309" s="286"/>
      <c r="AF309" s="286"/>
      <c r="AG309" s="286"/>
    </row>
    <row r="310" spans="2:33" x14ac:dyDescent="0.25">
      <c r="B310" s="368"/>
      <c r="C310" s="369"/>
      <c r="D310" s="369"/>
      <c r="E310" s="286"/>
      <c r="F310" s="286"/>
      <c r="G310" s="286"/>
      <c r="H310" s="286"/>
      <c r="I310" s="286"/>
      <c r="J310" s="286"/>
      <c r="K310" s="286"/>
      <c r="L310" s="286"/>
      <c r="M310" s="286"/>
      <c r="N310" s="286"/>
      <c r="O310" s="286"/>
      <c r="P310" s="286"/>
      <c r="Q310" s="286"/>
      <c r="R310" s="286"/>
      <c r="S310" s="286"/>
      <c r="T310" s="286"/>
      <c r="U310" s="286"/>
      <c r="V310" s="286"/>
      <c r="W310" s="286"/>
      <c r="X310" s="286"/>
      <c r="Y310" s="286"/>
      <c r="Z310" s="286"/>
      <c r="AA310" s="286"/>
      <c r="AB310" s="286"/>
      <c r="AC310" s="286"/>
      <c r="AD310" s="286"/>
      <c r="AF310" s="286"/>
      <c r="AG310" s="286"/>
    </row>
    <row r="311" spans="2:33" x14ac:dyDescent="0.25">
      <c r="B311" s="368"/>
      <c r="C311" s="369"/>
      <c r="D311" s="369"/>
      <c r="E311" s="286"/>
      <c r="F311" s="286"/>
      <c r="G311" s="286"/>
      <c r="H311" s="286"/>
      <c r="I311" s="286"/>
      <c r="J311" s="286"/>
      <c r="K311" s="286"/>
      <c r="L311" s="286"/>
      <c r="M311" s="286"/>
      <c r="N311" s="286"/>
      <c r="O311" s="286"/>
      <c r="P311" s="286"/>
      <c r="Q311" s="286"/>
      <c r="R311" s="286"/>
      <c r="S311" s="286"/>
      <c r="T311" s="286"/>
      <c r="U311" s="286"/>
      <c r="V311" s="286"/>
      <c r="W311" s="286"/>
      <c r="X311" s="286"/>
      <c r="Y311" s="286"/>
      <c r="Z311" s="286"/>
      <c r="AA311" s="286"/>
      <c r="AB311" s="286"/>
      <c r="AC311" s="286"/>
      <c r="AD311" s="286"/>
      <c r="AF311" s="286"/>
      <c r="AG311" s="286"/>
    </row>
    <row r="312" spans="2:33" x14ac:dyDescent="0.25">
      <c r="B312" s="368"/>
      <c r="C312" s="369"/>
      <c r="D312" s="369"/>
      <c r="E312" s="286"/>
      <c r="F312" s="286"/>
      <c r="G312" s="286"/>
      <c r="H312" s="286"/>
      <c r="I312" s="286"/>
      <c r="J312" s="286"/>
      <c r="K312" s="286"/>
      <c r="L312" s="286"/>
      <c r="M312" s="286"/>
      <c r="N312" s="286"/>
      <c r="O312" s="286"/>
      <c r="P312" s="286"/>
      <c r="Q312" s="286"/>
      <c r="R312" s="286"/>
      <c r="S312" s="286"/>
      <c r="T312" s="286"/>
      <c r="U312" s="286"/>
      <c r="V312" s="286"/>
      <c r="W312" s="286"/>
      <c r="X312" s="286"/>
      <c r="Y312" s="286"/>
      <c r="Z312" s="286"/>
      <c r="AA312" s="286"/>
      <c r="AB312" s="286"/>
      <c r="AC312" s="286"/>
      <c r="AD312" s="286"/>
      <c r="AF312" s="286"/>
      <c r="AG312" s="286"/>
    </row>
    <row r="313" spans="2:33" x14ac:dyDescent="0.25">
      <c r="B313" s="368"/>
      <c r="C313" s="369"/>
      <c r="D313" s="369"/>
      <c r="E313" s="286"/>
      <c r="F313" s="286"/>
      <c r="G313" s="286"/>
      <c r="H313" s="286"/>
      <c r="I313" s="286"/>
      <c r="J313" s="286"/>
      <c r="K313" s="286"/>
      <c r="L313" s="286"/>
      <c r="M313" s="286"/>
      <c r="N313" s="286"/>
      <c r="O313" s="286"/>
      <c r="P313" s="286"/>
      <c r="Q313" s="286"/>
      <c r="R313" s="286"/>
      <c r="S313" s="286"/>
      <c r="T313" s="286"/>
      <c r="U313" s="286"/>
      <c r="V313" s="286"/>
      <c r="W313" s="286"/>
      <c r="X313" s="286"/>
      <c r="Y313" s="286"/>
      <c r="Z313" s="286"/>
      <c r="AA313" s="286"/>
      <c r="AB313" s="286"/>
      <c r="AC313" s="286"/>
      <c r="AD313" s="286"/>
      <c r="AF313" s="286"/>
      <c r="AG313" s="286"/>
    </row>
    <row r="314" spans="2:33" x14ac:dyDescent="0.25">
      <c r="B314" s="368"/>
      <c r="C314" s="369"/>
      <c r="D314" s="369"/>
      <c r="E314" s="286"/>
      <c r="F314" s="286"/>
      <c r="G314" s="286"/>
      <c r="H314" s="286"/>
      <c r="I314" s="286"/>
      <c r="J314" s="286"/>
      <c r="K314" s="286"/>
      <c r="L314" s="286"/>
      <c r="M314" s="286"/>
      <c r="N314" s="286"/>
      <c r="O314" s="286"/>
      <c r="P314" s="286"/>
      <c r="Q314" s="286"/>
      <c r="R314" s="286"/>
      <c r="S314" s="286"/>
      <c r="T314" s="286"/>
      <c r="U314" s="286"/>
      <c r="V314" s="286"/>
      <c r="W314" s="286"/>
      <c r="X314" s="286"/>
      <c r="Y314" s="286"/>
      <c r="Z314" s="286"/>
      <c r="AA314" s="286"/>
      <c r="AB314" s="286"/>
      <c r="AC314" s="286"/>
      <c r="AD314" s="286"/>
      <c r="AF314" s="286"/>
      <c r="AG314" s="286"/>
    </row>
    <row r="315" spans="2:33" x14ac:dyDescent="0.25">
      <c r="B315" s="368"/>
      <c r="C315" s="369"/>
      <c r="D315" s="369"/>
      <c r="E315" s="286"/>
      <c r="F315" s="286"/>
      <c r="G315" s="286"/>
      <c r="H315" s="286"/>
      <c r="I315" s="286"/>
      <c r="J315" s="286"/>
      <c r="K315" s="286"/>
      <c r="L315" s="286"/>
      <c r="M315" s="286"/>
      <c r="N315" s="286"/>
      <c r="O315" s="286"/>
      <c r="P315" s="286"/>
      <c r="Q315" s="286"/>
      <c r="R315" s="286"/>
      <c r="S315" s="286"/>
      <c r="T315" s="286"/>
      <c r="U315" s="286"/>
      <c r="V315" s="286"/>
      <c r="W315" s="286"/>
      <c r="X315" s="286"/>
      <c r="Y315" s="286"/>
      <c r="Z315" s="286"/>
      <c r="AA315" s="286"/>
      <c r="AB315" s="286"/>
      <c r="AC315" s="286"/>
      <c r="AD315" s="286"/>
      <c r="AF315" s="286"/>
      <c r="AG315" s="286"/>
    </row>
    <row r="316" spans="2:33" x14ac:dyDescent="0.25">
      <c r="B316" s="368"/>
      <c r="C316" s="369"/>
      <c r="D316" s="369"/>
      <c r="E316" s="286"/>
      <c r="F316" s="286"/>
      <c r="G316" s="286"/>
      <c r="H316" s="286"/>
      <c r="I316" s="286"/>
      <c r="J316" s="286"/>
      <c r="K316" s="286"/>
      <c r="L316" s="286"/>
      <c r="M316" s="286"/>
      <c r="N316" s="286"/>
      <c r="O316" s="286"/>
      <c r="P316" s="286"/>
      <c r="Q316" s="286"/>
      <c r="R316" s="286"/>
      <c r="S316" s="286"/>
      <c r="T316" s="286"/>
      <c r="U316" s="286"/>
      <c r="V316" s="286"/>
      <c r="W316" s="286"/>
      <c r="X316" s="286"/>
      <c r="Y316" s="286"/>
      <c r="Z316" s="286"/>
      <c r="AA316" s="286"/>
      <c r="AB316" s="286"/>
      <c r="AC316" s="286"/>
      <c r="AD316" s="286"/>
      <c r="AF316" s="286"/>
      <c r="AG316" s="286"/>
    </row>
    <row r="317" spans="2:33" x14ac:dyDescent="0.25">
      <c r="B317" s="368"/>
      <c r="C317" s="369"/>
      <c r="D317" s="369"/>
      <c r="E317" s="286"/>
      <c r="F317" s="286"/>
      <c r="G317" s="286"/>
      <c r="H317" s="286"/>
      <c r="I317" s="286"/>
      <c r="J317" s="286"/>
      <c r="K317" s="286"/>
      <c r="L317" s="286"/>
      <c r="M317" s="286"/>
      <c r="N317" s="286"/>
      <c r="O317" s="286"/>
      <c r="P317" s="286"/>
      <c r="Q317" s="286"/>
      <c r="R317" s="286"/>
      <c r="S317" s="286"/>
      <c r="T317" s="286"/>
      <c r="U317" s="286"/>
      <c r="V317" s="286"/>
      <c r="W317" s="286"/>
      <c r="X317" s="286"/>
      <c r="Y317" s="286"/>
      <c r="Z317" s="286"/>
      <c r="AA317" s="286"/>
      <c r="AB317" s="286"/>
      <c r="AC317" s="286"/>
      <c r="AD317" s="286"/>
      <c r="AF317" s="286"/>
      <c r="AG317" s="286"/>
    </row>
    <row r="318" spans="2:33" x14ac:dyDescent="0.25">
      <c r="B318" s="368"/>
      <c r="C318" s="369"/>
      <c r="D318" s="369"/>
      <c r="E318" s="286"/>
      <c r="F318" s="286"/>
      <c r="G318" s="286"/>
      <c r="H318" s="286"/>
      <c r="I318" s="286"/>
      <c r="J318" s="286"/>
      <c r="K318" s="286"/>
      <c r="L318" s="286"/>
      <c r="M318" s="286"/>
      <c r="N318" s="286"/>
      <c r="O318" s="286"/>
      <c r="P318" s="286"/>
      <c r="Q318" s="286"/>
      <c r="R318" s="286"/>
      <c r="S318" s="286"/>
      <c r="T318" s="286"/>
      <c r="U318" s="286"/>
      <c r="V318" s="286"/>
      <c r="W318" s="286"/>
      <c r="X318" s="286"/>
      <c r="Y318" s="286"/>
      <c r="Z318" s="286"/>
      <c r="AA318" s="286"/>
      <c r="AB318" s="286"/>
      <c r="AC318" s="286"/>
      <c r="AD318" s="286"/>
      <c r="AF318" s="286"/>
      <c r="AG318" s="286"/>
    </row>
    <row r="319" spans="2:33" x14ac:dyDescent="0.25">
      <c r="B319" s="368"/>
      <c r="C319" s="369"/>
      <c r="D319" s="369"/>
      <c r="E319" s="286"/>
      <c r="F319" s="286"/>
      <c r="G319" s="286"/>
      <c r="H319" s="286"/>
      <c r="I319" s="286"/>
      <c r="J319" s="286"/>
      <c r="K319" s="286"/>
      <c r="L319" s="286"/>
      <c r="M319" s="286"/>
      <c r="N319" s="286"/>
      <c r="O319" s="286"/>
      <c r="P319" s="286"/>
      <c r="Q319" s="286"/>
      <c r="R319" s="286"/>
      <c r="S319" s="286"/>
      <c r="T319" s="286"/>
      <c r="U319" s="286"/>
      <c r="V319" s="286"/>
      <c r="W319" s="286"/>
      <c r="X319" s="286"/>
      <c r="Y319" s="286"/>
      <c r="Z319" s="286"/>
      <c r="AA319" s="286"/>
      <c r="AB319" s="286"/>
      <c r="AC319" s="286"/>
      <c r="AD319" s="286"/>
      <c r="AF319" s="286"/>
      <c r="AG319" s="286"/>
    </row>
    <row r="320" spans="2:33" x14ac:dyDescent="0.25">
      <c r="B320" s="368"/>
      <c r="C320" s="369"/>
      <c r="D320" s="369"/>
      <c r="E320" s="286"/>
      <c r="F320" s="286"/>
      <c r="G320" s="286"/>
      <c r="H320" s="286"/>
      <c r="I320" s="286"/>
      <c r="J320" s="286"/>
      <c r="K320" s="286"/>
      <c r="L320" s="286"/>
      <c r="M320" s="286"/>
      <c r="N320" s="286"/>
      <c r="O320" s="286"/>
      <c r="P320" s="286"/>
      <c r="Q320" s="286"/>
      <c r="R320" s="286"/>
      <c r="S320" s="286"/>
      <c r="T320" s="286"/>
      <c r="U320" s="286"/>
      <c r="V320" s="286"/>
      <c r="W320" s="286"/>
      <c r="X320" s="286"/>
      <c r="Y320" s="286"/>
      <c r="Z320" s="286"/>
      <c r="AA320" s="286"/>
      <c r="AB320" s="286"/>
      <c r="AC320" s="286"/>
      <c r="AD320" s="286"/>
      <c r="AF320" s="286"/>
      <c r="AG320" s="286"/>
    </row>
    <row r="321" spans="2:33" x14ac:dyDescent="0.25">
      <c r="B321" s="368"/>
      <c r="C321" s="369"/>
      <c r="D321" s="369"/>
      <c r="E321" s="286"/>
      <c r="F321" s="286"/>
      <c r="G321" s="286"/>
      <c r="H321" s="286"/>
      <c r="I321" s="286"/>
      <c r="J321" s="286"/>
      <c r="K321" s="286"/>
      <c r="L321" s="286"/>
      <c r="M321" s="286"/>
      <c r="N321" s="286"/>
      <c r="O321" s="286"/>
      <c r="P321" s="286"/>
      <c r="Q321" s="286"/>
      <c r="R321" s="286"/>
      <c r="S321" s="286"/>
      <c r="T321" s="286"/>
      <c r="U321" s="286"/>
      <c r="V321" s="286"/>
      <c r="W321" s="286"/>
      <c r="X321" s="286"/>
      <c r="Y321" s="286"/>
      <c r="Z321" s="286"/>
      <c r="AA321" s="286"/>
      <c r="AB321" s="286"/>
      <c r="AC321" s="286"/>
      <c r="AD321" s="286"/>
      <c r="AF321" s="286"/>
      <c r="AG321" s="286"/>
    </row>
    <row r="322" spans="2:33" x14ac:dyDescent="0.25">
      <c r="B322" s="368"/>
      <c r="C322" s="369"/>
      <c r="D322" s="369"/>
      <c r="E322" s="286"/>
      <c r="F322" s="286"/>
      <c r="G322" s="286"/>
      <c r="H322" s="286"/>
      <c r="I322" s="286"/>
      <c r="J322" s="286"/>
      <c r="K322" s="286"/>
      <c r="L322" s="286"/>
      <c r="M322" s="286"/>
      <c r="N322" s="286"/>
      <c r="O322" s="286"/>
      <c r="P322" s="286"/>
      <c r="Q322" s="286"/>
      <c r="R322" s="286"/>
      <c r="S322" s="286"/>
      <c r="T322" s="286"/>
      <c r="U322" s="286"/>
      <c r="V322" s="286"/>
      <c r="W322" s="286"/>
      <c r="X322" s="286"/>
      <c r="Y322" s="286"/>
      <c r="Z322" s="286"/>
      <c r="AA322" s="286"/>
      <c r="AB322" s="286"/>
      <c r="AC322" s="286"/>
      <c r="AD322" s="286"/>
      <c r="AF322" s="286"/>
      <c r="AG322" s="286"/>
    </row>
    <row r="323" spans="2:33" x14ac:dyDescent="0.25">
      <c r="B323" s="368"/>
      <c r="C323" s="369"/>
      <c r="D323" s="369"/>
      <c r="E323" s="286"/>
      <c r="F323" s="286"/>
      <c r="G323" s="286"/>
      <c r="H323" s="286"/>
      <c r="I323" s="286"/>
      <c r="J323" s="286"/>
      <c r="K323" s="286"/>
      <c r="L323" s="286"/>
      <c r="M323" s="286"/>
      <c r="N323" s="286"/>
      <c r="O323" s="286"/>
      <c r="P323" s="286"/>
      <c r="Q323" s="286"/>
      <c r="R323" s="286"/>
      <c r="S323" s="286"/>
      <c r="T323" s="286"/>
      <c r="U323" s="286"/>
      <c r="V323" s="286"/>
      <c r="W323" s="286"/>
      <c r="X323" s="286"/>
      <c r="Y323" s="286"/>
      <c r="Z323" s="286"/>
      <c r="AA323" s="286"/>
      <c r="AB323" s="286"/>
      <c r="AC323" s="286"/>
      <c r="AD323" s="286"/>
      <c r="AF323" s="286"/>
      <c r="AG323" s="286"/>
    </row>
    <row r="324" spans="2:33" x14ac:dyDescent="0.25">
      <c r="B324" s="368"/>
      <c r="C324" s="369"/>
      <c r="D324" s="369"/>
      <c r="E324" s="286"/>
      <c r="F324" s="286"/>
      <c r="G324" s="286"/>
      <c r="H324" s="286"/>
      <c r="I324" s="286"/>
      <c r="J324" s="286"/>
      <c r="K324" s="286"/>
      <c r="L324" s="286"/>
      <c r="M324" s="286"/>
      <c r="N324" s="286"/>
      <c r="O324" s="286"/>
      <c r="P324" s="286"/>
      <c r="Q324" s="286"/>
      <c r="R324" s="286"/>
      <c r="S324" s="286"/>
      <c r="T324" s="286"/>
      <c r="U324" s="286"/>
      <c r="V324" s="286"/>
      <c r="W324" s="286"/>
      <c r="X324" s="286"/>
      <c r="Y324" s="286"/>
      <c r="Z324" s="286"/>
      <c r="AA324" s="286"/>
      <c r="AB324" s="286"/>
      <c r="AC324" s="286"/>
      <c r="AD324" s="286"/>
      <c r="AF324" s="286"/>
      <c r="AG324" s="286"/>
    </row>
    <row r="325" spans="2:33" x14ac:dyDescent="0.25">
      <c r="B325" s="368"/>
      <c r="C325" s="369"/>
      <c r="D325" s="369"/>
      <c r="E325" s="286"/>
      <c r="F325" s="286"/>
      <c r="G325" s="286"/>
      <c r="H325" s="286"/>
      <c r="I325" s="286"/>
      <c r="J325" s="286"/>
      <c r="K325" s="286"/>
      <c r="L325" s="286"/>
      <c r="M325" s="286"/>
      <c r="N325" s="286"/>
      <c r="O325" s="286"/>
      <c r="P325" s="286"/>
      <c r="Q325" s="286"/>
      <c r="R325" s="286"/>
      <c r="S325" s="286"/>
      <c r="T325" s="286"/>
      <c r="U325" s="286"/>
      <c r="V325" s="286"/>
      <c r="W325" s="286"/>
      <c r="X325" s="286"/>
      <c r="Y325" s="286"/>
      <c r="Z325" s="286"/>
      <c r="AA325" s="286"/>
      <c r="AB325" s="286"/>
      <c r="AC325" s="286"/>
      <c r="AD325" s="286"/>
      <c r="AF325" s="286"/>
      <c r="AG325" s="286"/>
    </row>
    <row r="326" spans="2:33" x14ac:dyDescent="0.25">
      <c r="B326" s="368"/>
      <c r="C326" s="369"/>
      <c r="D326" s="369"/>
      <c r="E326" s="286"/>
      <c r="F326" s="286"/>
      <c r="G326" s="286"/>
      <c r="H326" s="286"/>
      <c r="I326" s="286"/>
      <c r="J326" s="286"/>
      <c r="K326" s="286"/>
      <c r="L326" s="286"/>
      <c r="M326" s="286"/>
      <c r="N326" s="286"/>
      <c r="O326" s="286"/>
      <c r="P326" s="286"/>
      <c r="Q326" s="286"/>
      <c r="R326" s="286"/>
      <c r="S326" s="286"/>
      <c r="T326" s="286"/>
      <c r="U326" s="286"/>
      <c r="V326" s="286"/>
      <c r="W326" s="286"/>
      <c r="X326" s="286"/>
      <c r="Y326" s="286"/>
      <c r="Z326" s="286"/>
      <c r="AA326" s="286"/>
      <c r="AB326" s="286"/>
      <c r="AC326" s="286"/>
      <c r="AD326" s="286"/>
      <c r="AF326" s="286"/>
      <c r="AG326" s="286"/>
    </row>
    <row r="327" spans="2:33" x14ac:dyDescent="0.25">
      <c r="B327" s="368"/>
      <c r="C327" s="369"/>
      <c r="D327" s="369"/>
      <c r="E327" s="286"/>
      <c r="F327" s="286"/>
      <c r="G327" s="286"/>
      <c r="H327" s="286"/>
      <c r="I327" s="286"/>
      <c r="J327" s="286"/>
      <c r="K327" s="286"/>
      <c r="L327" s="286"/>
      <c r="M327" s="286"/>
      <c r="N327" s="286"/>
      <c r="O327" s="286"/>
      <c r="P327" s="286"/>
      <c r="Q327" s="286"/>
      <c r="R327" s="286"/>
      <c r="S327" s="286"/>
      <c r="T327" s="286"/>
      <c r="U327" s="286"/>
      <c r="V327" s="286"/>
      <c r="W327" s="286"/>
      <c r="X327" s="286"/>
      <c r="Y327" s="286"/>
      <c r="Z327" s="286"/>
      <c r="AA327" s="286"/>
      <c r="AB327" s="286"/>
      <c r="AC327" s="286"/>
      <c r="AD327" s="286"/>
      <c r="AF327" s="286"/>
      <c r="AG327" s="286"/>
    </row>
    <row r="328" spans="2:33" x14ac:dyDescent="0.25">
      <c r="B328" s="368"/>
      <c r="C328" s="369"/>
      <c r="D328" s="369"/>
      <c r="E328" s="286"/>
      <c r="F328" s="286"/>
      <c r="G328" s="286"/>
      <c r="H328" s="286"/>
      <c r="I328" s="286"/>
      <c r="J328" s="286"/>
      <c r="K328" s="286"/>
      <c r="L328" s="286"/>
      <c r="M328" s="286"/>
      <c r="N328" s="286"/>
      <c r="O328" s="286"/>
      <c r="P328" s="286"/>
      <c r="Q328" s="286"/>
      <c r="R328" s="286"/>
      <c r="S328" s="286"/>
      <c r="T328" s="286"/>
      <c r="U328" s="286"/>
      <c r="V328" s="286"/>
      <c r="W328" s="286"/>
      <c r="X328" s="286"/>
      <c r="Y328" s="286"/>
      <c r="Z328" s="286"/>
      <c r="AA328" s="286"/>
      <c r="AB328" s="286"/>
      <c r="AC328" s="286"/>
      <c r="AD328" s="286"/>
      <c r="AF328" s="286"/>
      <c r="AG328" s="286"/>
    </row>
    <row r="329" spans="2:33" x14ac:dyDescent="0.25">
      <c r="B329" s="368"/>
      <c r="C329" s="369"/>
      <c r="D329" s="369"/>
      <c r="E329" s="286"/>
      <c r="F329" s="286"/>
      <c r="G329" s="286"/>
      <c r="H329" s="286"/>
      <c r="I329" s="286"/>
      <c r="J329" s="286"/>
      <c r="K329" s="286"/>
      <c r="L329" s="286"/>
      <c r="M329" s="286"/>
      <c r="N329" s="286"/>
      <c r="O329" s="286"/>
      <c r="P329" s="286"/>
      <c r="Q329" s="286"/>
      <c r="R329" s="286"/>
      <c r="S329" s="286"/>
      <c r="T329" s="286"/>
      <c r="U329" s="286"/>
      <c r="V329" s="286"/>
      <c r="W329" s="286"/>
      <c r="X329" s="286"/>
      <c r="Y329" s="286"/>
      <c r="Z329" s="286"/>
      <c r="AA329" s="286"/>
      <c r="AB329" s="286"/>
      <c r="AC329" s="286"/>
      <c r="AD329" s="286"/>
      <c r="AF329" s="286"/>
      <c r="AG329" s="286"/>
    </row>
    <row r="330" spans="2:33" x14ac:dyDescent="0.25">
      <c r="B330" s="368"/>
      <c r="C330" s="369"/>
      <c r="D330" s="369"/>
      <c r="E330" s="286"/>
      <c r="F330" s="286"/>
      <c r="G330" s="286"/>
      <c r="H330" s="286"/>
      <c r="I330" s="286"/>
      <c r="J330" s="286"/>
      <c r="K330" s="286"/>
      <c r="L330" s="286"/>
      <c r="M330" s="286"/>
      <c r="N330" s="286"/>
      <c r="O330" s="286"/>
      <c r="P330" s="286"/>
      <c r="Q330" s="286"/>
      <c r="R330" s="286"/>
      <c r="S330" s="286"/>
      <c r="T330" s="286"/>
      <c r="U330" s="286"/>
      <c r="V330" s="286"/>
      <c r="W330" s="286"/>
      <c r="X330" s="286"/>
      <c r="Y330" s="286"/>
      <c r="Z330" s="286"/>
      <c r="AA330" s="286"/>
      <c r="AB330" s="286"/>
      <c r="AC330" s="286"/>
      <c r="AD330" s="286"/>
      <c r="AF330" s="286"/>
      <c r="AG330" s="286"/>
    </row>
    <row r="331" spans="2:33" x14ac:dyDescent="0.25">
      <c r="B331" s="368"/>
      <c r="C331" s="369"/>
      <c r="D331" s="369"/>
      <c r="E331" s="286"/>
      <c r="F331" s="286"/>
      <c r="G331" s="286"/>
      <c r="H331" s="286"/>
      <c r="I331" s="286"/>
      <c r="J331" s="286"/>
      <c r="K331" s="286"/>
      <c r="L331" s="286"/>
      <c r="M331" s="286"/>
      <c r="N331" s="286"/>
      <c r="O331" s="286"/>
      <c r="P331" s="286"/>
      <c r="Q331" s="286"/>
      <c r="R331" s="286"/>
      <c r="S331" s="286"/>
      <c r="T331" s="286"/>
      <c r="U331" s="286"/>
      <c r="V331" s="286"/>
      <c r="W331" s="286"/>
      <c r="X331" s="286"/>
      <c r="Y331" s="286"/>
      <c r="Z331" s="286"/>
      <c r="AA331" s="286"/>
      <c r="AB331" s="286"/>
      <c r="AC331" s="286"/>
      <c r="AD331" s="286"/>
      <c r="AF331" s="286"/>
      <c r="AG331" s="286"/>
    </row>
    <row r="332" spans="2:33" x14ac:dyDescent="0.25">
      <c r="B332" s="368"/>
      <c r="C332" s="369"/>
      <c r="D332" s="369"/>
      <c r="E332" s="286"/>
      <c r="F332" s="286"/>
      <c r="G332" s="286"/>
      <c r="H332" s="286"/>
      <c r="I332" s="286"/>
      <c r="J332" s="286"/>
      <c r="K332" s="286"/>
      <c r="L332" s="286"/>
      <c r="M332" s="286"/>
      <c r="N332" s="286"/>
      <c r="O332" s="286"/>
      <c r="P332" s="286"/>
      <c r="Q332" s="286"/>
      <c r="R332" s="286"/>
      <c r="S332" s="286"/>
      <c r="T332" s="286"/>
      <c r="U332" s="286"/>
      <c r="V332" s="286"/>
      <c r="W332" s="286"/>
      <c r="X332" s="286"/>
      <c r="Y332" s="286"/>
      <c r="Z332" s="286"/>
      <c r="AA332" s="286"/>
      <c r="AB332" s="286"/>
      <c r="AC332" s="286"/>
      <c r="AD332" s="286"/>
      <c r="AF332" s="286"/>
      <c r="AG332" s="286"/>
    </row>
    <row r="333" spans="2:33" x14ac:dyDescent="0.25">
      <c r="B333" s="368"/>
      <c r="C333" s="369"/>
      <c r="D333" s="369"/>
      <c r="E333" s="286"/>
      <c r="F333" s="286"/>
      <c r="G333" s="286"/>
      <c r="H333" s="286"/>
      <c r="I333" s="286"/>
      <c r="J333" s="286"/>
      <c r="K333" s="286"/>
      <c r="L333" s="286"/>
      <c r="M333" s="286"/>
      <c r="N333" s="286"/>
      <c r="O333" s="286"/>
      <c r="P333" s="286"/>
      <c r="Q333" s="286"/>
      <c r="R333" s="286"/>
      <c r="S333" s="286"/>
      <c r="T333" s="286"/>
      <c r="U333" s="286"/>
      <c r="V333" s="286"/>
      <c r="W333" s="286"/>
      <c r="X333" s="286"/>
      <c r="Y333" s="286"/>
      <c r="Z333" s="286"/>
      <c r="AA333" s="286"/>
      <c r="AB333" s="286"/>
      <c r="AC333" s="286"/>
      <c r="AD333" s="286"/>
      <c r="AF333" s="286"/>
      <c r="AG333" s="286"/>
    </row>
    <row r="334" spans="2:33" x14ac:dyDescent="0.25">
      <c r="B334" s="368"/>
      <c r="C334" s="369"/>
      <c r="D334" s="369"/>
      <c r="E334" s="286"/>
      <c r="F334" s="286"/>
      <c r="G334" s="286"/>
      <c r="H334" s="286"/>
      <c r="I334" s="286"/>
      <c r="J334" s="286"/>
      <c r="K334" s="286"/>
      <c r="L334" s="286"/>
      <c r="M334" s="286"/>
      <c r="N334" s="286"/>
      <c r="O334" s="286"/>
      <c r="P334" s="286"/>
      <c r="Q334" s="286"/>
      <c r="R334" s="286"/>
      <c r="S334" s="286"/>
      <c r="T334" s="286"/>
      <c r="U334" s="286"/>
      <c r="V334" s="286"/>
      <c r="W334" s="286"/>
      <c r="X334" s="286"/>
      <c r="Y334" s="286"/>
      <c r="Z334" s="286"/>
      <c r="AA334" s="286"/>
      <c r="AB334" s="286"/>
      <c r="AC334" s="286"/>
      <c r="AD334" s="286"/>
      <c r="AF334" s="286"/>
      <c r="AG334" s="286"/>
    </row>
    <row r="335" spans="2:33" x14ac:dyDescent="0.25">
      <c r="B335" s="368"/>
      <c r="C335" s="369"/>
      <c r="D335" s="369"/>
      <c r="E335" s="286"/>
      <c r="F335" s="286"/>
      <c r="G335" s="286"/>
      <c r="H335" s="286"/>
      <c r="I335" s="286"/>
      <c r="J335" s="286"/>
      <c r="K335" s="286"/>
      <c r="L335" s="286"/>
      <c r="M335" s="286"/>
      <c r="N335" s="286"/>
      <c r="O335" s="286"/>
      <c r="P335" s="286"/>
      <c r="Q335" s="286"/>
      <c r="R335" s="286"/>
      <c r="S335" s="286"/>
      <c r="T335" s="286"/>
      <c r="U335" s="286"/>
      <c r="V335" s="286"/>
      <c r="W335" s="286"/>
      <c r="X335" s="286"/>
      <c r="Y335" s="286"/>
      <c r="Z335" s="286"/>
      <c r="AA335" s="286"/>
      <c r="AB335" s="286"/>
      <c r="AC335" s="286"/>
      <c r="AD335" s="286"/>
      <c r="AF335" s="286"/>
      <c r="AG335" s="286"/>
    </row>
    <row r="336" spans="2:33" x14ac:dyDescent="0.25">
      <c r="B336" s="368"/>
      <c r="C336" s="369"/>
      <c r="D336" s="369"/>
      <c r="E336" s="286"/>
      <c r="F336" s="286"/>
      <c r="G336" s="286"/>
      <c r="H336" s="286"/>
      <c r="I336" s="286"/>
      <c r="J336" s="286"/>
      <c r="K336" s="286"/>
      <c r="L336" s="286"/>
      <c r="M336" s="286"/>
      <c r="N336" s="286"/>
      <c r="O336" s="286"/>
      <c r="P336" s="286"/>
      <c r="Q336" s="286"/>
      <c r="R336" s="286"/>
      <c r="S336" s="286"/>
      <c r="T336" s="286"/>
      <c r="U336" s="286"/>
      <c r="V336" s="286"/>
      <c r="W336" s="286"/>
      <c r="X336" s="286"/>
      <c r="Y336" s="286"/>
      <c r="Z336" s="286"/>
      <c r="AA336" s="286"/>
      <c r="AB336" s="286"/>
      <c r="AC336" s="286"/>
      <c r="AD336" s="286"/>
      <c r="AF336" s="286"/>
      <c r="AG336" s="286"/>
    </row>
    <row r="337" spans="2:33" x14ac:dyDescent="0.25">
      <c r="B337" s="368"/>
      <c r="C337" s="369"/>
      <c r="D337" s="369"/>
      <c r="E337" s="286"/>
      <c r="F337" s="286"/>
      <c r="G337" s="286"/>
      <c r="H337" s="286"/>
      <c r="I337" s="286"/>
      <c r="J337" s="286"/>
      <c r="K337" s="286"/>
      <c r="L337" s="286"/>
      <c r="M337" s="286"/>
      <c r="N337" s="286"/>
      <c r="O337" s="286"/>
      <c r="P337" s="286"/>
      <c r="Q337" s="286"/>
      <c r="R337" s="286"/>
      <c r="S337" s="286"/>
      <c r="T337" s="286"/>
      <c r="U337" s="286"/>
      <c r="V337" s="286"/>
      <c r="W337" s="286"/>
      <c r="X337" s="286"/>
      <c r="Y337" s="286"/>
      <c r="Z337" s="286"/>
      <c r="AA337" s="286"/>
      <c r="AB337" s="286"/>
      <c r="AC337" s="286"/>
      <c r="AD337" s="286"/>
      <c r="AF337" s="286"/>
      <c r="AG337" s="286"/>
    </row>
    <row r="338" spans="2:33" x14ac:dyDescent="0.25">
      <c r="B338" s="368"/>
      <c r="C338" s="369"/>
      <c r="D338" s="369"/>
      <c r="E338" s="286"/>
      <c r="F338" s="286"/>
      <c r="G338" s="286"/>
      <c r="H338" s="286"/>
      <c r="I338" s="286"/>
      <c r="J338" s="286"/>
      <c r="K338" s="286"/>
      <c r="L338" s="286"/>
      <c r="M338" s="286"/>
      <c r="N338" s="286"/>
      <c r="O338" s="286"/>
      <c r="P338" s="286"/>
      <c r="Q338" s="286"/>
      <c r="R338" s="286"/>
      <c r="S338" s="286"/>
      <c r="T338" s="286"/>
      <c r="U338" s="286"/>
      <c r="V338" s="286"/>
      <c r="W338" s="286"/>
      <c r="X338" s="286"/>
      <c r="Y338" s="286"/>
      <c r="Z338" s="286"/>
      <c r="AA338" s="286"/>
      <c r="AB338" s="286"/>
      <c r="AC338" s="286"/>
      <c r="AD338" s="286"/>
      <c r="AF338" s="286"/>
      <c r="AG338" s="286"/>
    </row>
    <row r="339" spans="2:33" x14ac:dyDescent="0.25">
      <c r="B339" s="368"/>
      <c r="C339" s="369"/>
      <c r="D339" s="369"/>
      <c r="E339" s="286"/>
      <c r="F339" s="286"/>
      <c r="G339" s="286"/>
      <c r="H339" s="286"/>
      <c r="I339" s="286"/>
      <c r="J339" s="286"/>
      <c r="K339" s="286"/>
      <c r="L339" s="286"/>
      <c r="M339" s="286"/>
      <c r="N339" s="286"/>
      <c r="O339" s="286"/>
      <c r="P339" s="286"/>
      <c r="Q339" s="286"/>
      <c r="R339" s="286"/>
      <c r="S339" s="286"/>
      <c r="T339" s="286"/>
      <c r="U339" s="286"/>
      <c r="V339" s="286"/>
      <c r="W339" s="286"/>
      <c r="X339" s="286"/>
      <c r="Y339" s="286"/>
      <c r="Z339" s="286"/>
      <c r="AA339" s="286"/>
      <c r="AB339" s="286"/>
      <c r="AC339" s="286"/>
      <c r="AD339" s="286"/>
      <c r="AF339" s="286"/>
      <c r="AG339" s="286"/>
    </row>
    <row r="340" spans="2:33" x14ac:dyDescent="0.25">
      <c r="B340" s="368"/>
      <c r="C340" s="369"/>
      <c r="D340" s="369"/>
      <c r="E340" s="286"/>
      <c r="F340" s="286"/>
      <c r="G340" s="286"/>
      <c r="H340" s="286"/>
      <c r="I340" s="286"/>
      <c r="J340" s="286"/>
      <c r="K340" s="286"/>
      <c r="L340" s="286"/>
      <c r="M340" s="286"/>
      <c r="N340" s="286"/>
      <c r="O340" s="286"/>
      <c r="P340" s="286"/>
      <c r="Q340" s="286"/>
      <c r="R340" s="286"/>
      <c r="S340" s="286"/>
      <c r="T340" s="286"/>
      <c r="U340" s="286"/>
      <c r="V340" s="286"/>
      <c r="W340" s="286"/>
      <c r="X340" s="286"/>
      <c r="Y340" s="286"/>
      <c r="Z340" s="286"/>
      <c r="AA340" s="286"/>
      <c r="AB340" s="286"/>
      <c r="AC340" s="286"/>
      <c r="AD340" s="286"/>
      <c r="AF340" s="286"/>
      <c r="AG340" s="286"/>
    </row>
    <row r="341" spans="2:33" x14ac:dyDescent="0.25">
      <c r="B341" s="368"/>
      <c r="C341" s="369"/>
      <c r="D341" s="369"/>
      <c r="E341" s="286"/>
      <c r="F341" s="286"/>
      <c r="G341" s="286"/>
      <c r="H341" s="286"/>
      <c r="I341" s="286"/>
      <c r="J341" s="286"/>
      <c r="K341" s="286"/>
      <c r="L341" s="286"/>
      <c r="M341" s="286"/>
      <c r="N341" s="286"/>
      <c r="O341" s="286"/>
      <c r="P341" s="286"/>
      <c r="Q341" s="286"/>
      <c r="R341" s="286"/>
      <c r="S341" s="286"/>
      <c r="T341" s="286"/>
      <c r="U341" s="286"/>
      <c r="V341" s="286"/>
      <c r="W341" s="286"/>
      <c r="X341" s="286"/>
      <c r="Y341" s="286"/>
      <c r="Z341" s="286"/>
      <c r="AA341" s="286"/>
      <c r="AB341" s="286"/>
      <c r="AC341" s="286"/>
      <c r="AD341" s="286"/>
      <c r="AF341" s="286"/>
      <c r="AG341" s="286"/>
    </row>
    <row r="342" spans="2:33" x14ac:dyDescent="0.25">
      <c r="B342" s="368"/>
      <c r="C342" s="369"/>
      <c r="D342" s="369"/>
      <c r="E342" s="286"/>
      <c r="F342" s="286"/>
      <c r="G342" s="286"/>
      <c r="H342" s="286"/>
      <c r="I342" s="286"/>
      <c r="J342" s="286"/>
      <c r="K342" s="286"/>
      <c r="L342" s="286"/>
      <c r="M342" s="286"/>
      <c r="N342" s="286"/>
      <c r="O342" s="286"/>
      <c r="P342" s="286"/>
      <c r="Q342" s="286"/>
      <c r="R342" s="286"/>
      <c r="S342" s="286"/>
      <c r="T342" s="286"/>
      <c r="U342" s="286"/>
      <c r="V342" s="286"/>
      <c r="W342" s="286"/>
      <c r="X342" s="286"/>
      <c r="Y342" s="286"/>
      <c r="Z342" s="286"/>
      <c r="AA342" s="286"/>
      <c r="AB342" s="286"/>
      <c r="AC342" s="286"/>
      <c r="AD342" s="286"/>
      <c r="AF342" s="286"/>
      <c r="AG342" s="286"/>
    </row>
    <row r="343" spans="2:33" x14ac:dyDescent="0.25">
      <c r="B343" s="368"/>
      <c r="C343" s="369"/>
      <c r="D343" s="369"/>
      <c r="E343" s="286"/>
      <c r="F343" s="286"/>
      <c r="G343" s="286"/>
      <c r="H343" s="286"/>
      <c r="I343" s="286"/>
      <c r="J343" s="286"/>
      <c r="K343" s="286"/>
      <c r="L343" s="286"/>
      <c r="M343" s="286"/>
      <c r="N343" s="286"/>
      <c r="O343" s="286"/>
      <c r="P343" s="286"/>
      <c r="Q343" s="286"/>
      <c r="R343" s="286"/>
      <c r="S343" s="286"/>
      <c r="T343" s="286"/>
      <c r="U343" s="286"/>
      <c r="V343" s="286"/>
      <c r="W343" s="286"/>
      <c r="X343" s="286"/>
      <c r="Y343" s="286"/>
      <c r="Z343" s="286"/>
      <c r="AA343" s="286"/>
      <c r="AB343" s="286"/>
      <c r="AC343" s="286"/>
      <c r="AD343" s="286"/>
      <c r="AF343" s="286"/>
      <c r="AG343" s="286"/>
    </row>
    <row r="344" spans="2:33" x14ac:dyDescent="0.25">
      <c r="B344" s="368"/>
      <c r="C344" s="369"/>
      <c r="D344" s="369"/>
      <c r="E344" s="286"/>
      <c r="F344" s="286"/>
      <c r="G344" s="286"/>
      <c r="H344" s="286"/>
      <c r="I344" s="286"/>
      <c r="J344" s="286"/>
      <c r="K344" s="286"/>
      <c r="L344" s="286"/>
      <c r="M344" s="286"/>
      <c r="N344" s="286"/>
      <c r="O344" s="286"/>
      <c r="P344" s="286"/>
      <c r="Q344" s="286"/>
      <c r="R344" s="286"/>
      <c r="S344" s="286"/>
      <c r="T344" s="286"/>
      <c r="U344" s="286"/>
      <c r="V344" s="286"/>
      <c r="W344" s="286"/>
      <c r="X344" s="286"/>
      <c r="Y344" s="286"/>
      <c r="Z344" s="286"/>
      <c r="AA344" s="286"/>
      <c r="AB344" s="286"/>
      <c r="AC344" s="286"/>
      <c r="AD344" s="286"/>
      <c r="AF344" s="286"/>
      <c r="AG344" s="286"/>
    </row>
    <row r="345" spans="2:33" x14ac:dyDescent="0.25">
      <c r="B345" s="368"/>
      <c r="C345" s="369"/>
      <c r="D345" s="369"/>
      <c r="E345" s="286"/>
      <c r="F345" s="286"/>
      <c r="G345" s="286"/>
      <c r="H345" s="286"/>
      <c r="I345" s="286"/>
      <c r="J345" s="286"/>
      <c r="K345" s="286"/>
      <c r="L345" s="286"/>
      <c r="M345" s="286"/>
      <c r="N345" s="286"/>
      <c r="O345" s="286"/>
      <c r="P345" s="286"/>
      <c r="Q345" s="286"/>
      <c r="R345" s="286"/>
      <c r="S345" s="286"/>
      <c r="T345" s="286"/>
      <c r="U345" s="286"/>
      <c r="V345" s="286"/>
      <c r="W345" s="286"/>
      <c r="X345" s="286"/>
      <c r="Y345" s="286"/>
      <c r="Z345" s="286"/>
      <c r="AA345" s="286"/>
      <c r="AB345" s="286"/>
      <c r="AC345" s="286"/>
      <c r="AD345" s="286"/>
      <c r="AF345" s="286"/>
      <c r="AG345" s="286"/>
    </row>
    <row r="346" spans="2:33" x14ac:dyDescent="0.25">
      <c r="B346" s="368"/>
      <c r="C346" s="369"/>
      <c r="D346" s="369"/>
      <c r="E346" s="286"/>
      <c r="F346" s="286"/>
      <c r="G346" s="286"/>
      <c r="H346" s="286"/>
      <c r="I346" s="286"/>
      <c r="J346" s="286"/>
      <c r="K346" s="286"/>
      <c r="L346" s="286"/>
      <c r="M346" s="286"/>
      <c r="N346" s="286"/>
      <c r="O346" s="286"/>
      <c r="P346" s="286"/>
      <c r="Q346" s="286"/>
      <c r="R346" s="286"/>
      <c r="S346" s="286"/>
      <c r="T346" s="286"/>
      <c r="U346" s="286"/>
      <c r="V346" s="286"/>
      <c r="W346" s="286"/>
      <c r="X346" s="286"/>
      <c r="Y346" s="286"/>
      <c r="Z346" s="286"/>
      <c r="AA346" s="286"/>
      <c r="AB346" s="286"/>
      <c r="AC346" s="286"/>
      <c r="AD346" s="286"/>
      <c r="AF346" s="286"/>
      <c r="AG346" s="286"/>
    </row>
    <row r="347" spans="2:33" x14ac:dyDescent="0.25">
      <c r="B347" s="368"/>
      <c r="C347" s="369"/>
      <c r="D347" s="369"/>
      <c r="E347" s="286"/>
      <c r="F347" s="286"/>
      <c r="G347" s="286"/>
      <c r="H347" s="286"/>
      <c r="I347" s="286"/>
      <c r="J347" s="286"/>
      <c r="K347" s="286"/>
      <c r="L347" s="286"/>
      <c r="M347" s="286"/>
      <c r="N347" s="286"/>
      <c r="O347" s="286"/>
      <c r="P347" s="286"/>
      <c r="Q347" s="286"/>
      <c r="R347" s="286"/>
      <c r="S347" s="286"/>
      <c r="T347" s="286"/>
      <c r="U347" s="286"/>
      <c r="V347" s="286"/>
      <c r="W347" s="286"/>
      <c r="X347" s="286"/>
      <c r="Y347" s="286"/>
      <c r="Z347" s="286"/>
      <c r="AA347" s="286"/>
      <c r="AB347" s="286"/>
      <c r="AC347" s="286"/>
      <c r="AD347" s="286"/>
      <c r="AF347" s="286"/>
      <c r="AG347" s="286"/>
    </row>
    <row r="348" spans="2:33" x14ac:dyDescent="0.25">
      <c r="B348" s="368"/>
      <c r="C348" s="369"/>
      <c r="D348" s="369"/>
      <c r="E348" s="286"/>
      <c r="F348" s="286"/>
      <c r="G348" s="286"/>
      <c r="H348" s="286"/>
      <c r="I348" s="286"/>
      <c r="J348" s="286"/>
      <c r="K348" s="286"/>
      <c r="L348" s="286"/>
      <c r="M348" s="286"/>
      <c r="N348" s="286"/>
      <c r="O348" s="286"/>
      <c r="P348" s="286"/>
      <c r="Q348" s="286"/>
      <c r="R348" s="286"/>
      <c r="S348" s="286"/>
      <c r="T348" s="286"/>
      <c r="U348" s="286"/>
      <c r="V348" s="286"/>
      <c r="W348" s="286"/>
      <c r="X348" s="286"/>
      <c r="Y348" s="286"/>
      <c r="Z348" s="286"/>
      <c r="AA348" s="286"/>
      <c r="AB348" s="286"/>
      <c r="AC348" s="286"/>
      <c r="AD348" s="286"/>
      <c r="AF348" s="286"/>
      <c r="AG348" s="286"/>
    </row>
    <row r="349" spans="2:33" x14ac:dyDescent="0.25">
      <c r="B349" s="368"/>
      <c r="C349" s="369"/>
      <c r="D349" s="369"/>
      <c r="E349" s="286"/>
      <c r="F349" s="286"/>
      <c r="G349" s="286"/>
      <c r="H349" s="286"/>
      <c r="I349" s="286"/>
      <c r="J349" s="286"/>
      <c r="K349" s="286"/>
      <c r="L349" s="286"/>
      <c r="M349" s="286"/>
      <c r="N349" s="286"/>
      <c r="O349" s="286"/>
      <c r="P349" s="286"/>
      <c r="Q349" s="286"/>
      <c r="R349" s="286"/>
      <c r="S349" s="286"/>
      <c r="T349" s="286"/>
      <c r="U349" s="286"/>
      <c r="V349" s="286"/>
      <c r="W349" s="286"/>
      <c r="X349" s="286"/>
      <c r="Y349" s="286"/>
      <c r="Z349" s="286"/>
      <c r="AA349" s="286"/>
      <c r="AB349" s="286"/>
      <c r="AC349" s="286"/>
      <c r="AD349" s="286"/>
      <c r="AF349" s="286"/>
      <c r="AG349" s="286"/>
    </row>
    <row r="350" spans="2:33" x14ac:dyDescent="0.25">
      <c r="B350" s="368"/>
      <c r="C350" s="369"/>
      <c r="D350" s="369"/>
      <c r="E350" s="286"/>
      <c r="F350" s="286"/>
      <c r="G350" s="286"/>
      <c r="H350" s="286"/>
      <c r="I350" s="286"/>
      <c r="J350" s="286"/>
      <c r="K350" s="286"/>
      <c r="L350" s="286"/>
      <c r="M350" s="286"/>
      <c r="N350" s="286"/>
      <c r="O350" s="286"/>
      <c r="P350" s="286"/>
      <c r="Q350" s="286"/>
      <c r="R350" s="286"/>
      <c r="S350" s="286"/>
      <c r="T350" s="286"/>
      <c r="U350" s="286"/>
      <c r="V350" s="286"/>
      <c r="W350" s="286"/>
      <c r="X350" s="286"/>
      <c r="Y350" s="286"/>
      <c r="Z350" s="286"/>
      <c r="AA350" s="286"/>
      <c r="AB350" s="286"/>
      <c r="AC350" s="286"/>
      <c r="AD350" s="286"/>
      <c r="AF350" s="286"/>
      <c r="AG350" s="286"/>
    </row>
    <row r="351" spans="2:33" x14ac:dyDescent="0.25">
      <c r="B351" s="368"/>
      <c r="C351" s="369"/>
      <c r="D351" s="369"/>
      <c r="E351" s="286"/>
      <c r="F351" s="286"/>
      <c r="G351" s="286"/>
      <c r="H351" s="286"/>
      <c r="I351" s="286"/>
      <c r="J351" s="286"/>
      <c r="K351" s="286"/>
      <c r="L351" s="286"/>
      <c r="M351" s="286"/>
      <c r="N351" s="286"/>
      <c r="O351" s="286"/>
      <c r="P351" s="286"/>
      <c r="Q351" s="286"/>
      <c r="R351" s="286"/>
      <c r="S351" s="286"/>
      <c r="T351" s="286"/>
      <c r="U351" s="286"/>
      <c r="V351" s="286"/>
      <c r="W351" s="286"/>
      <c r="X351" s="286"/>
      <c r="Y351" s="286"/>
      <c r="Z351" s="286"/>
      <c r="AA351" s="286"/>
      <c r="AB351" s="286"/>
      <c r="AC351" s="286"/>
      <c r="AD351" s="286"/>
      <c r="AF351" s="286"/>
      <c r="AG351" s="286"/>
    </row>
    <row r="352" spans="2:33" x14ac:dyDescent="0.25">
      <c r="B352" s="368"/>
      <c r="C352" s="369"/>
      <c r="D352" s="369"/>
      <c r="E352" s="286"/>
      <c r="F352" s="286"/>
      <c r="G352" s="286"/>
      <c r="H352" s="286"/>
      <c r="I352" s="286"/>
      <c r="J352" s="286"/>
      <c r="K352" s="286"/>
      <c r="L352" s="286"/>
      <c r="M352" s="286"/>
      <c r="N352" s="286"/>
      <c r="O352" s="286"/>
      <c r="P352" s="286"/>
      <c r="Q352" s="286"/>
      <c r="R352" s="286"/>
      <c r="S352" s="286"/>
      <c r="T352" s="286"/>
      <c r="U352" s="286"/>
      <c r="V352" s="286"/>
      <c r="W352" s="286"/>
      <c r="X352" s="286"/>
      <c r="Y352" s="286"/>
      <c r="Z352" s="286"/>
      <c r="AA352" s="286"/>
      <c r="AB352" s="286"/>
      <c r="AC352" s="286"/>
      <c r="AD352" s="286"/>
      <c r="AF352" s="286"/>
      <c r="AG352" s="286"/>
    </row>
    <row r="353" spans="2:33" x14ac:dyDescent="0.25">
      <c r="B353" s="368"/>
      <c r="C353" s="369"/>
      <c r="D353" s="369"/>
      <c r="E353" s="286"/>
      <c r="F353" s="286"/>
      <c r="G353" s="286"/>
      <c r="H353" s="286"/>
      <c r="I353" s="286"/>
      <c r="J353" s="286"/>
      <c r="K353" s="286"/>
      <c r="L353" s="286"/>
      <c r="M353" s="286"/>
      <c r="N353" s="286"/>
      <c r="O353" s="286"/>
      <c r="P353" s="286"/>
      <c r="Q353" s="286"/>
      <c r="R353" s="286"/>
      <c r="S353" s="286"/>
      <c r="T353" s="286"/>
      <c r="U353" s="286"/>
      <c r="V353" s="286"/>
      <c r="W353" s="286"/>
      <c r="X353" s="286"/>
      <c r="Y353" s="286"/>
      <c r="Z353" s="286"/>
      <c r="AA353" s="286"/>
      <c r="AB353" s="286"/>
      <c r="AC353" s="286"/>
      <c r="AD353" s="286"/>
      <c r="AF353" s="286"/>
      <c r="AG353" s="286"/>
    </row>
    <row r="354" spans="2:33" x14ac:dyDescent="0.25">
      <c r="B354" s="368"/>
      <c r="C354" s="369"/>
      <c r="D354" s="369"/>
      <c r="E354" s="286"/>
      <c r="F354" s="286"/>
      <c r="G354" s="286"/>
      <c r="H354" s="286"/>
      <c r="I354" s="286"/>
      <c r="J354" s="286"/>
      <c r="K354" s="286"/>
      <c r="L354" s="286"/>
      <c r="M354" s="286"/>
      <c r="N354" s="286"/>
      <c r="O354" s="286"/>
      <c r="P354" s="286"/>
      <c r="Q354" s="286"/>
      <c r="R354" s="286"/>
      <c r="S354" s="286"/>
      <c r="T354" s="286"/>
      <c r="U354" s="286"/>
      <c r="V354" s="286"/>
      <c r="W354" s="286"/>
      <c r="X354" s="286"/>
      <c r="Y354" s="286"/>
      <c r="Z354" s="286"/>
      <c r="AA354" s="286"/>
      <c r="AB354" s="286"/>
      <c r="AC354" s="286"/>
      <c r="AD354" s="286"/>
      <c r="AF354" s="286"/>
      <c r="AG354" s="286"/>
    </row>
    <row r="355" spans="2:33" x14ac:dyDescent="0.25">
      <c r="B355" s="368"/>
      <c r="C355" s="369"/>
      <c r="D355" s="369"/>
      <c r="E355" s="286"/>
      <c r="F355" s="286"/>
      <c r="G355" s="286"/>
      <c r="H355" s="286"/>
      <c r="I355" s="286"/>
      <c r="J355" s="286"/>
      <c r="K355" s="286"/>
      <c r="L355" s="286"/>
      <c r="M355" s="286"/>
      <c r="N355" s="286"/>
      <c r="O355" s="286"/>
      <c r="P355" s="286"/>
      <c r="Q355" s="286"/>
      <c r="R355" s="286"/>
      <c r="S355" s="286"/>
      <c r="T355" s="286"/>
      <c r="U355" s="286"/>
      <c r="V355" s="286"/>
      <c r="W355" s="286"/>
      <c r="X355" s="286"/>
      <c r="Y355" s="286"/>
      <c r="Z355" s="286"/>
      <c r="AA355" s="286"/>
      <c r="AB355" s="286"/>
      <c r="AC355" s="286"/>
      <c r="AD355" s="286"/>
      <c r="AF355" s="286"/>
      <c r="AG355" s="286"/>
    </row>
    <row r="356" spans="2:33" x14ac:dyDescent="0.25">
      <c r="B356" s="368"/>
      <c r="C356" s="369"/>
      <c r="D356" s="369"/>
      <c r="E356" s="286"/>
      <c r="F356" s="286"/>
      <c r="G356" s="286"/>
      <c r="H356" s="286"/>
      <c r="I356" s="286"/>
      <c r="J356" s="286"/>
      <c r="K356" s="286"/>
      <c r="L356" s="286"/>
      <c r="M356" s="286"/>
      <c r="N356" s="286"/>
      <c r="O356" s="286"/>
      <c r="P356" s="286"/>
      <c r="Q356" s="286"/>
      <c r="R356" s="286"/>
      <c r="S356" s="286"/>
      <c r="T356" s="286"/>
      <c r="U356" s="286"/>
      <c r="V356" s="286"/>
      <c r="W356" s="286"/>
      <c r="X356" s="286"/>
      <c r="Y356" s="286"/>
      <c r="Z356" s="286"/>
      <c r="AA356" s="286"/>
      <c r="AB356" s="286"/>
      <c r="AC356" s="286"/>
      <c r="AD356" s="286"/>
      <c r="AF356" s="286"/>
      <c r="AG356" s="286"/>
    </row>
    <row r="357" spans="2:33" x14ac:dyDescent="0.25">
      <c r="B357" s="368"/>
      <c r="C357" s="369"/>
      <c r="D357" s="369"/>
      <c r="E357" s="286"/>
      <c r="F357" s="286"/>
      <c r="G357" s="286"/>
      <c r="H357" s="286"/>
      <c r="I357" s="286"/>
      <c r="J357" s="286"/>
      <c r="K357" s="286"/>
      <c r="L357" s="286"/>
      <c r="M357" s="286"/>
      <c r="N357" s="286"/>
      <c r="O357" s="286"/>
      <c r="P357" s="286"/>
      <c r="Q357" s="286"/>
      <c r="R357" s="286"/>
      <c r="S357" s="286"/>
      <c r="T357" s="286"/>
      <c r="U357" s="286"/>
      <c r="V357" s="286"/>
      <c r="W357" s="286"/>
      <c r="X357" s="286"/>
      <c r="Y357" s="286"/>
      <c r="Z357" s="286"/>
      <c r="AA357" s="286"/>
      <c r="AB357" s="286"/>
      <c r="AC357" s="286"/>
      <c r="AD357" s="286"/>
      <c r="AF357" s="286"/>
      <c r="AG357" s="286"/>
    </row>
    <row r="358" spans="2:33" x14ac:dyDescent="0.25">
      <c r="B358" s="368"/>
      <c r="C358" s="369"/>
      <c r="D358" s="369"/>
      <c r="E358" s="286"/>
      <c r="F358" s="286"/>
      <c r="G358" s="286"/>
      <c r="H358" s="286"/>
      <c r="I358" s="286"/>
      <c r="J358" s="286"/>
      <c r="K358" s="286"/>
      <c r="L358" s="286"/>
      <c r="M358" s="286"/>
      <c r="N358" s="286"/>
      <c r="O358" s="286"/>
      <c r="P358" s="286"/>
      <c r="Q358" s="286"/>
      <c r="R358" s="286"/>
      <c r="S358" s="286"/>
      <c r="T358" s="286"/>
      <c r="U358" s="286"/>
      <c r="V358" s="286"/>
      <c r="W358" s="286"/>
      <c r="X358" s="286"/>
      <c r="Y358" s="286"/>
      <c r="Z358" s="286"/>
      <c r="AA358" s="286"/>
      <c r="AB358" s="286"/>
      <c r="AC358" s="286"/>
      <c r="AD358" s="286"/>
      <c r="AF358" s="286"/>
      <c r="AG358" s="286"/>
    </row>
    <row r="359" spans="2:33" x14ac:dyDescent="0.25">
      <c r="B359" s="368"/>
      <c r="C359" s="369"/>
      <c r="D359" s="369"/>
      <c r="E359" s="286"/>
      <c r="F359" s="286"/>
      <c r="G359" s="286"/>
      <c r="H359" s="286"/>
      <c r="I359" s="286"/>
      <c r="J359" s="286"/>
      <c r="K359" s="286"/>
      <c r="L359" s="286"/>
      <c r="M359" s="286"/>
      <c r="N359" s="286"/>
      <c r="O359" s="286"/>
      <c r="P359" s="286"/>
      <c r="Q359" s="286"/>
      <c r="R359" s="286"/>
      <c r="S359" s="286"/>
      <c r="T359" s="286"/>
      <c r="U359" s="286"/>
      <c r="V359" s="286"/>
      <c r="W359" s="286"/>
      <c r="X359" s="286"/>
      <c r="Y359" s="286"/>
      <c r="Z359" s="286"/>
      <c r="AA359" s="286"/>
      <c r="AB359" s="286"/>
      <c r="AC359" s="286"/>
      <c r="AD359" s="286"/>
      <c r="AF359" s="286"/>
      <c r="AG359" s="286"/>
    </row>
    <row r="360" spans="2:33" x14ac:dyDescent="0.25">
      <c r="B360" s="368"/>
      <c r="C360" s="369"/>
      <c r="D360" s="369"/>
      <c r="E360" s="286"/>
      <c r="F360" s="286"/>
      <c r="G360" s="286"/>
      <c r="H360" s="286"/>
      <c r="I360" s="286"/>
      <c r="J360" s="286"/>
      <c r="K360" s="286"/>
      <c r="L360" s="286"/>
      <c r="M360" s="286"/>
      <c r="N360" s="286"/>
      <c r="O360" s="286"/>
      <c r="P360" s="286"/>
      <c r="Q360" s="286"/>
      <c r="R360" s="286"/>
      <c r="S360" s="286"/>
      <c r="T360" s="286"/>
      <c r="U360" s="286"/>
      <c r="V360" s="286"/>
      <c r="W360" s="286"/>
      <c r="X360" s="286"/>
      <c r="Y360" s="286"/>
      <c r="Z360" s="286"/>
      <c r="AA360" s="286"/>
      <c r="AB360" s="286"/>
      <c r="AC360" s="286"/>
      <c r="AD360" s="286"/>
      <c r="AF360" s="286"/>
      <c r="AG360" s="286"/>
    </row>
    <row r="361" spans="2:33" x14ac:dyDescent="0.25">
      <c r="B361" s="368"/>
      <c r="C361" s="369"/>
      <c r="D361" s="369"/>
      <c r="E361" s="286"/>
      <c r="F361" s="286"/>
      <c r="G361" s="286"/>
      <c r="H361" s="286"/>
      <c r="I361" s="286"/>
      <c r="J361" s="286"/>
      <c r="K361" s="286"/>
      <c r="L361" s="286"/>
      <c r="M361" s="286"/>
      <c r="N361" s="286"/>
      <c r="O361" s="286"/>
      <c r="P361" s="286"/>
      <c r="Q361" s="286"/>
      <c r="R361" s="286"/>
      <c r="S361" s="286"/>
      <c r="T361" s="286"/>
      <c r="U361" s="286"/>
      <c r="V361" s="286"/>
      <c r="W361" s="286"/>
      <c r="X361" s="286"/>
      <c r="Y361" s="286"/>
      <c r="Z361" s="286"/>
      <c r="AA361" s="286"/>
      <c r="AB361" s="286"/>
      <c r="AC361" s="286"/>
      <c r="AD361" s="286"/>
      <c r="AF361" s="286"/>
      <c r="AG361" s="286"/>
    </row>
    <row r="362" spans="2:33" x14ac:dyDescent="0.25">
      <c r="B362" s="368"/>
      <c r="C362" s="369"/>
      <c r="D362" s="369"/>
      <c r="E362" s="286"/>
      <c r="F362" s="286"/>
      <c r="G362" s="286"/>
      <c r="H362" s="286"/>
      <c r="I362" s="286"/>
      <c r="J362" s="286"/>
      <c r="K362" s="286"/>
      <c r="L362" s="286"/>
      <c r="M362" s="286"/>
      <c r="N362" s="286"/>
      <c r="O362" s="286"/>
      <c r="P362" s="286"/>
      <c r="Q362" s="286"/>
      <c r="R362" s="286"/>
      <c r="S362" s="286"/>
      <c r="T362" s="286"/>
      <c r="U362" s="286"/>
      <c r="V362" s="286"/>
      <c r="W362" s="286"/>
      <c r="X362" s="286"/>
      <c r="Y362" s="286"/>
      <c r="Z362" s="286"/>
      <c r="AA362" s="286"/>
      <c r="AB362" s="286"/>
      <c r="AC362" s="286"/>
      <c r="AD362" s="286"/>
      <c r="AF362" s="286"/>
      <c r="AG362" s="286"/>
    </row>
    <row r="363" spans="2:33" x14ac:dyDescent="0.25">
      <c r="B363" s="368"/>
      <c r="C363" s="369"/>
      <c r="D363" s="369"/>
      <c r="E363" s="286"/>
      <c r="F363" s="286"/>
      <c r="G363" s="286"/>
      <c r="H363" s="286"/>
      <c r="I363" s="286"/>
      <c r="J363" s="286"/>
      <c r="K363" s="286"/>
      <c r="L363" s="286"/>
      <c r="M363" s="286"/>
      <c r="N363" s="286"/>
      <c r="O363" s="286"/>
      <c r="P363" s="286"/>
      <c r="Q363" s="286"/>
      <c r="R363" s="286"/>
      <c r="S363" s="286"/>
      <c r="T363" s="286"/>
      <c r="U363" s="286"/>
      <c r="V363" s="286"/>
      <c r="W363" s="286"/>
      <c r="X363" s="286"/>
      <c r="Y363" s="286"/>
      <c r="Z363" s="286"/>
      <c r="AA363" s="286"/>
      <c r="AB363" s="286"/>
      <c r="AC363" s="286"/>
      <c r="AD363" s="286"/>
      <c r="AF363" s="286"/>
      <c r="AG363" s="286"/>
    </row>
    <row r="364" spans="2:33" x14ac:dyDescent="0.25">
      <c r="B364" s="368"/>
      <c r="C364" s="369"/>
      <c r="D364" s="369"/>
      <c r="E364" s="286"/>
      <c r="F364" s="286"/>
      <c r="G364" s="286"/>
      <c r="H364" s="286"/>
      <c r="I364" s="286"/>
      <c r="J364" s="286"/>
      <c r="K364" s="286"/>
      <c r="L364" s="286"/>
      <c r="M364" s="286"/>
      <c r="N364" s="286"/>
      <c r="O364" s="286"/>
      <c r="P364" s="286"/>
      <c r="Q364" s="286"/>
      <c r="R364" s="286"/>
      <c r="S364" s="286"/>
      <c r="T364" s="286"/>
      <c r="U364" s="286"/>
      <c r="V364" s="286"/>
      <c r="W364" s="286"/>
      <c r="X364" s="286"/>
      <c r="Y364" s="286"/>
      <c r="Z364" s="286"/>
      <c r="AA364" s="286"/>
      <c r="AB364" s="286"/>
      <c r="AC364" s="286"/>
      <c r="AD364" s="286"/>
      <c r="AF364" s="286"/>
      <c r="AG364" s="286"/>
    </row>
    <row r="365" spans="2:33" x14ac:dyDescent="0.25">
      <c r="B365" s="368"/>
      <c r="C365" s="369"/>
      <c r="D365" s="369"/>
      <c r="E365" s="286"/>
      <c r="F365" s="286"/>
      <c r="G365" s="286"/>
      <c r="H365" s="286"/>
      <c r="I365" s="286"/>
      <c r="J365" s="286"/>
      <c r="K365" s="286"/>
      <c r="L365" s="286"/>
      <c r="M365" s="286"/>
      <c r="N365" s="286"/>
      <c r="O365" s="286"/>
      <c r="P365" s="286"/>
      <c r="Q365" s="286"/>
      <c r="R365" s="286"/>
      <c r="S365" s="286"/>
      <c r="T365" s="286"/>
      <c r="U365" s="286"/>
      <c r="V365" s="286"/>
      <c r="W365" s="286"/>
      <c r="X365" s="286"/>
      <c r="Y365" s="286"/>
      <c r="Z365" s="286"/>
      <c r="AA365" s="286"/>
      <c r="AB365" s="286"/>
      <c r="AC365" s="286"/>
      <c r="AD365" s="286"/>
      <c r="AF365" s="286"/>
      <c r="AG365" s="286"/>
    </row>
    <row r="366" spans="2:33" x14ac:dyDescent="0.25">
      <c r="B366" s="368"/>
      <c r="C366" s="369"/>
      <c r="D366" s="369"/>
      <c r="E366" s="286"/>
      <c r="F366" s="286"/>
      <c r="G366" s="286"/>
      <c r="H366" s="286"/>
      <c r="I366" s="286"/>
      <c r="J366" s="286"/>
      <c r="K366" s="286"/>
      <c r="L366" s="286"/>
      <c r="M366" s="286"/>
      <c r="N366" s="286"/>
      <c r="O366" s="286"/>
      <c r="P366" s="286"/>
      <c r="Q366" s="286"/>
      <c r="R366" s="286"/>
      <c r="S366" s="286"/>
      <c r="T366" s="286"/>
      <c r="U366" s="286"/>
      <c r="V366" s="286"/>
      <c r="W366" s="286"/>
      <c r="X366" s="286"/>
      <c r="Y366" s="286"/>
      <c r="Z366" s="286"/>
      <c r="AA366" s="286"/>
      <c r="AB366" s="286"/>
      <c r="AC366" s="286"/>
      <c r="AD366" s="286"/>
      <c r="AF366" s="286"/>
      <c r="AG366" s="286"/>
    </row>
    <row r="367" spans="2:33" x14ac:dyDescent="0.25">
      <c r="B367" s="368"/>
      <c r="C367" s="369"/>
      <c r="D367" s="369"/>
      <c r="E367" s="286"/>
      <c r="F367" s="286"/>
      <c r="G367" s="286"/>
      <c r="H367" s="286"/>
      <c r="I367" s="286"/>
      <c r="J367" s="286"/>
      <c r="K367" s="286"/>
      <c r="L367" s="286"/>
      <c r="M367" s="286"/>
      <c r="N367" s="286"/>
      <c r="O367" s="286"/>
      <c r="P367" s="286"/>
      <c r="Q367" s="286"/>
      <c r="R367" s="286"/>
      <c r="S367" s="286"/>
      <c r="T367" s="286"/>
      <c r="U367" s="286"/>
      <c r="V367" s="286"/>
      <c r="W367" s="286"/>
      <c r="X367" s="286"/>
      <c r="Y367" s="286"/>
      <c r="Z367" s="286"/>
      <c r="AA367" s="286"/>
      <c r="AB367" s="286"/>
      <c r="AC367" s="286"/>
      <c r="AD367" s="286"/>
      <c r="AF367" s="286"/>
      <c r="AG367" s="286"/>
    </row>
    <row r="368" spans="2:33" x14ac:dyDescent="0.25">
      <c r="B368" s="368"/>
      <c r="C368" s="369"/>
      <c r="D368" s="369"/>
      <c r="E368" s="286"/>
      <c r="F368" s="286"/>
      <c r="G368" s="286"/>
      <c r="H368" s="286"/>
      <c r="I368" s="286"/>
      <c r="J368" s="286"/>
      <c r="K368" s="286"/>
      <c r="L368" s="286"/>
      <c r="M368" s="286"/>
      <c r="N368" s="286"/>
      <c r="O368" s="286"/>
      <c r="P368" s="286"/>
      <c r="Q368" s="286"/>
      <c r="R368" s="286"/>
      <c r="S368" s="286"/>
      <c r="T368" s="286"/>
      <c r="U368" s="286"/>
      <c r="V368" s="286"/>
      <c r="W368" s="286"/>
      <c r="X368" s="286"/>
      <c r="Y368" s="286"/>
      <c r="Z368" s="286"/>
      <c r="AA368" s="286"/>
      <c r="AB368" s="286"/>
      <c r="AC368" s="286"/>
      <c r="AD368" s="286"/>
      <c r="AF368" s="286"/>
      <c r="AG368" s="286"/>
    </row>
    <row r="369" spans="2:33" x14ac:dyDescent="0.25">
      <c r="B369" s="368"/>
      <c r="C369" s="369"/>
      <c r="D369" s="369"/>
      <c r="E369" s="286"/>
      <c r="F369" s="286"/>
      <c r="G369" s="286"/>
      <c r="H369" s="286"/>
      <c r="I369" s="286"/>
      <c r="J369" s="286"/>
      <c r="K369" s="286"/>
      <c r="L369" s="286"/>
      <c r="M369" s="286"/>
      <c r="N369" s="286"/>
      <c r="O369" s="286"/>
      <c r="P369" s="286"/>
      <c r="Q369" s="286"/>
      <c r="R369" s="286"/>
      <c r="S369" s="286"/>
      <c r="T369" s="286"/>
      <c r="U369" s="286"/>
      <c r="V369" s="286"/>
      <c r="W369" s="286"/>
      <c r="X369" s="286"/>
      <c r="Y369" s="286"/>
      <c r="Z369" s="286"/>
      <c r="AA369" s="286"/>
      <c r="AB369" s="286"/>
      <c r="AC369" s="286"/>
      <c r="AD369" s="286"/>
      <c r="AF369" s="286"/>
      <c r="AG369" s="286"/>
    </row>
    <row r="370" spans="2:33" x14ac:dyDescent="0.25">
      <c r="B370" s="368"/>
      <c r="C370" s="369"/>
      <c r="D370" s="369"/>
      <c r="E370" s="286"/>
      <c r="F370" s="286"/>
      <c r="G370" s="286"/>
      <c r="H370" s="286"/>
      <c r="I370" s="286"/>
      <c r="J370" s="286"/>
      <c r="K370" s="286"/>
      <c r="L370" s="286"/>
      <c r="M370" s="286"/>
      <c r="N370" s="286"/>
      <c r="O370" s="286"/>
      <c r="P370" s="286"/>
      <c r="Q370" s="286"/>
      <c r="R370" s="286"/>
      <c r="S370" s="286"/>
      <c r="T370" s="286"/>
      <c r="U370" s="286"/>
      <c r="V370" s="286"/>
      <c r="W370" s="286"/>
      <c r="X370" s="286"/>
      <c r="Y370" s="286"/>
      <c r="Z370" s="286"/>
      <c r="AA370" s="286"/>
      <c r="AB370" s="286"/>
      <c r="AC370" s="286"/>
      <c r="AD370" s="286"/>
      <c r="AF370" s="286"/>
      <c r="AG370" s="286"/>
    </row>
    <row r="371" spans="2:33" x14ac:dyDescent="0.25">
      <c r="B371" s="368"/>
      <c r="C371" s="369"/>
      <c r="D371" s="369"/>
      <c r="E371" s="286"/>
      <c r="F371" s="286"/>
      <c r="G371" s="286"/>
      <c r="H371" s="286"/>
      <c r="I371" s="286"/>
      <c r="J371" s="286"/>
      <c r="K371" s="286"/>
      <c r="L371" s="286"/>
      <c r="M371" s="286"/>
      <c r="N371" s="286"/>
      <c r="O371" s="286"/>
      <c r="P371" s="286"/>
      <c r="Q371" s="286"/>
      <c r="R371" s="286"/>
      <c r="S371" s="286"/>
      <c r="T371" s="286"/>
      <c r="U371" s="286"/>
      <c r="V371" s="286"/>
      <c r="W371" s="286"/>
      <c r="X371" s="286"/>
      <c r="Y371" s="286"/>
      <c r="Z371" s="286"/>
      <c r="AA371" s="286"/>
      <c r="AB371" s="286"/>
      <c r="AC371" s="286"/>
      <c r="AD371" s="286"/>
      <c r="AF371" s="286"/>
      <c r="AG371" s="286"/>
    </row>
    <row r="372" spans="2:33" x14ac:dyDescent="0.25">
      <c r="B372" s="368"/>
      <c r="C372" s="369"/>
      <c r="D372" s="369"/>
      <c r="E372" s="286"/>
      <c r="F372" s="286"/>
      <c r="G372" s="286"/>
      <c r="H372" s="286"/>
      <c r="I372" s="286"/>
      <c r="J372" s="286"/>
      <c r="K372" s="286"/>
      <c r="L372" s="286"/>
      <c r="M372" s="286"/>
      <c r="N372" s="286"/>
      <c r="O372" s="286"/>
      <c r="P372" s="286"/>
      <c r="Q372" s="286"/>
      <c r="R372" s="286"/>
      <c r="S372" s="286"/>
      <c r="T372" s="286"/>
      <c r="U372" s="286"/>
      <c r="V372" s="286"/>
      <c r="W372" s="286"/>
      <c r="X372" s="286"/>
      <c r="Y372" s="286"/>
      <c r="Z372" s="286"/>
      <c r="AA372" s="286"/>
      <c r="AB372" s="286"/>
      <c r="AC372" s="286"/>
      <c r="AD372" s="286"/>
      <c r="AF372" s="286"/>
      <c r="AG372" s="286"/>
    </row>
    <row r="373" spans="2:33" x14ac:dyDescent="0.25">
      <c r="B373" s="368"/>
      <c r="C373" s="369"/>
      <c r="D373" s="369"/>
      <c r="E373" s="286"/>
      <c r="F373" s="286"/>
      <c r="G373" s="286"/>
      <c r="H373" s="286"/>
      <c r="I373" s="286"/>
      <c r="J373" s="286"/>
      <c r="K373" s="286"/>
      <c r="L373" s="286"/>
      <c r="M373" s="286"/>
      <c r="N373" s="286"/>
      <c r="O373" s="286"/>
      <c r="P373" s="286"/>
      <c r="Q373" s="286"/>
      <c r="R373" s="286"/>
      <c r="S373" s="286"/>
      <c r="T373" s="286"/>
      <c r="U373" s="286"/>
      <c r="V373" s="286"/>
      <c r="W373" s="286"/>
      <c r="X373" s="286"/>
      <c r="Y373" s="286"/>
      <c r="Z373" s="286"/>
      <c r="AA373" s="286"/>
      <c r="AB373" s="286"/>
      <c r="AC373" s="286"/>
      <c r="AD373" s="286"/>
      <c r="AF373" s="286"/>
      <c r="AG373" s="286"/>
    </row>
    <row r="374" spans="2:33" x14ac:dyDescent="0.25">
      <c r="B374" s="368"/>
      <c r="C374" s="369"/>
      <c r="D374" s="369"/>
      <c r="E374" s="286"/>
      <c r="F374" s="286"/>
      <c r="G374" s="286"/>
      <c r="H374" s="286"/>
      <c r="I374" s="286"/>
      <c r="J374" s="286"/>
      <c r="K374" s="286"/>
      <c r="L374" s="286"/>
      <c r="M374" s="286"/>
      <c r="N374" s="286"/>
      <c r="O374" s="286"/>
      <c r="P374" s="286"/>
      <c r="Q374" s="286"/>
      <c r="R374" s="286"/>
      <c r="S374" s="286"/>
      <c r="T374" s="286"/>
      <c r="U374" s="286"/>
      <c r="V374" s="286"/>
      <c r="W374" s="286"/>
      <c r="X374" s="286"/>
      <c r="Y374" s="286"/>
      <c r="Z374" s="286"/>
      <c r="AA374" s="286"/>
      <c r="AB374" s="286"/>
      <c r="AC374" s="286"/>
      <c r="AD374" s="286"/>
      <c r="AF374" s="286"/>
      <c r="AG374" s="286"/>
    </row>
    <row r="375" spans="2:33" x14ac:dyDescent="0.25">
      <c r="B375" s="368"/>
      <c r="C375" s="369"/>
      <c r="D375" s="369"/>
      <c r="E375" s="286"/>
      <c r="F375" s="286"/>
      <c r="G375" s="286"/>
      <c r="H375" s="286"/>
      <c r="I375" s="286"/>
      <c r="J375" s="286"/>
      <c r="K375" s="286"/>
      <c r="L375" s="286"/>
      <c r="M375" s="286"/>
      <c r="N375" s="286"/>
      <c r="O375" s="286"/>
      <c r="P375" s="286"/>
      <c r="Q375" s="286"/>
      <c r="R375" s="286"/>
      <c r="S375" s="286"/>
      <c r="T375" s="286"/>
      <c r="U375" s="286"/>
      <c r="V375" s="286"/>
      <c r="W375" s="286"/>
      <c r="X375" s="286"/>
      <c r="Y375" s="286"/>
      <c r="Z375" s="286"/>
      <c r="AA375" s="286"/>
      <c r="AB375" s="286"/>
      <c r="AC375" s="286"/>
      <c r="AD375" s="286"/>
      <c r="AF375" s="286"/>
      <c r="AG375" s="286"/>
    </row>
    <row r="376" spans="2:33" x14ac:dyDescent="0.25">
      <c r="B376" s="368"/>
      <c r="C376" s="369"/>
      <c r="D376" s="369"/>
      <c r="E376" s="286"/>
      <c r="F376" s="286"/>
      <c r="G376" s="286"/>
      <c r="H376" s="286"/>
      <c r="I376" s="286"/>
      <c r="J376" s="286"/>
      <c r="K376" s="286"/>
      <c r="L376" s="286"/>
      <c r="M376" s="286"/>
      <c r="N376" s="286"/>
      <c r="O376" s="286"/>
      <c r="P376" s="286"/>
      <c r="Q376" s="286"/>
      <c r="R376" s="286"/>
      <c r="S376" s="286"/>
      <c r="T376" s="286"/>
      <c r="U376" s="286"/>
      <c r="V376" s="286"/>
      <c r="W376" s="286"/>
      <c r="X376" s="286"/>
      <c r="Y376" s="286"/>
      <c r="Z376" s="286"/>
      <c r="AA376" s="286"/>
      <c r="AB376" s="286"/>
      <c r="AC376" s="286"/>
      <c r="AD376" s="286"/>
      <c r="AF376" s="286"/>
      <c r="AG376" s="286"/>
    </row>
    <row r="377" spans="2:33" x14ac:dyDescent="0.25">
      <c r="B377" s="368"/>
      <c r="C377" s="369"/>
      <c r="D377" s="369"/>
      <c r="E377" s="286"/>
      <c r="F377" s="286"/>
      <c r="G377" s="286"/>
      <c r="H377" s="286"/>
      <c r="I377" s="286"/>
      <c r="J377" s="286"/>
      <c r="K377" s="286"/>
      <c r="L377" s="286"/>
      <c r="M377" s="286"/>
      <c r="N377" s="286"/>
      <c r="O377" s="286"/>
      <c r="P377" s="286"/>
      <c r="Q377" s="286"/>
      <c r="R377" s="286"/>
      <c r="S377" s="286"/>
      <c r="T377" s="286"/>
      <c r="U377" s="286"/>
      <c r="V377" s="286"/>
      <c r="W377" s="286"/>
      <c r="X377" s="286"/>
      <c r="Y377" s="286"/>
      <c r="Z377" s="286"/>
      <c r="AA377" s="286"/>
      <c r="AB377" s="286"/>
      <c r="AC377" s="286"/>
      <c r="AD377" s="286"/>
      <c r="AF377" s="286"/>
      <c r="AG377" s="286"/>
    </row>
    <row r="378" spans="2:33" x14ac:dyDescent="0.25">
      <c r="B378" s="368"/>
      <c r="C378" s="369"/>
      <c r="D378" s="369"/>
      <c r="E378" s="286"/>
      <c r="F378" s="286"/>
      <c r="G378" s="286"/>
      <c r="H378" s="286"/>
      <c r="I378" s="286"/>
      <c r="J378" s="286"/>
      <c r="K378" s="286"/>
      <c r="L378" s="286"/>
      <c r="M378" s="286"/>
      <c r="N378" s="286"/>
      <c r="O378" s="286"/>
      <c r="P378" s="286"/>
      <c r="Q378" s="286"/>
      <c r="R378" s="286"/>
      <c r="S378" s="286"/>
      <c r="T378" s="286"/>
      <c r="U378" s="286"/>
      <c r="V378" s="286"/>
      <c r="W378" s="286"/>
      <c r="X378" s="286"/>
      <c r="Y378" s="286"/>
      <c r="Z378" s="286"/>
      <c r="AA378" s="286"/>
      <c r="AB378" s="286"/>
      <c r="AC378" s="286"/>
      <c r="AD378" s="286"/>
      <c r="AF378" s="286"/>
      <c r="AG378" s="286"/>
    </row>
    <row r="379" spans="2:33" x14ac:dyDescent="0.25">
      <c r="B379" s="368"/>
      <c r="C379" s="369"/>
      <c r="D379" s="369"/>
      <c r="E379" s="286"/>
      <c r="F379" s="286"/>
      <c r="G379" s="286"/>
      <c r="H379" s="286"/>
      <c r="I379" s="286"/>
      <c r="J379" s="286"/>
      <c r="K379" s="286"/>
      <c r="L379" s="286"/>
      <c r="M379" s="286"/>
      <c r="N379" s="286"/>
      <c r="O379" s="286"/>
      <c r="P379" s="286"/>
      <c r="Q379" s="286"/>
      <c r="R379" s="286"/>
      <c r="S379" s="286"/>
      <c r="T379" s="286"/>
      <c r="U379" s="286"/>
      <c r="V379" s="286"/>
      <c r="W379" s="286"/>
      <c r="X379" s="286"/>
      <c r="Y379" s="286"/>
      <c r="Z379" s="286"/>
      <c r="AA379" s="286"/>
      <c r="AB379" s="286"/>
      <c r="AC379" s="286"/>
      <c r="AD379" s="286"/>
      <c r="AF379" s="286"/>
      <c r="AG379" s="286"/>
    </row>
    <row r="380" spans="2:33" x14ac:dyDescent="0.25">
      <c r="B380" s="368"/>
      <c r="C380" s="369"/>
      <c r="D380" s="369"/>
      <c r="E380" s="286"/>
      <c r="F380" s="286"/>
      <c r="G380" s="286"/>
      <c r="H380" s="286"/>
      <c r="I380" s="286"/>
      <c r="J380" s="286"/>
      <c r="K380" s="286"/>
      <c r="L380" s="286"/>
      <c r="M380" s="286"/>
      <c r="N380" s="286"/>
      <c r="O380" s="286"/>
      <c r="P380" s="286"/>
      <c r="Q380" s="286"/>
      <c r="R380" s="286"/>
      <c r="S380" s="286"/>
      <c r="T380" s="286"/>
      <c r="U380" s="286"/>
      <c r="V380" s="286"/>
      <c r="W380" s="286"/>
      <c r="X380" s="286"/>
      <c r="Y380" s="286"/>
      <c r="Z380" s="286"/>
      <c r="AA380" s="286"/>
      <c r="AB380" s="286"/>
      <c r="AC380" s="286"/>
      <c r="AD380" s="286"/>
      <c r="AF380" s="286"/>
      <c r="AG380" s="286"/>
    </row>
    <row r="381" spans="2:33" x14ac:dyDescent="0.25">
      <c r="B381" s="368"/>
      <c r="C381" s="369"/>
      <c r="D381" s="369"/>
      <c r="E381" s="286"/>
      <c r="F381" s="286"/>
      <c r="G381" s="286"/>
      <c r="H381" s="286"/>
      <c r="I381" s="286"/>
      <c r="J381" s="286"/>
      <c r="K381" s="286"/>
      <c r="L381" s="286"/>
      <c r="M381" s="286"/>
      <c r="N381" s="286"/>
      <c r="O381" s="286"/>
      <c r="P381" s="286"/>
      <c r="Q381" s="286"/>
      <c r="R381" s="286"/>
      <c r="S381" s="286"/>
      <c r="T381" s="286"/>
      <c r="U381" s="286"/>
      <c r="V381" s="286"/>
      <c r="W381" s="286"/>
      <c r="X381" s="286"/>
      <c r="Y381" s="286"/>
      <c r="Z381" s="286"/>
      <c r="AA381" s="286"/>
      <c r="AB381" s="286"/>
      <c r="AC381" s="286"/>
      <c r="AD381" s="286"/>
      <c r="AF381" s="286"/>
      <c r="AG381" s="286"/>
    </row>
    <row r="382" spans="2:33" x14ac:dyDescent="0.25">
      <c r="B382" s="368"/>
      <c r="C382" s="369"/>
      <c r="D382" s="369"/>
      <c r="E382" s="286"/>
      <c r="F382" s="286"/>
      <c r="G382" s="286"/>
      <c r="H382" s="286"/>
      <c r="I382" s="286"/>
      <c r="J382" s="286"/>
      <c r="K382" s="286"/>
      <c r="L382" s="286"/>
      <c r="M382" s="286"/>
      <c r="N382" s="286"/>
      <c r="O382" s="286"/>
      <c r="P382" s="286"/>
      <c r="Q382" s="286"/>
      <c r="R382" s="286"/>
      <c r="S382" s="286"/>
      <c r="T382" s="286"/>
      <c r="U382" s="286"/>
      <c r="V382" s="286"/>
      <c r="W382" s="286"/>
      <c r="X382" s="286"/>
      <c r="Y382" s="286"/>
      <c r="Z382" s="286"/>
      <c r="AA382" s="286"/>
      <c r="AB382" s="286"/>
      <c r="AC382" s="286"/>
      <c r="AD382" s="286"/>
      <c r="AF382" s="286"/>
      <c r="AG382" s="286"/>
    </row>
    <row r="383" spans="2:33" x14ac:dyDescent="0.25">
      <c r="B383" s="368"/>
      <c r="C383" s="369"/>
      <c r="D383" s="369"/>
      <c r="E383" s="286"/>
      <c r="F383" s="286"/>
      <c r="G383" s="286"/>
      <c r="H383" s="286"/>
      <c r="I383" s="286"/>
      <c r="J383" s="286"/>
      <c r="K383" s="286"/>
      <c r="L383" s="286"/>
      <c r="M383" s="286"/>
      <c r="N383" s="286"/>
      <c r="O383" s="286"/>
      <c r="P383" s="286"/>
      <c r="Q383" s="286"/>
      <c r="R383" s="286"/>
      <c r="S383" s="286"/>
      <c r="T383" s="286"/>
      <c r="U383" s="286"/>
      <c r="V383" s="286"/>
      <c r="W383" s="286"/>
      <c r="X383" s="286"/>
      <c r="Y383" s="286"/>
      <c r="Z383" s="286"/>
      <c r="AA383" s="286"/>
      <c r="AB383" s="286"/>
      <c r="AC383" s="286"/>
      <c r="AD383" s="286"/>
      <c r="AF383" s="286"/>
      <c r="AG383" s="286"/>
    </row>
    <row r="384" spans="2:33" x14ac:dyDescent="0.25">
      <c r="B384" s="368"/>
      <c r="C384" s="369"/>
      <c r="D384" s="369"/>
      <c r="E384" s="286"/>
      <c r="F384" s="286"/>
      <c r="G384" s="286"/>
      <c r="H384" s="286"/>
      <c r="I384" s="286"/>
      <c r="J384" s="286"/>
      <c r="K384" s="286"/>
      <c r="L384" s="286"/>
      <c r="M384" s="286"/>
      <c r="N384" s="286"/>
      <c r="O384" s="286"/>
      <c r="P384" s="286"/>
      <c r="Q384" s="286"/>
      <c r="R384" s="286"/>
      <c r="S384" s="286"/>
      <c r="T384" s="286"/>
      <c r="U384" s="286"/>
      <c r="V384" s="286"/>
      <c r="W384" s="286"/>
      <c r="X384" s="286"/>
      <c r="Y384" s="286"/>
      <c r="Z384" s="286"/>
      <c r="AA384" s="286"/>
      <c r="AB384" s="286"/>
      <c r="AC384" s="286"/>
      <c r="AD384" s="286"/>
      <c r="AF384" s="286"/>
      <c r="AG384" s="286"/>
    </row>
    <row r="385" spans="2:33" x14ac:dyDescent="0.25">
      <c r="B385" s="368"/>
      <c r="C385" s="369"/>
      <c r="D385" s="369"/>
      <c r="E385" s="286"/>
      <c r="F385" s="286"/>
      <c r="G385" s="286"/>
      <c r="H385" s="286"/>
      <c r="I385" s="286"/>
      <c r="J385" s="286"/>
      <c r="K385" s="286"/>
      <c r="L385" s="286"/>
      <c r="M385" s="286"/>
      <c r="N385" s="286"/>
      <c r="O385" s="286"/>
      <c r="P385" s="286"/>
      <c r="Q385" s="286"/>
      <c r="R385" s="286"/>
      <c r="S385" s="286"/>
      <c r="T385" s="286"/>
      <c r="U385" s="286"/>
      <c r="V385" s="286"/>
      <c r="W385" s="286"/>
      <c r="X385" s="286"/>
      <c r="Y385" s="286"/>
      <c r="Z385" s="286"/>
      <c r="AA385" s="286"/>
      <c r="AB385" s="286"/>
      <c r="AC385" s="286"/>
      <c r="AD385" s="286"/>
      <c r="AF385" s="286"/>
      <c r="AG385" s="286"/>
    </row>
    <row r="386" spans="2:33" x14ac:dyDescent="0.25">
      <c r="B386" s="368"/>
      <c r="C386" s="369"/>
      <c r="D386" s="369"/>
      <c r="E386" s="286"/>
      <c r="F386" s="286"/>
      <c r="G386" s="286"/>
      <c r="H386" s="286"/>
      <c r="I386" s="286"/>
      <c r="J386" s="286"/>
      <c r="K386" s="286"/>
      <c r="L386" s="286"/>
      <c r="M386" s="286"/>
      <c r="N386" s="286"/>
      <c r="O386" s="286"/>
      <c r="P386" s="286"/>
      <c r="Q386" s="286"/>
      <c r="R386" s="286"/>
      <c r="S386" s="286"/>
      <c r="T386" s="286"/>
      <c r="U386" s="286"/>
      <c r="V386" s="286"/>
      <c r="W386" s="286"/>
      <c r="X386" s="286"/>
      <c r="Y386" s="286"/>
      <c r="Z386" s="286"/>
      <c r="AA386" s="286"/>
      <c r="AB386" s="286"/>
      <c r="AC386" s="286"/>
      <c r="AD386" s="286"/>
      <c r="AF386" s="286"/>
      <c r="AG386" s="286"/>
    </row>
    <row r="387" spans="2:33" x14ac:dyDescent="0.25">
      <c r="B387" s="368"/>
      <c r="C387" s="369"/>
      <c r="D387" s="369"/>
      <c r="E387" s="286"/>
      <c r="F387" s="286"/>
      <c r="G387" s="286"/>
      <c r="H387" s="286"/>
      <c r="I387" s="286"/>
      <c r="J387" s="286"/>
      <c r="K387" s="286"/>
      <c r="L387" s="286"/>
      <c r="M387" s="286"/>
      <c r="N387" s="286"/>
      <c r="O387" s="286"/>
      <c r="P387" s="286"/>
      <c r="Q387" s="286"/>
      <c r="R387" s="286"/>
      <c r="S387" s="286"/>
      <c r="T387" s="286"/>
      <c r="U387" s="286"/>
      <c r="V387" s="286"/>
      <c r="W387" s="286"/>
      <c r="X387" s="286"/>
      <c r="Y387" s="286"/>
      <c r="Z387" s="286"/>
      <c r="AA387" s="286"/>
      <c r="AB387" s="286"/>
      <c r="AC387" s="286"/>
      <c r="AD387" s="286"/>
      <c r="AF387" s="286"/>
      <c r="AG387" s="286"/>
    </row>
    <row r="388" spans="2:33" x14ac:dyDescent="0.25">
      <c r="B388" s="368"/>
      <c r="C388" s="369"/>
      <c r="D388" s="369"/>
      <c r="E388" s="286"/>
      <c r="F388" s="286"/>
      <c r="G388" s="286"/>
      <c r="H388" s="286"/>
      <c r="I388" s="286"/>
      <c r="J388" s="286"/>
      <c r="K388" s="286"/>
      <c r="L388" s="286"/>
      <c r="M388" s="286"/>
      <c r="N388" s="286"/>
      <c r="O388" s="286"/>
      <c r="P388" s="286"/>
      <c r="Q388" s="286"/>
      <c r="R388" s="286"/>
      <c r="S388" s="286"/>
      <c r="T388" s="286"/>
      <c r="U388" s="286"/>
      <c r="V388" s="286"/>
      <c r="W388" s="286"/>
      <c r="X388" s="286"/>
      <c r="Y388" s="286"/>
      <c r="Z388" s="286"/>
      <c r="AA388" s="286"/>
      <c r="AB388" s="286"/>
      <c r="AC388" s="286"/>
      <c r="AD388" s="286"/>
      <c r="AF388" s="286"/>
      <c r="AG388" s="286"/>
    </row>
    <row r="389" spans="2:33" x14ac:dyDescent="0.25">
      <c r="B389" s="368"/>
      <c r="C389" s="369"/>
      <c r="D389" s="369"/>
      <c r="E389" s="286"/>
      <c r="F389" s="286"/>
      <c r="G389" s="286"/>
      <c r="H389" s="286"/>
      <c r="I389" s="286"/>
      <c r="J389" s="286"/>
      <c r="K389" s="286"/>
      <c r="L389" s="286"/>
      <c r="M389" s="286"/>
      <c r="N389" s="286"/>
      <c r="O389" s="286"/>
      <c r="P389" s="286"/>
      <c r="Q389" s="286"/>
      <c r="R389" s="286"/>
      <c r="S389" s="286"/>
      <c r="T389" s="286"/>
      <c r="U389" s="286"/>
      <c r="V389" s="286"/>
      <c r="W389" s="286"/>
      <c r="X389" s="286"/>
      <c r="Y389" s="286"/>
      <c r="Z389" s="286"/>
      <c r="AA389" s="286"/>
      <c r="AB389" s="286"/>
      <c r="AC389" s="286"/>
      <c r="AD389" s="286"/>
      <c r="AF389" s="286"/>
      <c r="AG389" s="286"/>
    </row>
    <row r="390" spans="2:33" x14ac:dyDescent="0.25">
      <c r="B390" s="368"/>
      <c r="C390" s="369"/>
      <c r="D390" s="369"/>
      <c r="E390" s="286"/>
      <c r="F390" s="286"/>
      <c r="G390" s="286"/>
      <c r="H390" s="286"/>
      <c r="I390" s="286"/>
      <c r="J390" s="286"/>
      <c r="K390" s="286"/>
      <c r="L390" s="286"/>
      <c r="M390" s="286"/>
      <c r="N390" s="286"/>
      <c r="O390" s="286"/>
      <c r="P390" s="286"/>
      <c r="Q390" s="286"/>
      <c r="R390" s="286"/>
      <c r="S390" s="286"/>
      <c r="T390" s="286"/>
      <c r="U390" s="286"/>
      <c r="V390" s="286"/>
      <c r="W390" s="286"/>
      <c r="X390" s="286"/>
      <c r="Y390" s="286"/>
      <c r="Z390" s="286"/>
      <c r="AA390" s="286"/>
      <c r="AB390" s="286"/>
      <c r="AC390" s="286"/>
      <c r="AD390" s="286"/>
      <c r="AF390" s="286"/>
      <c r="AG390" s="286"/>
    </row>
    <row r="391" spans="2:33" x14ac:dyDescent="0.25">
      <c r="B391" s="368"/>
      <c r="C391" s="369"/>
      <c r="D391" s="369"/>
      <c r="E391" s="286"/>
      <c r="F391" s="286"/>
      <c r="G391" s="286"/>
      <c r="H391" s="286"/>
      <c r="I391" s="286"/>
      <c r="J391" s="286"/>
      <c r="K391" s="286"/>
      <c r="L391" s="286"/>
      <c r="M391" s="286"/>
      <c r="N391" s="286"/>
      <c r="O391" s="286"/>
      <c r="P391" s="286"/>
      <c r="Q391" s="286"/>
      <c r="R391" s="286"/>
      <c r="S391" s="286"/>
      <c r="T391" s="286"/>
      <c r="U391" s="286"/>
      <c r="V391" s="286"/>
      <c r="W391" s="286"/>
      <c r="X391" s="286"/>
      <c r="Y391" s="286"/>
      <c r="Z391" s="286"/>
      <c r="AA391" s="286"/>
      <c r="AB391" s="286"/>
      <c r="AC391" s="286"/>
      <c r="AD391" s="286"/>
      <c r="AF391" s="286"/>
      <c r="AG391" s="286"/>
    </row>
    <row r="392" spans="2:33" x14ac:dyDescent="0.25">
      <c r="B392" s="368"/>
      <c r="C392" s="369"/>
      <c r="D392" s="369"/>
      <c r="E392" s="286"/>
      <c r="F392" s="286"/>
      <c r="G392" s="286"/>
      <c r="H392" s="286"/>
      <c r="I392" s="286"/>
      <c r="J392" s="286"/>
      <c r="K392" s="286"/>
      <c r="L392" s="286"/>
      <c r="M392" s="286"/>
      <c r="N392" s="286"/>
      <c r="O392" s="286"/>
      <c r="P392" s="286"/>
      <c r="Q392" s="286"/>
      <c r="R392" s="286"/>
      <c r="S392" s="286"/>
      <c r="T392" s="286"/>
      <c r="U392" s="286"/>
      <c r="V392" s="286"/>
      <c r="W392" s="286"/>
      <c r="X392" s="286"/>
      <c r="Y392" s="286"/>
      <c r="Z392" s="286"/>
      <c r="AA392" s="286"/>
      <c r="AB392" s="286"/>
      <c r="AC392" s="286"/>
      <c r="AD392" s="286"/>
      <c r="AF392" s="286"/>
      <c r="AG392" s="286"/>
    </row>
    <row r="393" spans="2:33" x14ac:dyDescent="0.25">
      <c r="B393" s="368"/>
      <c r="C393" s="369"/>
      <c r="D393" s="369"/>
      <c r="E393" s="286"/>
      <c r="F393" s="286"/>
      <c r="G393" s="286"/>
      <c r="H393" s="286"/>
      <c r="I393" s="286"/>
      <c r="J393" s="286"/>
      <c r="K393" s="286"/>
      <c r="L393" s="286"/>
      <c r="M393" s="286"/>
      <c r="N393" s="286"/>
      <c r="O393" s="286"/>
      <c r="P393" s="286"/>
      <c r="Q393" s="286"/>
      <c r="R393" s="286"/>
      <c r="S393" s="286"/>
      <c r="T393" s="286"/>
      <c r="U393" s="286"/>
      <c r="V393" s="286"/>
      <c r="W393" s="286"/>
      <c r="X393" s="286"/>
      <c r="Y393" s="286"/>
      <c r="Z393" s="286"/>
      <c r="AA393" s="286"/>
      <c r="AB393" s="286"/>
      <c r="AC393" s="286"/>
      <c r="AD393" s="286"/>
      <c r="AF393" s="286"/>
      <c r="AG393" s="286"/>
    </row>
    <row r="394" spans="2:33" x14ac:dyDescent="0.25">
      <c r="B394" s="368"/>
      <c r="C394" s="369"/>
      <c r="D394" s="369"/>
      <c r="E394" s="286"/>
      <c r="F394" s="286"/>
      <c r="G394" s="286"/>
      <c r="H394" s="286"/>
      <c r="I394" s="286"/>
      <c r="J394" s="286"/>
      <c r="K394" s="286"/>
      <c r="L394" s="286"/>
      <c r="M394" s="286"/>
      <c r="N394" s="286"/>
      <c r="O394" s="286"/>
      <c r="P394" s="286"/>
      <c r="Q394" s="286"/>
      <c r="R394" s="286"/>
      <c r="S394" s="286"/>
      <c r="T394" s="286"/>
      <c r="U394" s="286"/>
      <c r="V394" s="286"/>
      <c r="W394" s="286"/>
      <c r="X394" s="286"/>
      <c r="Y394" s="286"/>
      <c r="Z394" s="286"/>
      <c r="AA394" s="286"/>
      <c r="AB394" s="286"/>
      <c r="AC394" s="286"/>
      <c r="AD394" s="286"/>
      <c r="AF394" s="286"/>
      <c r="AG394" s="286"/>
    </row>
    <row r="395" spans="2:33" x14ac:dyDescent="0.25">
      <c r="B395" s="368"/>
      <c r="C395" s="369"/>
      <c r="D395" s="369"/>
      <c r="E395" s="286"/>
      <c r="F395" s="286"/>
      <c r="G395" s="286"/>
      <c r="H395" s="286"/>
      <c r="I395" s="286"/>
      <c r="J395" s="286"/>
      <c r="K395" s="286"/>
      <c r="L395" s="286"/>
      <c r="M395" s="286"/>
      <c r="N395" s="286"/>
      <c r="O395" s="286"/>
      <c r="P395" s="286"/>
      <c r="Q395" s="286"/>
      <c r="R395" s="286"/>
      <c r="S395" s="286"/>
      <c r="T395" s="286"/>
      <c r="U395" s="286"/>
      <c r="V395" s="286"/>
      <c r="W395" s="286"/>
      <c r="X395" s="286"/>
      <c r="Y395" s="286"/>
      <c r="Z395" s="286"/>
      <c r="AA395" s="286"/>
      <c r="AB395" s="286"/>
      <c r="AC395" s="286"/>
      <c r="AD395" s="286"/>
      <c r="AF395" s="286"/>
      <c r="AG395" s="286"/>
    </row>
    <row r="396" spans="2:33" x14ac:dyDescent="0.25">
      <c r="B396" s="368"/>
      <c r="C396" s="369"/>
      <c r="D396" s="369"/>
      <c r="E396" s="286"/>
      <c r="F396" s="286"/>
      <c r="G396" s="286"/>
      <c r="H396" s="286"/>
      <c r="I396" s="286"/>
      <c r="J396" s="286"/>
      <c r="K396" s="286"/>
      <c r="L396" s="286"/>
      <c r="M396" s="286"/>
      <c r="N396" s="286"/>
      <c r="O396" s="286"/>
      <c r="P396" s="286"/>
      <c r="Q396" s="286"/>
      <c r="R396" s="286"/>
      <c r="S396" s="286"/>
      <c r="T396" s="286"/>
      <c r="U396" s="286"/>
      <c r="V396" s="286"/>
      <c r="W396" s="286"/>
      <c r="X396" s="286"/>
      <c r="Y396" s="286"/>
      <c r="Z396" s="286"/>
      <c r="AA396" s="286"/>
      <c r="AB396" s="286"/>
      <c r="AC396" s="286"/>
      <c r="AD396" s="286"/>
      <c r="AF396" s="286"/>
      <c r="AG396" s="286"/>
    </row>
    <row r="397" spans="2:33" x14ac:dyDescent="0.25">
      <c r="B397" s="368"/>
      <c r="C397" s="369"/>
      <c r="D397" s="369"/>
      <c r="E397" s="286"/>
      <c r="F397" s="286"/>
      <c r="G397" s="286"/>
      <c r="H397" s="286"/>
      <c r="I397" s="286"/>
      <c r="J397" s="286"/>
      <c r="K397" s="286"/>
      <c r="L397" s="286"/>
      <c r="M397" s="286"/>
      <c r="N397" s="286"/>
      <c r="O397" s="286"/>
      <c r="P397" s="286"/>
      <c r="Q397" s="286"/>
      <c r="R397" s="286"/>
      <c r="S397" s="286"/>
      <c r="T397" s="286"/>
      <c r="U397" s="286"/>
      <c r="V397" s="286"/>
      <c r="W397" s="286"/>
      <c r="X397" s="286"/>
      <c r="Y397" s="286"/>
      <c r="Z397" s="286"/>
      <c r="AA397" s="286"/>
      <c r="AB397" s="286"/>
      <c r="AC397" s="286"/>
      <c r="AD397" s="286"/>
      <c r="AF397" s="286"/>
      <c r="AG397" s="286"/>
    </row>
    <row r="398" spans="2:33" x14ac:dyDescent="0.25">
      <c r="B398" s="368"/>
      <c r="C398" s="369"/>
      <c r="D398" s="369"/>
      <c r="E398" s="286"/>
      <c r="F398" s="286"/>
      <c r="G398" s="286"/>
      <c r="H398" s="286"/>
      <c r="I398" s="286"/>
      <c r="J398" s="286"/>
      <c r="K398" s="286"/>
      <c r="L398" s="286"/>
      <c r="M398" s="286"/>
      <c r="N398" s="286"/>
      <c r="O398" s="286"/>
      <c r="P398" s="286"/>
      <c r="Q398" s="286"/>
      <c r="R398" s="286"/>
      <c r="S398" s="286"/>
      <c r="T398" s="286"/>
      <c r="U398" s="286"/>
      <c r="V398" s="286"/>
      <c r="W398" s="286"/>
      <c r="X398" s="286"/>
      <c r="Y398" s="286"/>
      <c r="Z398" s="286"/>
      <c r="AA398" s="286"/>
      <c r="AB398" s="286"/>
      <c r="AC398" s="286"/>
      <c r="AD398" s="286"/>
      <c r="AF398" s="286"/>
      <c r="AG398" s="286"/>
    </row>
    <row r="399" spans="2:33" x14ac:dyDescent="0.25">
      <c r="B399" s="368"/>
      <c r="C399" s="369"/>
      <c r="D399" s="369"/>
      <c r="E399" s="286"/>
      <c r="F399" s="286"/>
      <c r="G399" s="286"/>
      <c r="H399" s="286"/>
      <c r="I399" s="286"/>
      <c r="J399" s="286"/>
      <c r="K399" s="286"/>
      <c r="L399" s="286"/>
      <c r="M399" s="286"/>
      <c r="N399" s="286"/>
      <c r="O399" s="286"/>
      <c r="P399" s="286"/>
      <c r="Q399" s="286"/>
      <c r="R399" s="286"/>
      <c r="S399" s="286"/>
      <c r="T399" s="286"/>
      <c r="U399" s="286"/>
      <c r="V399" s="286"/>
      <c r="W399" s="286"/>
      <c r="X399" s="286"/>
      <c r="Y399" s="286"/>
      <c r="Z399" s="286"/>
      <c r="AA399" s="286"/>
      <c r="AB399" s="286"/>
      <c r="AC399" s="286"/>
      <c r="AD399" s="286"/>
      <c r="AF399" s="286"/>
      <c r="AG399" s="286"/>
    </row>
    <row r="400" spans="2:33" x14ac:dyDescent="0.25">
      <c r="B400" s="368"/>
      <c r="C400" s="369"/>
      <c r="D400" s="369"/>
      <c r="E400" s="286"/>
      <c r="F400" s="286"/>
      <c r="G400" s="286"/>
      <c r="H400" s="286"/>
      <c r="I400" s="286"/>
      <c r="J400" s="286"/>
      <c r="K400" s="286"/>
      <c r="L400" s="286"/>
      <c r="M400" s="286"/>
      <c r="N400" s="286"/>
      <c r="O400" s="286"/>
      <c r="P400" s="286"/>
      <c r="Q400" s="286"/>
      <c r="R400" s="286"/>
      <c r="S400" s="286"/>
      <c r="T400" s="286"/>
      <c r="U400" s="286"/>
      <c r="V400" s="286"/>
      <c r="W400" s="286"/>
      <c r="X400" s="286"/>
      <c r="Y400" s="286"/>
      <c r="Z400" s="286"/>
      <c r="AA400" s="286"/>
      <c r="AB400" s="286"/>
      <c r="AC400" s="286"/>
      <c r="AD400" s="286"/>
      <c r="AF400" s="286"/>
      <c r="AG400" s="286"/>
    </row>
    <row r="401" spans="2:33" x14ac:dyDescent="0.25">
      <c r="B401" s="368"/>
      <c r="C401" s="369"/>
      <c r="D401" s="369"/>
      <c r="E401" s="286"/>
      <c r="F401" s="286"/>
      <c r="G401" s="286"/>
      <c r="H401" s="286"/>
      <c r="I401" s="286"/>
      <c r="J401" s="286"/>
      <c r="K401" s="286"/>
      <c r="L401" s="286"/>
      <c r="M401" s="286"/>
      <c r="N401" s="286"/>
      <c r="O401" s="286"/>
      <c r="P401" s="286"/>
      <c r="Q401" s="286"/>
      <c r="R401" s="286"/>
      <c r="S401" s="286"/>
      <c r="T401" s="286"/>
      <c r="U401" s="286"/>
      <c r="V401" s="286"/>
      <c r="W401" s="286"/>
      <c r="X401" s="286"/>
      <c r="Y401" s="286"/>
      <c r="Z401" s="286"/>
      <c r="AA401" s="286"/>
      <c r="AB401" s="286"/>
      <c r="AC401" s="286"/>
      <c r="AD401" s="286"/>
      <c r="AF401" s="286"/>
      <c r="AG401" s="286"/>
    </row>
    <row r="402" spans="2:33" x14ac:dyDescent="0.25">
      <c r="B402" s="368"/>
      <c r="C402" s="369"/>
      <c r="D402" s="369"/>
      <c r="E402" s="286"/>
      <c r="F402" s="286"/>
      <c r="G402" s="286"/>
      <c r="H402" s="286"/>
      <c r="I402" s="286"/>
      <c r="J402" s="286"/>
      <c r="K402" s="286"/>
      <c r="L402" s="286"/>
      <c r="M402" s="286"/>
      <c r="N402" s="286"/>
      <c r="O402" s="286"/>
      <c r="P402" s="286"/>
      <c r="Q402" s="286"/>
      <c r="R402" s="286"/>
      <c r="S402" s="286"/>
      <c r="T402" s="286"/>
      <c r="U402" s="286"/>
      <c r="V402" s="286"/>
      <c r="W402" s="286"/>
      <c r="X402" s="286"/>
      <c r="Y402" s="286"/>
      <c r="Z402" s="286"/>
      <c r="AA402" s="286"/>
      <c r="AB402" s="286"/>
      <c r="AC402" s="286"/>
      <c r="AD402" s="286"/>
      <c r="AF402" s="286"/>
      <c r="AG402" s="286"/>
    </row>
    <row r="403" spans="2:33" x14ac:dyDescent="0.25">
      <c r="B403" s="368"/>
      <c r="C403" s="369"/>
      <c r="D403" s="369"/>
      <c r="E403" s="286"/>
      <c r="F403" s="286"/>
      <c r="G403" s="286"/>
      <c r="H403" s="286"/>
      <c r="I403" s="286"/>
      <c r="J403" s="286"/>
      <c r="K403" s="286"/>
      <c r="L403" s="286"/>
      <c r="M403" s="286"/>
      <c r="N403" s="286"/>
      <c r="O403" s="286"/>
      <c r="P403" s="286"/>
      <c r="Q403" s="286"/>
      <c r="R403" s="286"/>
      <c r="S403" s="286"/>
      <c r="T403" s="286"/>
      <c r="U403" s="286"/>
      <c r="V403" s="286"/>
      <c r="W403" s="286"/>
      <c r="X403" s="286"/>
      <c r="Y403" s="286"/>
      <c r="Z403" s="286"/>
      <c r="AA403" s="286"/>
      <c r="AB403" s="286"/>
      <c r="AC403" s="286"/>
      <c r="AD403" s="286"/>
      <c r="AF403" s="286"/>
      <c r="AG403" s="286"/>
    </row>
  </sheetData>
  <pageMargins left="0.7" right="0.7" top="0.75" bottom="0.75" header="0.3" footer="0.3"/>
  <pageSetup scale="66" orientation="landscape" horizontalDpi="300" verticalDpi="300" r:id="rId1"/>
  <headerFooter>
    <oddHeader>&amp;RNWN's Advice 19-06A
Exhibit A - Supporting Materials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showGridLines="0" view="pageLayout" zoomScaleNormal="100" workbookViewId="0">
      <selection activeCell="F52" sqref="F52"/>
    </sheetView>
  </sheetViews>
  <sheetFormatPr defaultColWidth="9.109375" defaultRowHeight="14.4" x14ac:dyDescent="0.3"/>
  <cols>
    <col min="1" max="1" width="9.109375" style="444"/>
    <col min="2" max="2" width="22.109375" style="444" customWidth="1"/>
    <col min="3" max="3" width="28.44140625" style="444" customWidth="1"/>
    <col min="4" max="4" width="16.6640625" style="444" customWidth="1"/>
    <col min="5" max="5" width="4.6640625" style="444" customWidth="1"/>
    <col min="6" max="6" width="16.6640625" style="444" customWidth="1"/>
    <col min="7" max="22" width="13.6640625" style="444" customWidth="1"/>
    <col min="23" max="16384" width="9.109375" style="444"/>
  </cols>
  <sheetData>
    <row r="1" spans="1:13" x14ac:dyDescent="0.3">
      <c r="A1" s="255" t="s">
        <v>0</v>
      </c>
      <c r="B1" s="376"/>
      <c r="C1" s="376"/>
      <c r="D1" s="376"/>
      <c r="E1" s="376"/>
      <c r="F1" s="4" t="s">
        <v>272</v>
      </c>
      <c r="K1" s="2"/>
      <c r="M1" s="2"/>
    </row>
    <row r="2" spans="1:13" x14ac:dyDescent="0.3">
      <c r="A2" s="255" t="s">
        <v>205</v>
      </c>
      <c r="B2" s="376"/>
      <c r="C2" s="376"/>
      <c r="D2" s="376"/>
      <c r="E2" s="376"/>
      <c r="F2" s="376"/>
    </row>
    <row r="3" spans="1:13" x14ac:dyDescent="0.3">
      <c r="A3" s="255" t="s">
        <v>273</v>
      </c>
      <c r="B3" s="376"/>
      <c r="C3" s="376"/>
      <c r="D3" s="376"/>
      <c r="E3" s="376"/>
      <c r="F3" s="376"/>
    </row>
    <row r="4" spans="1:13" x14ac:dyDescent="0.3">
      <c r="A4" s="448" t="s">
        <v>207</v>
      </c>
      <c r="B4" s="376"/>
      <c r="C4" s="376"/>
      <c r="D4" s="376"/>
      <c r="E4" s="376"/>
      <c r="F4" s="376"/>
    </row>
    <row r="5" spans="1:13" x14ac:dyDescent="0.3">
      <c r="A5" s="376"/>
      <c r="B5" s="376"/>
      <c r="C5" s="376"/>
      <c r="D5" s="376"/>
      <c r="E5" s="376"/>
      <c r="F5" s="376"/>
    </row>
    <row r="6" spans="1:13" x14ac:dyDescent="0.3">
      <c r="A6" s="360" t="s">
        <v>274</v>
      </c>
      <c r="B6" s="314"/>
      <c r="C6" s="4"/>
      <c r="D6" s="376"/>
      <c r="E6" s="376"/>
      <c r="F6" s="376"/>
    </row>
    <row r="7" spans="1:13" x14ac:dyDescent="0.3">
      <c r="A7" s="376"/>
      <c r="B7" s="314"/>
      <c r="C7" s="4"/>
      <c r="D7" s="376"/>
      <c r="E7" s="376"/>
      <c r="F7" s="376"/>
    </row>
    <row r="8" spans="1:13" x14ac:dyDescent="0.3">
      <c r="A8" s="360"/>
      <c r="B8" s="376"/>
      <c r="C8" s="376"/>
      <c r="D8" s="376"/>
      <c r="E8" s="376"/>
      <c r="F8" s="376"/>
    </row>
    <row r="9" spans="1:13" x14ac:dyDescent="0.3">
      <c r="A9" s="86">
        <v>1</v>
      </c>
      <c r="B9" s="376"/>
      <c r="C9" s="376"/>
      <c r="D9" s="449" t="s">
        <v>275</v>
      </c>
      <c r="E9" s="449"/>
      <c r="F9" s="449" t="s">
        <v>276</v>
      </c>
    </row>
    <row r="10" spans="1:13" x14ac:dyDescent="0.3">
      <c r="A10" s="86">
        <v>2</v>
      </c>
      <c r="B10" s="376"/>
      <c r="C10" s="376"/>
      <c r="D10" s="449" t="s">
        <v>277</v>
      </c>
      <c r="E10" s="449"/>
      <c r="F10" s="449" t="s">
        <v>277</v>
      </c>
    </row>
    <row r="11" spans="1:13" x14ac:dyDescent="0.3">
      <c r="A11" s="86">
        <v>3</v>
      </c>
      <c r="B11" s="372" t="s">
        <v>147</v>
      </c>
      <c r="C11" s="372" t="s">
        <v>148</v>
      </c>
      <c r="D11" s="372" t="s">
        <v>149</v>
      </c>
      <c r="E11" s="372"/>
      <c r="F11" s="372" t="s">
        <v>150</v>
      </c>
      <c r="G11" s="372"/>
      <c r="H11" s="372"/>
    </row>
    <row r="12" spans="1:13" x14ac:dyDescent="0.3">
      <c r="A12" s="86">
        <v>4</v>
      </c>
      <c r="B12" s="4" t="s">
        <v>278</v>
      </c>
      <c r="C12" s="376"/>
      <c r="D12" s="450">
        <v>78733874.667011827</v>
      </c>
      <c r="E12" s="376"/>
      <c r="F12" s="376"/>
    </row>
    <row r="13" spans="1:13" x14ac:dyDescent="0.3">
      <c r="A13" s="86">
        <v>5</v>
      </c>
      <c r="B13" s="406" t="s">
        <v>279</v>
      </c>
      <c r="C13" s="406"/>
      <c r="D13" s="451">
        <v>0.11</v>
      </c>
      <c r="E13" s="376"/>
      <c r="F13" s="376"/>
    </row>
    <row r="14" spans="1:13" x14ac:dyDescent="0.3">
      <c r="A14" s="86">
        <v>6</v>
      </c>
      <c r="B14" s="406" t="s">
        <v>280</v>
      </c>
      <c r="C14" s="406"/>
      <c r="D14" s="452">
        <v>8660726</v>
      </c>
      <c r="E14" s="376"/>
      <c r="F14" s="376"/>
    </row>
    <row r="15" spans="1:13" x14ac:dyDescent="0.3">
      <c r="A15" s="86">
        <v>7</v>
      </c>
      <c r="B15" s="376"/>
      <c r="C15" s="376"/>
      <c r="D15" s="376"/>
      <c r="E15" s="376"/>
      <c r="F15" s="376"/>
    </row>
    <row r="16" spans="1:13" x14ac:dyDescent="0.3">
      <c r="A16" s="86">
        <v>8</v>
      </c>
      <c r="B16" s="4" t="s">
        <v>281</v>
      </c>
      <c r="C16" s="376"/>
      <c r="D16" s="453">
        <v>81036635</v>
      </c>
      <c r="E16" s="376"/>
      <c r="F16" s="376"/>
    </row>
    <row r="17" spans="1:8" x14ac:dyDescent="0.3">
      <c r="A17" s="86">
        <v>9</v>
      </c>
      <c r="B17" s="4" t="s">
        <v>282</v>
      </c>
      <c r="C17" s="376"/>
      <c r="D17" s="453">
        <v>1267706</v>
      </c>
      <c r="E17" s="376"/>
      <c r="F17" s="376"/>
    </row>
    <row r="18" spans="1:8" x14ac:dyDescent="0.3">
      <c r="A18" s="86">
        <v>10</v>
      </c>
      <c r="B18" s="376"/>
      <c r="C18" s="376"/>
      <c r="D18" s="376"/>
      <c r="E18" s="376"/>
      <c r="F18" s="376"/>
    </row>
    <row r="19" spans="1:8" x14ac:dyDescent="0.3">
      <c r="A19" s="86">
        <v>11</v>
      </c>
      <c r="B19" s="376"/>
      <c r="C19" s="376"/>
      <c r="D19" s="376"/>
      <c r="E19" s="376"/>
      <c r="F19" s="376"/>
    </row>
    <row r="20" spans="1:8" x14ac:dyDescent="0.3">
      <c r="A20" s="86">
        <v>12</v>
      </c>
      <c r="B20" s="376" t="s">
        <v>283</v>
      </c>
      <c r="C20" s="376"/>
      <c r="D20" s="454">
        <v>0.10629</v>
      </c>
      <c r="E20" s="376"/>
      <c r="F20" s="454">
        <v>0.1109</v>
      </c>
      <c r="G20" s="455"/>
    </row>
    <row r="21" spans="1:8" x14ac:dyDescent="0.3">
      <c r="A21" s="86">
        <v>13</v>
      </c>
      <c r="B21" s="376" t="s">
        <v>284</v>
      </c>
      <c r="C21" s="376"/>
      <c r="D21" s="454">
        <v>3.7130000000000003E-2</v>
      </c>
      <c r="E21" s="376"/>
      <c r="F21" s="454">
        <v>3.8739999999999997E-2</v>
      </c>
      <c r="G21" s="455"/>
    </row>
    <row r="22" spans="1:8" x14ac:dyDescent="0.3">
      <c r="A22" s="86">
        <v>14</v>
      </c>
      <c r="B22" s="376" t="s">
        <v>285</v>
      </c>
      <c r="C22" s="376"/>
      <c r="D22" s="456">
        <v>1.59</v>
      </c>
      <c r="E22" s="376"/>
      <c r="F22" s="456">
        <v>1.66</v>
      </c>
    </row>
    <row r="23" spans="1:8" x14ac:dyDescent="0.3">
      <c r="A23" s="86">
        <v>15</v>
      </c>
      <c r="B23" s="376"/>
      <c r="C23" s="376"/>
      <c r="D23" s="376"/>
      <c r="E23" s="376"/>
      <c r="F23" s="376"/>
    </row>
    <row r="24" spans="1:8" x14ac:dyDescent="0.3">
      <c r="A24" s="86">
        <v>16</v>
      </c>
      <c r="B24" s="376" t="s">
        <v>286</v>
      </c>
      <c r="C24" s="376"/>
      <c r="D24" s="454">
        <v>0.10643</v>
      </c>
      <c r="E24" s="376"/>
      <c r="F24" s="454">
        <v>0.1113</v>
      </c>
      <c r="H24" s="455"/>
    </row>
    <row r="25" spans="1:8" x14ac:dyDescent="0.3">
      <c r="A25" s="86">
        <v>17</v>
      </c>
      <c r="B25" s="376" t="s">
        <v>287</v>
      </c>
      <c r="C25" s="376"/>
      <c r="D25" s="454">
        <v>3.7179999999999998E-2</v>
      </c>
      <c r="E25" s="376"/>
      <c r="F25" s="454">
        <v>3.8879999999999998E-2</v>
      </c>
      <c r="G25" s="455"/>
    </row>
    <row r="26" spans="1:8" x14ac:dyDescent="0.3">
      <c r="A26" s="86">
        <v>18</v>
      </c>
      <c r="B26" s="376" t="s">
        <v>288</v>
      </c>
      <c r="C26" s="376"/>
      <c r="D26" s="456">
        <v>1.59</v>
      </c>
      <c r="E26" s="456"/>
      <c r="F26" s="456">
        <v>1.66</v>
      </c>
    </row>
    <row r="27" spans="1:8" x14ac:dyDescent="0.3">
      <c r="A27" s="86">
        <v>19</v>
      </c>
      <c r="B27" s="376"/>
      <c r="C27" s="376"/>
      <c r="D27" s="376"/>
      <c r="E27" s="376"/>
      <c r="F27" s="376"/>
    </row>
    <row r="28" spans="1:8" x14ac:dyDescent="0.3">
      <c r="A28" s="86">
        <v>20</v>
      </c>
      <c r="B28" s="376" t="s">
        <v>289</v>
      </c>
      <c r="C28" s="406"/>
      <c r="D28" s="457">
        <v>-1.2999999999999999E-3</v>
      </c>
      <c r="E28" s="406"/>
      <c r="F28" s="458"/>
    </row>
    <row r="29" spans="1:8" x14ac:dyDescent="0.3">
      <c r="A29" s="86">
        <v>21</v>
      </c>
      <c r="B29" s="376"/>
      <c r="C29" s="406"/>
      <c r="D29" s="406"/>
      <c r="E29" s="406"/>
      <c r="F29" s="376"/>
    </row>
    <row r="30" spans="1:8" x14ac:dyDescent="0.3">
      <c r="A30" s="86">
        <v>22</v>
      </c>
      <c r="B30" s="376"/>
      <c r="C30" s="406"/>
      <c r="D30" s="406"/>
      <c r="E30" s="406"/>
      <c r="F30" s="376"/>
    </row>
    <row r="31" spans="1:8" x14ac:dyDescent="0.3">
      <c r="A31" s="86">
        <v>23</v>
      </c>
      <c r="B31" s="102" t="s">
        <v>290</v>
      </c>
      <c r="C31" s="406"/>
      <c r="D31" s="406"/>
      <c r="E31" s="406"/>
      <c r="F31" s="376"/>
    </row>
    <row r="32" spans="1:8" x14ac:dyDescent="0.3">
      <c r="A32" s="86">
        <v>24</v>
      </c>
      <c r="B32" s="376"/>
      <c r="C32" s="446" t="s">
        <v>68</v>
      </c>
      <c r="D32" s="446" t="s">
        <v>291</v>
      </c>
      <c r="E32" s="446"/>
      <c r="F32" s="447" t="s">
        <v>292</v>
      </c>
    </row>
    <row r="33" spans="1:8" x14ac:dyDescent="0.3">
      <c r="A33" s="86">
        <v>25</v>
      </c>
      <c r="B33" s="4" t="s">
        <v>293</v>
      </c>
      <c r="C33" s="459">
        <v>81036635</v>
      </c>
      <c r="D33" s="459">
        <v>655866287.28500378</v>
      </c>
      <c r="E33" s="406"/>
      <c r="F33" s="453">
        <v>736902922.28500378</v>
      </c>
    </row>
    <row r="34" spans="1:8" x14ac:dyDescent="0.3">
      <c r="A34" s="86">
        <v>26</v>
      </c>
      <c r="B34" s="376"/>
      <c r="C34" s="451">
        <v>0.11</v>
      </c>
      <c r="D34" s="451">
        <v>0.89</v>
      </c>
      <c r="E34" s="406"/>
      <c r="F34" s="460">
        <v>1</v>
      </c>
    </row>
    <row r="35" spans="1:8" x14ac:dyDescent="0.3">
      <c r="A35" s="86">
        <v>27</v>
      </c>
      <c r="B35" s="376"/>
      <c r="C35" s="451"/>
      <c r="D35" s="451"/>
      <c r="E35" s="406"/>
      <c r="F35" s="460"/>
    </row>
    <row r="36" spans="1:8" x14ac:dyDescent="0.3">
      <c r="A36" s="86">
        <v>28</v>
      </c>
      <c r="B36" s="4" t="s">
        <v>294</v>
      </c>
      <c r="C36" s="451"/>
      <c r="D36" s="451"/>
      <c r="E36" s="406"/>
      <c r="F36" s="460"/>
    </row>
    <row r="37" spans="1:8" x14ac:dyDescent="0.3">
      <c r="A37" s="86">
        <v>29</v>
      </c>
      <c r="B37" s="376"/>
      <c r="C37" s="406"/>
      <c r="D37" s="406"/>
      <c r="E37" s="406"/>
      <c r="F37" s="376"/>
    </row>
    <row r="38" spans="1:8" x14ac:dyDescent="0.3">
      <c r="A38" s="86">
        <v>30</v>
      </c>
      <c r="B38" s="376" t="s">
        <v>295</v>
      </c>
      <c r="C38" s="406"/>
      <c r="D38" s="461">
        <v>0.99871591429728002</v>
      </c>
      <c r="E38" s="406"/>
      <c r="F38" s="376"/>
    </row>
    <row r="39" spans="1:8" x14ac:dyDescent="0.3">
      <c r="A39" s="86">
        <v>31</v>
      </c>
      <c r="B39" s="376"/>
      <c r="C39" s="406"/>
      <c r="D39" s="406"/>
      <c r="E39" s="406"/>
      <c r="F39" s="376"/>
    </row>
    <row r="40" spans="1:8" x14ac:dyDescent="0.3">
      <c r="A40" s="86">
        <v>32</v>
      </c>
      <c r="B40" s="4" t="s">
        <v>296</v>
      </c>
      <c r="C40" s="406"/>
      <c r="D40" s="462">
        <v>0.10629333475865951</v>
      </c>
      <c r="E40" s="406"/>
      <c r="F40" s="450">
        <v>8613654</v>
      </c>
    </row>
    <row r="41" spans="1:8" x14ac:dyDescent="0.3">
      <c r="A41" s="86">
        <v>33</v>
      </c>
      <c r="B41" s="4" t="s">
        <v>297</v>
      </c>
      <c r="C41" s="376"/>
      <c r="D41" s="454">
        <v>3.7131999999999998E-2</v>
      </c>
      <c r="E41" s="376"/>
      <c r="F41" s="463">
        <v>47072</v>
      </c>
    </row>
    <row r="42" spans="1:8" x14ac:dyDescent="0.3">
      <c r="A42" s="86">
        <v>34</v>
      </c>
      <c r="B42" s="376"/>
      <c r="C42" s="376"/>
      <c r="D42" s="376"/>
      <c r="E42" s="376"/>
      <c r="F42" s="450">
        <v>8660726</v>
      </c>
    </row>
    <row r="43" spans="1:8" x14ac:dyDescent="0.3">
      <c r="A43" s="86">
        <v>35</v>
      </c>
      <c r="B43" s="376"/>
      <c r="C43" s="376"/>
      <c r="D43" s="376"/>
      <c r="E43" s="376"/>
      <c r="F43" s="46">
        <v>0</v>
      </c>
      <c r="H43" s="2"/>
    </row>
    <row r="49" spans="6:6" x14ac:dyDescent="0.3">
      <c r="F49" s="464"/>
    </row>
    <row r="81" spans="2:2" x14ac:dyDescent="0.3">
      <c r="B81" s="472"/>
    </row>
  </sheetData>
  <pageMargins left="0.7" right="0.7" top="0.75" bottom="0.75" header="0.3" footer="0.3"/>
  <pageSetup scale="66" orientation="landscape" horizontalDpi="300" verticalDpi="300" r:id="rId1"/>
  <headerFooter>
    <oddHeader>&amp;RNWN's Advice 19-06A
Exhibit A - Supporting Materials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showGridLines="0" view="pageLayout" zoomScaleNormal="100" workbookViewId="0">
      <selection activeCell="F52" sqref="F52"/>
    </sheetView>
  </sheetViews>
  <sheetFormatPr defaultColWidth="9.33203125" defaultRowHeight="14.4" x14ac:dyDescent="0.3"/>
  <cols>
    <col min="1" max="1" width="5.6640625" style="444" customWidth="1"/>
    <col min="2" max="3" width="18.6640625" style="444" customWidth="1"/>
    <col min="4" max="5" width="14.6640625" style="444" customWidth="1"/>
    <col min="6" max="22" width="13.6640625" style="444" customWidth="1"/>
    <col min="23" max="16384" width="9.33203125" style="444"/>
  </cols>
  <sheetData>
    <row r="1" spans="1:4" x14ac:dyDescent="0.3">
      <c r="A1" s="255" t="s">
        <v>0</v>
      </c>
    </row>
    <row r="2" spans="1:4" x14ac:dyDescent="0.3">
      <c r="A2" s="255" t="s">
        <v>205</v>
      </c>
    </row>
    <row r="3" spans="1:4" x14ac:dyDescent="0.3">
      <c r="A3" s="255" t="s">
        <v>298</v>
      </c>
    </row>
    <row r="4" spans="1:4" x14ac:dyDescent="0.3">
      <c r="A4" s="2" t="s">
        <v>299</v>
      </c>
    </row>
    <row r="9" spans="1:4" x14ac:dyDescent="0.3">
      <c r="A9" s="465">
        <v>1</v>
      </c>
      <c r="B9" s="444" t="s">
        <v>300</v>
      </c>
    </row>
    <row r="10" spans="1:4" x14ac:dyDescent="0.3">
      <c r="A10" s="465">
        <v>2</v>
      </c>
      <c r="D10" s="468"/>
    </row>
    <row r="11" spans="1:4" x14ac:dyDescent="0.3">
      <c r="A11" s="465">
        <v>3</v>
      </c>
      <c r="C11" s="469" t="s">
        <v>301</v>
      </c>
    </row>
    <row r="12" spans="1:4" x14ac:dyDescent="0.3">
      <c r="A12" s="465">
        <v>4</v>
      </c>
      <c r="C12" s="470"/>
    </row>
    <row r="13" spans="1:4" x14ac:dyDescent="0.3">
      <c r="A13" s="465">
        <v>5</v>
      </c>
      <c r="B13" s="444" t="s">
        <v>216</v>
      </c>
      <c r="C13" s="466">
        <v>0.13461222222222224</v>
      </c>
    </row>
    <row r="14" spans="1:4" x14ac:dyDescent="0.3">
      <c r="A14" s="465">
        <v>6</v>
      </c>
      <c r="B14" s="444" t="s">
        <v>217</v>
      </c>
      <c r="C14" s="466">
        <v>0.16307111111111114</v>
      </c>
    </row>
    <row r="15" spans="1:4" x14ac:dyDescent="0.3">
      <c r="A15" s="465">
        <v>7</v>
      </c>
      <c r="B15" s="444" t="s">
        <v>218</v>
      </c>
      <c r="C15" s="466">
        <v>0.17214777777777776</v>
      </c>
    </row>
    <row r="16" spans="1:4" x14ac:dyDescent="0.3">
      <c r="A16" s="465">
        <v>8</v>
      </c>
      <c r="B16" s="444" t="s">
        <v>219</v>
      </c>
      <c r="C16" s="466">
        <v>0.16830111111111107</v>
      </c>
    </row>
    <row r="17" spans="1:5" x14ac:dyDescent="0.3">
      <c r="A17" s="465">
        <v>9</v>
      </c>
      <c r="B17" s="444" t="s">
        <v>220</v>
      </c>
      <c r="C17" s="466">
        <v>0.13652888888888887</v>
      </c>
    </row>
    <row r="18" spans="1:5" x14ac:dyDescent="0.3">
      <c r="A18" s="465">
        <v>10</v>
      </c>
      <c r="B18" s="444" t="s">
        <v>221</v>
      </c>
      <c r="C18" s="466">
        <v>0.10972222222222225</v>
      </c>
    </row>
    <row r="19" spans="1:5" x14ac:dyDescent="0.3">
      <c r="A19" s="465">
        <v>11</v>
      </c>
      <c r="B19" s="444" t="s">
        <v>222</v>
      </c>
      <c r="C19" s="466">
        <v>0.1017511111111111</v>
      </c>
    </row>
    <row r="20" spans="1:5" x14ac:dyDescent="0.3">
      <c r="A20" s="465">
        <v>12</v>
      </c>
      <c r="B20" s="444" t="s">
        <v>223</v>
      </c>
      <c r="C20" s="466">
        <v>0.10004444444444449</v>
      </c>
    </row>
    <row r="21" spans="1:5" x14ac:dyDescent="0.3">
      <c r="A21" s="465">
        <v>13</v>
      </c>
      <c r="B21" s="444" t="s">
        <v>224</v>
      </c>
      <c r="C21" s="466">
        <v>0.1028355555555556</v>
      </c>
    </row>
    <row r="22" spans="1:5" x14ac:dyDescent="0.3">
      <c r="A22" s="465">
        <v>14</v>
      </c>
      <c r="B22" s="444" t="s">
        <v>225</v>
      </c>
      <c r="C22" s="466">
        <v>0.1031366666666667</v>
      </c>
    </row>
    <row r="23" spans="1:5" x14ac:dyDescent="0.3">
      <c r="A23" s="465">
        <v>15</v>
      </c>
      <c r="B23" s="444" t="s">
        <v>226</v>
      </c>
      <c r="C23" s="466">
        <v>0.10608111111111111</v>
      </c>
    </row>
    <row r="24" spans="1:5" x14ac:dyDescent="0.3">
      <c r="A24" s="465">
        <v>16</v>
      </c>
      <c r="B24" s="444" t="s">
        <v>227</v>
      </c>
      <c r="C24" s="466">
        <v>0.1240477777777778</v>
      </c>
    </row>
    <row r="25" spans="1:5" x14ac:dyDescent="0.3">
      <c r="A25" s="465">
        <v>17</v>
      </c>
    </row>
    <row r="26" spans="1:5" x14ac:dyDescent="0.3">
      <c r="A26" s="465">
        <v>18</v>
      </c>
    </row>
    <row r="27" spans="1:5" x14ac:dyDescent="0.3">
      <c r="A27" s="465">
        <v>19</v>
      </c>
      <c r="B27" s="444" t="s">
        <v>302</v>
      </c>
      <c r="D27" s="471">
        <v>0.15493000000000001</v>
      </c>
      <c r="E27" s="57" t="s">
        <v>303</v>
      </c>
    </row>
    <row r="28" spans="1:5" x14ac:dyDescent="0.3">
      <c r="A28" s="465">
        <v>20</v>
      </c>
      <c r="D28" s="472"/>
    </row>
    <row r="29" spans="1:5" x14ac:dyDescent="0.3">
      <c r="A29" s="465">
        <v>21</v>
      </c>
      <c r="B29" s="444" t="s">
        <v>304</v>
      </c>
      <c r="D29" s="471">
        <v>0.12686</v>
      </c>
      <c r="E29" s="57" t="s">
        <v>305</v>
      </c>
    </row>
    <row r="30" spans="1:5" x14ac:dyDescent="0.3">
      <c r="A30" s="465">
        <v>22</v>
      </c>
      <c r="D30" s="472"/>
    </row>
    <row r="31" spans="1:5" x14ac:dyDescent="0.3">
      <c r="A31" s="465">
        <v>23</v>
      </c>
      <c r="B31" s="444" t="s">
        <v>306</v>
      </c>
      <c r="D31" s="472">
        <v>1.2212700000000001</v>
      </c>
      <c r="E31" s="57" t="s">
        <v>307</v>
      </c>
    </row>
    <row r="32" spans="1:5" x14ac:dyDescent="0.3">
      <c r="A32" s="465">
        <v>24</v>
      </c>
    </row>
    <row r="33" spans="1:8" x14ac:dyDescent="0.3">
      <c r="A33" s="465">
        <v>25</v>
      </c>
      <c r="D33" s="472" t="s">
        <v>308</v>
      </c>
      <c r="E33" s="472" t="s">
        <v>309</v>
      </c>
    </row>
    <row r="34" spans="1:8" x14ac:dyDescent="0.3">
      <c r="A34" s="465">
        <v>26</v>
      </c>
      <c r="D34" s="467" t="s">
        <v>310</v>
      </c>
      <c r="E34" s="467" t="s">
        <v>310</v>
      </c>
    </row>
    <row r="35" spans="1:8" x14ac:dyDescent="0.3">
      <c r="A35" s="465" t="s">
        <v>311</v>
      </c>
      <c r="B35" s="2" t="s">
        <v>312</v>
      </c>
      <c r="D35" s="471">
        <v>0.19447</v>
      </c>
      <c r="E35" s="471">
        <v>0.20291000000000001</v>
      </c>
      <c r="G35" s="473"/>
    </row>
    <row r="36" spans="1:8" x14ac:dyDescent="0.3">
      <c r="A36" s="465" t="s">
        <v>311</v>
      </c>
      <c r="B36" s="2" t="s">
        <v>313</v>
      </c>
      <c r="D36" s="471">
        <v>0.23749999999999999</v>
      </c>
      <c r="E36" s="471">
        <v>0.24779999999999999</v>
      </c>
    </row>
    <row r="37" spans="1:8" x14ac:dyDescent="0.3">
      <c r="A37" s="465"/>
      <c r="D37" s="465" t="s">
        <v>314</v>
      </c>
      <c r="F37" s="2"/>
      <c r="G37" s="2"/>
    </row>
    <row r="38" spans="1:8" x14ac:dyDescent="0.3">
      <c r="A38" s="465"/>
      <c r="D38" s="471"/>
      <c r="E38" s="471"/>
      <c r="F38" s="473"/>
      <c r="G38" s="474"/>
      <c r="H38" s="474"/>
    </row>
    <row r="39" spans="1:8" x14ac:dyDescent="0.3">
      <c r="A39" s="465"/>
      <c r="D39" s="471"/>
      <c r="E39" s="471"/>
    </row>
    <row r="40" spans="1:8" x14ac:dyDescent="0.3">
      <c r="A40" s="465"/>
      <c r="D40" s="465"/>
    </row>
    <row r="41" spans="1:8" x14ac:dyDescent="0.3">
      <c r="A41" s="465"/>
    </row>
    <row r="42" spans="1:8" x14ac:dyDescent="0.3">
      <c r="A42" s="465"/>
    </row>
    <row r="43" spans="1:8" x14ac:dyDescent="0.3">
      <c r="A43" s="465"/>
    </row>
    <row r="44" spans="1:8" x14ac:dyDescent="0.3">
      <c r="A44" s="465"/>
    </row>
    <row r="81" spans="2:2" x14ac:dyDescent="0.3">
      <c r="B81" s="472"/>
    </row>
  </sheetData>
  <pageMargins left="0.7" right="0.7" top="0.75" bottom="0.75" header="0.3" footer="0.3"/>
  <pageSetup scale="66" orientation="landscape" horizontalDpi="300" verticalDpi="300" r:id="rId1"/>
  <headerFooter>
    <oddHeader>&amp;RNWN's Advice 19-06A
Exhibit A - Supporting Materials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view="pageLayout" zoomScaleNormal="100" workbookViewId="0">
      <selection activeCell="E39" sqref="E39"/>
    </sheetView>
  </sheetViews>
  <sheetFormatPr defaultColWidth="9.109375" defaultRowHeight="14.4" x14ac:dyDescent="0.3"/>
  <cols>
    <col min="1" max="4" width="9.109375" style="444"/>
    <col min="5" max="5" width="26.109375" style="444" customWidth="1"/>
    <col min="6" max="6" width="24.109375" style="444" customWidth="1"/>
    <col min="7" max="7" width="4.6640625" style="444" customWidth="1"/>
    <col min="8" max="8" width="44.6640625" style="444" customWidth="1"/>
    <col min="9" max="16384" width="9.109375" style="444"/>
  </cols>
  <sheetData>
    <row r="1" spans="1:8" x14ac:dyDescent="0.3">
      <c r="A1" s="1" t="s">
        <v>0</v>
      </c>
      <c r="B1" s="2"/>
      <c r="C1" s="2"/>
      <c r="D1" s="2"/>
      <c r="E1" s="2"/>
      <c r="F1" s="2"/>
      <c r="G1" s="2"/>
    </row>
    <row r="2" spans="1:8" x14ac:dyDescent="0.3">
      <c r="A2" s="1" t="s">
        <v>1</v>
      </c>
      <c r="B2" s="2"/>
      <c r="C2" s="2"/>
      <c r="D2" s="2"/>
      <c r="E2" s="2"/>
      <c r="F2" s="2"/>
      <c r="G2" s="2"/>
    </row>
    <row r="3" spans="1:8" x14ac:dyDescent="0.3">
      <c r="A3" s="488" t="s">
        <v>315</v>
      </c>
      <c r="B3" s="7"/>
      <c r="C3" s="7"/>
      <c r="D3" s="7"/>
      <c r="E3" s="7"/>
      <c r="F3" s="7"/>
      <c r="G3" s="7"/>
    </row>
    <row r="4" spans="1:8" x14ac:dyDescent="0.3">
      <c r="A4" s="488" t="s">
        <v>316</v>
      </c>
      <c r="B4" s="7"/>
      <c r="C4" s="7"/>
      <c r="D4" s="7"/>
      <c r="E4" s="7"/>
      <c r="F4" s="7"/>
      <c r="G4" s="7"/>
    </row>
    <row r="5" spans="1:8" x14ac:dyDescent="0.3">
      <c r="A5" s="60"/>
      <c r="B5" s="2"/>
      <c r="C5" s="2"/>
      <c r="D5" s="2"/>
      <c r="E5" s="2"/>
      <c r="F5" s="2"/>
      <c r="G5" s="2"/>
    </row>
    <row r="6" spans="1:8" x14ac:dyDescent="0.3">
      <c r="A6" s="2"/>
      <c r="B6" s="2"/>
      <c r="C6" s="2"/>
      <c r="D6" s="2"/>
      <c r="E6" s="2"/>
      <c r="F6" s="2"/>
      <c r="G6" s="2"/>
    </row>
    <row r="7" spans="1:8" x14ac:dyDescent="0.3">
      <c r="A7" s="9">
        <v>1</v>
      </c>
      <c r="B7" s="2"/>
      <c r="C7" s="2"/>
      <c r="D7" s="2"/>
      <c r="E7" s="2"/>
      <c r="F7" s="479" t="s">
        <v>317</v>
      </c>
      <c r="G7" s="2"/>
      <c r="H7" s="479"/>
    </row>
    <row r="8" spans="1:8" x14ac:dyDescent="0.3">
      <c r="A8" s="9">
        <f>+A7+1</f>
        <v>2</v>
      </c>
      <c r="B8" s="2"/>
      <c r="C8" s="2"/>
      <c r="D8" s="2"/>
      <c r="E8" s="2"/>
      <c r="F8" s="52"/>
      <c r="G8" s="2"/>
      <c r="H8" s="57"/>
    </row>
    <row r="9" spans="1:8" x14ac:dyDescent="0.3">
      <c r="A9" s="9">
        <f t="shared" ref="A9:A26" si="0">+A8+1</f>
        <v>3</v>
      </c>
      <c r="B9" s="53" t="s">
        <v>318</v>
      </c>
      <c r="C9" s="2"/>
      <c r="D9" s="2"/>
      <c r="E9" s="2"/>
      <c r="F9" s="52"/>
      <c r="G9" s="2"/>
      <c r="H9" s="57"/>
    </row>
    <row r="10" spans="1:8" x14ac:dyDescent="0.3">
      <c r="A10" s="9">
        <f t="shared" si="0"/>
        <v>4</v>
      </c>
      <c r="B10" s="53"/>
      <c r="C10" s="2"/>
      <c r="D10" s="2"/>
      <c r="E10" s="2"/>
      <c r="F10" s="52"/>
      <c r="G10" s="2"/>
      <c r="H10" s="57"/>
    </row>
    <row r="11" spans="1:8" x14ac:dyDescent="0.3">
      <c r="A11" s="9">
        <f t="shared" si="0"/>
        <v>5</v>
      </c>
      <c r="B11" s="480" t="s">
        <v>319</v>
      </c>
      <c r="C11" s="2"/>
      <c r="D11" s="2"/>
      <c r="E11" s="2"/>
      <c r="F11" s="2"/>
      <c r="G11" s="2"/>
      <c r="H11" s="57"/>
    </row>
    <row r="12" spans="1:8" x14ac:dyDescent="0.3">
      <c r="A12" s="9">
        <f t="shared" si="0"/>
        <v>6</v>
      </c>
      <c r="B12" s="7" t="s">
        <v>320</v>
      </c>
      <c r="C12" s="2"/>
      <c r="D12" s="2"/>
      <c r="E12" s="2"/>
      <c r="F12" s="249">
        <v>4199193</v>
      </c>
      <c r="G12" s="2"/>
      <c r="H12" s="481"/>
    </row>
    <row r="13" spans="1:8" x14ac:dyDescent="0.3">
      <c r="A13" s="9">
        <f t="shared" si="0"/>
        <v>7</v>
      </c>
      <c r="B13" s="2"/>
      <c r="C13" s="2"/>
      <c r="D13" s="2"/>
      <c r="E13" s="2"/>
      <c r="F13" s="52"/>
      <c r="G13" s="2"/>
      <c r="H13" s="481"/>
    </row>
    <row r="14" spans="1:8" x14ac:dyDescent="0.3">
      <c r="A14" s="9">
        <f t="shared" si="0"/>
        <v>8</v>
      </c>
      <c r="B14" s="480" t="s">
        <v>321</v>
      </c>
      <c r="C14" s="2"/>
      <c r="D14" s="2"/>
      <c r="E14" s="2"/>
      <c r="F14" s="2"/>
      <c r="G14" s="2"/>
      <c r="H14" s="481"/>
    </row>
    <row r="15" spans="1:8" x14ac:dyDescent="0.3">
      <c r="A15" s="9">
        <f t="shared" si="0"/>
        <v>9</v>
      </c>
      <c r="B15" s="7" t="s">
        <v>320</v>
      </c>
      <c r="C15" s="2"/>
      <c r="D15" s="2"/>
      <c r="E15" s="2"/>
      <c r="F15" s="482">
        <f>'[3]Revenue Senstive'!D7</f>
        <v>548974.35362367227</v>
      </c>
      <c r="G15" s="2"/>
      <c r="H15" s="481"/>
    </row>
    <row r="16" spans="1:8" x14ac:dyDescent="0.3">
      <c r="A16" s="9">
        <f t="shared" si="0"/>
        <v>10</v>
      </c>
      <c r="B16" s="2"/>
      <c r="C16" s="2"/>
      <c r="D16" s="2"/>
      <c r="E16" s="2"/>
      <c r="F16" s="52"/>
      <c r="G16" s="2"/>
    </row>
    <row r="17" spans="1:8" x14ac:dyDescent="0.3">
      <c r="A17" s="9">
        <f t="shared" si="0"/>
        <v>11</v>
      </c>
      <c r="B17" s="53" t="s">
        <v>322</v>
      </c>
      <c r="C17" s="2"/>
      <c r="D17" s="2"/>
      <c r="E17" s="2"/>
      <c r="F17" s="43"/>
      <c r="G17" s="2"/>
    </row>
    <row r="18" spans="1:8" x14ac:dyDescent="0.3">
      <c r="A18" s="9">
        <f t="shared" si="0"/>
        <v>12</v>
      </c>
      <c r="B18" s="53"/>
      <c r="C18" s="2"/>
      <c r="D18" s="2"/>
      <c r="E18" s="2"/>
      <c r="F18" s="43"/>
      <c r="G18" s="2"/>
    </row>
    <row r="19" spans="1:8" x14ac:dyDescent="0.3">
      <c r="A19" s="9">
        <f t="shared" si="0"/>
        <v>13</v>
      </c>
      <c r="B19" s="2" t="s">
        <v>10</v>
      </c>
      <c r="C19" s="2"/>
      <c r="D19" s="2"/>
      <c r="E19" s="2"/>
      <c r="F19" s="482">
        <v>0</v>
      </c>
      <c r="G19" s="2"/>
      <c r="H19" s="481"/>
    </row>
    <row r="20" spans="1:8" x14ac:dyDescent="0.3">
      <c r="A20" s="9">
        <f t="shared" si="0"/>
        <v>14</v>
      </c>
      <c r="B20" s="2"/>
      <c r="C20" s="2"/>
      <c r="D20" s="2"/>
      <c r="E20" s="2"/>
      <c r="F20" s="350"/>
      <c r="G20" s="2"/>
    </row>
    <row r="21" spans="1:8" ht="15" thickBot="1" x14ac:dyDescent="0.35">
      <c r="A21" s="9">
        <f t="shared" si="0"/>
        <v>15</v>
      </c>
      <c r="B21" s="60" t="s">
        <v>323</v>
      </c>
      <c r="C21" s="2"/>
      <c r="D21" s="2"/>
      <c r="E21" s="2"/>
      <c r="F21" s="483">
        <f>SUM(F12:F19)</f>
        <v>4748167.3536236724</v>
      </c>
      <c r="G21" s="2"/>
    </row>
    <row r="22" spans="1:8" ht="15" thickTop="1" x14ac:dyDescent="0.3">
      <c r="A22" s="9">
        <f t="shared" si="0"/>
        <v>16</v>
      </c>
      <c r="B22" s="2"/>
      <c r="C22" s="2"/>
      <c r="D22" s="2"/>
      <c r="E22" s="2"/>
      <c r="F22" s="52"/>
      <c r="G22" s="2"/>
    </row>
    <row r="23" spans="1:8" x14ac:dyDescent="0.3">
      <c r="A23" s="9">
        <f t="shared" si="0"/>
        <v>17</v>
      </c>
      <c r="B23" s="2"/>
      <c r="C23" s="2"/>
      <c r="D23" s="2"/>
      <c r="E23" s="2"/>
      <c r="F23" s="52"/>
      <c r="G23" s="2"/>
    </row>
    <row r="24" spans="1:8" x14ac:dyDescent="0.3">
      <c r="A24" s="9">
        <f t="shared" si="0"/>
        <v>18</v>
      </c>
      <c r="B24" s="484" t="str">
        <f>+'[3]19-07 Combined'!B32</f>
        <v>2018 Washington CBR Normalized Total Revenues</v>
      </c>
      <c r="C24" s="370"/>
      <c r="D24" s="370"/>
      <c r="E24" s="2"/>
      <c r="F24" s="485">
        <f>+'[3]19-07 Combined'!F32</f>
        <v>66182522</v>
      </c>
      <c r="G24" s="2"/>
    </row>
    <row r="25" spans="1:8" x14ac:dyDescent="0.3">
      <c r="A25" s="9">
        <f t="shared" si="0"/>
        <v>19</v>
      </c>
      <c r="B25" s="60"/>
      <c r="C25" s="2"/>
      <c r="D25" s="2"/>
      <c r="E25" s="2"/>
      <c r="F25" s="486"/>
      <c r="G25" s="2"/>
    </row>
    <row r="26" spans="1:8" x14ac:dyDescent="0.3">
      <c r="A26" s="9">
        <f t="shared" si="0"/>
        <v>20</v>
      </c>
      <c r="B26" s="60" t="s">
        <v>324</v>
      </c>
      <c r="C26" s="2"/>
      <c r="D26" s="2"/>
      <c r="E26" s="2"/>
      <c r="F26" s="487">
        <f>ROUND(F21/F24,4)</f>
        <v>7.17E-2</v>
      </c>
      <c r="G26" s="2"/>
    </row>
  </sheetData>
  <pageMargins left="0.7" right="0.7" top="0.75" bottom="0.75" header="0.3" footer="0.3"/>
  <pageSetup scale="66" orientation="portrait" r:id="rId1"/>
  <headerFooter>
    <oddHeader>&amp;RNWN's Advice 19-06A
Exhibit A - Supporting Materials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1"/>
  <sheetViews>
    <sheetView showGridLines="0" view="pageLayout" topLeftCell="F1" zoomScaleNormal="100" workbookViewId="0">
      <selection activeCell="X20" sqref="X20"/>
    </sheetView>
  </sheetViews>
  <sheetFormatPr defaultColWidth="8" defaultRowHeight="13.2" x14ac:dyDescent="0.25"/>
  <cols>
    <col min="1" max="1" width="3.33203125" style="4" customWidth="1"/>
    <col min="2" max="2" width="13.44140625" style="2" customWidth="1"/>
    <col min="3" max="3" width="6.6640625" style="2" customWidth="1"/>
    <col min="4" max="4" width="13.5546875" style="2" customWidth="1"/>
    <col min="5" max="5" width="21.33203125" style="2" customWidth="1"/>
    <col min="6" max="6" width="11.88671875" style="9" customWidth="1"/>
    <col min="7" max="14" width="11.88671875" style="2" customWidth="1"/>
    <col min="15" max="17" width="11.88671875" style="2" hidden="1" customWidth="1"/>
    <col min="18" max="20" width="11.88671875" style="4" hidden="1" customWidth="1"/>
    <col min="21" max="21" width="8" style="4"/>
    <col min="22" max="22" width="12" style="4" customWidth="1"/>
    <col min="23" max="23" width="11.88671875" style="4" customWidth="1"/>
    <col min="24" max="16384" width="8" style="4"/>
  </cols>
  <sheetData>
    <row r="1" spans="1:23" ht="13.8" x14ac:dyDescent="0.25">
      <c r="A1" s="1" t="s">
        <v>0</v>
      </c>
      <c r="F1" s="2"/>
    </row>
    <row r="2" spans="1:23" ht="13.8" x14ac:dyDescent="0.25">
      <c r="A2" s="1" t="s">
        <v>1</v>
      </c>
      <c r="F2" s="2"/>
    </row>
    <row r="3" spans="1:23" ht="13.8" x14ac:dyDescent="0.25">
      <c r="A3" s="1" t="s">
        <v>2</v>
      </c>
      <c r="F3" s="2"/>
    </row>
    <row r="4" spans="1:23" ht="13.8" x14ac:dyDescent="0.25">
      <c r="A4" s="1" t="s">
        <v>67</v>
      </c>
      <c r="F4" s="2"/>
    </row>
    <row r="5" spans="1:23" x14ac:dyDescent="0.25">
      <c r="A5" s="78"/>
      <c r="B5" s="79"/>
      <c r="C5" s="79"/>
      <c r="D5" s="79"/>
      <c r="E5" s="7"/>
      <c r="F5" s="52"/>
      <c r="K5" s="52"/>
    </row>
    <row r="7" spans="1:23" ht="15" customHeight="1" thickBot="1" x14ac:dyDescent="0.3">
      <c r="A7" s="59">
        <v>1</v>
      </c>
      <c r="D7" s="9" t="s">
        <v>68</v>
      </c>
      <c r="E7" s="60"/>
      <c r="F7" s="11" t="s">
        <v>69</v>
      </c>
      <c r="G7" s="12"/>
      <c r="H7" s="61"/>
      <c r="I7" s="11" t="s">
        <v>70</v>
      </c>
      <c r="J7" s="12"/>
      <c r="K7" s="61"/>
      <c r="L7" s="11" t="s">
        <v>71</v>
      </c>
      <c r="M7" s="12"/>
      <c r="N7" s="61"/>
      <c r="O7" s="489" t="s">
        <v>72</v>
      </c>
      <c r="P7" s="490"/>
      <c r="Q7" s="491"/>
      <c r="R7" s="489" t="s">
        <v>72</v>
      </c>
      <c r="S7" s="490"/>
      <c r="T7" s="491"/>
    </row>
    <row r="8" spans="1:23" ht="15" customHeight="1" thickBot="1" x14ac:dyDescent="0.3">
      <c r="A8" s="59">
        <v>2</v>
      </c>
      <c r="D8" s="9" t="s">
        <v>4</v>
      </c>
      <c r="E8" s="13" t="s">
        <v>5</v>
      </c>
      <c r="F8" s="14">
        <v>2800514</v>
      </c>
      <c r="G8" s="15" t="s">
        <v>73</v>
      </c>
      <c r="H8" s="62"/>
      <c r="I8" s="14">
        <v>-2262005</v>
      </c>
      <c r="J8" s="15" t="s">
        <v>73</v>
      </c>
      <c r="K8" s="62"/>
      <c r="L8" s="14">
        <v>-12361</v>
      </c>
      <c r="M8" s="15" t="s">
        <v>73</v>
      </c>
      <c r="N8" s="62"/>
      <c r="O8" s="80"/>
      <c r="P8" s="15" t="s">
        <v>73</v>
      </c>
      <c r="Q8" s="62"/>
      <c r="R8" s="14"/>
      <c r="S8" s="15" t="s">
        <v>73</v>
      </c>
      <c r="T8" s="62"/>
    </row>
    <row r="9" spans="1:23" ht="15" customHeight="1" thickBot="1" x14ac:dyDescent="0.3">
      <c r="A9" s="59">
        <v>3</v>
      </c>
      <c r="D9" s="9" t="s">
        <v>6</v>
      </c>
      <c r="E9" s="13" t="s">
        <v>8</v>
      </c>
      <c r="F9" s="63">
        <v>4.1579999999999999E-2</v>
      </c>
      <c r="G9" s="15" t="s">
        <v>9</v>
      </c>
      <c r="H9" s="62"/>
      <c r="I9" s="63">
        <v>4.1579999999999999E-2</v>
      </c>
      <c r="J9" s="15" t="s">
        <v>9</v>
      </c>
      <c r="K9" s="62"/>
      <c r="L9" s="63">
        <v>4.1579999999999999E-2</v>
      </c>
      <c r="M9" s="15" t="s">
        <v>9</v>
      </c>
      <c r="N9" s="62"/>
      <c r="O9" s="63">
        <v>4.1579999999999999E-2</v>
      </c>
      <c r="P9" s="15" t="s">
        <v>9</v>
      </c>
      <c r="Q9" s="62"/>
      <c r="R9" s="63">
        <v>4.1579999999999999E-2</v>
      </c>
      <c r="S9" s="15" t="s">
        <v>9</v>
      </c>
      <c r="T9" s="62"/>
    </row>
    <row r="10" spans="1:23" s="20" customFormat="1" ht="15" customHeight="1" thickBot="1" x14ac:dyDescent="0.3">
      <c r="A10" s="59">
        <v>4</v>
      </c>
      <c r="B10" s="2"/>
      <c r="C10" s="2"/>
      <c r="D10" s="17" t="s">
        <v>74</v>
      </c>
      <c r="E10" s="64" t="s">
        <v>14</v>
      </c>
      <c r="F10" s="65">
        <v>2922011</v>
      </c>
      <c r="G10" s="19" t="s">
        <v>75</v>
      </c>
      <c r="H10" s="66"/>
      <c r="I10" s="65">
        <v>-2360140</v>
      </c>
      <c r="J10" s="19" t="s">
        <v>76</v>
      </c>
      <c r="K10" s="66"/>
      <c r="L10" s="65">
        <v>-12897</v>
      </c>
      <c r="M10" s="19" t="s">
        <v>77</v>
      </c>
      <c r="N10" s="66"/>
      <c r="O10" s="65">
        <v>0</v>
      </c>
      <c r="P10" s="19" t="s">
        <v>78</v>
      </c>
      <c r="Q10" s="66"/>
      <c r="R10" s="65">
        <v>0</v>
      </c>
      <c r="S10" s="19" t="s">
        <v>77</v>
      </c>
      <c r="T10" s="66"/>
      <c r="V10" s="67"/>
      <c r="W10" s="67"/>
    </row>
    <row r="11" spans="1:23" s="20" customFormat="1" x14ac:dyDescent="0.25">
      <c r="A11" s="59">
        <v>5</v>
      </c>
      <c r="B11" s="2"/>
      <c r="C11" s="2"/>
      <c r="D11" s="21"/>
      <c r="E11" s="22"/>
      <c r="F11" s="23" t="s">
        <v>15</v>
      </c>
      <c r="G11" s="16" t="s">
        <v>79</v>
      </c>
      <c r="H11" s="68" t="s">
        <v>16</v>
      </c>
      <c r="I11" s="23" t="s">
        <v>15</v>
      </c>
      <c r="J11" s="16" t="s">
        <v>79</v>
      </c>
      <c r="K11" s="68" t="s">
        <v>16</v>
      </c>
      <c r="L11" s="23" t="s">
        <v>15</v>
      </c>
      <c r="M11" s="16" t="s">
        <v>79</v>
      </c>
      <c r="N11" s="68" t="s">
        <v>16</v>
      </c>
      <c r="O11" s="23" t="s">
        <v>15</v>
      </c>
      <c r="P11" s="16" t="s">
        <v>79</v>
      </c>
      <c r="Q11" s="68" t="s">
        <v>16</v>
      </c>
      <c r="R11" s="23" t="s">
        <v>15</v>
      </c>
      <c r="S11" s="16" t="s">
        <v>79</v>
      </c>
      <c r="T11" s="68" t="s">
        <v>16</v>
      </c>
    </row>
    <row r="12" spans="1:23" s="20" customFormat="1" x14ac:dyDescent="0.25">
      <c r="A12" s="59">
        <v>6</v>
      </c>
      <c r="B12" s="24" t="s">
        <v>17</v>
      </c>
      <c r="C12" s="24" t="s">
        <v>18</v>
      </c>
      <c r="D12" s="26" t="s">
        <v>19</v>
      </c>
      <c r="E12" s="28"/>
      <c r="F12" s="29" t="s">
        <v>20</v>
      </c>
      <c r="G12" s="26" t="s">
        <v>21</v>
      </c>
      <c r="H12" s="69" t="s">
        <v>22</v>
      </c>
      <c r="I12" s="29" t="s">
        <v>23</v>
      </c>
      <c r="J12" s="26" t="s">
        <v>80</v>
      </c>
      <c r="K12" s="69" t="s">
        <v>24</v>
      </c>
      <c r="L12" s="29" t="s">
        <v>25</v>
      </c>
      <c r="M12" s="26" t="s">
        <v>66</v>
      </c>
      <c r="N12" s="69" t="s">
        <v>26</v>
      </c>
      <c r="O12" s="29" t="s">
        <v>27</v>
      </c>
      <c r="P12" s="26" t="s">
        <v>28</v>
      </c>
      <c r="Q12" s="69" t="s">
        <v>29</v>
      </c>
      <c r="R12" s="29" t="s">
        <v>30</v>
      </c>
      <c r="S12" s="26" t="s">
        <v>31</v>
      </c>
      <c r="T12" s="69" t="s">
        <v>32</v>
      </c>
      <c r="U12" s="70"/>
    </row>
    <row r="13" spans="1:23" x14ac:dyDescent="0.25">
      <c r="A13" s="59">
        <v>7</v>
      </c>
      <c r="B13" s="30" t="s">
        <v>35</v>
      </c>
      <c r="C13" s="31"/>
      <c r="D13" s="32">
        <v>196915.9</v>
      </c>
      <c r="E13" s="71"/>
      <c r="F13" s="81">
        <v>1</v>
      </c>
      <c r="G13" s="32">
        <v>196915.9</v>
      </c>
      <c r="H13" s="34">
        <v>3.5499999999999997E-2</v>
      </c>
      <c r="I13" s="81">
        <v>1</v>
      </c>
      <c r="J13" s="32">
        <v>196915.9</v>
      </c>
      <c r="K13" s="34">
        <v>-2.912E-2</v>
      </c>
      <c r="L13" s="81">
        <v>0</v>
      </c>
      <c r="M13" s="32">
        <v>0</v>
      </c>
      <c r="N13" s="34">
        <v>0</v>
      </c>
      <c r="O13" s="81">
        <v>0</v>
      </c>
      <c r="P13" s="32">
        <v>0</v>
      </c>
      <c r="Q13" s="36"/>
      <c r="R13" s="81">
        <v>0</v>
      </c>
      <c r="S13" s="32">
        <v>0</v>
      </c>
      <c r="T13" s="36"/>
    </row>
    <row r="14" spans="1:23" x14ac:dyDescent="0.25">
      <c r="A14" s="59">
        <v>8</v>
      </c>
      <c r="B14" s="30" t="s">
        <v>36</v>
      </c>
      <c r="C14" s="31"/>
      <c r="D14" s="32">
        <v>41008.9</v>
      </c>
      <c r="E14" s="71"/>
      <c r="F14" s="81">
        <v>1</v>
      </c>
      <c r="G14" s="32">
        <v>41008.9</v>
      </c>
      <c r="H14" s="34">
        <v>3.5499999999999997E-2</v>
      </c>
      <c r="I14" s="81">
        <v>1</v>
      </c>
      <c r="J14" s="32">
        <v>41008.9</v>
      </c>
      <c r="K14" s="34">
        <v>-2.912E-2</v>
      </c>
      <c r="L14" s="81">
        <v>0</v>
      </c>
      <c r="M14" s="32">
        <v>0</v>
      </c>
      <c r="N14" s="34">
        <v>0</v>
      </c>
      <c r="O14" s="81">
        <v>0</v>
      </c>
      <c r="P14" s="32">
        <v>0</v>
      </c>
      <c r="Q14" s="36"/>
      <c r="R14" s="81">
        <v>0</v>
      </c>
      <c r="S14" s="32">
        <v>0</v>
      </c>
      <c r="T14" s="36"/>
    </row>
    <row r="15" spans="1:23" x14ac:dyDescent="0.25">
      <c r="A15" s="59">
        <v>9</v>
      </c>
      <c r="B15" s="30" t="s">
        <v>37</v>
      </c>
      <c r="C15" s="31"/>
      <c r="D15" s="32">
        <v>53306699.299999997</v>
      </c>
      <c r="E15" s="71"/>
      <c r="F15" s="81">
        <v>1</v>
      </c>
      <c r="G15" s="32">
        <v>53306699.299999997</v>
      </c>
      <c r="H15" s="34">
        <v>3.5499999999999997E-2</v>
      </c>
      <c r="I15" s="81">
        <v>1</v>
      </c>
      <c r="J15" s="32">
        <v>53306699.299999997</v>
      </c>
      <c r="K15" s="34">
        <v>-2.912E-2</v>
      </c>
      <c r="L15" s="81">
        <v>0</v>
      </c>
      <c r="M15" s="32">
        <v>0</v>
      </c>
      <c r="N15" s="34">
        <v>0</v>
      </c>
      <c r="O15" s="81">
        <v>0</v>
      </c>
      <c r="P15" s="32">
        <v>0</v>
      </c>
      <c r="Q15" s="36"/>
      <c r="R15" s="81">
        <v>0</v>
      </c>
      <c r="S15" s="32">
        <v>0</v>
      </c>
      <c r="T15" s="36"/>
    </row>
    <row r="16" spans="1:23" x14ac:dyDescent="0.25">
      <c r="A16" s="59">
        <v>10</v>
      </c>
      <c r="B16" s="30" t="s">
        <v>38</v>
      </c>
      <c r="C16" s="31"/>
      <c r="D16" s="32">
        <v>18528180.699999999</v>
      </c>
      <c r="E16" s="71"/>
      <c r="F16" s="81">
        <v>1</v>
      </c>
      <c r="G16" s="32">
        <v>18528180.699999999</v>
      </c>
      <c r="H16" s="34">
        <v>3.5499999999999997E-2</v>
      </c>
      <c r="I16" s="81">
        <v>1</v>
      </c>
      <c r="J16" s="32">
        <v>18528180.699999999</v>
      </c>
      <c r="K16" s="34">
        <v>-2.912E-2</v>
      </c>
      <c r="L16" s="81">
        <v>0</v>
      </c>
      <c r="M16" s="32">
        <v>0</v>
      </c>
      <c r="N16" s="34">
        <v>0</v>
      </c>
      <c r="O16" s="81">
        <v>0</v>
      </c>
      <c r="P16" s="32">
        <v>0</v>
      </c>
      <c r="Q16" s="36"/>
      <c r="R16" s="81">
        <v>0</v>
      </c>
      <c r="S16" s="32">
        <v>0</v>
      </c>
      <c r="T16" s="36"/>
    </row>
    <row r="17" spans="1:20" x14ac:dyDescent="0.25">
      <c r="A17" s="59">
        <v>11</v>
      </c>
      <c r="B17" s="30" t="s">
        <v>39</v>
      </c>
      <c r="C17" s="31"/>
      <c r="D17" s="32">
        <v>363801</v>
      </c>
      <c r="E17" s="71"/>
      <c r="F17" s="81">
        <v>1</v>
      </c>
      <c r="G17" s="32">
        <v>363801</v>
      </c>
      <c r="H17" s="34">
        <v>3.5499999999999997E-2</v>
      </c>
      <c r="I17" s="81">
        <v>1</v>
      </c>
      <c r="J17" s="32">
        <v>363801</v>
      </c>
      <c r="K17" s="34">
        <v>-2.912E-2</v>
      </c>
      <c r="L17" s="81">
        <v>0</v>
      </c>
      <c r="M17" s="32">
        <v>0</v>
      </c>
      <c r="N17" s="34">
        <v>0</v>
      </c>
      <c r="O17" s="81">
        <v>0</v>
      </c>
      <c r="P17" s="32">
        <v>0</v>
      </c>
      <c r="Q17" s="36"/>
      <c r="R17" s="81">
        <v>0</v>
      </c>
      <c r="S17" s="32">
        <v>0</v>
      </c>
      <c r="T17" s="36"/>
    </row>
    <row r="18" spans="1:20" x14ac:dyDescent="0.25">
      <c r="A18" s="59">
        <v>12</v>
      </c>
      <c r="B18" s="39">
        <v>27</v>
      </c>
      <c r="C18" s="40"/>
      <c r="D18" s="32">
        <v>575777.19999999995</v>
      </c>
      <c r="E18" s="71"/>
      <c r="F18" s="81">
        <v>1</v>
      </c>
      <c r="G18" s="32">
        <v>575777.19999999995</v>
      </c>
      <c r="H18" s="34">
        <v>3.5499999999999997E-2</v>
      </c>
      <c r="I18" s="81">
        <v>1</v>
      </c>
      <c r="J18" s="32">
        <v>575777.19999999995</v>
      </c>
      <c r="K18" s="34">
        <v>-2.912E-2</v>
      </c>
      <c r="L18" s="81">
        <v>0</v>
      </c>
      <c r="M18" s="32">
        <v>0</v>
      </c>
      <c r="N18" s="34">
        <v>0</v>
      </c>
      <c r="O18" s="81">
        <v>0</v>
      </c>
      <c r="P18" s="32">
        <v>0</v>
      </c>
      <c r="Q18" s="36"/>
      <c r="R18" s="81">
        <v>0</v>
      </c>
      <c r="S18" s="32">
        <v>0</v>
      </c>
      <c r="T18" s="36"/>
    </row>
    <row r="19" spans="1:20" x14ac:dyDescent="0.25">
      <c r="A19" s="59">
        <v>13</v>
      </c>
      <c r="B19" s="41" t="s">
        <v>40</v>
      </c>
      <c r="C19" s="42" t="s">
        <v>41</v>
      </c>
      <c r="D19" s="43">
        <v>1970232.1</v>
      </c>
      <c r="E19" s="72"/>
      <c r="F19" s="82">
        <v>1</v>
      </c>
      <c r="G19" s="43">
        <v>1970232.1</v>
      </c>
      <c r="H19" s="47">
        <v>3.5499999999999997E-2</v>
      </c>
      <c r="I19" s="82">
        <v>1</v>
      </c>
      <c r="J19" s="43">
        <v>1970232.1</v>
      </c>
      <c r="K19" s="47">
        <v>-2.912E-2</v>
      </c>
      <c r="L19" s="82">
        <v>0</v>
      </c>
      <c r="M19" s="43">
        <v>0</v>
      </c>
      <c r="N19" s="47">
        <v>0</v>
      </c>
      <c r="O19" s="82">
        <v>0</v>
      </c>
      <c r="P19" s="43">
        <v>0</v>
      </c>
      <c r="Q19" s="48"/>
      <c r="R19" s="82">
        <v>0</v>
      </c>
      <c r="S19" s="43">
        <v>0</v>
      </c>
      <c r="T19" s="48"/>
    </row>
    <row r="20" spans="1:20" x14ac:dyDescent="0.25">
      <c r="A20" s="59">
        <v>14</v>
      </c>
      <c r="B20" s="39"/>
      <c r="C20" s="45" t="s">
        <v>42</v>
      </c>
      <c r="D20" s="32">
        <v>2123869.7999999998</v>
      </c>
      <c r="E20" s="71"/>
      <c r="F20" s="81">
        <v>1</v>
      </c>
      <c r="G20" s="32">
        <v>2123869.7999999998</v>
      </c>
      <c r="H20" s="34">
        <v>3.5499999999999997E-2</v>
      </c>
      <c r="I20" s="81">
        <v>1</v>
      </c>
      <c r="J20" s="32">
        <v>2123869.7999999998</v>
      </c>
      <c r="K20" s="34">
        <v>-2.912E-2</v>
      </c>
      <c r="L20" s="81">
        <v>0</v>
      </c>
      <c r="M20" s="32">
        <v>0</v>
      </c>
      <c r="N20" s="34">
        <v>0</v>
      </c>
      <c r="O20" s="81">
        <v>0</v>
      </c>
      <c r="P20" s="32">
        <v>0</v>
      </c>
      <c r="Q20" s="36"/>
      <c r="R20" s="81">
        <v>0</v>
      </c>
      <c r="S20" s="32">
        <v>0</v>
      </c>
      <c r="T20" s="36"/>
    </row>
    <row r="21" spans="1:20" x14ac:dyDescent="0.25">
      <c r="A21" s="59">
        <v>15</v>
      </c>
      <c r="B21" s="41" t="s">
        <v>43</v>
      </c>
      <c r="C21" s="42" t="s">
        <v>41</v>
      </c>
      <c r="D21" s="43">
        <v>0</v>
      </c>
      <c r="E21" s="72"/>
      <c r="F21" s="82">
        <v>1</v>
      </c>
      <c r="G21" s="43">
        <v>0</v>
      </c>
      <c r="H21" s="47">
        <v>3.5499999999999997E-2</v>
      </c>
      <c r="I21" s="82">
        <v>0</v>
      </c>
      <c r="J21" s="43">
        <v>0</v>
      </c>
      <c r="K21" s="47">
        <v>0</v>
      </c>
      <c r="L21" s="82">
        <v>1</v>
      </c>
      <c r="M21" s="43">
        <v>0</v>
      </c>
      <c r="N21" s="47">
        <v>-1.017E-2</v>
      </c>
      <c r="O21" s="82">
        <v>0</v>
      </c>
      <c r="P21" s="43">
        <v>0</v>
      </c>
      <c r="Q21" s="48"/>
      <c r="R21" s="82">
        <v>0</v>
      </c>
      <c r="S21" s="43">
        <v>0</v>
      </c>
      <c r="T21" s="48"/>
    </row>
    <row r="22" spans="1:20" x14ac:dyDescent="0.25">
      <c r="A22" s="59">
        <v>16</v>
      </c>
      <c r="B22" s="39"/>
      <c r="C22" s="45" t="s">
        <v>42</v>
      </c>
      <c r="D22" s="32">
        <v>0</v>
      </c>
      <c r="E22" s="71"/>
      <c r="F22" s="81">
        <v>1</v>
      </c>
      <c r="G22" s="32">
        <v>0</v>
      </c>
      <c r="H22" s="34">
        <v>3.5499999999999997E-2</v>
      </c>
      <c r="I22" s="81">
        <v>0</v>
      </c>
      <c r="J22" s="32">
        <v>0</v>
      </c>
      <c r="K22" s="34">
        <v>0</v>
      </c>
      <c r="L22" s="81">
        <v>1</v>
      </c>
      <c r="M22" s="32">
        <v>0</v>
      </c>
      <c r="N22" s="34">
        <v>-1.017E-2</v>
      </c>
      <c r="O22" s="81">
        <v>0</v>
      </c>
      <c r="P22" s="32">
        <v>0</v>
      </c>
      <c r="Q22" s="36"/>
      <c r="R22" s="81">
        <v>0</v>
      </c>
      <c r="S22" s="32">
        <v>0</v>
      </c>
      <c r="T22" s="36"/>
    </row>
    <row r="23" spans="1:20" x14ac:dyDescent="0.25">
      <c r="A23" s="59">
        <v>17</v>
      </c>
      <c r="B23" s="41" t="s">
        <v>44</v>
      </c>
      <c r="C23" s="42" t="s">
        <v>41</v>
      </c>
      <c r="D23" s="43">
        <v>303749</v>
      </c>
      <c r="E23" s="72"/>
      <c r="F23" s="82">
        <v>0</v>
      </c>
      <c r="G23" s="43">
        <v>0</v>
      </c>
      <c r="H23" s="47">
        <v>0</v>
      </c>
      <c r="I23" s="82">
        <v>0</v>
      </c>
      <c r="J23" s="43">
        <v>0</v>
      </c>
      <c r="K23" s="47">
        <v>0</v>
      </c>
      <c r="L23" s="82">
        <v>0</v>
      </c>
      <c r="M23" s="43">
        <v>0</v>
      </c>
      <c r="N23" s="47">
        <v>0</v>
      </c>
      <c r="O23" s="82">
        <v>0</v>
      </c>
      <c r="P23" s="43">
        <v>0</v>
      </c>
      <c r="Q23" s="48"/>
      <c r="R23" s="82">
        <v>0</v>
      </c>
      <c r="S23" s="43">
        <v>0</v>
      </c>
      <c r="T23" s="48"/>
    </row>
    <row r="24" spans="1:20" x14ac:dyDescent="0.25">
      <c r="A24" s="59">
        <v>18</v>
      </c>
      <c r="B24" s="39"/>
      <c r="C24" s="45" t="s">
        <v>42</v>
      </c>
      <c r="D24" s="32">
        <v>484375</v>
      </c>
      <c r="E24" s="71"/>
      <c r="F24" s="81">
        <v>0</v>
      </c>
      <c r="G24" s="32">
        <v>0</v>
      </c>
      <c r="H24" s="34">
        <v>0</v>
      </c>
      <c r="I24" s="81">
        <v>0</v>
      </c>
      <c r="J24" s="32">
        <v>0</v>
      </c>
      <c r="K24" s="34">
        <v>0</v>
      </c>
      <c r="L24" s="81">
        <v>0</v>
      </c>
      <c r="M24" s="32">
        <v>0</v>
      </c>
      <c r="N24" s="34">
        <v>0</v>
      </c>
      <c r="O24" s="81">
        <v>0</v>
      </c>
      <c r="P24" s="32">
        <v>0</v>
      </c>
      <c r="Q24" s="36"/>
      <c r="R24" s="81">
        <v>0</v>
      </c>
      <c r="S24" s="32">
        <v>0</v>
      </c>
      <c r="T24" s="36"/>
    </row>
    <row r="25" spans="1:20" x14ac:dyDescent="0.25">
      <c r="A25" s="59">
        <v>19</v>
      </c>
      <c r="B25" s="41" t="s">
        <v>45</v>
      </c>
      <c r="C25" s="42" t="s">
        <v>41</v>
      </c>
      <c r="D25" s="43">
        <v>360236</v>
      </c>
      <c r="E25" s="72"/>
      <c r="F25" s="82">
        <v>1</v>
      </c>
      <c r="G25" s="43">
        <v>360236</v>
      </c>
      <c r="H25" s="47">
        <v>3.5499999999999997E-2</v>
      </c>
      <c r="I25" s="82">
        <v>1</v>
      </c>
      <c r="J25" s="43">
        <v>360236</v>
      </c>
      <c r="K25" s="47">
        <v>-2.912E-2</v>
      </c>
      <c r="L25" s="82">
        <v>0</v>
      </c>
      <c r="M25" s="43">
        <v>0</v>
      </c>
      <c r="N25" s="47">
        <v>0</v>
      </c>
      <c r="O25" s="82">
        <v>0</v>
      </c>
      <c r="P25" s="43">
        <v>0</v>
      </c>
      <c r="Q25" s="48"/>
      <c r="R25" s="82">
        <v>0</v>
      </c>
      <c r="S25" s="43">
        <v>0</v>
      </c>
      <c r="T25" s="48"/>
    </row>
    <row r="26" spans="1:20" x14ac:dyDescent="0.25">
      <c r="A26" s="59">
        <v>20</v>
      </c>
      <c r="B26" s="39"/>
      <c r="C26" s="45" t="s">
        <v>42</v>
      </c>
      <c r="D26" s="32">
        <v>542040</v>
      </c>
      <c r="E26" s="71"/>
      <c r="F26" s="81">
        <v>1</v>
      </c>
      <c r="G26" s="32">
        <v>542040</v>
      </c>
      <c r="H26" s="34">
        <v>3.5499999999999997E-2</v>
      </c>
      <c r="I26" s="81">
        <v>1</v>
      </c>
      <c r="J26" s="32">
        <v>542040</v>
      </c>
      <c r="K26" s="34">
        <v>-2.912E-2</v>
      </c>
      <c r="L26" s="81">
        <v>0</v>
      </c>
      <c r="M26" s="32">
        <v>0</v>
      </c>
      <c r="N26" s="34">
        <v>0</v>
      </c>
      <c r="O26" s="81">
        <v>0</v>
      </c>
      <c r="P26" s="32">
        <v>0</v>
      </c>
      <c r="Q26" s="36"/>
      <c r="R26" s="81">
        <v>0</v>
      </c>
      <c r="S26" s="32">
        <v>0</v>
      </c>
      <c r="T26" s="36"/>
    </row>
    <row r="27" spans="1:20" x14ac:dyDescent="0.25">
      <c r="A27" s="59">
        <v>21</v>
      </c>
      <c r="B27" s="41" t="s">
        <v>46</v>
      </c>
      <c r="C27" s="42" t="s">
        <v>41</v>
      </c>
      <c r="D27" s="43">
        <v>0</v>
      </c>
      <c r="E27" s="72"/>
      <c r="F27" s="82">
        <v>1</v>
      </c>
      <c r="G27" s="43">
        <v>0</v>
      </c>
      <c r="H27" s="47">
        <v>3.5499999999999997E-2</v>
      </c>
      <c r="I27" s="82">
        <v>0</v>
      </c>
      <c r="J27" s="43">
        <v>0</v>
      </c>
      <c r="K27" s="47">
        <v>0</v>
      </c>
      <c r="L27" s="82">
        <v>1</v>
      </c>
      <c r="M27" s="43">
        <v>0</v>
      </c>
      <c r="N27" s="47">
        <v>-1.017E-2</v>
      </c>
      <c r="O27" s="82">
        <v>0</v>
      </c>
      <c r="P27" s="43">
        <v>0</v>
      </c>
      <c r="Q27" s="48"/>
      <c r="R27" s="82">
        <v>0</v>
      </c>
      <c r="S27" s="43">
        <v>0</v>
      </c>
      <c r="T27" s="48"/>
    </row>
    <row r="28" spans="1:20" x14ac:dyDescent="0.25">
      <c r="A28" s="59">
        <v>22</v>
      </c>
      <c r="B28" s="39"/>
      <c r="C28" s="45" t="s">
        <v>42</v>
      </c>
      <c r="D28" s="32">
        <v>0</v>
      </c>
      <c r="E28" s="71"/>
      <c r="F28" s="81">
        <v>1</v>
      </c>
      <c r="G28" s="32">
        <v>0</v>
      </c>
      <c r="H28" s="34">
        <v>3.5499999999999997E-2</v>
      </c>
      <c r="I28" s="81">
        <v>0</v>
      </c>
      <c r="J28" s="32">
        <v>0</v>
      </c>
      <c r="K28" s="34">
        <v>0</v>
      </c>
      <c r="L28" s="81">
        <v>1</v>
      </c>
      <c r="M28" s="32">
        <v>0</v>
      </c>
      <c r="N28" s="34">
        <v>-1.017E-2</v>
      </c>
      <c r="O28" s="81">
        <v>0</v>
      </c>
      <c r="P28" s="32">
        <v>0</v>
      </c>
      <c r="Q28" s="36"/>
      <c r="R28" s="81">
        <v>0</v>
      </c>
      <c r="S28" s="32">
        <v>0</v>
      </c>
      <c r="T28" s="36"/>
    </row>
    <row r="29" spans="1:20" x14ac:dyDescent="0.25">
      <c r="A29" s="59">
        <v>23</v>
      </c>
      <c r="B29" s="41" t="s">
        <v>47</v>
      </c>
      <c r="C29" s="42" t="s">
        <v>41</v>
      </c>
      <c r="D29" s="43">
        <v>561182.4</v>
      </c>
      <c r="E29" s="72"/>
      <c r="F29" s="82">
        <v>1</v>
      </c>
      <c r="G29" s="43">
        <v>561182.4</v>
      </c>
      <c r="H29" s="47">
        <v>3.5499999999999997E-2</v>
      </c>
      <c r="I29" s="82">
        <v>1</v>
      </c>
      <c r="J29" s="43">
        <v>561182.4</v>
      </c>
      <c r="K29" s="47">
        <v>-2.912E-2</v>
      </c>
      <c r="L29" s="82">
        <v>0</v>
      </c>
      <c r="M29" s="43">
        <v>0</v>
      </c>
      <c r="N29" s="47">
        <v>0</v>
      </c>
      <c r="O29" s="82">
        <v>0</v>
      </c>
      <c r="P29" s="43">
        <v>0</v>
      </c>
      <c r="Q29" s="48"/>
      <c r="R29" s="82">
        <v>0</v>
      </c>
      <c r="S29" s="43">
        <v>0</v>
      </c>
      <c r="T29" s="48"/>
    </row>
    <row r="30" spans="1:20" x14ac:dyDescent="0.25">
      <c r="A30" s="59">
        <v>24</v>
      </c>
      <c r="B30" s="41"/>
      <c r="C30" s="42" t="s">
        <v>42</v>
      </c>
      <c r="D30" s="43">
        <v>481861</v>
      </c>
      <c r="E30" s="72"/>
      <c r="F30" s="82">
        <v>1</v>
      </c>
      <c r="G30" s="43">
        <v>481861</v>
      </c>
      <c r="H30" s="47">
        <v>3.5499999999999997E-2</v>
      </c>
      <c r="I30" s="82">
        <v>1</v>
      </c>
      <c r="J30" s="43">
        <v>481861</v>
      </c>
      <c r="K30" s="47">
        <v>-2.912E-2</v>
      </c>
      <c r="L30" s="82">
        <v>0</v>
      </c>
      <c r="M30" s="43">
        <v>0</v>
      </c>
      <c r="N30" s="47">
        <v>0</v>
      </c>
      <c r="O30" s="82">
        <v>0</v>
      </c>
      <c r="P30" s="43">
        <v>0</v>
      </c>
      <c r="Q30" s="48"/>
      <c r="R30" s="82">
        <v>0</v>
      </c>
      <c r="S30" s="43">
        <v>0</v>
      </c>
      <c r="T30" s="48"/>
    </row>
    <row r="31" spans="1:20" x14ac:dyDescent="0.25">
      <c r="A31" s="59">
        <v>25</v>
      </c>
      <c r="B31" s="41"/>
      <c r="C31" s="42" t="s">
        <v>48</v>
      </c>
      <c r="D31" s="43">
        <v>131374.9</v>
      </c>
      <c r="E31" s="72"/>
      <c r="F31" s="82">
        <v>1</v>
      </c>
      <c r="G31" s="43">
        <v>131374.9</v>
      </c>
      <c r="H31" s="47">
        <v>3.5499999999999997E-2</v>
      </c>
      <c r="I31" s="82">
        <v>1</v>
      </c>
      <c r="J31" s="43">
        <v>131374.9</v>
      </c>
      <c r="K31" s="47">
        <v>-2.912E-2</v>
      </c>
      <c r="L31" s="82">
        <v>0</v>
      </c>
      <c r="M31" s="43">
        <v>0</v>
      </c>
      <c r="N31" s="47">
        <v>0</v>
      </c>
      <c r="O31" s="82">
        <v>0</v>
      </c>
      <c r="P31" s="43">
        <v>0</v>
      </c>
      <c r="Q31" s="48"/>
      <c r="R31" s="82">
        <v>0</v>
      </c>
      <c r="S31" s="43">
        <v>0</v>
      </c>
      <c r="T31" s="48"/>
    </row>
    <row r="32" spans="1:20" x14ac:dyDescent="0.25">
      <c r="A32" s="59">
        <v>26</v>
      </c>
      <c r="B32" s="41"/>
      <c r="C32" s="42" t="s">
        <v>49</v>
      </c>
      <c r="D32" s="43">
        <v>20968.900000000001</v>
      </c>
      <c r="E32" s="72"/>
      <c r="F32" s="82">
        <v>1</v>
      </c>
      <c r="G32" s="43">
        <v>20968.900000000001</v>
      </c>
      <c r="H32" s="47">
        <v>3.5499999999999997E-2</v>
      </c>
      <c r="I32" s="82">
        <v>1</v>
      </c>
      <c r="J32" s="43">
        <v>20968.900000000001</v>
      </c>
      <c r="K32" s="47">
        <v>-2.912E-2</v>
      </c>
      <c r="L32" s="82">
        <v>0</v>
      </c>
      <c r="M32" s="43">
        <v>0</v>
      </c>
      <c r="N32" s="47">
        <v>0</v>
      </c>
      <c r="O32" s="82">
        <v>0</v>
      </c>
      <c r="P32" s="43">
        <v>0</v>
      </c>
      <c r="Q32" s="48"/>
      <c r="R32" s="82">
        <v>0</v>
      </c>
      <c r="S32" s="43">
        <v>0</v>
      </c>
      <c r="T32" s="48"/>
    </row>
    <row r="33" spans="1:20" x14ac:dyDescent="0.25">
      <c r="A33" s="59">
        <v>27</v>
      </c>
      <c r="B33" s="41"/>
      <c r="C33" s="42" t="s">
        <v>50</v>
      </c>
      <c r="D33" s="43">
        <v>0</v>
      </c>
      <c r="E33" s="72"/>
      <c r="F33" s="82">
        <v>1</v>
      </c>
      <c r="G33" s="43">
        <v>0</v>
      </c>
      <c r="H33" s="47">
        <v>3.5499999999999997E-2</v>
      </c>
      <c r="I33" s="82">
        <v>1</v>
      </c>
      <c r="J33" s="43">
        <v>0</v>
      </c>
      <c r="K33" s="47">
        <v>-2.912E-2</v>
      </c>
      <c r="L33" s="82">
        <v>0</v>
      </c>
      <c r="M33" s="43">
        <v>0</v>
      </c>
      <c r="N33" s="47">
        <v>0</v>
      </c>
      <c r="O33" s="82">
        <v>0</v>
      </c>
      <c r="P33" s="43">
        <v>0</v>
      </c>
      <c r="Q33" s="48"/>
      <c r="R33" s="82">
        <v>0</v>
      </c>
      <c r="S33" s="43">
        <v>0</v>
      </c>
      <c r="T33" s="48"/>
    </row>
    <row r="34" spans="1:20" x14ac:dyDescent="0.25">
      <c r="A34" s="59">
        <v>28</v>
      </c>
      <c r="B34" s="39"/>
      <c r="C34" s="45" t="s">
        <v>51</v>
      </c>
      <c r="D34" s="32">
        <v>0</v>
      </c>
      <c r="E34" s="71"/>
      <c r="F34" s="81">
        <v>1</v>
      </c>
      <c r="G34" s="32">
        <v>0</v>
      </c>
      <c r="H34" s="34">
        <v>3.5499999999999997E-2</v>
      </c>
      <c r="I34" s="81">
        <v>1</v>
      </c>
      <c r="J34" s="32">
        <v>0</v>
      </c>
      <c r="K34" s="34">
        <v>-2.912E-2</v>
      </c>
      <c r="L34" s="81">
        <v>0</v>
      </c>
      <c r="M34" s="32">
        <v>0</v>
      </c>
      <c r="N34" s="34">
        <v>0</v>
      </c>
      <c r="O34" s="81">
        <v>0</v>
      </c>
      <c r="P34" s="32">
        <v>0</v>
      </c>
      <c r="Q34" s="36"/>
      <c r="R34" s="81">
        <v>0</v>
      </c>
      <c r="S34" s="32">
        <v>0</v>
      </c>
      <c r="T34" s="36"/>
    </row>
    <row r="35" spans="1:20" x14ac:dyDescent="0.25">
      <c r="A35" s="59">
        <v>29</v>
      </c>
      <c r="B35" s="41" t="s">
        <v>52</v>
      </c>
      <c r="C35" s="42" t="s">
        <v>41</v>
      </c>
      <c r="D35" s="43">
        <v>1060773</v>
      </c>
      <c r="E35" s="72"/>
      <c r="F35" s="82">
        <v>1</v>
      </c>
      <c r="G35" s="43">
        <v>1060773</v>
      </c>
      <c r="H35" s="47">
        <v>3.5499999999999997E-2</v>
      </c>
      <c r="I35" s="82">
        <v>1</v>
      </c>
      <c r="J35" s="43">
        <v>1060773</v>
      </c>
      <c r="K35" s="47">
        <v>-2.912E-2</v>
      </c>
      <c r="L35" s="82">
        <v>0</v>
      </c>
      <c r="M35" s="43">
        <v>0</v>
      </c>
      <c r="N35" s="47">
        <v>0</v>
      </c>
      <c r="O35" s="82">
        <v>0</v>
      </c>
      <c r="P35" s="43">
        <v>0</v>
      </c>
      <c r="Q35" s="48"/>
      <c r="R35" s="82">
        <v>0</v>
      </c>
      <c r="S35" s="43">
        <v>0</v>
      </c>
      <c r="T35" s="48"/>
    </row>
    <row r="36" spans="1:20" x14ac:dyDescent="0.25">
      <c r="A36" s="59">
        <v>30</v>
      </c>
      <c r="B36" s="41"/>
      <c r="C36" s="42" t="s">
        <v>42</v>
      </c>
      <c r="D36" s="43">
        <v>650234</v>
      </c>
      <c r="E36" s="72"/>
      <c r="F36" s="82">
        <v>1</v>
      </c>
      <c r="G36" s="43">
        <v>650234</v>
      </c>
      <c r="H36" s="47">
        <v>3.5499999999999997E-2</v>
      </c>
      <c r="I36" s="82">
        <v>1</v>
      </c>
      <c r="J36" s="43">
        <v>650234</v>
      </c>
      <c r="K36" s="47">
        <v>-2.912E-2</v>
      </c>
      <c r="L36" s="82">
        <v>0</v>
      </c>
      <c r="M36" s="43">
        <v>0</v>
      </c>
      <c r="N36" s="47">
        <v>0</v>
      </c>
      <c r="O36" s="82">
        <v>0</v>
      </c>
      <c r="P36" s="43">
        <v>0</v>
      </c>
      <c r="Q36" s="48"/>
      <c r="R36" s="82">
        <v>0</v>
      </c>
      <c r="S36" s="43">
        <v>0</v>
      </c>
      <c r="T36" s="48"/>
    </row>
    <row r="37" spans="1:20" x14ac:dyDescent="0.25">
      <c r="A37" s="59">
        <v>31</v>
      </c>
      <c r="B37" s="41"/>
      <c r="C37" s="42" t="s">
        <v>48</v>
      </c>
      <c r="D37" s="43">
        <v>112053</v>
      </c>
      <c r="E37" s="72"/>
      <c r="F37" s="82">
        <v>1</v>
      </c>
      <c r="G37" s="43">
        <v>112053</v>
      </c>
      <c r="H37" s="47">
        <v>3.5499999999999997E-2</v>
      </c>
      <c r="I37" s="82">
        <v>1</v>
      </c>
      <c r="J37" s="43">
        <v>112053</v>
      </c>
      <c r="K37" s="47">
        <v>-2.912E-2</v>
      </c>
      <c r="L37" s="82">
        <v>0</v>
      </c>
      <c r="M37" s="43">
        <v>0</v>
      </c>
      <c r="N37" s="47">
        <v>0</v>
      </c>
      <c r="O37" s="82">
        <v>0</v>
      </c>
      <c r="P37" s="43">
        <v>0</v>
      </c>
      <c r="Q37" s="48"/>
      <c r="R37" s="82">
        <v>0</v>
      </c>
      <c r="S37" s="43">
        <v>0</v>
      </c>
      <c r="T37" s="48"/>
    </row>
    <row r="38" spans="1:20" x14ac:dyDescent="0.25">
      <c r="A38" s="59">
        <v>32</v>
      </c>
      <c r="B38" s="41"/>
      <c r="C38" s="42" t="s">
        <v>49</v>
      </c>
      <c r="D38" s="43">
        <v>9427</v>
      </c>
      <c r="E38" s="72"/>
      <c r="F38" s="82">
        <v>1</v>
      </c>
      <c r="G38" s="43">
        <v>9427</v>
      </c>
      <c r="H38" s="47">
        <v>3.5499999999999997E-2</v>
      </c>
      <c r="I38" s="82">
        <v>1</v>
      </c>
      <c r="J38" s="43">
        <v>9427</v>
      </c>
      <c r="K38" s="47">
        <v>-2.912E-2</v>
      </c>
      <c r="L38" s="82">
        <v>0</v>
      </c>
      <c r="M38" s="43">
        <v>0</v>
      </c>
      <c r="N38" s="47">
        <v>0</v>
      </c>
      <c r="O38" s="82">
        <v>0</v>
      </c>
      <c r="P38" s="43">
        <v>0</v>
      </c>
      <c r="Q38" s="48"/>
      <c r="R38" s="82">
        <v>0</v>
      </c>
      <c r="S38" s="43">
        <v>0</v>
      </c>
      <c r="T38" s="48"/>
    </row>
    <row r="39" spans="1:20" x14ac:dyDescent="0.25">
      <c r="A39" s="59">
        <v>33</v>
      </c>
      <c r="B39" s="41"/>
      <c r="C39" s="42" t="s">
        <v>50</v>
      </c>
      <c r="D39" s="43">
        <v>0</v>
      </c>
      <c r="E39" s="72"/>
      <c r="F39" s="82">
        <v>1</v>
      </c>
      <c r="G39" s="43">
        <v>0</v>
      </c>
      <c r="H39" s="47">
        <v>3.5499999999999997E-2</v>
      </c>
      <c r="I39" s="82">
        <v>1</v>
      </c>
      <c r="J39" s="43">
        <v>0</v>
      </c>
      <c r="K39" s="47">
        <v>-2.912E-2</v>
      </c>
      <c r="L39" s="82">
        <v>0</v>
      </c>
      <c r="M39" s="43">
        <v>0</v>
      </c>
      <c r="N39" s="47">
        <v>0</v>
      </c>
      <c r="O39" s="82">
        <v>0</v>
      </c>
      <c r="P39" s="43">
        <v>0</v>
      </c>
      <c r="Q39" s="48"/>
      <c r="R39" s="82">
        <v>0</v>
      </c>
      <c r="S39" s="43">
        <v>0</v>
      </c>
      <c r="T39" s="48"/>
    </row>
    <row r="40" spans="1:20" x14ac:dyDescent="0.25">
      <c r="A40" s="59">
        <v>34</v>
      </c>
      <c r="B40" s="39"/>
      <c r="C40" s="45" t="s">
        <v>51</v>
      </c>
      <c r="D40" s="32">
        <v>0</v>
      </c>
      <c r="E40" s="71"/>
      <c r="F40" s="81">
        <v>1</v>
      </c>
      <c r="G40" s="32">
        <v>0</v>
      </c>
      <c r="H40" s="34">
        <v>3.5499999999999997E-2</v>
      </c>
      <c r="I40" s="81">
        <v>1</v>
      </c>
      <c r="J40" s="32" t="s">
        <v>81</v>
      </c>
      <c r="K40" s="34">
        <v>-2.912E-2</v>
      </c>
      <c r="L40" s="81">
        <v>0</v>
      </c>
      <c r="M40" s="32">
        <v>0</v>
      </c>
      <c r="N40" s="34">
        <v>0</v>
      </c>
      <c r="O40" s="81">
        <v>0</v>
      </c>
      <c r="P40" s="32">
        <v>0</v>
      </c>
      <c r="Q40" s="36"/>
      <c r="R40" s="81">
        <v>0</v>
      </c>
      <c r="S40" s="32">
        <v>0</v>
      </c>
      <c r="T40" s="36"/>
    </row>
    <row r="41" spans="1:20" x14ac:dyDescent="0.25">
      <c r="A41" s="59">
        <v>35</v>
      </c>
      <c r="B41" s="41" t="s">
        <v>53</v>
      </c>
      <c r="C41" s="42" t="s">
        <v>41</v>
      </c>
      <c r="D41" s="43">
        <v>1336403</v>
      </c>
      <c r="E41" s="72"/>
      <c r="F41" s="82">
        <v>0</v>
      </c>
      <c r="G41" s="43">
        <v>0</v>
      </c>
      <c r="H41" s="47">
        <v>0</v>
      </c>
      <c r="I41" s="82">
        <v>0</v>
      </c>
      <c r="J41" s="43">
        <v>0</v>
      </c>
      <c r="K41" s="47">
        <v>0</v>
      </c>
      <c r="L41" s="82">
        <v>0</v>
      </c>
      <c r="M41" s="43">
        <v>0</v>
      </c>
      <c r="N41" s="47">
        <v>0</v>
      </c>
      <c r="O41" s="82">
        <v>0</v>
      </c>
      <c r="P41" s="43">
        <v>0</v>
      </c>
      <c r="Q41" s="48"/>
      <c r="R41" s="82">
        <v>0</v>
      </c>
      <c r="S41" s="43">
        <v>0</v>
      </c>
      <c r="T41" s="48"/>
    </row>
    <row r="42" spans="1:20" x14ac:dyDescent="0.25">
      <c r="A42" s="59">
        <v>36</v>
      </c>
      <c r="B42" s="41"/>
      <c r="C42" s="42" t="s">
        <v>42</v>
      </c>
      <c r="D42" s="43">
        <v>1682938</v>
      </c>
      <c r="E42" s="72"/>
      <c r="F42" s="82">
        <v>0</v>
      </c>
      <c r="G42" s="43">
        <v>0</v>
      </c>
      <c r="H42" s="47">
        <v>0</v>
      </c>
      <c r="I42" s="82">
        <v>0</v>
      </c>
      <c r="J42" s="43">
        <v>0</v>
      </c>
      <c r="K42" s="47">
        <v>0</v>
      </c>
      <c r="L42" s="82">
        <v>0</v>
      </c>
      <c r="M42" s="43">
        <v>0</v>
      </c>
      <c r="N42" s="47">
        <v>0</v>
      </c>
      <c r="O42" s="82">
        <v>0</v>
      </c>
      <c r="P42" s="43">
        <v>0</v>
      </c>
      <c r="Q42" s="48"/>
      <c r="R42" s="82">
        <v>0</v>
      </c>
      <c r="S42" s="43">
        <v>0</v>
      </c>
      <c r="T42" s="48"/>
    </row>
    <row r="43" spans="1:20" x14ac:dyDescent="0.25">
      <c r="A43" s="59">
        <v>37</v>
      </c>
      <c r="B43" s="41"/>
      <c r="C43" s="42" t="s">
        <v>48</v>
      </c>
      <c r="D43" s="43">
        <v>1387648</v>
      </c>
      <c r="E43" s="72"/>
      <c r="F43" s="82">
        <v>0</v>
      </c>
      <c r="G43" s="43">
        <v>0</v>
      </c>
      <c r="H43" s="47">
        <v>0</v>
      </c>
      <c r="I43" s="82">
        <v>0</v>
      </c>
      <c r="J43" s="43">
        <v>0</v>
      </c>
      <c r="K43" s="47">
        <v>0</v>
      </c>
      <c r="L43" s="82">
        <v>0</v>
      </c>
      <c r="M43" s="43">
        <v>0</v>
      </c>
      <c r="N43" s="47">
        <v>0</v>
      </c>
      <c r="O43" s="82">
        <v>0</v>
      </c>
      <c r="P43" s="43">
        <v>0</v>
      </c>
      <c r="Q43" s="48"/>
      <c r="R43" s="82">
        <v>0</v>
      </c>
      <c r="S43" s="43">
        <v>0</v>
      </c>
      <c r="T43" s="48"/>
    </row>
    <row r="44" spans="1:20" x14ac:dyDescent="0.25">
      <c r="A44" s="59">
        <v>38</v>
      </c>
      <c r="B44" s="41"/>
      <c r="C44" s="42" t="s">
        <v>49</v>
      </c>
      <c r="D44" s="43">
        <v>2195748</v>
      </c>
      <c r="E44" s="72"/>
      <c r="F44" s="82">
        <v>0</v>
      </c>
      <c r="G44" s="43">
        <v>0</v>
      </c>
      <c r="H44" s="47">
        <v>0</v>
      </c>
      <c r="I44" s="82">
        <v>0</v>
      </c>
      <c r="J44" s="43">
        <v>0</v>
      </c>
      <c r="K44" s="47">
        <v>0</v>
      </c>
      <c r="L44" s="82">
        <v>0</v>
      </c>
      <c r="M44" s="43">
        <v>0</v>
      </c>
      <c r="N44" s="47">
        <v>0</v>
      </c>
      <c r="O44" s="82">
        <v>0</v>
      </c>
      <c r="P44" s="43">
        <v>0</v>
      </c>
      <c r="Q44" s="48"/>
      <c r="R44" s="82">
        <v>0</v>
      </c>
      <c r="S44" s="43">
        <v>0</v>
      </c>
      <c r="T44" s="48"/>
    </row>
    <row r="45" spans="1:20" x14ac:dyDescent="0.25">
      <c r="A45" s="59">
        <v>39</v>
      </c>
      <c r="B45" s="41"/>
      <c r="C45" s="42" t="s">
        <v>50</v>
      </c>
      <c r="D45" s="43">
        <v>901810</v>
      </c>
      <c r="E45" s="72"/>
      <c r="F45" s="82">
        <v>0</v>
      </c>
      <c r="G45" s="43">
        <v>0</v>
      </c>
      <c r="H45" s="47">
        <v>0</v>
      </c>
      <c r="I45" s="82">
        <v>0</v>
      </c>
      <c r="J45" s="43">
        <v>0</v>
      </c>
      <c r="K45" s="47">
        <v>0</v>
      </c>
      <c r="L45" s="82">
        <v>0</v>
      </c>
      <c r="M45" s="43">
        <v>0</v>
      </c>
      <c r="N45" s="47">
        <v>0</v>
      </c>
      <c r="O45" s="82">
        <v>0</v>
      </c>
      <c r="P45" s="43">
        <v>0</v>
      </c>
      <c r="Q45" s="48"/>
      <c r="R45" s="82">
        <v>0</v>
      </c>
      <c r="S45" s="43">
        <v>0</v>
      </c>
      <c r="T45" s="48"/>
    </row>
    <row r="46" spans="1:20" x14ac:dyDescent="0.25">
      <c r="A46" s="59">
        <v>40</v>
      </c>
      <c r="B46" s="39"/>
      <c r="C46" s="45" t="s">
        <v>51</v>
      </c>
      <c r="D46" s="32">
        <v>0</v>
      </c>
      <c r="E46" s="71"/>
      <c r="F46" s="81">
        <v>0</v>
      </c>
      <c r="G46" s="32">
        <v>0</v>
      </c>
      <c r="H46" s="34">
        <v>0</v>
      </c>
      <c r="I46" s="81">
        <v>0</v>
      </c>
      <c r="J46" s="32">
        <v>0</v>
      </c>
      <c r="K46" s="34">
        <v>0</v>
      </c>
      <c r="L46" s="81">
        <v>0</v>
      </c>
      <c r="M46" s="32">
        <v>0</v>
      </c>
      <c r="N46" s="34">
        <v>0</v>
      </c>
      <c r="O46" s="81">
        <v>0</v>
      </c>
      <c r="P46" s="32">
        <v>0</v>
      </c>
      <c r="Q46" s="36"/>
      <c r="R46" s="81">
        <v>0</v>
      </c>
      <c r="S46" s="32">
        <v>0</v>
      </c>
      <c r="T46" s="36"/>
    </row>
    <row r="47" spans="1:20" x14ac:dyDescent="0.25">
      <c r="A47" s="59">
        <v>41</v>
      </c>
      <c r="B47" s="41" t="s">
        <v>54</v>
      </c>
      <c r="C47" s="42" t="s">
        <v>41</v>
      </c>
      <c r="D47" s="43">
        <v>237919</v>
      </c>
      <c r="E47" s="72"/>
      <c r="F47" s="82">
        <v>1</v>
      </c>
      <c r="G47" s="43">
        <v>237919</v>
      </c>
      <c r="H47" s="47">
        <v>3.5499999999999997E-2</v>
      </c>
      <c r="I47" s="82">
        <v>0</v>
      </c>
      <c r="J47" s="43">
        <v>0</v>
      </c>
      <c r="K47" s="47">
        <v>0</v>
      </c>
      <c r="L47" s="82">
        <v>1</v>
      </c>
      <c r="M47" s="43">
        <v>237919</v>
      </c>
      <c r="N47" s="47">
        <v>-1.017E-2</v>
      </c>
      <c r="O47" s="82">
        <v>0</v>
      </c>
      <c r="P47" s="43">
        <v>0</v>
      </c>
      <c r="Q47" s="48"/>
      <c r="R47" s="82">
        <v>0</v>
      </c>
      <c r="S47" s="43">
        <v>0</v>
      </c>
      <c r="T47" s="48"/>
    </row>
    <row r="48" spans="1:20" x14ac:dyDescent="0.25">
      <c r="A48" s="59">
        <v>42</v>
      </c>
      <c r="B48" s="41"/>
      <c r="C48" s="42" t="s">
        <v>42</v>
      </c>
      <c r="D48" s="43">
        <v>464853</v>
      </c>
      <c r="E48" s="72"/>
      <c r="F48" s="82">
        <v>1</v>
      </c>
      <c r="G48" s="43">
        <v>464853</v>
      </c>
      <c r="H48" s="47">
        <v>3.5499999999999997E-2</v>
      </c>
      <c r="I48" s="82">
        <v>0</v>
      </c>
      <c r="J48" s="43">
        <v>0</v>
      </c>
      <c r="K48" s="47">
        <v>0</v>
      </c>
      <c r="L48" s="82">
        <v>1</v>
      </c>
      <c r="M48" s="43">
        <v>464853</v>
      </c>
      <c r="N48" s="47">
        <v>-1.017E-2</v>
      </c>
      <c r="O48" s="82">
        <v>0</v>
      </c>
      <c r="P48" s="43">
        <v>0</v>
      </c>
      <c r="Q48" s="48"/>
      <c r="R48" s="82">
        <v>0</v>
      </c>
      <c r="S48" s="43">
        <v>0</v>
      </c>
      <c r="T48" s="48"/>
    </row>
    <row r="49" spans="1:20" x14ac:dyDescent="0.25">
      <c r="A49" s="59">
        <v>43</v>
      </c>
      <c r="B49" s="41"/>
      <c r="C49" s="42" t="s">
        <v>48</v>
      </c>
      <c r="D49" s="43">
        <v>214908</v>
      </c>
      <c r="E49" s="72"/>
      <c r="F49" s="82">
        <v>1</v>
      </c>
      <c r="G49" s="43">
        <v>214908</v>
      </c>
      <c r="H49" s="47">
        <v>3.5499999999999997E-2</v>
      </c>
      <c r="I49" s="82">
        <v>0</v>
      </c>
      <c r="J49" s="43">
        <v>0</v>
      </c>
      <c r="K49" s="47">
        <v>0</v>
      </c>
      <c r="L49" s="82">
        <v>1</v>
      </c>
      <c r="M49" s="43">
        <v>214908</v>
      </c>
      <c r="N49" s="47">
        <v>-1.017E-2</v>
      </c>
      <c r="O49" s="82">
        <v>0</v>
      </c>
      <c r="P49" s="43">
        <v>0</v>
      </c>
      <c r="Q49" s="48"/>
      <c r="R49" s="82">
        <v>0</v>
      </c>
      <c r="S49" s="43">
        <v>0</v>
      </c>
      <c r="T49" s="48"/>
    </row>
    <row r="50" spans="1:20" x14ac:dyDescent="0.25">
      <c r="A50" s="59">
        <v>44</v>
      </c>
      <c r="B50" s="41"/>
      <c r="C50" s="42" t="s">
        <v>49</v>
      </c>
      <c r="D50" s="43">
        <v>39494</v>
      </c>
      <c r="E50" s="72"/>
      <c r="F50" s="82">
        <v>1</v>
      </c>
      <c r="G50" s="43">
        <v>39494</v>
      </c>
      <c r="H50" s="47">
        <v>3.5499999999999997E-2</v>
      </c>
      <c r="I50" s="82">
        <v>0</v>
      </c>
      <c r="J50" s="43">
        <v>0</v>
      </c>
      <c r="K50" s="47">
        <v>0</v>
      </c>
      <c r="L50" s="82">
        <v>1</v>
      </c>
      <c r="M50" s="43">
        <v>39494</v>
      </c>
      <c r="N50" s="47">
        <v>-1.017E-2</v>
      </c>
      <c r="O50" s="82">
        <v>0</v>
      </c>
      <c r="P50" s="43">
        <v>0</v>
      </c>
      <c r="Q50" s="48"/>
      <c r="R50" s="82">
        <v>0</v>
      </c>
      <c r="S50" s="43">
        <v>0</v>
      </c>
      <c r="T50" s="48"/>
    </row>
    <row r="51" spans="1:20" x14ac:dyDescent="0.25">
      <c r="A51" s="59">
        <v>45</v>
      </c>
      <c r="B51" s="41"/>
      <c r="C51" s="42" t="s">
        <v>50</v>
      </c>
      <c r="D51" s="43">
        <v>0</v>
      </c>
      <c r="E51" s="72"/>
      <c r="F51" s="82">
        <v>1</v>
      </c>
      <c r="G51" s="43">
        <v>0</v>
      </c>
      <c r="H51" s="47">
        <v>3.5499999999999997E-2</v>
      </c>
      <c r="I51" s="82">
        <v>0</v>
      </c>
      <c r="J51" s="43">
        <v>0</v>
      </c>
      <c r="K51" s="47">
        <v>0</v>
      </c>
      <c r="L51" s="82">
        <v>1</v>
      </c>
      <c r="M51" s="43">
        <v>0</v>
      </c>
      <c r="N51" s="47">
        <v>-1.017E-2</v>
      </c>
      <c r="O51" s="82">
        <v>0</v>
      </c>
      <c r="P51" s="43">
        <v>0</v>
      </c>
      <c r="Q51" s="48"/>
      <c r="R51" s="82">
        <v>0</v>
      </c>
      <c r="S51" s="43">
        <v>0</v>
      </c>
      <c r="T51" s="48"/>
    </row>
    <row r="52" spans="1:20" x14ac:dyDescent="0.25">
      <c r="A52" s="59">
        <v>46</v>
      </c>
      <c r="B52" s="39"/>
      <c r="C52" s="45" t="s">
        <v>51</v>
      </c>
      <c r="D52" s="32">
        <v>0</v>
      </c>
      <c r="E52" s="72"/>
      <c r="F52" s="81">
        <v>1</v>
      </c>
      <c r="G52" s="32">
        <v>0</v>
      </c>
      <c r="H52" s="34">
        <v>3.5499999999999997E-2</v>
      </c>
      <c r="I52" s="81">
        <v>0</v>
      </c>
      <c r="J52" s="32">
        <v>0</v>
      </c>
      <c r="K52" s="34">
        <v>0</v>
      </c>
      <c r="L52" s="81">
        <v>1</v>
      </c>
      <c r="M52" s="32">
        <v>0</v>
      </c>
      <c r="N52" s="34">
        <v>-1.017E-2</v>
      </c>
      <c r="O52" s="81">
        <v>0</v>
      </c>
      <c r="P52" s="32">
        <v>0</v>
      </c>
      <c r="Q52" s="36"/>
      <c r="R52" s="81">
        <v>0</v>
      </c>
      <c r="S52" s="32">
        <v>0</v>
      </c>
      <c r="T52" s="36"/>
    </row>
    <row r="53" spans="1:20" x14ac:dyDescent="0.25">
      <c r="A53" s="59">
        <v>47</v>
      </c>
      <c r="B53" s="41" t="s">
        <v>55</v>
      </c>
      <c r="C53" s="42" t="s">
        <v>41</v>
      </c>
      <c r="D53" s="43">
        <v>159428</v>
      </c>
      <c r="E53" s="72"/>
      <c r="F53" s="82">
        <v>1</v>
      </c>
      <c r="G53" s="43">
        <v>159428</v>
      </c>
      <c r="H53" s="47">
        <v>3.5499999999999997E-2</v>
      </c>
      <c r="I53" s="82">
        <v>0</v>
      </c>
      <c r="J53" s="43">
        <v>0</v>
      </c>
      <c r="K53" s="47">
        <v>0</v>
      </c>
      <c r="L53" s="82">
        <v>1</v>
      </c>
      <c r="M53" s="43">
        <v>159428</v>
      </c>
      <c r="N53" s="47">
        <v>-1.017E-2</v>
      </c>
      <c r="O53" s="82">
        <v>0</v>
      </c>
      <c r="P53" s="43">
        <v>0</v>
      </c>
      <c r="Q53" s="48"/>
      <c r="R53" s="82">
        <v>0</v>
      </c>
      <c r="S53" s="43">
        <v>0</v>
      </c>
      <c r="T53" s="48"/>
    </row>
    <row r="54" spans="1:20" x14ac:dyDescent="0.25">
      <c r="A54" s="59">
        <v>48</v>
      </c>
      <c r="B54" s="41"/>
      <c r="C54" s="42" t="s">
        <v>42</v>
      </c>
      <c r="D54" s="43">
        <v>151104</v>
      </c>
      <c r="E54" s="72"/>
      <c r="F54" s="82">
        <v>1</v>
      </c>
      <c r="G54" s="43">
        <v>151104</v>
      </c>
      <c r="H54" s="47">
        <v>3.5499999999999997E-2</v>
      </c>
      <c r="I54" s="82">
        <v>0</v>
      </c>
      <c r="J54" s="43">
        <v>0</v>
      </c>
      <c r="K54" s="47">
        <v>0</v>
      </c>
      <c r="L54" s="82">
        <v>1</v>
      </c>
      <c r="M54" s="43">
        <v>151104</v>
      </c>
      <c r="N54" s="47">
        <v>-1.017E-2</v>
      </c>
      <c r="O54" s="82">
        <v>0</v>
      </c>
      <c r="P54" s="43">
        <v>0</v>
      </c>
      <c r="Q54" s="48"/>
      <c r="R54" s="82">
        <v>0</v>
      </c>
      <c r="S54" s="43">
        <v>0</v>
      </c>
      <c r="T54" s="48"/>
    </row>
    <row r="55" spans="1:20" x14ac:dyDescent="0.25">
      <c r="A55" s="59">
        <v>49</v>
      </c>
      <c r="B55" s="41"/>
      <c r="C55" s="42" t="s">
        <v>48</v>
      </c>
      <c r="D55" s="43">
        <v>0</v>
      </c>
      <c r="E55" s="72"/>
      <c r="F55" s="82">
        <v>1</v>
      </c>
      <c r="G55" s="43">
        <v>0</v>
      </c>
      <c r="H55" s="47">
        <v>3.5499999999999997E-2</v>
      </c>
      <c r="I55" s="82">
        <v>0</v>
      </c>
      <c r="J55" s="43">
        <v>0</v>
      </c>
      <c r="K55" s="47">
        <v>0</v>
      </c>
      <c r="L55" s="82">
        <v>1</v>
      </c>
      <c r="M55" s="43">
        <v>0</v>
      </c>
      <c r="N55" s="47">
        <v>-1.017E-2</v>
      </c>
      <c r="O55" s="82">
        <v>0</v>
      </c>
      <c r="P55" s="43">
        <v>0</v>
      </c>
      <c r="Q55" s="48"/>
      <c r="R55" s="82">
        <v>0</v>
      </c>
      <c r="S55" s="43">
        <v>0</v>
      </c>
      <c r="T55" s="48"/>
    </row>
    <row r="56" spans="1:20" x14ac:dyDescent="0.25">
      <c r="A56" s="59">
        <v>50</v>
      </c>
      <c r="B56" s="41"/>
      <c r="C56" s="42" t="s">
        <v>49</v>
      </c>
      <c r="D56" s="43">
        <v>0</v>
      </c>
      <c r="E56" s="72"/>
      <c r="F56" s="82">
        <v>1</v>
      </c>
      <c r="G56" s="43">
        <v>0</v>
      </c>
      <c r="H56" s="47">
        <v>3.5499999999999997E-2</v>
      </c>
      <c r="I56" s="82">
        <v>0</v>
      </c>
      <c r="J56" s="43">
        <v>0</v>
      </c>
      <c r="K56" s="47">
        <v>0</v>
      </c>
      <c r="L56" s="82">
        <v>1</v>
      </c>
      <c r="M56" s="43">
        <v>0</v>
      </c>
      <c r="N56" s="47">
        <v>-1.017E-2</v>
      </c>
      <c r="O56" s="82">
        <v>0</v>
      </c>
      <c r="P56" s="43">
        <v>0</v>
      </c>
      <c r="Q56" s="48"/>
      <c r="R56" s="82">
        <v>0</v>
      </c>
      <c r="S56" s="43">
        <v>0</v>
      </c>
      <c r="T56" s="48"/>
    </row>
    <row r="57" spans="1:20" x14ac:dyDescent="0.25">
      <c r="A57" s="59">
        <v>51</v>
      </c>
      <c r="B57" s="41"/>
      <c r="C57" s="42" t="s">
        <v>50</v>
      </c>
      <c r="D57" s="43">
        <v>0</v>
      </c>
      <c r="E57" s="72"/>
      <c r="F57" s="82">
        <v>1</v>
      </c>
      <c r="G57" s="43">
        <v>0</v>
      </c>
      <c r="H57" s="47">
        <v>3.5499999999999997E-2</v>
      </c>
      <c r="I57" s="82">
        <v>0</v>
      </c>
      <c r="J57" s="43">
        <v>0</v>
      </c>
      <c r="K57" s="47">
        <v>0</v>
      </c>
      <c r="L57" s="82">
        <v>1</v>
      </c>
      <c r="M57" s="43">
        <v>0</v>
      </c>
      <c r="N57" s="47">
        <v>-1.017E-2</v>
      </c>
      <c r="O57" s="82">
        <v>0</v>
      </c>
      <c r="P57" s="43">
        <v>0</v>
      </c>
      <c r="Q57" s="48"/>
      <c r="R57" s="82">
        <v>0</v>
      </c>
      <c r="S57" s="43">
        <v>0</v>
      </c>
      <c r="T57" s="48"/>
    </row>
    <row r="58" spans="1:20" x14ac:dyDescent="0.25">
      <c r="A58" s="59">
        <v>52</v>
      </c>
      <c r="B58" s="39"/>
      <c r="C58" s="45" t="s">
        <v>51</v>
      </c>
      <c r="D58" s="32">
        <v>0</v>
      </c>
      <c r="E58" s="71"/>
      <c r="F58" s="81">
        <v>1</v>
      </c>
      <c r="G58" s="32">
        <v>0</v>
      </c>
      <c r="H58" s="34">
        <v>3.5499999999999997E-2</v>
      </c>
      <c r="I58" s="81">
        <v>0</v>
      </c>
      <c r="J58" s="32">
        <v>0</v>
      </c>
      <c r="K58" s="34">
        <v>0</v>
      </c>
      <c r="L58" s="81">
        <v>1</v>
      </c>
      <c r="M58" s="32">
        <v>0</v>
      </c>
      <c r="N58" s="34">
        <v>-1.017E-2</v>
      </c>
      <c r="O58" s="81">
        <v>0</v>
      </c>
      <c r="P58" s="32">
        <v>0</v>
      </c>
      <c r="Q58" s="36"/>
      <c r="R58" s="81">
        <v>0</v>
      </c>
      <c r="S58" s="32">
        <v>0</v>
      </c>
      <c r="T58" s="36"/>
    </row>
    <row r="59" spans="1:20" x14ac:dyDescent="0.25">
      <c r="A59" s="59">
        <v>53</v>
      </c>
      <c r="B59" s="41" t="s">
        <v>56</v>
      </c>
      <c r="C59" s="42" t="s">
        <v>41</v>
      </c>
      <c r="D59" s="43">
        <v>881572</v>
      </c>
      <c r="E59" s="72"/>
      <c r="F59" s="82">
        <v>0</v>
      </c>
      <c r="G59" s="43">
        <v>0</v>
      </c>
      <c r="H59" s="47">
        <v>0</v>
      </c>
      <c r="I59" s="82">
        <v>0</v>
      </c>
      <c r="J59" s="43">
        <v>0</v>
      </c>
      <c r="K59" s="47">
        <v>0</v>
      </c>
      <c r="L59" s="82">
        <v>0</v>
      </c>
      <c r="M59" s="43">
        <v>0</v>
      </c>
      <c r="N59" s="47">
        <v>0</v>
      </c>
      <c r="O59" s="82">
        <v>0</v>
      </c>
      <c r="P59" s="43">
        <v>0</v>
      </c>
      <c r="Q59" s="48"/>
      <c r="R59" s="82">
        <v>0</v>
      </c>
      <c r="S59" s="43">
        <v>0</v>
      </c>
      <c r="T59" s="48"/>
    </row>
    <row r="60" spans="1:20" x14ac:dyDescent="0.25">
      <c r="A60" s="59">
        <v>54</v>
      </c>
      <c r="B60" s="41"/>
      <c r="C60" s="42" t="s">
        <v>42</v>
      </c>
      <c r="D60" s="43">
        <v>1495748</v>
      </c>
      <c r="E60" s="72"/>
      <c r="F60" s="82">
        <v>0</v>
      </c>
      <c r="G60" s="43">
        <v>0</v>
      </c>
      <c r="H60" s="47">
        <v>0</v>
      </c>
      <c r="I60" s="82">
        <v>0</v>
      </c>
      <c r="J60" s="43">
        <v>0</v>
      </c>
      <c r="K60" s="47">
        <v>0</v>
      </c>
      <c r="L60" s="82">
        <v>0</v>
      </c>
      <c r="M60" s="43">
        <v>0</v>
      </c>
      <c r="N60" s="47">
        <v>0</v>
      </c>
      <c r="O60" s="82">
        <v>0</v>
      </c>
      <c r="P60" s="43">
        <v>0</v>
      </c>
      <c r="Q60" s="48"/>
      <c r="R60" s="82">
        <v>0</v>
      </c>
      <c r="S60" s="43">
        <v>0</v>
      </c>
      <c r="T60" s="48"/>
    </row>
    <row r="61" spans="1:20" x14ac:dyDescent="0.25">
      <c r="A61" s="59">
        <v>55</v>
      </c>
      <c r="B61" s="41"/>
      <c r="C61" s="42" t="s">
        <v>48</v>
      </c>
      <c r="D61" s="43">
        <v>1185204</v>
      </c>
      <c r="E61" s="72"/>
      <c r="F61" s="82">
        <v>0</v>
      </c>
      <c r="G61" s="43">
        <v>0</v>
      </c>
      <c r="H61" s="47">
        <v>0</v>
      </c>
      <c r="I61" s="82">
        <v>0</v>
      </c>
      <c r="J61" s="43">
        <v>0</v>
      </c>
      <c r="K61" s="47">
        <v>0</v>
      </c>
      <c r="L61" s="82">
        <v>0</v>
      </c>
      <c r="M61" s="43">
        <v>0</v>
      </c>
      <c r="N61" s="47">
        <v>0</v>
      </c>
      <c r="O61" s="82">
        <v>0</v>
      </c>
      <c r="P61" s="43">
        <v>0</v>
      </c>
      <c r="Q61" s="48"/>
      <c r="R61" s="82">
        <v>0</v>
      </c>
      <c r="S61" s="43">
        <v>0</v>
      </c>
      <c r="T61" s="48"/>
    </row>
    <row r="62" spans="1:20" x14ac:dyDescent="0.25">
      <c r="A62" s="59">
        <v>56</v>
      </c>
      <c r="B62" s="41"/>
      <c r="C62" s="42" t="s">
        <v>49</v>
      </c>
      <c r="D62" s="43">
        <v>4013728</v>
      </c>
      <c r="E62" s="72"/>
      <c r="F62" s="82">
        <v>0</v>
      </c>
      <c r="G62" s="43">
        <v>0</v>
      </c>
      <c r="H62" s="47">
        <v>0</v>
      </c>
      <c r="I62" s="82">
        <v>0</v>
      </c>
      <c r="J62" s="43">
        <v>0</v>
      </c>
      <c r="K62" s="47">
        <v>0</v>
      </c>
      <c r="L62" s="82">
        <v>0</v>
      </c>
      <c r="M62" s="43">
        <v>0</v>
      </c>
      <c r="N62" s="47">
        <v>0</v>
      </c>
      <c r="O62" s="82">
        <v>0</v>
      </c>
      <c r="P62" s="43">
        <v>0</v>
      </c>
      <c r="Q62" s="48"/>
      <c r="R62" s="82">
        <v>0</v>
      </c>
      <c r="S62" s="43">
        <v>0</v>
      </c>
      <c r="T62" s="48"/>
    </row>
    <row r="63" spans="1:20" x14ac:dyDescent="0.25">
      <c r="A63" s="59">
        <v>57</v>
      </c>
      <c r="B63" s="41"/>
      <c r="C63" s="42" t="s">
        <v>50</v>
      </c>
      <c r="D63" s="43">
        <v>2332547</v>
      </c>
      <c r="E63" s="72"/>
      <c r="F63" s="82">
        <v>0</v>
      </c>
      <c r="G63" s="43">
        <v>0</v>
      </c>
      <c r="H63" s="47">
        <v>0</v>
      </c>
      <c r="I63" s="82">
        <v>0</v>
      </c>
      <c r="J63" s="43">
        <v>0</v>
      </c>
      <c r="K63" s="47">
        <v>0</v>
      </c>
      <c r="L63" s="82">
        <v>0</v>
      </c>
      <c r="M63" s="43">
        <v>0</v>
      </c>
      <c r="N63" s="47">
        <v>0</v>
      </c>
      <c r="O63" s="82">
        <v>0</v>
      </c>
      <c r="P63" s="43">
        <v>0</v>
      </c>
      <c r="Q63" s="48"/>
      <c r="R63" s="82">
        <v>0</v>
      </c>
      <c r="S63" s="43">
        <v>0</v>
      </c>
      <c r="T63" s="48"/>
    </row>
    <row r="64" spans="1:20" x14ac:dyDescent="0.25">
      <c r="A64" s="59">
        <v>58</v>
      </c>
      <c r="B64" s="39"/>
      <c r="C64" s="45" t="s">
        <v>51</v>
      </c>
      <c r="D64" s="32">
        <v>0</v>
      </c>
      <c r="E64" s="71"/>
      <c r="F64" s="81">
        <v>0</v>
      </c>
      <c r="G64" s="32">
        <v>0</v>
      </c>
      <c r="H64" s="34">
        <v>0</v>
      </c>
      <c r="I64" s="81">
        <v>0</v>
      </c>
      <c r="J64" s="32">
        <v>0</v>
      </c>
      <c r="K64" s="34">
        <v>0</v>
      </c>
      <c r="L64" s="81">
        <v>0</v>
      </c>
      <c r="M64" s="32">
        <v>0</v>
      </c>
      <c r="N64" s="34">
        <v>0</v>
      </c>
      <c r="O64" s="81">
        <v>0</v>
      </c>
      <c r="P64" s="32">
        <v>0</v>
      </c>
      <c r="Q64" s="36"/>
      <c r="R64" s="81">
        <v>0</v>
      </c>
      <c r="S64" s="32">
        <v>0</v>
      </c>
      <c r="T64" s="36"/>
    </row>
    <row r="65" spans="1:20" x14ac:dyDescent="0.25">
      <c r="A65" s="59">
        <v>59</v>
      </c>
      <c r="B65" s="39" t="s">
        <v>57</v>
      </c>
      <c r="C65" s="40"/>
      <c r="D65" s="32">
        <v>0</v>
      </c>
      <c r="E65" s="71"/>
      <c r="F65" s="81">
        <v>0</v>
      </c>
      <c r="G65" s="32">
        <v>0</v>
      </c>
      <c r="H65" s="34">
        <v>0</v>
      </c>
      <c r="I65" s="81">
        <v>0</v>
      </c>
      <c r="J65" s="32">
        <v>0</v>
      </c>
      <c r="K65" s="34">
        <v>0</v>
      </c>
      <c r="L65" s="81">
        <v>0</v>
      </c>
      <c r="M65" s="32">
        <v>0</v>
      </c>
      <c r="N65" s="34">
        <v>0</v>
      </c>
      <c r="O65" s="81">
        <v>0</v>
      </c>
      <c r="P65" s="32">
        <v>0</v>
      </c>
      <c r="Q65" s="36"/>
      <c r="R65" s="81">
        <v>0</v>
      </c>
      <c r="S65" s="32">
        <v>0</v>
      </c>
      <c r="T65" s="36"/>
    </row>
    <row r="66" spans="1:20" x14ac:dyDescent="0.25">
      <c r="A66" s="59">
        <v>60</v>
      </c>
      <c r="B66" s="30" t="s">
        <v>58</v>
      </c>
      <c r="C66" s="31"/>
      <c r="D66" s="32">
        <v>0</v>
      </c>
      <c r="E66" s="71"/>
      <c r="F66" s="81">
        <v>0</v>
      </c>
      <c r="G66" s="32">
        <v>0</v>
      </c>
      <c r="H66" s="34">
        <v>0</v>
      </c>
      <c r="I66" s="81">
        <v>0</v>
      </c>
      <c r="J66" s="32">
        <v>0</v>
      </c>
      <c r="K66" s="34">
        <v>0</v>
      </c>
      <c r="L66" s="81">
        <v>0</v>
      </c>
      <c r="M66" s="32">
        <v>0</v>
      </c>
      <c r="N66" s="34">
        <v>0</v>
      </c>
      <c r="O66" s="81">
        <v>0</v>
      </c>
      <c r="P66" s="32">
        <v>0</v>
      </c>
      <c r="Q66" s="36"/>
      <c r="R66" s="81">
        <v>0</v>
      </c>
      <c r="S66" s="32">
        <v>0</v>
      </c>
      <c r="T66" s="36"/>
    </row>
    <row r="67" spans="1:20" x14ac:dyDescent="0.25">
      <c r="A67" s="59">
        <v>61</v>
      </c>
      <c r="B67" s="51" t="s">
        <v>59</v>
      </c>
      <c r="C67" s="31"/>
      <c r="D67" s="32"/>
      <c r="E67" s="71"/>
      <c r="F67" s="81"/>
      <c r="G67" s="32"/>
      <c r="H67" s="34"/>
      <c r="I67" s="81"/>
      <c r="J67" s="32"/>
      <c r="K67" s="34"/>
      <c r="L67" s="81"/>
      <c r="M67" s="32"/>
      <c r="N67" s="34"/>
      <c r="O67" s="81"/>
      <c r="P67" s="32"/>
      <c r="Q67" s="36"/>
      <c r="R67" s="81"/>
      <c r="S67" s="32"/>
      <c r="T67" s="36"/>
    </row>
    <row r="68" spans="1:20" x14ac:dyDescent="0.25">
      <c r="A68" s="59">
        <v>62</v>
      </c>
      <c r="F68" s="83"/>
      <c r="H68" s="73"/>
      <c r="K68" s="73"/>
      <c r="N68" s="73"/>
      <c r="R68" s="2"/>
      <c r="S68" s="2"/>
      <c r="T68" s="2"/>
    </row>
    <row r="69" spans="1:20" x14ac:dyDescent="0.25">
      <c r="A69" s="59">
        <v>63</v>
      </c>
      <c r="B69" s="2" t="s">
        <v>60</v>
      </c>
      <c r="D69" s="84">
        <v>100505811.10000001</v>
      </c>
      <c r="F69" s="83"/>
      <c r="G69" s="84">
        <v>82304341.100000009</v>
      </c>
      <c r="H69" s="73">
        <v>3.5499999999999997E-2</v>
      </c>
      <c r="J69" s="84">
        <v>81036635.100000009</v>
      </c>
      <c r="K69" s="73">
        <v>-2.912E-2</v>
      </c>
      <c r="M69" s="84">
        <v>1267706</v>
      </c>
      <c r="N69" s="73">
        <v>-1.017E-2</v>
      </c>
      <c r="P69" s="52">
        <v>0</v>
      </c>
      <c r="Q69" s="3" t="e">
        <v>#DIV/0!</v>
      </c>
      <c r="R69" s="2"/>
      <c r="S69" s="52">
        <v>0</v>
      </c>
      <c r="T69" s="3" t="e">
        <v>#DIV/0!</v>
      </c>
    </row>
    <row r="70" spans="1:20" x14ac:dyDescent="0.25">
      <c r="A70" s="59">
        <v>64</v>
      </c>
      <c r="D70" s="52">
        <v>0</v>
      </c>
      <c r="F70" s="83"/>
    </row>
    <row r="71" spans="1:20" ht="13.8" thickBot="1" x14ac:dyDescent="0.3">
      <c r="A71" s="59">
        <v>65</v>
      </c>
      <c r="B71" s="53" t="s">
        <v>61</v>
      </c>
      <c r="F71" s="83"/>
    </row>
    <row r="72" spans="1:20" ht="13.8" thickBot="1" x14ac:dyDescent="0.3">
      <c r="A72" s="59">
        <v>66</v>
      </c>
      <c r="B72" s="74" t="s">
        <v>62</v>
      </c>
      <c r="C72" s="75"/>
      <c r="D72" s="55"/>
      <c r="E72" s="55"/>
      <c r="F72" s="76" t="s">
        <v>82</v>
      </c>
      <c r="G72" s="55"/>
      <c r="H72" s="55"/>
      <c r="I72" s="76" t="s">
        <v>83</v>
      </c>
      <c r="J72" s="55"/>
      <c r="K72" s="55"/>
      <c r="L72" s="76" t="s">
        <v>84</v>
      </c>
      <c r="M72" s="55"/>
      <c r="N72" s="55"/>
      <c r="O72" s="76" t="s">
        <v>85</v>
      </c>
      <c r="P72" s="55"/>
      <c r="Q72" s="55"/>
      <c r="R72" s="76" t="s">
        <v>86</v>
      </c>
      <c r="S72" s="55"/>
      <c r="T72" s="77"/>
    </row>
    <row r="73" spans="1:20" ht="13.8" thickBot="1" x14ac:dyDescent="0.3">
      <c r="A73" s="59">
        <v>67</v>
      </c>
      <c r="B73" s="53" t="s">
        <v>64</v>
      </c>
      <c r="F73" s="83"/>
    </row>
    <row r="74" spans="1:20" ht="13.8" thickBot="1" x14ac:dyDescent="0.3">
      <c r="A74" s="59">
        <v>68</v>
      </c>
      <c r="B74" s="54" t="s">
        <v>65</v>
      </c>
      <c r="C74" s="75"/>
      <c r="D74" s="55"/>
      <c r="E74" s="55"/>
      <c r="F74" s="76" t="s">
        <v>87</v>
      </c>
      <c r="G74" s="55"/>
      <c r="H74" s="55"/>
      <c r="I74" s="76" t="s">
        <v>87</v>
      </c>
      <c r="J74" s="55"/>
      <c r="K74" s="55"/>
      <c r="L74" s="76" t="s">
        <v>87</v>
      </c>
      <c r="M74" s="55"/>
      <c r="N74" s="55"/>
      <c r="O74" s="76" t="s">
        <v>85</v>
      </c>
      <c r="P74" s="55"/>
      <c r="Q74" s="55"/>
      <c r="R74" s="76" t="s">
        <v>86</v>
      </c>
      <c r="S74" s="55"/>
      <c r="T74" s="77"/>
    </row>
    <row r="75" spans="1:20" x14ac:dyDescent="0.25">
      <c r="A75" s="59"/>
      <c r="F75" s="83"/>
    </row>
    <row r="76" spans="1:20" x14ac:dyDescent="0.25">
      <c r="A76" s="59"/>
      <c r="F76" s="83"/>
    </row>
    <row r="81" spans="2:2" x14ac:dyDescent="0.25">
      <c r="B81" s="9"/>
    </row>
  </sheetData>
  <mergeCells count="2">
    <mergeCell ref="O7:Q7"/>
    <mergeCell ref="R7:T7"/>
  </mergeCells>
  <pageMargins left="0.7" right="0.7" top="0.75" bottom="0.75" header="0.3" footer="0.3"/>
  <pageSetup scale="66" orientation="portrait" horizontalDpi="300" verticalDpi="300" r:id="rId1"/>
  <headerFooter>
    <oddHeader>&amp;RNWN's Advice 19-06A
Exhibit A - Supporting Materials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showGridLines="0" view="pageLayout" zoomScaleNormal="100" workbookViewId="0">
      <selection activeCell="X20" sqref="X20"/>
    </sheetView>
  </sheetViews>
  <sheetFormatPr defaultColWidth="8" defaultRowHeight="13.2" outlineLevelCol="1" x14ac:dyDescent="0.25"/>
  <cols>
    <col min="1" max="1" width="5.88671875" style="4" customWidth="1"/>
    <col min="2" max="2" width="15.33203125" style="2" customWidth="1"/>
    <col min="3" max="3" width="8" style="2"/>
    <col min="4" max="4" width="14.109375" style="2" customWidth="1"/>
    <col min="5" max="5" width="11.44140625" style="2" customWidth="1"/>
    <col min="6" max="6" width="11.6640625" style="2" customWidth="1"/>
    <col min="7" max="7" width="11" style="2" customWidth="1"/>
    <col min="8" max="8" width="10.109375" style="2" customWidth="1"/>
    <col min="9" max="9" width="12.6640625" style="2" customWidth="1"/>
    <col min="10" max="10" width="10.6640625" style="2" customWidth="1" outlineLevel="1" collapsed="1"/>
    <col min="11" max="11" width="12.44140625" style="2" customWidth="1" outlineLevel="1"/>
    <col min="12" max="12" width="14.33203125" style="2" customWidth="1" outlineLevel="1"/>
    <col min="13" max="16384" width="8" style="4"/>
  </cols>
  <sheetData>
    <row r="1" spans="1:14" ht="13.8" x14ac:dyDescent="0.25">
      <c r="A1" s="1" t="s">
        <v>0</v>
      </c>
    </row>
    <row r="2" spans="1:14" ht="13.8" x14ac:dyDescent="0.25">
      <c r="A2" s="1" t="s">
        <v>1</v>
      </c>
      <c r="L2" s="219"/>
    </row>
    <row r="3" spans="1:14" ht="13.8" x14ac:dyDescent="0.25">
      <c r="A3" s="1" t="s">
        <v>2</v>
      </c>
      <c r="I3" s="219"/>
      <c r="J3" s="250"/>
      <c r="K3" s="250"/>
      <c r="L3" s="250"/>
    </row>
    <row r="4" spans="1:14" ht="13.8" x14ac:dyDescent="0.25">
      <c r="A4" s="1" t="s">
        <v>183</v>
      </c>
      <c r="J4" s="7"/>
      <c r="K4" s="250"/>
      <c r="L4" s="7"/>
    </row>
    <row r="5" spans="1:14" ht="13.8" x14ac:dyDescent="0.25">
      <c r="A5" s="251" t="s">
        <v>184</v>
      </c>
      <c r="G5" s="252"/>
      <c r="H5" s="252"/>
      <c r="I5" s="252"/>
      <c r="J5" s="253"/>
      <c r="K5" s="254"/>
      <c r="L5" s="253"/>
    </row>
    <row r="6" spans="1:14" s="255" customFormat="1" ht="14.4" thickBot="1" x14ac:dyDescent="0.3">
      <c r="B6" s="256"/>
      <c r="C6" s="256"/>
      <c r="D6" s="256"/>
      <c r="E6" s="256"/>
      <c r="F6" s="256"/>
      <c r="G6" s="256"/>
      <c r="H6" s="256"/>
      <c r="J6" s="253"/>
      <c r="K6" s="254"/>
      <c r="L6" s="253"/>
    </row>
    <row r="7" spans="1:14" x14ac:dyDescent="0.25">
      <c r="A7" s="8">
        <v>1</v>
      </c>
      <c r="D7" s="9" t="s">
        <v>68</v>
      </c>
      <c r="F7" s="257" t="s">
        <v>185</v>
      </c>
      <c r="H7" s="9" t="s">
        <v>186</v>
      </c>
      <c r="I7" s="257"/>
      <c r="J7" s="257" t="s">
        <v>187</v>
      </c>
      <c r="K7" s="257" t="s">
        <v>187</v>
      </c>
      <c r="L7" s="258" t="s">
        <v>187</v>
      </c>
    </row>
    <row r="8" spans="1:14" x14ac:dyDescent="0.25">
      <c r="A8" s="8">
        <v>2</v>
      </c>
      <c r="D8" s="9" t="s">
        <v>188</v>
      </c>
      <c r="E8" s="257"/>
      <c r="F8" s="257" t="s">
        <v>189</v>
      </c>
      <c r="G8" s="9" t="s">
        <v>190</v>
      </c>
      <c r="H8" s="259">
        <v>43405</v>
      </c>
      <c r="I8" s="257">
        <v>43405</v>
      </c>
      <c r="J8" s="257">
        <v>43770</v>
      </c>
      <c r="K8" s="257">
        <v>43770</v>
      </c>
      <c r="L8" s="260">
        <v>43770</v>
      </c>
    </row>
    <row r="9" spans="1:14" x14ac:dyDescent="0.25">
      <c r="A9" s="8">
        <v>3</v>
      </c>
      <c r="D9" s="9" t="s">
        <v>6</v>
      </c>
      <c r="E9" s="9" t="s">
        <v>191</v>
      </c>
      <c r="F9" s="9" t="s">
        <v>192</v>
      </c>
      <c r="G9" s="9" t="s">
        <v>192</v>
      </c>
      <c r="H9" s="9" t="s">
        <v>3</v>
      </c>
      <c r="I9" s="9" t="s">
        <v>186</v>
      </c>
      <c r="J9" s="9" t="s">
        <v>193</v>
      </c>
      <c r="K9" s="9" t="s">
        <v>193</v>
      </c>
      <c r="L9" s="261" t="s">
        <v>193</v>
      </c>
    </row>
    <row r="10" spans="1:14" s="20" customFormat="1" ht="13.8" thickBot="1" x14ac:dyDescent="0.3">
      <c r="A10" s="8">
        <v>4</v>
      </c>
      <c r="B10" s="2"/>
      <c r="C10" s="2"/>
      <c r="D10" s="17" t="s">
        <v>11</v>
      </c>
      <c r="E10" s="17" t="s">
        <v>18</v>
      </c>
      <c r="F10" s="17" t="s">
        <v>194</v>
      </c>
      <c r="G10" s="17" t="s">
        <v>13</v>
      </c>
      <c r="H10" s="17" t="s">
        <v>195</v>
      </c>
      <c r="I10" s="17" t="s">
        <v>196</v>
      </c>
      <c r="J10" s="18" t="s">
        <v>195</v>
      </c>
      <c r="K10" s="17" t="s">
        <v>196</v>
      </c>
      <c r="L10" s="262" t="s">
        <v>197</v>
      </c>
    </row>
    <row r="11" spans="1:14" s="20" customFormat="1" x14ac:dyDescent="0.25">
      <c r="A11" s="8">
        <v>5</v>
      </c>
      <c r="B11" s="2"/>
      <c r="C11" s="2"/>
      <c r="D11" s="21"/>
      <c r="E11" s="21"/>
      <c r="F11" s="21"/>
      <c r="G11" s="21"/>
      <c r="H11" s="21"/>
      <c r="I11" s="10" t="s">
        <v>198</v>
      </c>
      <c r="J11" s="87"/>
      <c r="K11" s="263" t="s">
        <v>199</v>
      </c>
    </row>
    <row r="12" spans="1:14" s="20" customFormat="1" x14ac:dyDescent="0.25">
      <c r="A12" s="8">
        <v>6</v>
      </c>
      <c r="B12" s="24" t="s">
        <v>17</v>
      </c>
      <c r="C12" s="25" t="s">
        <v>18</v>
      </c>
      <c r="D12" s="26" t="s">
        <v>19</v>
      </c>
      <c r="E12" s="26" t="s">
        <v>20</v>
      </c>
      <c r="F12" s="26" t="s">
        <v>21</v>
      </c>
      <c r="G12" s="26" t="s">
        <v>22</v>
      </c>
      <c r="H12" s="26" t="s">
        <v>23</v>
      </c>
      <c r="I12" s="26" t="s">
        <v>80</v>
      </c>
      <c r="J12" s="27" t="s">
        <v>32</v>
      </c>
      <c r="K12" s="27" t="s">
        <v>33</v>
      </c>
      <c r="L12" s="264" t="s">
        <v>34</v>
      </c>
    </row>
    <row r="13" spans="1:14" x14ac:dyDescent="0.25">
      <c r="A13" s="8">
        <v>7</v>
      </c>
      <c r="B13" s="30" t="s">
        <v>35</v>
      </c>
      <c r="C13" s="31"/>
      <c r="D13" s="32">
        <v>196915.9</v>
      </c>
      <c r="E13" s="265" t="s">
        <v>10</v>
      </c>
      <c r="F13" s="266">
        <v>19</v>
      </c>
      <c r="G13" s="33">
        <v>3.47</v>
      </c>
      <c r="H13" s="35">
        <v>1.0291799999999995</v>
      </c>
      <c r="I13" s="38">
        <v>23.02</v>
      </c>
      <c r="J13" s="268">
        <v>1.0676399999999995</v>
      </c>
      <c r="K13" s="38">
        <v>23.76</v>
      </c>
      <c r="L13" s="267">
        <v>3.2000000000000001E-2</v>
      </c>
      <c r="M13" s="269"/>
      <c r="N13" s="269"/>
    </row>
    <row r="14" spans="1:14" x14ac:dyDescent="0.25">
      <c r="A14" s="8">
        <v>8</v>
      </c>
      <c r="B14" s="30" t="s">
        <v>36</v>
      </c>
      <c r="C14" s="31"/>
      <c r="D14" s="32">
        <v>41008.9</v>
      </c>
      <c r="E14" s="265" t="s">
        <v>10</v>
      </c>
      <c r="F14" s="266">
        <v>95</v>
      </c>
      <c r="G14" s="33">
        <v>3.47</v>
      </c>
      <c r="H14" s="35">
        <v>1.0187299999999995</v>
      </c>
      <c r="I14" s="38">
        <v>100.25</v>
      </c>
      <c r="J14" s="268">
        <v>1.0571899999999994</v>
      </c>
      <c r="K14" s="38">
        <v>103.9</v>
      </c>
      <c r="L14" s="267">
        <v>3.5999999999999997E-2</v>
      </c>
      <c r="M14" s="269"/>
      <c r="N14" s="269"/>
    </row>
    <row r="15" spans="1:14" x14ac:dyDescent="0.25">
      <c r="A15" s="8">
        <v>9</v>
      </c>
      <c r="B15" s="30" t="s">
        <v>37</v>
      </c>
      <c r="C15" s="31"/>
      <c r="D15" s="32">
        <v>53306699.299999997</v>
      </c>
      <c r="E15" s="265" t="s">
        <v>10</v>
      </c>
      <c r="F15" s="266">
        <v>57</v>
      </c>
      <c r="G15" s="33">
        <v>7</v>
      </c>
      <c r="H15" s="35">
        <v>0.73545999999999978</v>
      </c>
      <c r="I15" s="38">
        <v>48.92</v>
      </c>
      <c r="J15" s="268">
        <v>0.77391999999999972</v>
      </c>
      <c r="K15" s="38">
        <v>51.11</v>
      </c>
      <c r="L15" s="267">
        <v>4.4999999999999998E-2</v>
      </c>
      <c r="M15" s="271"/>
      <c r="N15" s="269"/>
    </row>
    <row r="16" spans="1:14" x14ac:dyDescent="0.25">
      <c r="A16" s="8">
        <v>10</v>
      </c>
      <c r="B16" s="30" t="s">
        <v>38</v>
      </c>
      <c r="C16" s="31"/>
      <c r="D16" s="32">
        <v>18528180.699999999</v>
      </c>
      <c r="E16" s="265" t="s">
        <v>10</v>
      </c>
      <c r="F16" s="266">
        <v>248</v>
      </c>
      <c r="G16" s="33">
        <v>15</v>
      </c>
      <c r="H16" s="35">
        <v>0.73534000000000033</v>
      </c>
      <c r="I16" s="38">
        <v>197.36</v>
      </c>
      <c r="J16" s="268">
        <v>0.77380000000000027</v>
      </c>
      <c r="K16" s="38">
        <v>206.9</v>
      </c>
      <c r="L16" s="267">
        <v>4.8000000000000001E-2</v>
      </c>
      <c r="M16" s="271"/>
      <c r="N16" s="269"/>
    </row>
    <row r="17" spans="1:14" x14ac:dyDescent="0.25">
      <c r="A17" s="8">
        <v>11</v>
      </c>
      <c r="B17" s="30" t="s">
        <v>39</v>
      </c>
      <c r="C17" s="31"/>
      <c r="D17" s="32">
        <v>363801</v>
      </c>
      <c r="E17" s="265" t="s">
        <v>10</v>
      </c>
      <c r="F17" s="266">
        <v>1213</v>
      </c>
      <c r="G17" s="33">
        <v>15</v>
      </c>
      <c r="H17" s="35">
        <v>0.70457999999999954</v>
      </c>
      <c r="I17" s="38">
        <v>869.66</v>
      </c>
      <c r="J17" s="268">
        <v>0.74303999999999948</v>
      </c>
      <c r="K17" s="38">
        <v>916.31</v>
      </c>
      <c r="L17" s="267">
        <v>5.3999999999999999E-2</v>
      </c>
      <c r="M17" s="269"/>
      <c r="N17" s="269"/>
    </row>
    <row r="18" spans="1:14" x14ac:dyDescent="0.25">
      <c r="A18" s="8">
        <v>12</v>
      </c>
      <c r="B18" s="39">
        <v>27</v>
      </c>
      <c r="C18" s="40"/>
      <c r="D18" s="32">
        <v>575777.19999999995</v>
      </c>
      <c r="E18" s="265" t="s">
        <v>10</v>
      </c>
      <c r="F18" s="266">
        <v>54</v>
      </c>
      <c r="G18" s="33">
        <v>6</v>
      </c>
      <c r="H18" s="35">
        <v>0.56221999999999994</v>
      </c>
      <c r="I18" s="38">
        <v>36.36</v>
      </c>
      <c r="J18" s="268">
        <v>0.60067999999999988</v>
      </c>
      <c r="K18" s="38">
        <v>38.44</v>
      </c>
      <c r="L18" s="267">
        <v>5.7000000000000002E-2</v>
      </c>
      <c r="M18" s="269"/>
      <c r="N18" s="269"/>
    </row>
    <row r="19" spans="1:14" x14ac:dyDescent="0.25">
      <c r="A19" s="8">
        <v>13</v>
      </c>
      <c r="B19" s="41" t="s">
        <v>40</v>
      </c>
      <c r="C19" s="42" t="s">
        <v>41</v>
      </c>
      <c r="D19" s="43">
        <v>1970232.1</v>
      </c>
      <c r="E19" s="272">
        <v>2000</v>
      </c>
      <c r="F19" s="58">
        <v>3554</v>
      </c>
      <c r="G19" s="308">
        <v>250</v>
      </c>
      <c r="H19" s="37">
        <v>0.49926000000000026</v>
      </c>
      <c r="I19" s="44"/>
      <c r="J19" s="274">
        <v>0.53812000000000026</v>
      </c>
      <c r="K19" s="44"/>
      <c r="L19" s="273"/>
    </row>
    <row r="20" spans="1:14" x14ac:dyDescent="0.25">
      <c r="A20" s="8">
        <v>14</v>
      </c>
      <c r="B20" s="41"/>
      <c r="C20" s="42" t="s">
        <v>42</v>
      </c>
      <c r="D20" s="43">
        <v>2123869.7999999998</v>
      </c>
      <c r="E20" s="272" t="s">
        <v>200</v>
      </c>
      <c r="F20" s="58"/>
      <c r="G20" s="308"/>
      <c r="H20" s="37">
        <v>0.46017999999999998</v>
      </c>
      <c r="I20" s="44"/>
      <c r="J20" s="274">
        <v>0.49903999999999998</v>
      </c>
      <c r="K20" s="44"/>
      <c r="L20" s="273"/>
    </row>
    <row r="21" spans="1:14" x14ac:dyDescent="0.25">
      <c r="A21" s="8">
        <v>15</v>
      </c>
      <c r="B21" s="39"/>
      <c r="C21" s="275" t="s">
        <v>201</v>
      </c>
      <c r="D21" s="276"/>
      <c r="E21" s="277"/>
      <c r="F21" s="278"/>
      <c r="G21" s="309"/>
      <c r="H21" s="279"/>
      <c r="I21" s="280">
        <v>1963.64</v>
      </c>
      <c r="J21" s="283"/>
      <c r="K21" s="280">
        <v>2101.75</v>
      </c>
      <c r="L21" s="281">
        <v>7.0000000000000007E-2</v>
      </c>
      <c r="M21" s="269"/>
      <c r="N21" s="269"/>
    </row>
    <row r="22" spans="1:14" x14ac:dyDescent="0.25">
      <c r="A22" s="8">
        <v>16</v>
      </c>
      <c r="B22" s="41" t="s">
        <v>43</v>
      </c>
      <c r="C22" s="42" t="s">
        <v>41</v>
      </c>
      <c r="D22" s="43">
        <v>0</v>
      </c>
      <c r="E22" s="272">
        <v>2000</v>
      </c>
      <c r="F22" s="58">
        <v>0</v>
      </c>
      <c r="G22" s="308">
        <v>250</v>
      </c>
      <c r="H22" s="37">
        <v>0.51518999999999993</v>
      </c>
      <c r="I22" s="44"/>
      <c r="J22" s="274">
        <v>0.55552999999999997</v>
      </c>
      <c r="K22" s="44"/>
      <c r="L22" s="273"/>
    </row>
    <row r="23" spans="1:14" x14ac:dyDescent="0.25">
      <c r="A23" s="8">
        <v>17</v>
      </c>
      <c r="B23" s="41"/>
      <c r="C23" s="42" t="s">
        <v>42</v>
      </c>
      <c r="D23" s="43">
        <v>0</v>
      </c>
      <c r="E23" s="272" t="s">
        <v>200</v>
      </c>
      <c r="F23" s="285"/>
      <c r="G23" s="310"/>
      <c r="H23" s="37">
        <v>0.47625999999999991</v>
      </c>
      <c r="I23" s="44"/>
      <c r="J23" s="274">
        <v>0.51659999999999995</v>
      </c>
      <c r="K23" s="44"/>
      <c r="L23" s="273"/>
    </row>
    <row r="24" spans="1:14" x14ac:dyDescent="0.25">
      <c r="A24" s="8">
        <v>18</v>
      </c>
      <c r="B24" s="39"/>
      <c r="C24" s="275" t="s">
        <v>201</v>
      </c>
      <c r="D24" s="276"/>
      <c r="E24" s="277"/>
      <c r="F24" s="278"/>
      <c r="G24" s="309"/>
      <c r="H24" s="279"/>
      <c r="I24" s="280">
        <v>250</v>
      </c>
      <c r="J24" s="283"/>
      <c r="K24" s="280">
        <v>250</v>
      </c>
      <c r="L24" s="282">
        <v>0</v>
      </c>
      <c r="M24" s="269"/>
      <c r="N24" s="269"/>
    </row>
    <row r="25" spans="1:14" x14ac:dyDescent="0.25">
      <c r="A25" s="8">
        <v>19</v>
      </c>
      <c r="B25" s="41" t="s">
        <v>44</v>
      </c>
      <c r="C25" s="42" t="s">
        <v>41</v>
      </c>
      <c r="D25" s="43">
        <v>303749</v>
      </c>
      <c r="E25" s="272">
        <v>2000</v>
      </c>
      <c r="F25" s="58">
        <v>8210</v>
      </c>
      <c r="G25" s="308">
        <v>500</v>
      </c>
      <c r="H25" s="37">
        <v>0.30018999999999996</v>
      </c>
      <c r="I25" s="44"/>
      <c r="J25" s="274">
        <v>0.30018999999999996</v>
      </c>
      <c r="K25" s="44"/>
      <c r="L25" s="273"/>
    </row>
    <row r="26" spans="1:14" x14ac:dyDescent="0.25">
      <c r="A26" s="8">
        <v>20</v>
      </c>
      <c r="B26" s="41"/>
      <c r="C26" s="42" t="s">
        <v>42</v>
      </c>
      <c r="D26" s="43">
        <v>484375</v>
      </c>
      <c r="E26" s="272" t="s">
        <v>200</v>
      </c>
      <c r="F26" s="58"/>
      <c r="G26" s="308"/>
      <c r="H26" s="37">
        <v>0.26449</v>
      </c>
      <c r="I26" s="44"/>
      <c r="J26" s="274">
        <v>0.26449</v>
      </c>
      <c r="K26" s="44"/>
      <c r="L26" s="273"/>
    </row>
    <row r="27" spans="1:14" x14ac:dyDescent="0.25">
      <c r="A27" s="8">
        <v>21</v>
      </c>
      <c r="B27" s="39"/>
      <c r="C27" s="275" t="s">
        <v>201</v>
      </c>
      <c r="D27" s="276"/>
      <c r="E27" s="277"/>
      <c r="F27" s="278"/>
      <c r="G27" s="309"/>
      <c r="H27" s="279"/>
      <c r="I27" s="280">
        <v>2742.86</v>
      </c>
      <c r="J27" s="283"/>
      <c r="K27" s="280">
        <v>2742.86</v>
      </c>
      <c r="L27" s="282">
        <v>0</v>
      </c>
      <c r="M27" s="269"/>
      <c r="N27" s="269"/>
    </row>
    <row r="28" spans="1:14" x14ac:dyDescent="0.25">
      <c r="A28" s="8">
        <v>22</v>
      </c>
      <c r="B28" s="41" t="s">
        <v>45</v>
      </c>
      <c r="C28" s="42" t="s">
        <v>41</v>
      </c>
      <c r="D28" s="43">
        <v>360236</v>
      </c>
      <c r="E28" s="272">
        <v>2000</v>
      </c>
      <c r="F28" s="58">
        <v>4177</v>
      </c>
      <c r="G28" s="308">
        <v>250</v>
      </c>
      <c r="H28" s="37">
        <v>0.47592000000000023</v>
      </c>
      <c r="I28" s="44"/>
      <c r="J28" s="274">
        <v>0.51478000000000024</v>
      </c>
      <c r="K28" s="44"/>
      <c r="L28" s="273"/>
    </row>
    <row r="29" spans="1:14" x14ac:dyDescent="0.25">
      <c r="A29" s="8">
        <v>23</v>
      </c>
      <c r="B29" s="41"/>
      <c r="C29" s="42" t="s">
        <v>42</v>
      </c>
      <c r="D29" s="43">
        <v>542040</v>
      </c>
      <c r="E29" s="272" t="s">
        <v>200</v>
      </c>
      <c r="F29" s="285"/>
      <c r="G29" s="310"/>
      <c r="H29" s="37">
        <v>0.43959999999999988</v>
      </c>
      <c r="I29" s="44"/>
      <c r="J29" s="274">
        <v>0.47845999999999989</v>
      </c>
      <c r="K29" s="44"/>
      <c r="L29" s="273"/>
    </row>
    <row r="30" spans="1:14" x14ac:dyDescent="0.25">
      <c r="A30" s="8">
        <v>24</v>
      </c>
      <c r="B30" s="39"/>
      <c r="C30" s="275" t="s">
        <v>201</v>
      </c>
      <c r="D30" s="276"/>
      <c r="E30" s="277"/>
      <c r="F30" s="278"/>
      <c r="G30" s="309"/>
      <c r="H30" s="279"/>
      <c r="I30" s="280">
        <v>2158.85</v>
      </c>
      <c r="J30" s="283"/>
      <c r="K30" s="280">
        <v>2321.17</v>
      </c>
      <c r="L30" s="282">
        <v>7.4999999999999997E-2</v>
      </c>
      <c r="M30" s="269"/>
      <c r="N30" s="269"/>
    </row>
    <row r="31" spans="1:14" x14ac:dyDescent="0.25">
      <c r="A31" s="8">
        <v>25</v>
      </c>
      <c r="B31" s="41" t="s">
        <v>46</v>
      </c>
      <c r="C31" s="42" t="s">
        <v>41</v>
      </c>
      <c r="D31" s="43">
        <v>0</v>
      </c>
      <c r="E31" s="272">
        <v>2000</v>
      </c>
      <c r="F31" s="58">
        <v>0</v>
      </c>
      <c r="G31" s="308">
        <v>250</v>
      </c>
      <c r="H31" s="37">
        <v>0.4930000000000001</v>
      </c>
      <c r="I31" s="44"/>
      <c r="J31" s="274">
        <v>0.53334000000000015</v>
      </c>
      <c r="K31" s="44"/>
      <c r="L31" s="273"/>
    </row>
    <row r="32" spans="1:14" x14ac:dyDescent="0.25">
      <c r="A32" s="8">
        <v>26</v>
      </c>
      <c r="B32" s="41"/>
      <c r="C32" s="42" t="s">
        <v>42</v>
      </c>
      <c r="D32" s="43">
        <v>0</v>
      </c>
      <c r="E32" s="272" t="s">
        <v>200</v>
      </c>
      <c r="F32" s="58"/>
      <c r="G32" s="308"/>
      <c r="H32" s="37">
        <v>0.45670999999999995</v>
      </c>
      <c r="I32" s="44"/>
      <c r="J32" s="274">
        <v>0.49704999999999994</v>
      </c>
      <c r="K32" s="44"/>
      <c r="L32" s="273"/>
    </row>
    <row r="33" spans="1:14" x14ac:dyDescent="0.25">
      <c r="A33" s="8">
        <v>27</v>
      </c>
      <c r="B33" s="39"/>
      <c r="C33" s="275" t="s">
        <v>201</v>
      </c>
      <c r="D33" s="276"/>
      <c r="E33" s="277"/>
      <c r="F33" s="278"/>
      <c r="G33" s="309"/>
      <c r="H33" s="279"/>
      <c r="I33" s="280">
        <v>250</v>
      </c>
      <c r="J33" s="283"/>
      <c r="K33" s="280">
        <v>250</v>
      </c>
      <c r="L33" s="282">
        <v>0</v>
      </c>
      <c r="M33" s="269"/>
      <c r="N33" s="269"/>
    </row>
    <row r="34" spans="1:14" x14ac:dyDescent="0.25">
      <c r="A34" s="8">
        <v>28</v>
      </c>
      <c r="B34" s="41" t="s">
        <v>47</v>
      </c>
      <c r="C34" s="42" t="s">
        <v>41</v>
      </c>
      <c r="D34" s="43">
        <v>561182.4</v>
      </c>
      <c r="E34" s="43">
        <v>10000</v>
      </c>
      <c r="F34" s="58">
        <v>16603</v>
      </c>
      <c r="G34" s="308">
        <v>1300</v>
      </c>
      <c r="H34" s="37">
        <v>0.30433999999999994</v>
      </c>
      <c r="I34" s="44"/>
      <c r="J34" s="274">
        <v>0.34319999999999995</v>
      </c>
      <c r="K34" s="44"/>
      <c r="L34" s="273"/>
    </row>
    <row r="35" spans="1:14" x14ac:dyDescent="0.25">
      <c r="A35" s="8">
        <v>29</v>
      </c>
      <c r="B35" s="41"/>
      <c r="C35" s="42" t="s">
        <v>42</v>
      </c>
      <c r="D35" s="43">
        <v>481861</v>
      </c>
      <c r="E35" s="43">
        <v>20000</v>
      </c>
      <c r="F35" s="58"/>
      <c r="G35" s="308"/>
      <c r="H35" s="37">
        <v>0.29029999999999978</v>
      </c>
      <c r="I35" s="44"/>
      <c r="J35" s="274">
        <v>0.32915999999999979</v>
      </c>
      <c r="K35" s="44"/>
      <c r="L35" s="273"/>
    </row>
    <row r="36" spans="1:14" x14ac:dyDescent="0.25">
      <c r="A36" s="8">
        <v>30</v>
      </c>
      <c r="B36" s="41"/>
      <c r="C36" s="42" t="s">
        <v>48</v>
      </c>
      <c r="D36" s="43">
        <v>131374.9</v>
      </c>
      <c r="E36" s="43">
        <v>20000</v>
      </c>
      <c r="F36" s="58"/>
      <c r="G36" s="308"/>
      <c r="H36" s="37">
        <v>0.26236999999999994</v>
      </c>
      <c r="I36" s="44"/>
      <c r="J36" s="274">
        <v>0.30122999999999994</v>
      </c>
      <c r="K36" s="44"/>
      <c r="L36" s="273"/>
    </row>
    <row r="37" spans="1:14" x14ac:dyDescent="0.25">
      <c r="A37" s="8">
        <v>31</v>
      </c>
      <c r="B37" s="41"/>
      <c r="C37" s="42" t="s">
        <v>49</v>
      </c>
      <c r="D37" s="43">
        <v>20968.900000000001</v>
      </c>
      <c r="E37" s="43">
        <v>100000</v>
      </c>
      <c r="F37" s="58"/>
      <c r="G37" s="308"/>
      <c r="H37" s="37">
        <v>0.2439800000000002</v>
      </c>
      <c r="I37" s="44"/>
      <c r="J37" s="274">
        <v>0.2828400000000002</v>
      </c>
      <c r="K37" s="44"/>
      <c r="L37" s="273"/>
    </row>
    <row r="38" spans="1:14" x14ac:dyDescent="0.25">
      <c r="A38" s="8">
        <v>32</v>
      </c>
      <c r="B38" s="41"/>
      <c r="C38" s="42" t="s">
        <v>50</v>
      </c>
      <c r="D38" s="43">
        <v>0</v>
      </c>
      <c r="E38" s="43">
        <v>600000</v>
      </c>
      <c r="F38" s="58"/>
      <c r="G38" s="308"/>
      <c r="H38" s="37">
        <v>0.21944999999999995</v>
      </c>
      <c r="I38" s="44"/>
      <c r="J38" s="274">
        <v>0.25830999999999993</v>
      </c>
      <c r="K38" s="44"/>
      <c r="L38" s="273"/>
    </row>
    <row r="39" spans="1:14" x14ac:dyDescent="0.25">
      <c r="A39" s="8">
        <v>33</v>
      </c>
      <c r="B39" s="41"/>
      <c r="C39" s="42" t="s">
        <v>51</v>
      </c>
      <c r="D39" s="43">
        <v>0</v>
      </c>
      <c r="E39" s="272" t="s">
        <v>200</v>
      </c>
      <c r="F39" s="58"/>
      <c r="G39" s="308"/>
      <c r="H39" s="37">
        <v>0.18881000000000006</v>
      </c>
      <c r="I39" s="44"/>
      <c r="J39" s="274">
        <v>0.22767000000000004</v>
      </c>
      <c r="K39" s="44"/>
      <c r="L39" s="273"/>
    </row>
    <row r="40" spans="1:14" x14ac:dyDescent="0.25">
      <c r="A40" s="8">
        <v>34</v>
      </c>
      <c r="B40" s="39"/>
      <c r="C40" s="275" t="s">
        <v>201</v>
      </c>
      <c r="D40" s="276"/>
      <c r="E40" s="277"/>
      <c r="F40" s="278"/>
      <c r="G40" s="309"/>
      <c r="H40" s="279"/>
      <c r="I40" s="280">
        <v>6260.25</v>
      </c>
      <c r="J40" s="283"/>
      <c r="K40" s="280">
        <v>6905.44</v>
      </c>
      <c r="L40" s="282">
        <v>0.10299999999999999</v>
      </c>
      <c r="M40" s="269"/>
      <c r="N40" s="269"/>
    </row>
    <row r="41" spans="1:14" x14ac:dyDescent="0.25">
      <c r="A41" s="8">
        <v>35</v>
      </c>
      <c r="B41" s="41" t="s">
        <v>52</v>
      </c>
      <c r="C41" s="42" t="s">
        <v>41</v>
      </c>
      <c r="D41" s="43">
        <v>1060773</v>
      </c>
      <c r="E41" s="43">
        <v>10000</v>
      </c>
      <c r="F41" s="58">
        <v>12726</v>
      </c>
      <c r="G41" s="308">
        <v>1300</v>
      </c>
      <c r="H41" s="37">
        <v>0.29139999999999999</v>
      </c>
      <c r="I41" s="44"/>
      <c r="J41" s="274">
        <v>0.33026</v>
      </c>
      <c r="K41" s="44"/>
      <c r="L41" s="273"/>
    </row>
    <row r="42" spans="1:14" x14ac:dyDescent="0.25">
      <c r="A42" s="8">
        <v>36</v>
      </c>
      <c r="B42" s="41"/>
      <c r="C42" s="42" t="s">
        <v>42</v>
      </c>
      <c r="D42" s="43">
        <v>650234</v>
      </c>
      <c r="E42" s="43">
        <v>20000</v>
      </c>
      <c r="F42" s="58"/>
      <c r="G42" s="308"/>
      <c r="H42" s="37">
        <v>0.27872000000000008</v>
      </c>
      <c r="I42" s="44"/>
      <c r="J42" s="274">
        <v>0.31758000000000008</v>
      </c>
      <c r="K42" s="44"/>
      <c r="L42" s="273"/>
    </row>
    <row r="43" spans="1:14" x14ac:dyDescent="0.25">
      <c r="A43" s="8">
        <v>37</v>
      </c>
      <c r="B43" s="41"/>
      <c r="C43" s="42" t="s">
        <v>48</v>
      </c>
      <c r="D43" s="43">
        <v>112053</v>
      </c>
      <c r="E43" s="43">
        <v>20000</v>
      </c>
      <c r="F43" s="58"/>
      <c r="G43" s="308"/>
      <c r="H43" s="37">
        <v>0.25346999999999992</v>
      </c>
      <c r="I43" s="44"/>
      <c r="J43" s="274">
        <v>0.29232999999999992</v>
      </c>
      <c r="K43" s="44"/>
      <c r="L43" s="273"/>
    </row>
    <row r="44" spans="1:14" x14ac:dyDescent="0.25">
      <c r="A44" s="8">
        <v>38</v>
      </c>
      <c r="B44" s="41"/>
      <c r="C44" s="42" t="s">
        <v>49</v>
      </c>
      <c r="D44" s="43">
        <v>9427</v>
      </c>
      <c r="E44" s="43">
        <v>100000</v>
      </c>
      <c r="F44" s="58"/>
      <c r="G44" s="308"/>
      <c r="H44" s="37">
        <v>0.23686000000000015</v>
      </c>
      <c r="I44" s="44"/>
      <c r="J44" s="274">
        <v>0.27572000000000013</v>
      </c>
      <c r="K44" s="44"/>
      <c r="L44" s="273"/>
    </row>
    <row r="45" spans="1:14" x14ac:dyDescent="0.25">
      <c r="A45" s="8">
        <v>39</v>
      </c>
      <c r="B45" s="41"/>
      <c r="C45" s="42" t="s">
        <v>50</v>
      </c>
      <c r="D45" s="43">
        <v>0</v>
      </c>
      <c r="E45" s="43">
        <v>600000</v>
      </c>
      <c r="F45" s="58"/>
      <c r="G45" s="308"/>
      <c r="H45" s="37">
        <v>0.2147300000000002</v>
      </c>
      <c r="I45" s="44"/>
      <c r="J45" s="274">
        <v>0.2535900000000002</v>
      </c>
      <c r="K45" s="44"/>
      <c r="L45" s="273"/>
    </row>
    <row r="46" spans="1:14" x14ac:dyDescent="0.25">
      <c r="A46" s="8">
        <v>40</v>
      </c>
      <c r="B46" s="41"/>
      <c r="C46" s="42" t="s">
        <v>51</v>
      </c>
      <c r="D46" s="43">
        <v>0</v>
      </c>
      <c r="E46" s="272" t="s">
        <v>200</v>
      </c>
      <c r="F46" s="58"/>
      <c r="G46" s="308"/>
      <c r="H46" s="37">
        <v>0.18703999999999993</v>
      </c>
      <c r="I46" s="44"/>
      <c r="J46" s="274">
        <v>0.22589999999999993</v>
      </c>
      <c r="K46" s="44"/>
      <c r="L46" s="273"/>
    </row>
    <row r="47" spans="1:14" x14ac:dyDescent="0.25">
      <c r="A47" s="8">
        <v>41</v>
      </c>
      <c r="B47" s="39"/>
      <c r="C47" s="275" t="s">
        <v>201</v>
      </c>
      <c r="D47" s="276"/>
      <c r="E47" s="277"/>
      <c r="F47" s="278"/>
      <c r="G47" s="309"/>
      <c r="H47" s="279"/>
      <c r="I47" s="280">
        <v>4973.79</v>
      </c>
      <c r="J47" s="283"/>
      <c r="K47" s="280">
        <v>5468.32</v>
      </c>
      <c r="L47" s="282">
        <v>9.9000000000000005E-2</v>
      </c>
      <c r="M47" s="269"/>
      <c r="N47" s="269"/>
    </row>
    <row r="48" spans="1:14" x14ac:dyDescent="0.25">
      <c r="A48" s="8">
        <v>42</v>
      </c>
      <c r="B48" s="41" t="s">
        <v>53</v>
      </c>
      <c r="C48" s="42" t="s">
        <v>41</v>
      </c>
      <c r="D48" s="43">
        <v>1336403</v>
      </c>
      <c r="E48" s="43">
        <v>10000</v>
      </c>
      <c r="F48" s="58">
        <v>48106</v>
      </c>
      <c r="G48" s="308">
        <v>1550</v>
      </c>
      <c r="H48" s="37">
        <v>0.11795</v>
      </c>
      <c r="I48" s="44"/>
      <c r="J48" s="274">
        <v>0.11795</v>
      </c>
      <c r="K48" s="44"/>
      <c r="L48" s="273"/>
    </row>
    <row r="49" spans="1:14" x14ac:dyDescent="0.25">
      <c r="A49" s="8">
        <v>43</v>
      </c>
      <c r="B49" s="41"/>
      <c r="C49" s="42" t="s">
        <v>42</v>
      </c>
      <c r="D49" s="43">
        <v>1682938</v>
      </c>
      <c r="E49" s="43">
        <v>20000</v>
      </c>
      <c r="F49" s="58"/>
      <c r="G49" s="308"/>
      <c r="H49" s="37">
        <v>0.10557999999999999</v>
      </c>
      <c r="I49" s="44"/>
      <c r="J49" s="274">
        <v>0.10557999999999999</v>
      </c>
      <c r="K49" s="44"/>
      <c r="L49" s="273"/>
    </row>
    <row r="50" spans="1:14" x14ac:dyDescent="0.25">
      <c r="A50" s="8">
        <v>44</v>
      </c>
      <c r="B50" s="41"/>
      <c r="C50" s="42" t="s">
        <v>48</v>
      </c>
      <c r="D50" s="43">
        <v>1387648</v>
      </c>
      <c r="E50" s="43">
        <v>20000</v>
      </c>
      <c r="F50" s="58"/>
      <c r="G50" s="308"/>
      <c r="H50" s="37">
        <v>8.0960000000000004E-2</v>
      </c>
      <c r="I50" s="44"/>
      <c r="J50" s="274">
        <v>8.0960000000000004E-2</v>
      </c>
      <c r="K50" s="44"/>
      <c r="L50" s="273"/>
    </row>
    <row r="51" spans="1:14" x14ac:dyDescent="0.25">
      <c r="A51" s="8">
        <v>45</v>
      </c>
      <c r="B51" s="41"/>
      <c r="C51" s="42" t="s">
        <v>49</v>
      </c>
      <c r="D51" s="43">
        <v>2195748</v>
      </c>
      <c r="E51" s="43">
        <v>100000</v>
      </c>
      <c r="F51" s="58"/>
      <c r="G51" s="308"/>
      <c r="H51" s="37">
        <v>6.4769999999999994E-2</v>
      </c>
      <c r="I51" s="44"/>
      <c r="J51" s="274">
        <v>6.4769999999999994E-2</v>
      </c>
      <c r="K51" s="44"/>
      <c r="L51" s="273"/>
    </row>
    <row r="52" spans="1:14" x14ac:dyDescent="0.25">
      <c r="A52" s="8">
        <v>46</v>
      </c>
      <c r="B52" s="41"/>
      <c r="C52" s="42" t="s">
        <v>50</v>
      </c>
      <c r="D52" s="43">
        <v>901810</v>
      </c>
      <c r="E52" s="43">
        <v>600000</v>
      </c>
      <c r="F52" s="58"/>
      <c r="G52" s="308"/>
      <c r="H52" s="37">
        <v>4.3180000000000003E-2</v>
      </c>
      <c r="I52" s="44"/>
      <c r="J52" s="274">
        <v>4.3180000000000003E-2</v>
      </c>
      <c r="K52" s="44"/>
      <c r="L52" s="273"/>
    </row>
    <row r="53" spans="1:14" x14ac:dyDescent="0.25">
      <c r="A53" s="8">
        <v>47</v>
      </c>
      <c r="B53" s="41"/>
      <c r="C53" s="42" t="s">
        <v>51</v>
      </c>
      <c r="D53" s="43">
        <v>0</v>
      </c>
      <c r="E53" s="272" t="s">
        <v>200</v>
      </c>
      <c r="F53" s="58"/>
      <c r="G53" s="308"/>
      <c r="H53" s="37">
        <v>1.619E-2</v>
      </c>
      <c r="I53" s="44"/>
      <c r="J53" s="274">
        <v>1.619E-2</v>
      </c>
      <c r="K53" s="44"/>
      <c r="L53" s="273"/>
    </row>
    <row r="54" spans="1:14" x14ac:dyDescent="0.25">
      <c r="A54" s="8">
        <v>48</v>
      </c>
      <c r="B54" s="39"/>
      <c r="C54" s="275" t="s">
        <v>201</v>
      </c>
      <c r="D54" s="276"/>
      <c r="E54" s="277"/>
      <c r="F54" s="278"/>
      <c r="G54" s="309"/>
      <c r="H54" s="279"/>
      <c r="I54" s="280">
        <v>6306.96</v>
      </c>
      <c r="J54" s="283"/>
      <c r="K54" s="280">
        <v>6306.96</v>
      </c>
      <c r="L54" s="282">
        <v>0</v>
      </c>
      <c r="M54" s="269"/>
      <c r="N54" s="269"/>
    </row>
    <row r="55" spans="1:14" x14ac:dyDescent="0.25">
      <c r="A55" s="8">
        <v>49</v>
      </c>
      <c r="B55" s="41" t="s">
        <v>54</v>
      </c>
      <c r="C55" s="42" t="s">
        <v>41</v>
      </c>
      <c r="D55" s="43">
        <v>237919</v>
      </c>
      <c r="E55" s="43">
        <v>10000</v>
      </c>
      <c r="F55" s="58">
        <v>39882</v>
      </c>
      <c r="G55" s="308">
        <v>1300</v>
      </c>
      <c r="H55" s="37">
        <v>0.31897999999999999</v>
      </c>
      <c r="I55" s="44"/>
      <c r="J55" s="274">
        <v>0.35931999999999997</v>
      </c>
      <c r="K55" s="44"/>
      <c r="L55" s="273"/>
    </row>
    <row r="56" spans="1:14" x14ac:dyDescent="0.25">
      <c r="A56" s="8">
        <v>50</v>
      </c>
      <c r="B56" s="41"/>
      <c r="C56" s="42" t="s">
        <v>42</v>
      </c>
      <c r="D56" s="43">
        <v>464853</v>
      </c>
      <c r="E56" s="43">
        <v>20000</v>
      </c>
      <c r="F56" s="285"/>
      <c r="G56" s="310"/>
      <c r="H56" s="37">
        <v>0.30522999999999989</v>
      </c>
      <c r="I56" s="44"/>
      <c r="J56" s="274">
        <v>0.34556999999999988</v>
      </c>
      <c r="K56" s="44"/>
      <c r="L56" s="273"/>
    </row>
    <row r="57" spans="1:14" x14ac:dyDescent="0.25">
      <c r="A57" s="8">
        <v>51</v>
      </c>
      <c r="B57" s="41"/>
      <c r="C57" s="42" t="s">
        <v>48</v>
      </c>
      <c r="D57" s="43">
        <v>214908</v>
      </c>
      <c r="E57" s="43">
        <v>20000</v>
      </c>
      <c r="F57" s="285"/>
      <c r="G57" s="310"/>
      <c r="H57" s="37">
        <v>0.27787000000000012</v>
      </c>
      <c r="I57" s="44"/>
      <c r="J57" s="274">
        <v>0.3182100000000001</v>
      </c>
      <c r="K57" s="44"/>
      <c r="L57" s="273"/>
    </row>
    <row r="58" spans="1:14" x14ac:dyDescent="0.25">
      <c r="A58" s="8">
        <v>52</v>
      </c>
      <c r="B58" s="41"/>
      <c r="C58" s="42" t="s">
        <v>49</v>
      </c>
      <c r="D58" s="43">
        <v>39494</v>
      </c>
      <c r="E58" s="43">
        <v>100000</v>
      </c>
      <c r="F58" s="285"/>
      <c r="G58" s="310"/>
      <c r="H58" s="37">
        <v>0.25987999999999994</v>
      </c>
      <c r="I58" s="44"/>
      <c r="J58" s="274">
        <v>0.30021999999999993</v>
      </c>
      <c r="K58" s="44"/>
      <c r="L58" s="273"/>
    </row>
    <row r="59" spans="1:14" x14ac:dyDescent="0.25">
      <c r="A59" s="8">
        <v>53</v>
      </c>
      <c r="B59" s="41"/>
      <c r="C59" s="42" t="s">
        <v>50</v>
      </c>
      <c r="D59" s="43">
        <v>0</v>
      </c>
      <c r="E59" s="43">
        <v>600000</v>
      </c>
      <c r="F59" s="285"/>
      <c r="G59" s="310"/>
      <c r="H59" s="37">
        <v>0.23588000000000003</v>
      </c>
      <c r="I59" s="44"/>
      <c r="J59" s="274">
        <v>0.27622000000000002</v>
      </c>
      <c r="K59" s="44"/>
      <c r="L59" s="273"/>
    </row>
    <row r="60" spans="1:14" x14ac:dyDescent="0.25">
      <c r="A60" s="8">
        <v>54</v>
      </c>
      <c r="B60" s="41"/>
      <c r="C60" s="42" t="s">
        <v>51</v>
      </c>
      <c r="D60" s="43">
        <v>0</v>
      </c>
      <c r="E60" s="272" t="s">
        <v>200</v>
      </c>
      <c r="F60" s="285"/>
      <c r="G60" s="310"/>
      <c r="H60" s="37">
        <v>0.20589999999999992</v>
      </c>
      <c r="I60" s="44"/>
      <c r="J60" s="274">
        <v>0.2462399999999999</v>
      </c>
      <c r="K60" s="44"/>
      <c r="L60" s="273"/>
    </row>
    <row r="61" spans="1:14" x14ac:dyDescent="0.25">
      <c r="A61" s="8">
        <v>55</v>
      </c>
      <c r="B61" s="39"/>
      <c r="C61" s="275" t="s">
        <v>201</v>
      </c>
      <c r="D61" s="276"/>
      <c r="E61" s="277"/>
      <c r="F61" s="278"/>
      <c r="G61" s="309"/>
      <c r="H61" s="279"/>
      <c r="I61" s="280">
        <v>13340.31</v>
      </c>
      <c r="J61" s="283"/>
      <c r="K61" s="280">
        <v>14949.15</v>
      </c>
      <c r="L61" s="282">
        <v>0.121</v>
      </c>
      <c r="M61" s="269"/>
      <c r="N61" s="269"/>
    </row>
    <row r="62" spans="1:14" x14ac:dyDescent="0.25">
      <c r="A62" s="8">
        <v>56</v>
      </c>
      <c r="B62" s="41" t="s">
        <v>55</v>
      </c>
      <c r="C62" s="42" t="s">
        <v>41</v>
      </c>
      <c r="D62" s="43">
        <v>159428</v>
      </c>
      <c r="E62" s="43">
        <v>10000</v>
      </c>
      <c r="F62" s="58">
        <v>8626</v>
      </c>
      <c r="G62" s="308">
        <v>1300</v>
      </c>
      <c r="H62" s="37">
        <v>0.30886999999999998</v>
      </c>
      <c r="I62" s="44"/>
      <c r="J62" s="274">
        <v>0.34920999999999996</v>
      </c>
      <c r="K62" s="44"/>
      <c r="L62" s="273"/>
    </row>
    <row r="63" spans="1:14" x14ac:dyDescent="0.25">
      <c r="A63" s="8">
        <v>57</v>
      </c>
      <c r="B63" s="41"/>
      <c r="C63" s="42" t="s">
        <v>42</v>
      </c>
      <c r="D63" s="43">
        <v>151104</v>
      </c>
      <c r="E63" s="43">
        <v>20000</v>
      </c>
      <c r="F63" s="58"/>
      <c r="G63" s="308"/>
      <c r="H63" s="37">
        <v>0.29617999999999989</v>
      </c>
      <c r="I63" s="44"/>
      <c r="J63" s="274">
        <v>0.33651999999999987</v>
      </c>
      <c r="K63" s="44"/>
      <c r="L63" s="273"/>
    </row>
    <row r="64" spans="1:14" x14ac:dyDescent="0.25">
      <c r="A64" s="8">
        <v>58</v>
      </c>
      <c r="B64" s="41"/>
      <c r="C64" s="42" t="s">
        <v>48</v>
      </c>
      <c r="D64" s="43">
        <v>0</v>
      </c>
      <c r="E64" s="43">
        <v>20000</v>
      </c>
      <c r="F64" s="58"/>
      <c r="G64" s="308"/>
      <c r="H64" s="37">
        <v>0.27094000000000013</v>
      </c>
      <c r="I64" s="44"/>
      <c r="J64" s="274">
        <v>0.31128000000000011</v>
      </c>
      <c r="K64" s="44"/>
      <c r="L64" s="273"/>
    </row>
    <row r="65" spans="1:14" x14ac:dyDescent="0.25">
      <c r="A65" s="8">
        <v>59</v>
      </c>
      <c r="B65" s="41"/>
      <c r="C65" s="42" t="s">
        <v>49</v>
      </c>
      <c r="D65" s="43">
        <v>0</v>
      </c>
      <c r="E65" s="43">
        <v>100000</v>
      </c>
      <c r="F65" s="58"/>
      <c r="G65" s="308"/>
      <c r="H65" s="37">
        <v>0.25432999999999983</v>
      </c>
      <c r="I65" s="44"/>
      <c r="J65" s="274">
        <v>0.29466999999999982</v>
      </c>
      <c r="K65" s="44"/>
      <c r="L65" s="273"/>
    </row>
    <row r="66" spans="1:14" x14ac:dyDescent="0.25">
      <c r="A66" s="8">
        <v>60</v>
      </c>
      <c r="B66" s="41"/>
      <c r="C66" s="42" t="s">
        <v>50</v>
      </c>
      <c r="D66" s="43">
        <v>0</v>
      </c>
      <c r="E66" s="43">
        <v>600000</v>
      </c>
      <c r="F66" s="58"/>
      <c r="G66" s="308"/>
      <c r="H66" s="37">
        <v>0.23218000000000003</v>
      </c>
      <c r="I66" s="44"/>
      <c r="J66" s="274">
        <v>0.27252000000000004</v>
      </c>
      <c r="K66" s="44"/>
      <c r="L66" s="273"/>
    </row>
    <row r="67" spans="1:14" x14ac:dyDescent="0.25">
      <c r="A67" s="8">
        <v>61</v>
      </c>
      <c r="B67" s="41"/>
      <c r="C67" s="42" t="s">
        <v>51</v>
      </c>
      <c r="D67" s="43">
        <v>0</v>
      </c>
      <c r="E67" s="272" t="s">
        <v>200</v>
      </c>
      <c r="F67" s="58"/>
      <c r="G67" s="308"/>
      <c r="H67" s="37">
        <v>0.20451999999999992</v>
      </c>
      <c r="I67" s="44"/>
      <c r="J67" s="274">
        <v>0.24485999999999991</v>
      </c>
      <c r="K67" s="44"/>
      <c r="L67" s="273"/>
    </row>
    <row r="68" spans="1:14" x14ac:dyDescent="0.25">
      <c r="A68" s="8">
        <v>62</v>
      </c>
      <c r="B68" s="39"/>
      <c r="C68" s="275" t="s">
        <v>201</v>
      </c>
      <c r="D68" s="276"/>
      <c r="E68" s="277"/>
      <c r="F68" s="278"/>
      <c r="G68" s="309"/>
      <c r="H68" s="279"/>
      <c r="I68" s="280">
        <v>3964.31</v>
      </c>
      <c r="J68" s="283"/>
      <c r="K68" s="280">
        <v>4312.29</v>
      </c>
      <c r="L68" s="282">
        <v>8.7999999999999995E-2</v>
      </c>
      <c r="M68" s="269"/>
      <c r="N68" s="269"/>
    </row>
    <row r="69" spans="1:14" x14ac:dyDescent="0.25">
      <c r="A69" s="8">
        <v>63</v>
      </c>
      <c r="B69" s="41" t="s">
        <v>56</v>
      </c>
      <c r="C69" s="42" t="s">
        <v>41</v>
      </c>
      <c r="D69" s="286">
        <v>881572</v>
      </c>
      <c r="E69" s="43">
        <v>10000</v>
      </c>
      <c r="F69" s="287">
        <v>82573</v>
      </c>
      <c r="G69" s="308">
        <v>1550</v>
      </c>
      <c r="H69" s="288">
        <v>0.11796999999999999</v>
      </c>
      <c r="I69" s="44"/>
      <c r="J69" s="274">
        <v>0.11796999999999999</v>
      </c>
      <c r="K69" s="44"/>
      <c r="L69" s="273"/>
    </row>
    <row r="70" spans="1:14" x14ac:dyDescent="0.25">
      <c r="A70" s="8">
        <v>64</v>
      </c>
      <c r="B70" s="41"/>
      <c r="C70" s="42" t="s">
        <v>42</v>
      </c>
      <c r="D70" s="289">
        <v>1495748</v>
      </c>
      <c r="E70" s="43">
        <v>20000</v>
      </c>
      <c r="F70" s="290"/>
      <c r="G70" s="49"/>
      <c r="H70" s="291">
        <v>0.1056</v>
      </c>
      <c r="I70" s="44"/>
      <c r="J70" s="274">
        <v>0.1056</v>
      </c>
      <c r="K70" s="44"/>
      <c r="L70" s="273"/>
    </row>
    <row r="71" spans="1:14" x14ac:dyDescent="0.25">
      <c r="A71" s="8">
        <v>65</v>
      </c>
      <c r="B71" s="41"/>
      <c r="C71" s="42" t="s">
        <v>48</v>
      </c>
      <c r="D71" s="289">
        <v>1185204</v>
      </c>
      <c r="E71" s="43">
        <v>20000</v>
      </c>
      <c r="F71" s="290"/>
      <c r="G71" s="49"/>
      <c r="H71" s="291">
        <v>8.0979999999999996E-2</v>
      </c>
      <c r="I71" s="44"/>
      <c r="J71" s="274">
        <v>8.0979999999999996E-2</v>
      </c>
      <c r="K71" s="44"/>
      <c r="L71" s="273"/>
    </row>
    <row r="72" spans="1:14" x14ac:dyDescent="0.25">
      <c r="A72" s="8">
        <v>66</v>
      </c>
      <c r="B72" s="41"/>
      <c r="C72" s="42" t="s">
        <v>49</v>
      </c>
      <c r="D72" s="289">
        <v>4013728</v>
      </c>
      <c r="E72" s="43">
        <v>100000</v>
      </c>
      <c r="F72" s="290"/>
      <c r="G72" s="49"/>
      <c r="H72" s="291">
        <v>6.479E-2</v>
      </c>
      <c r="I72" s="44"/>
      <c r="J72" s="274">
        <v>6.479E-2</v>
      </c>
      <c r="K72" s="44"/>
      <c r="L72" s="273"/>
    </row>
    <row r="73" spans="1:14" x14ac:dyDescent="0.25">
      <c r="A73" s="8">
        <v>67</v>
      </c>
      <c r="B73" s="41"/>
      <c r="C73" s="42" t="s">
        <v>50</v>
      </c>
      <c r="D73" s="289">
        <v>2332547</v>
      </c>
      <c r="E73" s="43">
        <v>600000</v>
      </c>
      <c r="F73" s="290"/>
      <c r="G73" s="49"/>
      <c r="H73" s="291">
        <v>4.3190000000000006E-2</v>
      </c>
      <c r="I73" s="44"/>
      <c r="J73" s="274">
        <v>4.3190000000000006E-2</v>
      </c>
      <c r="K73" s="44"/>
      <c r="L73" s="273"/>
    </row>
    <row r="74" spans="1:14" x14ac:dyDescent="0.25">
      <c r="A74" s="8">
        <v>68</v>
      </c>
      <c r="B74" s="41"/>
      <c r="C74" s="42" t="s">
        <v>51</v>
      </c>
      <c r="D74" s="289">
        <v>0</v>
      </c>
      <c r="E74" s="272" t="s">
        <v>200</v>
      </c>
      <c r="F74" s="290"/>
      <c r="G74" s="49"/>
      <c r="H74" s="291">
        <v>1.619E-2</v>
      </c>
      <c r="I74" s="44"/>
      <c r="J74" s="274">
        <v>1.619E-2</v>
      </c>
      <c r="K74" s="44"/>
      <c r="L74" s="273"/>
    </row>
    <row r="75" spans="1:14" x14ac:dyDescent="0.25">
      <c r="A75" s="8">
        <v>69</v>
      </c>
      <c r="B75" s="39"/>
      <c r="C75" s="275" t="s">
        <v>201</v>
      </c>
      <c r="D75" s="276"/>
      <c r="E75" s="277"/>
      <c r="F75" s="278"/>
      <c r="G75" s="309"/>
      <c r="H75" s="279"/>
      <c r="I75" s="280">
        <v>8571.7000000000007</v>
      </c>
      <c r="J75" s="292"/>
      <c r="K75" s="280">
        <v>8571.7000000000007</v>
      </c>
      <c r="L75" s="284">
        <v>0</v>
      </c>
      <c r="M75" s="269"/>
      <c r="N75" s="269"/>
    </row>
    <row r="76" spans="1:14" x14ac:dyDescent="0.25">
      <c r="A76" s="8">
        <v>70</v>
      </c>
      <c r="B76" s="39" t="s">
        <v>57</v>
      </c>
      <c r="C76" s="40"/>
      <c r="D76" s="293">
        <v>0</v>
      </c>
      <c r="E76" s="294" t="s">
        <v>10</v>
      </c>
      <c r="F76" s="295">
        <v>0</v>
      </c>
      <c r="G76" s="50">
        <v>38000</v>
      </c>
      <c r="H76" s="296">
        <v>4.9800000000000001E-3</v>
      </c>
      <c r="I76" s="38">
        <v>38000</v>
      </c>
      <c r="J76" s="298">
        <v>4.9800000000000001E-3</v>
      </c>
      <c r="K76" s="38">
        <v>38000</v>
      </c>
      <c r="L76" s="297">
        <v>0</v>
      </c>
    </row>
    <row r="77" spans="1:14" x14ac:dyDescent="0.25">
      <c r="A77" s="8">
        <v>71</v>
      </c>
      <c r="B77" s="30" t="s">
        <v>58</v>
      </c>
      <c r="C77" s="31"/>
      <c r="D77" s="299">
        <v>0</v>
      </c>
      <c r="E77" s="294" t="s">
        <v>10</v>
      </c>
      <c r="F77" s="300">
        <v>0</v>
      </c>
      <c r="G77" s="50">
        <v>38000</v>
      </c>
      <c r="H77" s="98">
        <v>4.9800000000000001E-3</v>
      </c>
      <c r="I77" s="38">
        <v>38000</v>
      </c>
      <c r="J77" s="298">
        <v>4.9800000000000001E-3</v>
      </c>
      <c r="K77" s="38">
        <v>38000</v>
      </c>
      <c r="L77" s="267">
        <v>0</v>
      </c>
    </row>
    <row r="78" spans="1:14" ht="13.8" thickBot="1" x14ac:dyDescent="0.3">
      <c r="A78" s="8">
        <v>72</v>
      </c>
      <c r="B78" s="51" t="s">
        <v>59</v>
      </c>
      <c r="C78" s="31"/>
      <c r="D78" s="301"/>
      <c r="E78" s="294"/>
      <c r="F78" s="302"/>
      <c r="G78" s="311"/>
      <c r="H78" s="99"/>
      <c r="I78" s="270"/>
      <c r="J78" s="304"/>
      <c r="K78" s="270"/>
      <c r="L78" s="303"/>
    </row>
    <row r="79" spans="1:14" x14ac:dyDescent="0.25">
      <c r="A79" s="8">
        <v>73</v>
      </c>
      <c r="B79" s="492" t="s">
        <v>202</v>
      </c>
      <c r="C79" s="493"/>
      <c r="D79" s="493"/>
      <c r="E79" s="493"/>
      <c r="F79" s="493"/>
      <c r="G79" s="493"/>
      <c r="H79" s="493"/>
      <c r="I79" s="493"/>
    </row>
    <row r="80" spans="1:14" x14ac:dyDescent="0.25">
      <c r="A80" s="8">
        <v>74</v>
      </c>
      <c r="B80" s="493"/>
      <c r="C80" s="493"/>
      <c r="D80" s="493"/>
      <c r="E80" s="493"/>
      <c r="F80" s="493"/>
      <c r="G80" s="493"/>
      <c r="H80" s="493"/>
      <c r="I80" s="493"/>
    </row>
    <row r="81" spans="1:12" x14ac:dyDescent="0.25">
      <c r="A81" s="8">
        <v>75</v>
      </c>
      <c r="B81" s="478"/>
      <c r="C81" s="305"/>
      <c r="D81" s="305"/>
      <c r="E81" s="305"/>
      <c r="F81" s="305"/>
      <c r="G81" s="305"/>
      <c r="H81" s="305"/>
      <c r="I81" s="305"/>
      <c r="J81" s="219"/>
      <c r="K81" s="219"/>
      <c r="L81" s="219"/>
    </row>
    <row r="82" spans="1:12" x14ac:dyDescent="0.25">
      <c r="A82" s="8">
        <v>76</v>
      </c>
      <c r="B82" s="305"/>
      <c r="C82" s="305"/>
      <c r="D82" s="305"/>
      <c r="E82" s="305"/>
      <c r="F82" s="305"/>
      <c r="G82" s="305"/>
      <c r="H82" s="305"/>
      <c r="I82" s="305"/>
    </row>
    <row r="83" spans="1:12" ht="19.5" customHeight="1" x14ac:dyDescent="0.3">
      <c r="A83" s="8">
        <v>77</v>
      </c>
      <c r="B83" s="312"/>
      <c r="C83" s="312"/>
      <c r="D83" s="312"/>
      <c r="E83" s="312"/>
      <c r="F83" s="312"/>
      <c r="G83" s="312"/>
      <c r="H83" s="312"/>
      <c r="I83" s="312"/>
    </row>
    <row r="84" spans="1:12" ht="13.8" thickBot="1" x14ac:dyDescent="0.3">
      <c r="A84" s="8">
        <v>78</v>
      </c>
      <c r="B84" s="53" t="s">
        <v>99</v>
      </c>
    </row>
    <row r="85" spans="1:12" ht="13.8" thickBot="1" x14ac:dyDescent="0.3">
      <c r="A85" s="8">
        <v>79</v>
      </c>
      <c r="B85" s="306" t="s">
        <v>100</v>
      </c>
      <c r="C85" s="15"/>
      <c r="D85" s="313"/>
      <c r="E85" s="56" t="s">
        <v>204</v>
      </c>
      <c r="F85" s="313"/>
      <c r="G85" s="56" t="s">
        <v>204</v>
      </c>
      <c r="H85" s="313"/>
      <c r="I85" s="307"/>
      <c r="J85" s="307"/>
      <c r="K85" s="307"/>
      <c r="L85" s="307"/>
    </row>
    <row r="86" spans="1:12" ht="13.8" thickBot="1" x14ac:dyDescent="0.3">
      <c r="A86" s="8">
        <v>80</v>
      </c>
    </row>
    <row r="87" spans="1:12" ht="13.8" thickBot="1" x14ac:dyDescent="0.3">
      <c r="A87" s="8">
        <v>81</v>
      </c>
      <c r="B87" s="306" t="s">
        <v>203</v>
      </c>
      <c r="C87" s="15"/>
      <c r="D87" s="55"/>
      <c r="E87" s="307"/>
      <c r="F87" s="307"/>
      <c r="G87" s="55"/>
      <c r="H87" s="56" t="s">
        <v>12</v>
      </c>
      <c r="I87" s="55"/>
      <c r="J87" s="55"/>
      <c r="K87" s="55"/>
      <c r="L87" s="55"/>
    </row>
    <row r="88" spans="1:12" x14ac:dyDescent="0.25">
      <c r="A88" s="8"/>
    </row>
    <row r="89" spans="1:12" x14ac:dyDescent="0.25">
      <c r="A89" s="8"/>
    </row>
  </sheetData>
  <mergeCells count="1">
    <mergeCell ref="B79:I80"/>
  </mergeCells>
  <pageMargins left="0.7" right="0.7" top="0.75" bottom="0.75" header="0.3" footer="0.3"/>
  <pageSetup scale="66" orientation="portrait" horizontalDpi="300" verticalDpi="300" r:id="rId1"/>
  <headerFooter>
    <oddHeader>&amp;RNWN's Advice 19-06A
Exhibit A - Supporting Materials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showGridLines="0" view="pageLayout" zoomScaleNormal="100" workbookViewId="0">
      <selection activeCell="X20" sqref="X20"/>
    </sheetView>
  </sheetViews>
  <sheetFormatPr defaultColWidth="7.88671875" defaultRowHeight="13.2" x14ac:dyDescent="0.25"/>
  <cols>
    <col min="1" max="1" width="3.109375" style="117" customWidth="1"/>
    <col min="2" max="2" width="54.6640625" style="105" customWidth="1"/>
    <col min="3" max="3" width="14.44140625" style="104" customWidth="1"/>
    <col min="4" max="10" width="14.44140625" style="105" customWidth="1"/>
    <col min="11" max="11" width="12.33203125" style="105" customWidth="1"/>
    <col min="12" max="16" width="7.88671875" style="105" customWidth="1"/>
    <col min="17" max="238" width="7.88671875" style="105"/>
    <col min="239" max="244" width="7.88671875" style="105" customWidth="1"/>
    <col min="245" max="16384" width="7.88671875" style="105"/>
  </cols>
  <sheetData>
    <row r="1" spans="1:10" ht="13.8" x14ac:dyDescent="0.25">
      <c r="A1" s="144" t="s">
        <v>0</v>
      </c>
      <c r="B1" s="104"/>
    </row>
    <row r="2" spans="1:10" ht="13.8" x14ac:dyDescent="0.25">
      <c r="A2" s="144" t="s">
        <v>1</v>
      </c>
      <c r="B2" s="104"/>
    </row>
    <row r="3" spans="1:10" ht="13.8" x14ac:dyDescent="0.25">
      <c r="A3" s="144" t="s">
        <v>2</v>
      </c>
      <c r="B3" s="104"/>
    </row>
    <row r="4" spans="1:10" ht="13.8" x14ac:dyDescent="0.25">
      <c r="A4" s="144" t="s">
        <v>105</v>
      </c>
      <c r="B4" s="104"/>
    </row>
    <row r="5" spans="1:10" x14ac:dyDescent="0.25">
      <c r="B5" s="129"/>
      <c r="G5" s="106"/>
      <c r="H5" s="107" t="s">
        <v>7</v>
      </c>
      <c r="I5" s="107"/>
      <c r="J5" s="107"/>
    </row>
    <row r="6" spans="1:10" x14ac:dyDescent="0.25">
      <c r="B6" s="130"/>
      <c r="C6" s="108"/>
      <c r="D6" s="109"/>
      <c r="G6" s="109" t="s">
        <v>106</v>
      </c>
      <c r="H6" s="109" t="s">
        <v>106</v>
      </c>
      <c r="I6" s="109"/>
      <c r="J6" s="109"/>
    </row>
    <row r="7" spans="1:10" x14ac:dyDescent="0.25">
      <c r="B7" s="131"/>
      <c r="C7" s="108"/>
      <c r="D7" s="110" t="s">
        <v>107</v>
      </c>
      <c r="E7" s="110"/>
      <c r="F7" s="109" t="s">
        <v>106</v>
      </c>
      <c r="G7" s="107" t="s">
        <v>108</v>
      </c>
      <c r="H7" s="107" t="s">
        <v>109</v>
      </c>
      <c r="I7" s="111" t="s">
        <v>110</v>
      </c>
      <c r="J7" s="111" t="s">
        <v>110</v>
      </c>
    </row>
    <row r="8" spans="1:10" x14ac:dyDescent="0.25">
      <c r="B8" s="108"/>
      <c r="C8" s="109" t="s">
        <v>111</v>
      </c>
      <c r="D8" s="109" t="s">
        <v>106</v>
      </c>
      <c r="E8" s="110" t="s">
        <v>107</v>
      </c>
      <c r="F8" s="107" t="s">
        <v>111</v>
      </c>
      <c r="G8" s="107" t="s">
        <v>112</v>
      </c>
      <c r="H8" s="107" t="s">
        <v>113</v>
      </c>
      <c r="I8" s="111" t="s">
        <v>114</v>
      </c>
      <c r="J8" s="111" t="s">
        <v>115</v>
      </c>
    </row>
    <row r="9" spans="1:10" x14ac:dyDescent="0.25">
      <c r="B9" s="113" t="s">
        <v>116</v>
      </c>
      <c r="C9" s="112">
        <v>43708</v>
      </c>
      <c r="D9" s="113" t="s">
        <v>117</v>
      </c>
      <c r="E9" s="113" t="s">
        <v>108</v>
      </c>
      <c r="F9" s="114">
        <v>43769</v>
      </c>
      <c r="G9" s="113" t="s">
        <v>118</v>
      </c>
      <c r="H9" s="113" t="s">
        <v>119</v>
      </c>
      <c r="I9" s="115" t="s">
        <v>120</v>
      </c>
      <c r="J9" s="115" t="s">
        <v>120</v>
      </c>
    </row>
    <row r="10" spans="1:10" x14ac:dyDescent="0.25">
      <c r="A10" s="119"/>
      <c r="B10" s="109" t="s">
        <v>19</v>
      </c>
      <c r="C10" s="116" t="s">
        <v>20</v>
      </c>
      <c r="D10" s="116" t="s">
        <v>21</v>
      </c>
      <c r="E10" s="116" t="s">
        <v>22</v>
      </c>
      <c r="F10" s="116" t="s">
        <v>23</v>
      </c>
      <c r="G10" s="116" t="s">
        <v>80</v>
      </c>
      <c r="H10" s="116" t="s">
        <v>24</v>
      </c>
      <c r="I10" s="116" t="s">
        <v>25</v>
      </c>
      <c r="J10" s="116" t="s">
        <v>66</v>
      </c>
    </row>
    <row r="11" spans="1:10" x14ac:dyDescent="0.25">
      <c r="A11" s="119"/>
      <c r="B11" s="109"/>
      <c r="C11" s="116"/>
      <c r="D11" s="117"/>
      <c r="F11" s="118" t="s">
        <v>121</v>
      </c>
      <c r="G11" s="145">
        <v>5.4199999999999998E-2</v>
      </c>
      <c r="H11" s="118" t="s">
        <v>122</v>
      </c>
      <c r="I11" s="118"/>
      <c r="J11" s="118"/>
    </row>
    <row r="12" spans="1:10" x14ac:dyDescent="0.25">
      <c r="A12" s="125">
        <v>1</v>
      </c>
      <c r="B12" s="109"/>
      <c r="C12" s="119"/>
      <c r="D12" s="119"/>
      <c r="E12" s="119"/>
      <c r="F12" s="119"/>
      <c r="G12" s="119"/>
      <c r="H12" s="118" t="s">
        <v>123</v>
      </c>
      <c r="I12" s="118"/>
      <c r="J12" s="118"/>
    </row>
    <row r="13" spans="1:10" x14ac:dyDescent="0.25">
      <c r="A13" s="125">
        <f>A12+1</f>
        <v>2</v>
      </c>
      <c r="B13" s="132" t="s">
        <v>124</v>
      </c>
      <c r="C13" s="119"/>
      <c r="D13" s="119"/>
      <c r="E13" s="119"/>
      <c r="F13" s="119"/>
      <c r="G13" s="119"/>
      <c r="H13" s="120"/>
      <c r="I13" s="120"/>
      <c r="J13" s="120"/>
    </row>
    <row r="14" spans="1:10" x14ac:dyDescent="0.25">
      <c r="A14" s="125">
        <f t="shared" ref="A14:A27" si="0">A13+1</f>
        <v>3</v>
      </c>
      <c r="B14" s="105" t="s">
        <v>125</v>
      </c>
      <c r="C14" s="119">
        <v>2704362.0962150879</v>
      </c>
      <c r="D14" s="122">
        <v>0</v>
      </c>
      <c r="E14" s="122">
        <v>24665.68</v>
      </c>
      <c r="F14" s="119">
        <v>2729027.7762150881</v>
      </c>
      <c r="G14" s="119"/>
      <c r="H14" s="120"/>
      <c r="I14" s="120"/>
      <c r="J14" s="120"/>
    </row>
    <row r="15" spans="1:10" x14ac:dyDescent="0.25">
      <c r="A15" s="125">
        <f t="shared" si="0"/>
        <v>4</v>
      </c>
      <c r="B15" s="105" t="s">
        <v>126</v>
      </c>
      <c r="C15" s="121">
        <v>-201209.83042900226</v>
      </c>
      <c r="D15" s="124">
        <v>193285.99999999997</v>
      </c>
      <c r="E15" s="124">
        <v>-1103.83</v>
      </c>
      <c r="F15" s="121">
        <v>-9027.6604290022933</v>
      </c>
      <c r="G15" s="121"/>
      <c r="H15" s="121"/>
      <c r="I15" s="119"/>
      <c r="J15" s="119"/>
    </row>
    <row r="16" spans="1:10" x14ac:dyDescent="0.25">
      <c r="A16" s="125">
        <f t="shared" si="0"/>
        <v>5</v>
      </c>
      <c r="B16" s="133" t="s">
        <v>127</v>
      </c>
      <c r="C16" s="119">
        <v>2503152.2657860857</v>
      </c>
      <c r="D16" s="119">
        <v>193285.99999999997</v>
      </c>
      <c r="E16" s="119">
        <v>23561.85</v>
      </c>
      <c r="F16" s="119">
        <v>2720000.1157860858</v>
      </c>
      <c r="G16" s="123">
        <v>80514</v>
      </c>
      <c r="H16" s="119">
        <v>2800514</v>
      </c>
      <c r="I16" s="119"/>
      <c r="J16" s="119">
        <v>2800514</v>
      </c>
    </row>
    <row r="17" spans="1:11" x14ac:dyDescent="0.25">
      <c r="A17" s="125">
        <f t="shared" si="0"/>
        <v>6</v>
      </c>
      <c r="B17" s="117"/>
      <c r="C17" s="119"/>
      <c r="D17" s="119"/>
      <c r="E17" s="119"/>
      <c r="F17" s="119"/>
      <c r="G17" s="119"/>
      <c r="H17" s="120"/>
      <c r="I17" s="120"/>
      <c r="J17" s="120"/>
    </row>
    <row r="18" spans="1:11" x14ac:dyDescent="0.25">
      <c r="A18" s="125">
        <f t="shared" si="0"/>
        <v>7</v>
      </c>
      <c r="B18" s="105" t="s">
        <v>128</v>
      </c>
      <c r="C18" s="119">
        <v>-208978.68666460138</v>
      </c>
      <c r="D18" s="122">
        <v>0</v>
      </c>
      <c r="E18" s="122">
        <v>-1906.0300000000002</v>
      </c>
      <c r="F18" s="119">
        <v>-210884.71666460138</v>
      </c>
      <c r="G18" s="134"/>
      <c r="H18" s="120"/>
      <c r="I18" s="120"/>
      <c r="J18" s="120"/>
    </row>
    <row r="19" spans="1:11" x14ac:dyDescent="0.25">
      <c r="A19" s="125">
        <f t="shared" si="0"/>
        <v>8</v>
      </c>
      <c r="B19" s="105" t="s">
        <v>129</v>
      </c>
      <c r="C19" s="119">
        <v>-1019093.4536907998</v>
      </c>
      <c r="D19" s="122">
        <v>194267.18999999994</v>
      </c>
      <c r="E19" s="122">
        <v>-8561.2000000000007</v>
      </c>
      <c r="F19" s="119">
        <v>-833387.46369079978</v>
      </c>
      <c r="G19" s="119"/>
      <c r="H19" s="120"/>
      <c r="I19" s="120"/>
      <c r="J19" s="120"/>
    </row>
    <row r="20" spans="1:11" x14ac:dyDescent="0.25">
      <c r="A20" s="125">
        <f t="shared" si="0"/>
        <v>9</v>
      </c>
      <c r="B20" s="105" t="s">
        <v>130</v>
      </c>
      <c r="C20" s="121">
        <v>-1164705.95</v>
      </c>
      <c r="D20" s="121">
        <v>0</v>
      </c>
      <c r="E20" s="121">
        <v>0</v>
      </c>
      <c r="F20" s="121">
        <v>-1164705.95</v>
      </c>
      <c r="G20" s="121"/>
      <c r="H20" s="121"/>
      <c r="I20" s="119"/>
      <c r="J20" s="119"/>
    </row>
    <row r="21" spans="1:11" x14ac:dyDescent="0.25">
      <c r="A21" s="125">
        <f t="shared" si="0"/>
        <v>10</v>
      </c>
      <c r="B21" s="133" t="s">
        <v>127</v>
      </c>
      <c r="C21" s="119">
        <v>-2392778.0903554009</v>
      </c>
      <c r="D21" s="119">
        <v>194267.18999999994</v>
      </c>
      <c r="E21" s="119">
        <v>-10467.230000000001</v>
      </c>
      <c r="F21" s="119">
        <v>-2208978.130355401</v>
      </c>
      <c r="G21" s="123">
        <v>-65388</v>
      </c>
      <c r="H21" s="119">
        <v>-2274366</v>
      </c>
      <c r="I21" s="119"/>
      <c r="J21" s="119">
        <v>-2274366</v>
      </c>
    </row>
    <row r="22" spans="1:11" x14ac:dyDescent="0.25">
      <c r="A22" s="125">
        <f t="shared" si="0"/>
        <v>11</v>
      </c>
      <c r="B22" s="135"/>
      <c r="C22" s="126"/>
      <c r="D22" s="119"/>
      <c r="E22" s="119"/>
      <c r="F22" s="119"/>
      <c r="G22" s="126"/>
      <c r="H22" s="136"/>
      <c r="I22" s="136"/>
      <c r="J22" s="136"/>
    </row>
    <row r="23" spans="1:11" x14ac:dyDescent="0.25">
      <c r="A23" s="125">
        <f t="shared" si="0"/>
        <v>12</v>
      </c>
      <c r="B23" s="117"/>
      <c r="C23" s="126"/>
      <c r="D23" s="119"/>
      <c r="E23" s="119"/>
      <c r="F23" s="119"/>
      <c r="G23" s="126"/>
      <c r="H23" s="126"/>
      <c r="I23" s="126"/>
      <c r="J23" s="126"/>
    </row>
    <row r="24" spans="1:11" x14ac:dyDescent="0.25">
      <c r="A24" s="125">
        <f t="shared" si="0"/>
        <v>13</v>
      </c>
      <c r="B24" s="108"/>
      <c r="C24" s="126"/>
      <c r="D24" s="126"/>
      <c r="E24" s="126"/>
      <c r="F24" s="126"/>
      <c r="G24" s="126"/>
      <c r="H24" s="126"/>
      <c r="I24" s="126"/>
      <c r="J24" s="126"/>
      <c r="K24" s="117"/>
    </row>
    <row r="25" spans="1:11" x14ac:dyDescent="0.25">
      <c r="A25" s="125">
        <f t="shared" si="0"/>
        <v>14</v>
      </c>
      <c r="C25" s="126"/>
      <c r="D25" s="119"/>
      <c r="E25" s="119"/>
      <c r="F25" s="119"/>
      <c r="G25" s="119"/>
      <c r="H25" s="119"/>
      <c r="I25" s="119"/>
      <c r="J25" s="119"/>
      <c r="K25" s="117"/>
    </row>
    <row r="26" spans="1:11" x14ac:dyDescent="0.25">
      <c r="A26" s="125">
        <f t="shared" si="0"/>
        <v>15</v>
      </c>
      <c r="B26" s="137" t="s">
        <v>131</v>
      </c>
      <c r="C26" s="126"/>
      <c r="D26" s="119"/>
      <c r="E26" s="119"/>
      <c r="F26" s="119"/>
      <c r="G26" s="119"/>
      <c r="H26" s="138"/>
      <c r="I26" s="120"/>
      <c r="J26" s="120"/>
    </row>
    <row r="27" spans="1:11" x14ac:dyDescent="0.25">
      <c r="A27" s="125">
        <f t="shared" si="0"/>
        <v>16</v>
      </c>
      <c r="B27" s="127" t="s">
        <v>132</v>
      </c>
      <c r="C27" s="126"/>
      <c r="D27" s="119"/>
      <c r="E27" s="119"/>
      <c r="F27" s="119"/>
      <c r="G27" s="119"/>
      <c r="H27" s="120"/>
      <c r="I27" s="120"/>
      <c r="J27" s="120"/>
    </row>
    <row r="28" spans="1:11" x14ac:dyDescent="0.25">
      <c r="A28" s="125"/>
      <c r="C28" s="139"/>
      <c r="D28" s="119"/>
      <c r="E28" s="119"/>
      <c r="F28" s="119"/>
      <c r="G28" s="119"/>
      <c r="H28" s="120"/>
      <c r="I28" s="120"/>
      <c r="J28" s="120"/>
    </row>
    <row r="29" spans="1:11" x14ac:dyDescent="0.25">
      <c r="A29" s="125"/>
      <c r="C29" s="140"/>
      <c r="D29" s="119"/>
      <c r="E29" s="119"/>
      <c r="F29" s="119"/>
      <c r="G29" s="119"/>
      <c r="H29" s="120"/>
      <c r="I29" s="120"/>
      <c r="J29" s="120"/>
    </row>
    <row r="30" spans="1:11" x14ac:dyDescent="0.25">
      <c r="A30" s="141"/>
      <c r="C30" s="140"/>
      <c r="D30" s="119"/>
      <c r="E30" s="119"/>
      <c r="F30" s="119"/>
      <c r="G30" s="119"/>
      <c r="H30" s="120"/>
      <c r="I30" s="120"/>
      <c r="J30" s="120"/>
    </row>
    <row r="31" spans="1:11" x14ac:dyDescent="0.25">
      <c r="A31" s="141"/>
      <c r="C31" s="140"/>
      <c r="D31" s="119"/>
      <c r="E31" s="119"/>
      <c r="F31" s="119"/>
      <c r="G31" s="119"/>
      <c r="H31" s="120"/>
      <c r="I31" s="120"/>
      <c r="J31" s="120"/>
    </row>
    <row r="32" spans="1:11" x14ac:dyDescent="0.25">
      <c r="C32" s="140"/>
      <c r="D32" s="119"/>
      <c r="E32" s="119"/>
      <c r="F32" s="119"/>
      <c r="G32" s="119"/>
      <c r="H32" s="120"/>
      <c r="I32" s="120"/>
      <c r="J32" s="120"/>
    </row>
    <row r="33" spans="2:10" x14ac:dyDescent="0.25">
      <c r="B33" s="128"/>
      <c r="C33" s="140"/>
      <c r="D33" s="119"/>
      <c r="E33" s="119"/>
      <c r="F33" s="119"/>
      <c r="G33" s="119"/>
      <c r="H33" s="120"/>
      <c r="I33" s="120"/>
      <c r="J33" s="120"/>
    </row>
    <row r="34" spans="2:10" x14ac:dyDescent="0.25">
      <c r="B34" s="128"/>
      <c r="C34" s="140"/>
      <c r="D34" s="119"/>
      <c r="E34" s="119"/>
      <c r="F34" s="119"/>
      <c r="G34" s="119"/>
      <c r="H34" s="120"/>
      <c r="I34" s="120"/>
      <c r="J34" s="120"/>
    </row>
    <row r="35" spans="2:10" x14ac:dyDescent="0.25">
      <c r="B35" s="128"/>
      <c r="C35" s="140"/>
      <c r="D35" s="119"/>
      <c r="E35" s="119"/>
      <c r="F35" s="119"/>
      <c r="G35" s="119"/>
      <c r="H35" s="120"/>
      <c r="I35" s="120"/>
      <c r="J35" s="120"/>
    </row>
    <row r="36" spans="2:10" x14ac:dyDescent="0.25">
      <c r="B36" s="128"/>
      <c r="C36" s="140"/>
      <c r="D36" s="119"/>
      <c r="E36" s="119"/>
      <c r="F36" s="119"/>
      <c r="G36" s="119"/>
      <c r="H36" s="120"/>
      <c r="I36" s="120"/>
      <c r="J36" s="120"/>
    </row>
    <row r="37" spans="2:10" x14ac:dyDescent="0.25">
      <c r="B37" s="128"/>
      <c r="C37" s="140"/>
      <c r="D37" s="119"/>
      <c r="E37" s="119"/>
      <c r="F37" s="119"/>
      <c r="G37" s="119"/>
      <c r="H37" s="120"/>
      <c r="I37" s="120"/>
      <c r="J37" s="120"/>
    </row>
    <row r="38" spans="2:10" x14ac:dyDescent="0.25">
      <c r="B38" s="128"/>
      <c r="C38" s="140"/>
      <c r="D38" s="119"/>
      <c r="E38" s="119"/>
      <c r="F38" s="119"/>
      <c r="G38" s="119"/>
      <c r="H38" s="120"/>
      <c r="I38" s="120"/>
      <c r="J38" s="120"/>
    </row>
    <row r="39" spans="2:10" x14ac:dyDescent="0.25">
      <c r="B39" s="128"/>
      <c r="C39" s="140"/>
      <c r="D39" s="119"/>
      <c r="E39" s="119"/>
      <c r="F39" s="119"/>
      <c r="G39" s="119"/>
      <c r="H39" s="120"/>
      <c r="I39" s="120"/>
      <c r="J39" s="120"/>
    </row>
    <row r="40" spans="2:10" x14ac:dyDescent="0.25">
      <c r="B40" s="128"/>
      <c r="C40" s="108"/>
      <c r="D40" s="119"/>
      <c r="E40" s="119"/>
      <c r="F40" s="119"/>
      <c r="G40" s="119"/>
      <c r="H40" s="120"/>
      <c r="I40" s="120"/>
      <c r="J40" s="120"/>
    </row>
    <row r="41" spans="2:10" x14ac:dyDescent="0.25">
      <c r="B41" s="128"/>
      <c r="C41" s="108"/>
      <c r="D41" s="119"/>
      <c r="E41" s="119"/>
      <c r="F41" s="119"/>
      <c r="G41" s="119"/>
      <c r="H41" s="120"/>
      <c r="I41" s="120"/>
      <c r="J41" s="120"/>
    </row>
    <row r="42" spans="2:10" x14ac:dyDescent="0.25">
      <c r="B42" s="128"/>
      <c r="C42" s="108"/>
      <c r="D42" s="119"/>
      <c r="E42" s="119"/>
      <c r="F42" s="119"/>
      <c r="G42" s="119"/>
      <c r="H42" s="120"/>
      <c r="I42" s="120"/>
      <c r="J42" s="120"/>
    </row>
    <row r="43" spans="2:10" x14ac:dyDescent="0.25">
      <c r="B43" s="128"/>
      <c r="C43" s="108"/>
      <c r="D43" s="119"/>
      <c r="E43" s="119"/>
      <c r="F43" s="119"/>
      <c r="G43" s="119"/>
      <c r="H43" s="120"/>
      <c r="I43" s="120"/>
      <c r="J43" s="120"/>
    </row>
    <row r="44" spans="2:10" x14ac:dyDescent="0.25">
      <c r="B44" s="128"/>
      <c r="C44" s="108"/>
      <c r="D44" s="119"/>
      <c r="E44" s="119"/>
      <c r="F44" s="119"/>
      <c r="G44" s="119"/>
      <c r="H44" s="120"/>
      <c r="I44" s="120"/>
      <c r="J44" s="120"/>
    </row>
    <row r="45" spans="2:10" x14ac:dyDescent="0.25">
      <c r="B45" s="128"/>
    </row>
    <row r="46" spans="2:10" x14ac:dyDescent="0.25">
      <c r="B46" s="128"/>
    </row>
    <row r="47" spans="2:10" x14ac:dyDescent="0.25">
      <c r="B47" s="142"/>
    </row>
    <row r="48" spans="2:10" x14ac:dyDescent="0.25">
      <c r="B48" s="143"/>
    </row>
    <row r="49" spans="2:2" x14ac:dyDescent="0.25">
      <c r="B49" s="128"/>
    </row>
    <row r="50" spans="2:2" x14ac:dyDescent="0.25">
      <c r="B50" s="128"/>
    </row>
    <row r="51" spans="2:2" x14ac:dyDescent="0.25">
      <c r="B51" s="128"/>
    </row>
    <row r="52" spans="2:2" x14ac:dyDescent="0.25">
      <c r="B52" s="133"/>
    </row>
    <row r="81" spans="2:2" x14ac:dyDescent="0.25">
      <c r="B81" s="477"/>
    </row>
  </sheetData>
  <pageMargins left="0.7" right="0.7" top="0.75" bottom="0.75" header="0.3" footer="0.3"/>
  <pageSetup scale="66" orientation="landscape" horizontalDpi="300" verticalDpi="300" r:id="rId1"/>
  <headerFooter>
    <oddHeader>&amp;RNWN's Advice 19-06A
Exhibit A - Supporting Materials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8"/>
  <sheetViews>
    <sheetView showGridLines="0" view="pageLayout" topLeftCell="B1" zoomScaleNormal="100" workbookViewId="0">
      <selection activeCell="X20" sqref="X20"/>
    </sheetView>
  </sheetViews>
  <sheetFormatPr defaultColWidth="7.88671875" defaultRowHeight="13.2" outlineLevelRow="1" x14ac:dyDescent="0.25"/>
  <cols>
    <col min="1" max="1" width="4" style="146" customWidth="1"/>
    <col min="2" max="2" width="13.44140625" style="147" customWidth="1"/>
    <col min="3" max="3" width="8.88671875" style="147" customWidth="1"/>
    <col min="4" max="4" width="15.6640625" style="148" customWidth="1"/>
    <col min="5" max="5" width="14.6640625" style="148" customWidth="1"/>
    <col min="6" max="7" width="13.44140625" style="148" customWidth="1"/>
    <col min="8" max="9" width="18.6640625" style="148" customWidth="1"/>
    <col min="10" max="10" width="13.44140625" style="148" customWidth="1"/>
    <col min="11" max="20" width="13.44140625" style="147" customWidth="1"/>
    <col min="21" max="16384" width="7.88671875" style="147"/>
  </cols>
  <sheetData>
    <row r="1" spans="1:11" x14ac:dyDescent="0.25">
      <c r="B1" s="147" t="s">
        <v>133</v>
      </c>
      <c r="D1" s="148" t="s">
        <v>134</v>
      </c>
    </row>
    <row r="2" spans="1:11" x14ac:dyDescent="0.25">
      <c r="B2" s="147" t="s">
        <v>135</v>
      </c>
      <c r="D2" s="148" t="s">
        <v>68</v>
      </c>
    </row>
    <row r="3" spans="1:11" x14ac:dyDescent="0.25">
      <c r="B3" s="147" t="s">
        <v>136</v>
      </c>
      <c r="D3" s="149" t="s">
        <v>137</v>
      </c>
    </row>
    <row r="4" spans="1:11" x14ac:dyDescent="0.25">
      <c r="B4" s="147" t="s">
        <v>138</v>
      </c>
      <c r="D4" s="150">
        <v>191420</v>
      </c>
      <c r="E4" s="151"/>
      <c r="F4" s="151"/>
      <c r="G4" s="151"/>
      <c r="H4" s="151"/>
      <c r="I4" s="151"/>
      <c r="J4" s="151"/>
      <c r="K4" s="152"/>
    </row>
    <row r="5" spans="1:11" x14ac:dyDescent="0.25">
      <c r="D5" s="152" t="s">
        <v>139</v>
      </c>
      <c r="E5" s="151"/>
      <c r="F5" s="151"/>
      <c r="G5" s="151"/>
      <c r="H5" s="151"/>
      <c r="I5" s="151"/>
      <c r="J5" s="151"/>
      <c r="K5" s="152"/>
    </row>
    <row r="6" spans="1:11" x14ac:dyDescent="0.25">
      <c r="D6" s="152" t="s">
        <v>140</v>
      </c>
      <c r="E6" s="151"/>
      <c r="F6" s="151"/>
      <c r="G6" s="151"/>
      <c r="H6" s="151"/>
      <c r="I6" s="151"/>
      <c r="J6" s="151"/>
      <c r="K6" s="152"/>
    </row>
    <row r="7" spans="1:11" x14ac:dyDescent="0.25">
      <c r="D7" s="151"/>
      <c r="E7" s="151"/>
      <c r="F7" s="151"/>
      <c r="G7" s="151"/>
      <c r="H7" s="151"/>
      <c r="I7" s="151"/>
      <c r="J7" s="151"/>
      <c r="K7" s="152"/>
    </row>
    <row r="8" spans="1:11" x14ac:dyDescent="0.25">
      <c r="A8" s="153">
        <v>1</v>
      </c>
      <c r="B8" s="147" t="s">
        <v>141</v>
      </c>
      <c r="D8" s="151"/>
      <c r="E8" s="151"/>
      <c r="F8" s="151"/>
      <c r="G8" s="154"/>
      <c r="H8" s="151"/>
      <c r="I8" s="151"/>
      <c r="J8" s="151"/>
      <c r="K8" s="152"/>
    </row>
    <row r="9" spans="1:11" x14ac:dyDescent="0.25">
      <c r="A9" s="153">
        <f t="shared" ref="A9:A72" si="0">+A8+1</f>
        <v>2</v>
      </c>
      <c r="D9" s="151"/>
      <c r="E9" s="151"/>
      <c r="F9" s="151"/>
      <c r="G9" s="154"/>
      <c r="H9" s="151"/>
      <c r="I9" s="151"/>
      <c r="J9" s="151"/>
      <c r="K9" s="152"/>
    </row>
    <row r="10" spans="1:11" x14ac:dyDescent="0.25">
      <c r="A10" s="153">
        <f t="shared" si="0"/>
        <v>3</v>
      </c>
      <c r="B10" s="155"/>
      <c r="C10" s="155"/>
      <c r="D10" s="154"/>
      <c r="E10" s="154"/>
      <c r="F10" s="154"/>
      <c r="G10" s="154"/>
      <c r="H10" s="154"/>
      <c r="I10" s="154"/>
      <c r="J10" s="151"/>
      <c r="K10" s="152"/>
    </row>
    <row r="11" spans="1:11" x14ac:dyDescent="0.25">
      <c r="A11" s="153">
        <f t="shared" si="0"/>
        <v>4</v>
      </c>
      <c r="B11" s="156" t="s">
        <v>142</v>
      </c>
      <c r="C11" s="156" t="s">
        <v>143</v>
      </c>
      <c r="D11" s="157" t="s">
        <v>144</v>
      </c>
      <c r="E11" s="157" t="s">
        <v>145</v>
      </c>
      <c r="F11" s="157" t="s">
        <v>146</v>
      </c>
      <c r="G11" s="157" t="s">
        <v>108</v>
      </c>
      <c r="H11" s="157" t="s">
        <v>117</v>
      </c>
      <c r="I11" s="157" t="s">
        <v>111</v>
      </c>
      <c r="J11" s="151"/>
      <c r="K11" s="152"/>
    </row>
    <row r="12" spans="1:11" x14ac:dyDescent="0.25">
      <c r="A12" s="153">
        <f t="shared" si="0"/>
        <v>5</v>
      </c>
      <c r="B12" s="155" t="s">
        <v>147</v>
      </c>
      <c r="C12" s="155" t="s">
        <v>148</v>
      </c>
      <c r="D12" s="154" t="s">
        <v>149</v>
      </c>
      <c r="E12" s="154" t="s">
        <v>150</v>
      </c>
      <c r="F12" s="158" t="s">
        <v>151</v>
      </c>
      <c r="G12" s="158" t="s">
        <v>152</v>
      </c>
      <c r="H12" s="158" t="s">
        <v>153</v>
      </c>
      <c r="I12" s="158" t="s">
        <v>154</v>
      </c>
      <c r="J12" s="154"/>
      <c r="K12" s="152"/>
    </row>
    <row r="13" spans="1:11" x14ac:dyDescent="0.25">
      <c r="A13" s="153">
        <f t="shared" si="0"/>
        <v>6</v>
      </c>
      <c r="D13" s="151"/>
      <c r="E13" s="151"/>
      <c r="F13" s="151"/>
      <c r="G13" s="154"/>
      <c r="H13" s="151"/>
      <c r="I13" s="151"/>
      <c r="J13" s="151"/>
      <c r="K13" s="152"/>
    </row>
    <row r="14" spans="1:11" hidden="1" outlineLevel="1" x14ac:dyDescent="0.25">
      <c r="A14" s="153">
        <f t="shared" si="0"/>
        <v>7</v>
      </c>
      <c r="B14" s="159" t="s">
        <v>155</v>
      </c>
      <c r="D14" s="151"/>
      <c r="E14" s="151"/>
      <c r="F14" s="151"/>
      <c r="G14" s="151"/>
      <c r="H14" s="151"/>
      <c r="I14" s="151"/>
      <c r="J14" s="151"/>
      <c r="K14" s="152"/>
    </row>
    <row r="15" spans="1:11" hidden="1" outlineLevel="1" x14ac:dyDescent="0.25">
      <c r="A15" s="153">
        <f t="shared" si="0"/>
        <v>8</v>
      </c>
      <c r="B15" s="160">
        <v>39021</v>
      </c>
      <c r="D15" s="151"/>
      <c r="E15" s="151"/>
      <c r="F15" s="151"/>
      <c r="G15" s="162"/>
      <c r="H15" s="151"/>
      <c r="I15" s="161">
        <v>-572607</v>
      </c>
      <c r="J15" s="151"/>
      <c r="K15" s="152"/>
    </row>
    <row r="16" spans="1:11" hidden="1" outlineLevel="1" x14ac:dyDescent="0.25">
      <c r="A16" s="153">
        <f t="shared" si="0"/>
        <v>9</v>
      </c>
      <c r="B16" s="160">
        <f>+B15+30</f>
        <v>39051</v>
      </c>
      <c r="D16" s="151">
        <f>-659171+121091</f>
        <v>-538080</v>
      </c>
      <c r="E16" s="151">
        <v>572607</v>
      </c>
      <c r="F16" s="151"/>
      <c r="G16" s="163">
        <f>-2126+391</f>
        <v>-1735</v>
      </c>
      <c r="H16" s="151">
        <f t="shared" ref="H16:H27" si="1">SUM(D16:G16)</f>
        <v>32792</v>
      </c>
      <c r="I16" s="162">
        <f t="shared" ref="I16:I52" si="2">+I15+H16</f>
        <v>-539815</v>
      </c>
      <c r="J16" s="151"/>
      <c r="K16" s="152"/>
    </row>
    <row r="17" spans="1:11" hidden="1" outlineLevel="1" x14ac:dyDescent="0.25">
      <c r="A17" s="153">
        <f t="shared" si="0"/>
        <v>10</v>
      </c>
      <c r="B17" s="160">
        <f>+B16+31</f>
        <v>39082</v>
      </c>
      <c r="D17" s="151">
        <v>-800115</v>
      </c>
      <c r="E17" s="151"/>
      <c r="F17" s="151"/>
      <c r="G17" s="163">
        <v>-6062</v>
      </c>
      <c r="H17" s="151">
        <f t="shared" si="1"/>
        <v>-806177</v>
      </c>
      <c r="I17" s="162">
        <f t="shared" si="2"/>
        <v>-1345992</v>
      </c>
      <c r="J17" s="151"/>
      <c r="K17" s="152"/>
    </row>
    <row r="18" spans="1:11" hidden="1" outlineLevel="1" x14ac:dyDescent="0.25">
      <c r="A18" s="153">
        <f t="shared" si="0"/>
        <v>11</v>
      </c>
      <c r="B18" s="160">
        <f>+B17+31</f>
        <v>39113</v>
      </c>
      <c r="D18" s="151">
        <v>-1224489</v>
      </c>
      <c r="E18" s="151"/>
      <c r="F18" s="151"/>
      <c r="G18" s="163">
        <v>-13332</v>
      </c>
      <c r="H18" s="151">
        <f t="shared" si="1"/>
        <v>-1237821</v>
      </c>
      <c r="I18" s="162">
        <f t="shared" si="2"/>
        <v>-2583813</v>
      </c>
      <c r="J18" s="151"/>
      <c r="K18" s="152"/>
    </row>
    <row r="19" spans="1:11" hidden="1" outlineLevel="1" x14ac:dyDescent="0.25">
      <c r="A19" s="153">
        <f t="shared" si="0"/>
        <v>12</v>
      </c>
      <c r="B19" s="160">
        <f>+B18+28</f>
        <v>39141</v>
      </c>
      <c r="D19" s="151">
        <v>-518677</v>
      </c>
      <c r="E19" s="151"/>
      <c r="F19" s="151"/>
      <c r="G19" s="163">
        <v>-19357</v>
      </c>
      <c r="H19" s="151">
        <f t="shared" si="1"/>
        <v>-538034</v>
      </c>
      <c r="I19" s="162">
        <f t="shared" si="2"/>
        <v>-3121847</v>
      </c>
      <c r="J19" s="151"/>
      <c r="K19" s="152"/>
    </row>
    <row r="20" spans="1:11" hidden="1" outlineLevel="1" x14ac:dyDescent="0.25">
      <c r="A20" s="153">
        <f t="shared" si="0"/>
        <v>13</v>
      </c>
      <c r="B20" s="160">
        <f>+B19+31</f>
        <v>39172</v>
      </c>
      <c r="D20" s="151">
        <v>-456707</v>
      </c>
      <c r="E20" s="151"/>
      <c r="F20" s="151"/>
      <c r="G20" s="163">
        <v>-22809</v>
      </c>
      <c r="H20" s="151">
        <f t="shared" si="1"/>
        <v>-479516</v>
      </c>
      <c r="I20" s="162">
        <f t="shared" si="2"/>
        <v>-3601363</v>
      </c>
      <c r="J20" s="151"/>
      <c r="K20" s="152"/>
    </row>
    <row r="21" spans="1:11" hidden="1" outlineLevel="1" x14ac:dyDescent="0.25">
      <c r="A21" s="153">
        <f t="shared" si="0"/>
        <v>14</v>
      </c>
      <c r="B21" s="160">
        <f>+B20+30</f>
        <v>39202</v>
      </c>
      <c r="D21" s="151">
        <v>-394725</v>
      </c>
      <c r="E21" s="151"/>
      <c r="F21" s="151"/>
      <c r="G21" s="163">
        <v>-25420</v>
      </c>
      <c r="H21" s="151">
        <f t="shared" si="1"/>
        <v>-420145</v>
      </c>
      <c r="I21" s="162">
        <f t="shared" si="2"/>
        <v>-4021508</v>
      </c>
      <c r="J21" s="151"/>
      <c r="K21" s="152"/>
    </row>
    <row r="22" spans="1:11" hidden="1" outlineLevel="1" x14ac:dyDescent="0.25">
      <c r="A22" s="153">
        <f t="shared" si="0"/>
        <v>15</v>
      </c>
      <c r="B22" s="160">
        <f>+B21+31</f>
        <v>39233</v>
      </c>
      <c r="D22" s="151">
        <v>-95593</v>
      </c>
      <c r="E22" s="151"/>
      <c r="F22" s="151"/>
      <c r="G22" s="163">
        <v>-27736</v>
      </c>
      <c r="H22" s="151">
        <f t="shared" si="1"/>
        <v>-123329</v>
      </c>
      <c r="I22" s="162">
        <f t="shared" si="2"/>
        <v>-4144837</v>
      </c>
      <c r="J22" s="151"/>
      <c r="K22" s="152"/>
    </row>
    <row r="23" spans="1:11" hidden="1" outlineLevel="1" x14ac:dyDescent="0.25">
      <c r="A23" s="153">
        <f t="shared" si="0"/>
        <v>16</v>
      </c>
      <c r="B23" s="160">
        <f>+B22+30</f>
        <v>39263</v>
      </c>
      <c r="D23" s="151">
        <f>-173503+19332</f>
        <v>-154171</v>
      </c>
      <c r="E23" s="151"/>
      <c r="F23" s="151"/>
      <c r="G23" s="163">
        <f>-29719+66</f>
        <v>-29653</v>
      </c>
      <c r="H23" s="151">
        <f t="shared" si="1"/>
        <v>-183824</v>
      </c>
      <c r="I23" s="162">
        <f t="shared" si="2"/>
        <v>-4328661</v>
      </c>
      <c r="J23" s="162"/>
      <c r="K23" s="152"/>
    </row>
    <row r="24" spans="1:11" hidden="1" outlineLevel="1" x14ac:dyDescent="0.25">
      <c r="A24" s="153">
        <f t="shared" si="0"/>
        <v>17</v>
      </c>
      <c r="B24" s="160">
        <f>+B23+31</f>
        <v>39294</v>
      </c>
      <c r="C24" s="164"/>
      <c r="D24" s="151">
        <v>-45933</v>
      </c>
      <c r="E24" s="151"/>
      <c r="F24" s="151"/>
      <c r="G24" s="163">
        <v>-29929</v>
      </c>
      <c r="H24" s="151">
        <f t="shared" si="1"/>
        <v>-75862</v>
      </c>
      <c r="I24" s="162">
        <f t="shared" si="2"/>
        <v>-4404523</v>
      </c>
      <c r="J24" s="163"/>
      <c r="K24" s="152"/>
    </row>
    <row r="25" spans="1:11" hidden="1" outlineLevel="1" x14ac:dyDescent="0.25">
      <c r="A25" s="153">
        <f t="shared" si="0"/>
        <v>18</v>
      </c>
      <c r="B25" s="160">
        <f>+B24+30</f>
        <v>39324</v>
      </c>
      <c r="C25" s="164"/>
      <c r="D25" s="151">
        <v>-129781</v>
      </c>
      <c r="E25" s="151"/>
      <c r="F25" s="151"/>
      <c r="G25" s="163">
        <v>-30747</v>
      </c>
      <c r="H25" s="151">
        <f t="shared" si="1"/>
        <v>-160528</v>
      </c>
      <c r="I25" s="162">
        <f t="shared" si="2"/>
        <v>-4565051</v>
      </c>
      <c r="J25" s="163"/>
      <c r="K25" s="152"/>
    </row>
    <row r="26" spans="1:11" hidden="1" outlineLevel="1" x14ac:dyDescent="0.25">
      <c r="A26" s="153">
        <f t="shared" si="0"/>
        <v>19</v>
      </c>
      <c r="B26" s="160">
        <f>+B25+30</f>
        <v>39354</v>
      </c>
      <c r="C26" s="164"/>
      <c r="D26" s="151">
        <v>-124964</v>
      </c>
      <c r="E26" s="151"/>
      <c r="F26" s="151"/>
      <c r="G26" s="163">
        <v>-31796</v>
      </c>
      <c r="H26" s="151">
        <f t="shared" si="1"/>
        <v>-156760</v>
      </c>
      <c r="I26" s="162">
        <f t="shared" si="2"/>
        <v>-4721811</v>
      </c>
      <c r="J26" s="151"/>
      <c r="K26" s="152"/>
    </row>
    <row r="27" spans="1:11" hidden="1" outlineLevel="1" x14ac:dyDescent="0.25">
      <c r="A27" s="153">
        <f t="shared" si="0"/>
        <v>20</v>
      </c>
      <c r="B27" s="160">
        <f>+B26+31</f>
        <v>39385</v>
      </c>
      <c r="C27" s="164"/>
      <c r="D27" s="166">
        <v>-956238</v>
      </c>
      <c r="E27" s="166"/>
      <c r="F27" s="166"/>
      <c r="G27" s="167">
        <v>-35748</v>
      </c>
      <c r="H27" s="166">
        <f t="shared" si="1"/>
        <v>-991986</v>
      </c>
      <c r="I27" s="162">
        <f t="shared" si="2"/>
        <v>-5713797</v>
      </c>
      <c r="J27" s="151"/>
      <c r="K27" s="152"/>
    </row>
    <row r="28" spans="1:11" hidden="1" outlineLevel="1" x14ac:dyDescent="0.25">
      <c r="A28" s="153">
        <f t="shared" si="0"/>
        <v>21</v>
      </c>
      <c r="B28" s="160">
        <f>+B27+30</f>
        <v>39415</v>
      </c>
      <c r="C28" s="147" t="s">
        <v>156</v>
      </c>
      <c r="D28" s="166">
        <v>-251012</v>
      </c>
      <c r="E28" s="166">
        <f>-I27</f>
        <v>5713797</v>
      </c>
      <c r="F28" s="166"/>
      <c r="G28" s="167">
        <v>-863</v>
      </c>
      <c r="H28" s="166">
        <f t="shared" ref="H28:H36" si="3">SUM(D28:G28)</f>
        <v>5461922</v>
      </c>
      <c r="I28" s="162">
        <f t="shared" si="2"/>
        <v>-251875</v>
      </c>
      <c r="J28" s="151"/>
      <c r="K28" s="152"/>
    </row>
    <row r="29" spans="1:11" hidden="1" outlineLevel="1" x14ac:dyDescent="0.25">
      <c r="A29" s="153">
        <f t="shared" si="0"/>
        <v>22</v>
      </c>
      <c r="B29" s="160">
        <f>+B28+31</f>
        <v>39446</v>
      </c>
      <c r="D29" s="166">
        <v>-94642</v>
      </c>
      <c r="E29" s="166"/>
      <c r="F29" s="166"/>
      <c r="G29" s="167">
        <v>-2063</v>
      </c>
      <c r="H29" s="166">
        <f t="shared" si="3"/>
        <v>-96705</v>
      </c>
      <c r="I29" s="162">
        <f t="shared" si="2"/>
        <v>-348580</v>
      </c>
      <c r="J29" s="151"/>
      <c r="K29" s="152"/>
    </row>
    <row r="30" spans="1:11" hidden="1" outlineLevel="1" x14ac:dyDescent="0.25">
      <c r="A30" s="153">
        <f t="shared" si="0"/>
        <v>23</v>
      </c>
      <c r="B30" s="160">
        <f>+B29+31</f>
        <v>39477</v>
      </c>
      <c r="D30" s="166">
        <v>-417920</v>
      </c>
      <c r="E30" s="166"/>
      <c r="F30" s="166"/>
      <c r="G30" s="167">
        <v>-3836</v>
      </c>
      <c r="H30" s="166">
        <f t="shared" si="3"/>
        <v>-421756</v>
      </c>
      <c r="I30" s="162">
        <f t="shared" si="2"/>
        <v>-770336</v>
      </c>
      <c r="J30" s="151"/>
      <c r="K30" s="152"/>
    </row>
    <row r="31" spans="1:11" hidden="1" outlineLevel="1" x14ac:dyDescent="0.25">
      <c r="A31" s="153">
        <f t="shared" si="0"/>
        <v>24</v>
      </c>
      <c r="B31" s="160">
        <f>+B30+29</f>
        <v>39506</v>
      </c>
      <c r="D31" s="151">
        <f>-150692-20483</f>
        <v>-171175</v>
      </c>
      <c r="E31" s="151"/>
      <c r="F31" s="151"/>
      <c r="G31" s="167">
        <f>-5814-70</f>
        <v>-5884</v>
      </c>
      <c r="H31" s="166">
        <f t="shared" si="3"/>
        <v>-177059</v>
      </c>
      <c r="I31" s="162">
        <f t="shared" si="2"/>
        <v>-947395</v>
      </c>
      <c r="J31" s="151"/>
      <c r="K31" s="152"/>
    </row>
    <row r="32" spans="1:11" hidden="1" outlineLevel="1" x14ac:dyDescent="0.25">
      <c r="A32" s="153">
        <f t="shared" si="0"/>
        <v>25</v>
      </c>
      <c r="B32" s="160">
        <f>+B31+31</f>
        <v>39537</v>
      </c>
      <c r="D32" s="151">
        <v>-30905</v>
      </c>
      <c r="E32" s="151"/>
      <c r="F32" s="151"/>
      <c r="G32" s="167">
        <v>-6678</v>
      </c>
      <c r="H32" s="166">
        <f t="shared" si="3"/>
        <v>-37583</v>
      </c>
      <c r="I32" s="162">
        <f t="shared" si="2"/>
        <v>-984978</v>
      </c>
      <c r="J32" s="151"/>
      <c r="K32" s="152"/>
    </row>
    <row r="33" spans="1:11" hidden="1" outlineLevel="1" x14ac:dyDescent="0.25">
      <c r="A33" s="153">
        <f t="shared" si="0"/>
        <v>26</v>
      </c>
      <c r="B33" s="160">
        <f>+B32+30</f>
        <v>39567</v>
      </c>
      <c r="D33" s="151">
        <v>666668</v>
      </c>
      <c r="E33" s="151"/>
      <c r="F33" s="151"/>
      <c r="G33" s="167">
        <v>-2692</v>
      </c>
      <c r="H33" s="166">
        <f t="shared" si="3"/>
        <v>663976</v>
      </c>
      <c r="I33" s="162">
        <f t="shared" si="2"/>
        <v>-321002</v>
      </c>
      <c r="J33" s="151"/>
      <c r="K33" s="152"/>
    </row>
    <row r="34" spans="1:11" hidden="1" outlineLevel="1" x14ac:dyDescent="0.25">
      <c r="A34" s="153">
        <f t="shared" si="0"/>
        <v>27</v>
      </c>
      <c r="B34" s="160">
        <f>+B33+31</f>
        <v>39598</v>
      </c>
      <c r="D34" s="151">
        <f>798058+25438</f>
        <v>823496</v>
      </c>
      <c r="E34" s="151"/>
      <c r="F34" s="151"/>
      <c r="G34" s="167">
        <f>440+72</f>
        <v>512</v>
      </c>
      <c r="H34" s="166">
        <f t="shared" si="3"/>
        <v>824008</v>
      </c>
      <c r="I34" s="162">
        <f t="shared" si="2"/>
        <v>503006</v>
      </c>
      <c r="J34" s="151"/>
      <c r="K34" s="152"/>
    </row>
    <row r="35" spans="1:11" hidden="1" outlineLevel="1" x14ac:dyDescent="0.25">
      <c r="A35" s="153">
        <f t="shared" si="0"/>
        <v>28</v>
      </c>
      <c r="B35" s="160">
        <f>+B34+30</f>
        <v>39628</v>
      </c>
      <c r="D35" s="151">
        <v>452181</v>
      </c>
      <c r="E35" s="151"/>
      <c r="F35" s="151"/>
      <c r="G35" s="167">
        <v>3231</v>
      </c>
      <c r="H35" s="166">
        <f t="shared" si="3"/>
        <v>455412</v>
      </c>
      <c r="I35" s="162">
        <f t="shared" si="2"/>
        <v>958418</v>
      </c>
      <c r="J35" s="151"/>
      <c r="K35" s="152"/>
    </row>
    <row r="36" spans="1:11" hidden="1" outlineLevel="1" x14ac:dyDescent="0.25">
      <c r="A36" s="153">
        <f t="shared" si="0"/>
        <v>29</v>
      </c>
      <c r="B36" s="160">
        <f>+B35+31</f>
        <v>39659</v>
      </c>
      <c r="D36" s="151">
        <v>763141</v>
      </c>
      <c r="E36" s="151"/>
      <c r="F36" s="151"/>
      <c r="G36" s="168">
        <f>ROUND((+I35+E36+(D36/2))*0.053/12,2)</f>
        <v>5918.28</v>
      </c>
      <c r="H36" s="166">
        <f t="shared" si="3"/>
        <v>769059.28</v>
      </c>
      <c r="I36" s="162">
        <f t="shared" si="2"/>
        <v>1727477.28</v>
      </c>
      <c r="J36" s="151"/>
      <c r="K36" s="152"/>
    </row>
    <row r="37" spans="1:11" hidden="1" outlineLevel="1" x14ac:dyDescent="0.25">
      <c r="A37" s="153">
        <f t="shared" si="0"/>
        <v>30</v>
      </c>
      <c r="B37" s="160">
        <f>+B36+30</f>
        <v>39689</v>
      </c>
      <c r="D37" s="151">
        <v>366677</v>
      </c>
      <c r="E37" s="151"/>
      <c r="F37" s="151"/>
      <c r="G37" s="168">
        <f>ROUND((+I36+E37+(D37/2))*0.053/12,2)</f>
        <v>8439.44</v>
      </c>
      <c r="H37" s="166">
        <f t="shared" ref="H37:H46" si="4">SUM(D37:G37)</f>
        <v>375116.44</v>
      </c>
      <c r="I37" s="162">
        <f t="shared" si="2"/>
        <v>2102593.7200000002</v>
      </c>
      <c r="J37" s="151"/>
      <c r="K37" s="152"/>
    </row>
    <row r="38" spans="1:11" hidden="1" outlineLevel="1" x14ac:dyDescent="0.25">
      <c r="A38" s="153">
        <f t="shared" si="0"/>
        <v>31</v>
      </c>
      <c r="B38" s="160">
        <f>+B37+30</f>
        <v>39719</v>
      </c>
      <c r="D38" s="151">
        <v>149827</v>
      </c>
      <c r="E38" s="151"/>
      <c r="F38" s="151"/>
      <c r="G38" s="168">
        <f>ROUND((+I37+E38+(D38/2))*0.053/12,2)</f>
        <v>9617.32</v>
      </c>
      <c r="H38" s="166">
        <f t="shared" si="4"/>
        <v>159444.32</v>
      </c>
      <c r="I38" s="162">
        <f t="shared" si="2"/>
        <v>2262038.04</v>
      </c>
      <c r="J38" s="151"/>
      <c r="K38" s="152"/>
    </row>
    <row r="39" spans="1:11" hidden="1" outlineLevel="1" x14ac:dyDescent="0.25">
      <c r="A39" s="153">
        <f t="shared" si="0"/>
        <v>32</v>
      </c>
      <c r="B39" s="160">
        <f>+B38+31</f>
        <v>39750</v>
      </c>
      <c r="D39" s="166">
        <v>-3075.65</v>
      </c>
      <c r="E39" s="151"/>
      <c r="F39" s="151"/>
      <c r="G39" s="168">
        <f>ROUND((+I38+E39+(D39/2))*0.05/12,2)</f>
        <v>9418.75</v>
      </c>
      <c r="H39" s="166">
        <f t="shared" si="4"/>
        <v>6343.1</v>
      </c>
      <c r="I39" s="162">
        <f t="shared" si="2"/>
        <v>2268381.14</v>
      </c>
      <c r="J39" s="151"/>
      <c r="K39" s="152"/>
    </row>
    <row r="40" spans="1:11" hidden="1" outlineLevel="1" x14ac:dyDescent="0.25">
      <c r="A40" s="153">
        <f t="shared" si="0"/>
        <v>33</v>
      </c>
      <c r="B40" s="160">
        <f>+B39+30</f>
        <v>39780</v>
      </c>
      <c r="D40" s="166">
        <v>221507</v>
      </c>
      <c r="E40" s="165">
        <v>-2262733</v>
      </c>
      <c r="F40" s="166"/>
      <c r="G40" s="168">
        <f>ROUND((+I39+E40+(D40/2))*0.05/12,2)</f>
        <v>485.01</v>
      </c>
      <c r="H40" s="166">
        <f t="shared" si="4"/>
        <v>-2040740.99</v>
      </c>
      <c r="I40" s="162">
        <f t="shared" si="2"/>
        <v>227640.15000000014</v>
      </c>
      <c r="J40" s="151"/>
      <c r="K40" s="152"/>
    </row>
    <row r="41" spans="1:11" hidden="1" outlineLevel="1" x14ac:dyDescent="0.25">
      <c r="A41" s="153">
        <f t="shared" si="0"/>
        <v>34</v>
      </c>
      <c r="B41" s="160">
        <f>+B40+31</f>
        <v>39811</v>
      </c>
      <c r="D41" s="166">
        <v>-361614</v>
      </c>
      <c r="E41" s="151"/>
      <c r="F41" s="151"/>
      <c r="G41" s="168">
        <f>ROUND((+I40+E41+(D41/2))*0.05/12,2)</f>
        <v>195.14</v>
      </c>
      <c r="H41" s="166">
        <f t="shared" si="4"/>
        <v>-361418.86</v>
      </c>
      <c r="I41" s="162">
        <f t="shared" si="2"/>
        <v>-133778.70999999985</v>
      </c>
      <c r="J41" s="151"/>
      <c r="K41" s="152"/>
    </row>
    <row r="42" spans="1:11" hidden="1" outlineLevel="1" x14ac:dyDescent="0.25">
      <c r="A42" s="153">
        <f t="shared" si="0"/>
        <v>35</v>
      </c>
      <c r="B42" s="160">
        <f>+B41+31</f>
        <v>39842</v>
      </c>
      <c r="D42" s="166">
        <v>-1259795</v>
      </c>
      <c r="E42" s="151"/>
      <c r="F42" s="151"/>
      <c r="G42" s="168">
        <f>ROUND((+I41+E42+(D42/2))*0.0452/12,2)</f>
        <v>-2876.51</v>
      </c>
      <c r="H42" s="166">
        <f t="shared" si="4"/>
        <v>-1262671.51</v>
      </c>
      <c r="I42" s="162">
        <f t="shared" si="2"/>
        <v>-1396450.2199999997</v>
      </c>
      <c r="J42" s="151"/>
      <c r="K42" s="152"/>
    </row>
    <row r="43" spans="1:11" hidden="1" outlineLevel="1" x14ac:dyDescent="0.25">
      <c r="A43" s="153">
        <f t="shared" si="0"/>
        <v>36</v>
      </c>
      <c r="B43" s="160">
        <f>+B42+28</f>
        <v>39870</v>
      </c>
      <c r="D43" s="166">
        <v>-1429813</v>
      </c>
      <c r="E43" s="151"/>
      <c r="F43" s="151"/>
      <c r="G43" s="168">
        <f>ROUND((+I42+E43+(D43/2))*0.0452/12,2)</f>
        <v>-7952.78</v>
      </c>
      <c r="H43" s="166">
        <f t="shared" si="4"/>
        <v>-1437765.78</v>
      </c>
      <c r="I43" s="162">
        <f t="shared" si="2"/>
        <v>-2834216</v>
      </c>
      <c r="J43" s="151"/>
      <c r="K43" s="152"/>
    </row>
    <row r="44" spans="1:11" hidden="1" outlineLevel="1" x14ac:dyDescent="0.25">
      <c r="A44" s="153">
        <f t="shared" si="0"/>
        <v>37</v>
      </c>
      <c r="B44" s="160">
        <f>+B43+31</f>
        <v>39901</v>
      </c>
      <c r="D44" s="151">
        <v>-1225130</v>
      </c>
      <c r="E44" s="151"/>
      <c r="F44" s="151"/>
      <c r="G44" s="168">
        <f>ROUND((+I43+E44+(D44/2))*0.0452/12,2)</f>
        <v>-12982.88</v>
      </c>
      <c r="H44" s="166">
        <f t="shared" si="4"/>
        <v>-1238112.8799999999</v>
      </c>
      <c r="I44" s="162">
        <f t="shared" si="2"/>
        <v>-4072328.88</v>
      </c>
      <c r="J44" s="151"/>
      <c r="K44" s="152"/>
    </row>
    <row r="45" spans="1:11" hidden="1" outlineLevel="1" x14ac:dyDescent="0.25">
      <c r="A45" s="153">
        <f t="shared" si="0"/>
        <v>38</v>
      </c>
      <c r="B45" s="160">
        <f>+B44+30</f>
        <v>39931</v>
      </c>
      <c r="D45" s="151">
        <v>-933652</v>
      </c>
      <c r="E45" s="151"/>
      <c r="F45" s="151"/>
      <c r="G45" s="168">
        <f>ROUND((+I44+E45+(D45/2))*0.0337/12,2)</f>
        <v>-12747.46</v>
      </c>
      <c r="H45" s="166">
        <f t="shared" si="4"/>
        <v>-946399.46</v>
      </c>
      <c r="I45" s="162">
        <f t="shared" si="2"/>
        <v>-5018728.34</v>
      </c>
      <c r="J45" s="151"/>
      <c r="K45" s="152"/>
    </row>
    <row r="46" spans="1:11" hidden="1" outlineLevel="1" x14ac:dyDescent="0.25">
      <c r="A46" s="153">
        <f t="shared" si="0"/>
        <v>39</v>
      </c>
      <c r="B46" s="160">
        <f>+B45+31</f>
        <v>39962</v>
      </c>
      <c r="D46" s="151">
        <v>-510376</v>
      </c>
      <c r="E46" s="151"/>
      <c r="F46" s="151"/>
      <c r="G46" s="168">
        <f>ROUND((+I45+E46+(D46/2))*0.0337/12,2)</f>
        <v>-14810.92</v>
      </c>
      <c r="H46" s="166">
        <f t="shared" si="4"/>
        <v>-525186.92000000004</v>
      </c>
      <c r="I46" s="162">
        <f t="shared" si="2"/>
        <v>-5543915.2599999998</v>
      </c>
      <c r="J46" s="151"/>
      <c r="K46" s="152"/>
    </row>
    <row r="47" spans="1:11" hidden="1" outlineLevel="1" x14ac:dyDescent="0.25">
      <c r="A47" s="153">
        <f t="shared" si="0"/>
        <v>40</v>
      </c>
      <c r="B47" s="160">
        <f>+B46+30</f>
        <v>39992</v>
      </c>
      <c r="D47" s="151">
        <v>-504170</v>
      </c>
      <c r="E47" s="151">
        <f>-I44</f>
        <v>4072328.88</v>
      </c>
      <c r="F47" s="151"/>
      <c r="G47" s="168">
        <f>ROUND((+I46+E47+(D47/2))*0.0337/12,2)</f>
        <v>-4840.6400000000003</v>
      </c>
      <c r="H47" s="166">
        <f t="shared" ref="H47:H52" si="5">SUM(D47:G47)</f>
        <v>3563318.2399999998</v>
      </c>
      <c r="I47" s="162">
        <f t="shared" si="2"/>
        <v>-1980597.02</v>
      </c>
      <c r="J47" s="151"/>
      <c r="K47" s="152"/>
    </row>
    <row r="48" spans="1:11" hidden="1" outlineLevel="1" x14ac:dyDescent="0.25">
      <c r="A48" s="153">
        <f t="shared" si="0"/>
        <v>41</v>
      </c>
      <c r="B48" s="160">
        <f>+B47+31</f>
        <v>40023</v>
      </c>
      <c r="D48" s="151">
        <v>-565700</v>
      </c>
      <c r="E48" s="151"/>
      <c r="F48" s="151"/>
      <c r="G48" s="168">
        <f t="shared" ref="G48:G53" si="6">ROUND((+I47+E48+(D48/2))*0.0325/12,2)</f>
        <v>-6130.17</v>
      </c>
      <c r="H48" s="166">
        <f t="shared" si="5"/>
        <v>-571830.17000000004</v>
      </c>
      <c r="I48" s="162">
        <f t="shared" si="2"/>
        <v>-2552427.19</v>
      </c>
      <c r="J48" s="151"/>
      <c r="K48" s="151"/>
    </row>
    <row r="49" spans="1:11" hidden="1" outlineLevel="1" x14ac:dyDescent="0.25">
      <c r="A49" s="153">
        <f t="shared" si="0"/>
        <v>42</v>
      </c>
      <c r="B49" s="160">
        <f>+B48+30</f>
        <v>40053</v>
      </c>
      <c r="D49" s="151">
        <v>-585509</v>
      </c>
      <c r="E49" s="151"/>
      <c r="F49" s="151"/>
      <c r="G49" s="168">
        <f t="shared" si="6"/>
        <v>-7705.7</v>
      </c>
      <c r="H49" s="166">
        <f t="shared" si="5"/>
        <v>-593214.69999999995</v>
      </c>
      <c r="I49" s="162">
        <f t="shared" si="2"/>
        <v>-3145641.8899999997</v>
      </c>
      <c r="J49" s="151"/>
      <c r="K49" s="152"/>
    </row>
    <row r="50" spans="1:11" hidden="1" outlineLevel="1" x14ac:dyDescent="0.25">
      <c r="A50" s="153">
        <f t="shared" si="0"/>
        <v>43</v>
      </c>
      <c r="B50" s="160">
        <f>+B49+30</f>
        <v>40083</v>
      </c>
      <c r="D50" s="151">
        <v>-552800</v>
      </c>
      <c r="E50" s="151"/>
      <c r="F50" s="151"/>
      <c r="G50" s="168">
        <f t="shared" si="6"/>
        <v>-9268.0300000000007</v>
      </c>
      <c r="H50" s="166">
        <f t="shared" si="5"/>
        <v>-562068.03</v>
      </c>
      <c r="I50" s="162">
        <f t="shared" si="2"/>
        <v>-3707709.92</v>
      </c>
      <c r="J50" s="151"/>
      <c r="K50" s="151"/>
    </row>
    <row r="51" spans="1:11" hidden="1" outlineLevel="1" x14ac:dyDescent="0.25">
      <c r="A51" s="153">
        <f t="shared" si="0"/>
        <v>44</v>
      </c>
      <c r="B51" s="160">
        <f>+B50+31</f>
        <v>40114</v>
      </c>
      <c r="D51" s="151">
        <v>-690884</v>
      </c>
      <c r="E51" s="151"/>
      <c r="F51" s="151"/>
      <c r="G51" s="168">
        <f t="shared" si="6"/>
        <v>-10977.29</v>
      </c>
      <c r="H51" s="166">
        <f t="shared" si="5"/>
        <v>-701861.29</v>
      </c>
      <c r="I51" s="162">
        <f t="shared" si="2"/>
        <v>-4409571.21</v>
      </c>
      <c r="J51" s="151"/>
      <c r="K51" s="152"/>
    </row>
    <row r="52" spans="1:11" hidden="1" outlineLevel="1" x14ac:dyDescent="0.25">
      <c r="A52" s="153">
        <f t="shared" si="0"/>
        <v>45</v>
      </c>
      <c r="B52" s="160">
        <f>+B51+30</f>
        <v>40144</v>
      </c>
      <c r="D52" s="151">
        <f>-491232-107125</f>
        <v>-598357</v>
      </c>
      <c r="E52" s="151">
        <f>-I51</f>
        <v>4409571.21</v>
      </c>
      <c r="F52" s="151"/>
      <c r="G52" s="168">
        <f t="shared" si="6"/>
        <v>-810.28</v>
      </c>
      <c r="H52" s="166">
        <f t="shared" si="5"/>
        <v>3810403.93</v>
      </c>
      <c r="I52" s="162">
        <f t="shared" si="2"/>
        <v>-599167.2799999998</v>
      </c>
      <c r="J52" s="151"/>
      <c r="K52" s="152"/>
    </row>
    <row r="53" spans="1:11" hidden="1" outlineLevel="1" x14ac:dyDescent="0.25">
      <c r="A53" s="153">
        <f t="shared" si="0"/>
        <v>46</v>
      </c>
      <c r="B53" s="160">
        <f>+B52+31</f>
        <v>40175</v>
      </c>
      <c r="D53" s="151">
        <v>-63112</v>
      </c>
      <c r="E53" s="151"/>
      <c r="F53" s="151"/>
      <c r="G53" s="168">
        <f t="shared" si="6"/>
        <v>-1708.21</v>
      </c>
      <c r="H53" s="166">
        <f>SUM(D53:G53)</f>
        <v>-64820.21</v>
      </c>
      <c r="I53" s="162">
        <f>+I52+H53</f>
        <v>-663987.48999999976</v>
      </c>
      <c r="J53" s="151"/>
      <c r="K53" s="152"/>
    </row>
    <row r="54" spans="1:11" hidden="1" outlineLevel="1" x14ac:dyDescent="0.25">
      <c r="A54" s="153">
        <f t="shared" si="0"/>
        <v>47</v>
      </c>
      <c r="B54" s="160">
        <f>+B53+31</f>
        <v>40206</v>
      </c>
      <c r="D54" s="151"/>
      <c r="E54" s="151"/>
      <c r="F54" s="151"/>
      <c r="G54" s="168"/>
      <c r="H54" s="166"/>
      <c r="I54" s="162"/>
      <c r="J54" s="151"/>
      <c r="K54" s="152"/>
    </row>
    <row r="55" spans="1:11" hidden="1" outlineLevel="1" x14ac:dyDescent="0.25">
      <c r="A55" s="153">
        <f t="shared" si="0"/>
        <v>48</v>
      </c>
      <c r="B55" s="160">
        <f>+B53+31</f>
        <v>40206</v>
      </c>
      <c r="D55" s="151">
        <v>20464</v>
      </c>
      <c r="E55" s="151"/>
      <c r="F55" s="151"/>
      <c r="G55" s="168">
        <f>ROUND((+I53+E55+(D55/2))*0.0325/12,2)</f>
        <v>-1770.59</v>
      </c>
      <c r="H55" s="166">
        <f>SUM(D55:G55)</f>
        <v>18693.41</v>
      </c>
      <c r="I55" s="162">
        <f>+I53+H55</f>
        <v>-645294.07999999973</v>
      </c>
      <c r="J55" s="151"/>
      <c r="K55" s="152"/>
    </row>
    <row r="56" spans="1:11" hidden="1" outlineLevel="1" x14ac:dyDescent="0.25">
      <c r="A56" s="153">
        <f t="shared" si="0"/>
        <v>49</v>
      </c>
      <c r="B56" s="160">
        <f>+B55+28</f>
        <v>40234</v>
      </c>
      <c r="D56" s="151">
        <v>-94128</v>
      </c>
      <c r="E56" s="151"/>
      <c r="F56" s="151"/>
      <c r="G56" s="168">
        <f>ROUND((+I55+E56+(D56/2))*0.0325/12,2)</f>
        <v>-1875.14</v>
      </c>
      <c r="H56" s="166">
        <f>SUM(D56:G56)</f>
        <v>-96003.14</v>
      </c>
      <c r="I56" s="162">
        <f>+I55+H56</f>
        <v>-741297.21999999974</v>
      </c>
      <c r="J56" s="151"/>
      <c r="K56" s="152"/>
    </row>
    <row r="57" spans="1:11" hidden="1" outlineLevel="1" x14ac:dyDescent="0.25">
      <c r="A57" s="153">
        <f t="shared" si="0"/>
        <v>50</v>
      </c>
      <c r="B57" s="160">
        <f>+B56+31</f>
        <v>40265</v>
      </c>
      <c r="D57" s="151">
        <v>-229421</v>
      </c>
      <c r="E57" s="151"/>
      <c r="F57" s="151"/>
      <c r="G57" s="168">
        <f>ROUND((+I56+E57+(D57/2))*0.0325/12,2)</f>
        <v>-2318.35</v>
      </c>
      <c r="H57" s="166">
        <f>SUM(D57:G57)</f>
        <v>-231739.35</v>
      </c>
      <c r="I57" s="162">
        <f>+I56+H57</f>
        <v>-973036.56999999972</v>
      </c>
      <c r="J57" s="151"/>
      <c r="K57" s="152"/>
    </row>
    <row r="58" spans="1:11" hidden="1" outlineLevel="1" x14ac:dyDescent="0.25">
      <c r="A58" s="153">
        <f t="shared" si="0"/>
        <v>51</v>
      </c>
      <c r="B58" s="160">
        <f>+B57+30</f>
        <v>40295</v>
      </c>
      <c r="D58" s="151">
        <f>-199009-16421</f>
        <v>-215430</v>
      </c>
      <c r="E58" s="151"/>
      <c r="F58" s="151"/>
      <c r="G58" s="168">
        <f>ROUND((+I57+E58+(D58/2))*0.0325/12,2)</f>
        <v>-2927.04</v>
      </c>
      <c r="H58" s="166">
        <f>SUM(D58:G58)</f>
        <v>-218357.04</v>
      </c>
      <c r="I58" s="162">
        <f>+I57+H58</f>
        <v>-1191393.6099999996</v>
      </c>
      <c r="J58" s="151"/>
      <c r="K58" s="152"/>
    </row>
    <row r="59" spans="1:11" hidden="1" outlineLevel="1" x14ac:dyDescent="0.25">
      <c r="A59" s="153">
        <f t="shared" si="0"/>
        <v>52</v>
      </c>
      <c r="B59" s="160">
        <f>+B58+31</f>
        <v>40326</v>
      </c>
      <c r="D59" s="151">
        <f>-227121-32022</f>
        <v>-259143</v>
      </c>
      <c r="E59" s="151"/>
      <c r="F59" s="151"/>
      <c r="G59" s="169">
        <f>-3534+226</f>
        <v>-3308</v>
      </c>
      <c r="H59" s="166">
        <f t="shared" ref="H59:H64" si="7">SUM(D59:G59)</f>
        <v>-262451</v>
      </c>
      <c r="I59" s="162">
        <f t="shared" ref="I59:I81" si="8">+I58+H59</f>
        <v>-1453844.6099999996</v>
      </c>
      <c r="J59" s="151"/>
      <c r="K59" s="152"/>
    </row>
    <row r="60" spans="1:11" hidden="1" outlineLevel="1" x14ac:dyDescent="0.25">
      <c r="A60" s="153">
        <f t="shared" si="0"/>
        <v>53</v>
      </c>
      <c r="B60" s="160">
        <f>+B59+30</f>
        <v>40356</v>
      </c>
      <c r="D60" s="151">
        <v>-153349</v>
      </c>
      <c r="E60" s="151"/>
      <c r="F60" s="151"/>
      <c r="G60" s="169">
        <v>-4666</v>
      </c>
      <c r="H60" s="166">
        <f t="shared" si="7"/>
        <v>-158015</v>
      </c>
      <c r="I60" s="162">
        <f t="shared" si="8"/>
        <v>-1611859.6099999996</v>
      </c>
      <c r="J60" s="151"/>
      <c r="K60" s="152"/>
    </row>
    <row r="61" spans="1:11" hidden="1" outlineLevel="1" x14ac:dyDescent="0.25">
      <c r="A61" s="153">
        <f t="shared" si="0"/>
        <v>54</v>
      </c>
      <c r="B61" s="160">
        <f>+B60+31</f>
        <v>40387</v>
      </c>
      <c r="D61" s="151">
        <v>-29164</v>
      </c>
      <c r="E61" s="151"/>
      <c r="F61" s="151"/>
      <c r="G61" s="169">
        <v>-4674</v>
      </c>
      <c r="H61" s="166">
        <f t="shared" si="7"/>
        <v>-33838</v>
      </c>
      <c r="I61" s="162">
        <f t="shared" si="8"/>
        <v>-1645697.6099999996</v>
      </c>
      <c r="J61" s="151"/>
      <c r="K61" s="152"/>
    </row>
    <row r="62" spans="1:11" hidden="1" outlineLevel="1" x14ac:dyDescent="0.25">
      <c r="A62" s="153">
        <f t="shared" si="0"/>
        <v>55</v>
      </c>
      <c r="B62" s="160">
        <f>+B61+30</f>
        <v>40417</v>
      </c>
      <c r="D62" s="151">
        <v>-40283</v>
      </c>
      <c r="E62" s="151"/>
      <c r="F62" s="151"/>
      <c r="G62" s="168">
        <f>ROUND((+I61+E62+(D62/2))*0.0325/12,2)</f>
        <v>-4511.6499999999996</v>
      </c>
      <c r="H62" s="166">
        <f t="shared" si="7"/>
        <v>-44794.65</v>
      </c>
      <c r="I62" s="162">
        <f t="shared" si="8"/>
        <v>-1690492.2599999995</v>
      </c>
      <c r="J62" s="151"/>
      <c r="K62" s="152"/>
    </row>
    <row r="63" spans="1:11" hidden="1" outlineLevel="1" x14ac:dyDescent="0.25">
      <c r="A63" s="153">
        <f t="shared" si="0"/>
        <v>56</v>
      </c>
      <c r="B63" s="160">
        <f>+B62+30</f>
        <v>40447</v>
      </c>
      <c r="D63" s="151">
        <v>-151042</v>
      </c>
      <c r="E63" s="151"/>
      <c r="F63" s="151"/>
      <c r="G63" s="168">
        <f>ROUND((+I62+E63+(D63/2))*0.0325/12,2)</f>
        <v>-4782.95</v>
      </c>
      <c r="H63" s="166">
        <f t="shared" si="7"/>
        <v>-155824.95000000001</v>
      </c>
      <c r="I63" s="162">
        <f t="shared" si="8"/>
        <v>-1846317.2099999995</v>
      </c>
      <c r="J63" s="151"/>
      <c r="K63" s="152"/>
    </row>
    <row r="64" spans="1:11" hidden="1" outlineLevel="1" x14ac:dyDescent="0.25">
      <c r="A64" s="153">
        <f t="shared" si="0"/>
        <v>57</v>
      </c>
      <c r="B64" s="160">
        <f>+B63+31</f>
        <v>40478</v>
      </c>
      <c r="D64" s="151">
        <v>-154888</v>
      </c>
      <c r="E64" s="151"/>
      <c r="F64" s="151"/>
      <c r="G64" s="168">
        <f>ROUND((+I63+E64+(D64/2))*0.0325/12,2)+524.4</f>
        <v>-4685.79</v>
      </c>
      <c r="H64" s="166">
        <f t="shared" si="7"/>
        <v>-159573.79</v>
      </c>
      <c r="I64" s="162">
        <f t="shared" si="8"/>
        <v>-2005890.9999999995</v>
      </c>
      <c r="J64" s="151"/>
      <c r="K64" s="152"/>
    </row>
    <row r="65" spans="1:11" hidden="1" outlineLevel="1" x14ac:dyDescent="0.25">
      <c r="A65" s="153">
        <f t="shared" si="0"/>
        <v>58</v>
      </c>
      <c r="B65" s="160">
        <f>+B64+30</f>
        <v>40508</v>
      </c>
      <c r="D65" s="151">
        <v>-193432</v>
      </c>
      <c r="E65" s="151">
        <f>-I64</f>
        <v>2005890.9999999995</v>
      </c>
      <c r="F65" s="151"/>
      <c r="G65" s="168">
        <f>ROUND((+I64+E65+(D65/2))*0.0325/12,0)</f>
        <v>-262</v>
      </c>
      <c r="H65" s="166">
        <f t="shared" ref="H65:H81" si="9">SUM(D65:G65)</f>
        <v>1812196.9999999995</v>
      </c>
      <c r="I65" s="162">
        <f t="shared" si="8"/>
        <v>-193694</v>
      </c>
      <c r="J65" s="151"/>
      <c r="K65" s="152"/>
    </row>
    <row r="66" spans="1:11" hidden="1" outlineLevel="1" x14ac:dyDescent="0.25">
      <c r="A66" s="153">
        <f t="shared" si="0"/>
        <v>59</v>
      </c>
      <c r="B66" s="160">
        <f>+B65+31</f>
        <v>40539</v>
      </c>
      <c r="D66" s="151">
        <v>-163905</v>
      </c>
      <c r="E66" s="151"/>
      <c r="F66" s="151"/>
      <c r="G66" s="168">
        <f>ROUND((+I65+E66+(D66/2))*0.0325/12,0)</f>
        <v>-747</v>
      </c>
      <c r="H66" s="166">
        <f t="shared" si="9"/>
        <v>-164652</v>
      </c>
      <c r="I66" s="162">
        <f t="shared" si="8"/>
        <v>-358346</v>
      </c>
      <c r="J66" s="151"/>
      <c r="K66" s="152"/>
    </row>
    <row r="67" spans="1:11" hidden="1" outlineLevel="1" x14ac:dyDescent="0.25">
      <c r="A67" s="153">
        <f t="shared" si="0"/>
        <v>60</v>
      </c>
      <c r="B67" s="160">
        <f>+B66+31</f>
        <v>40570</v>
      </c>
      <c r="D67" s="151">
        <v>-121982</v>
      </c>
      <c r="E67" s="151"/>
      <c r="F67" s="170">
        <v>3.2500000000000001E-2</v>
      </c>
      <c r="G67" s="168">
        <f>ROUND((+I66+E67+(D67/2))*F67/12,0)</f>
        <v>-1136</v>
      </c>
      <c r="H67" s="166">
        <f t="shared" si="9"/>
        <v>-123117.9675</v>
      </c>
      <c r="I67" s="162">
        <f t="shared" si="8"/>
        <v>-481463.96750000003</v>
      </c>
      <c r="J67" s="151"/>
      <c r="K67" s="152"/>
    </row>
    <row r="68" spans="1:11" hidden="1" outlineLevel="1" x14ac:dyDescent="0.25">
      <c r="A68" s="153">
        <f t="shared" si="0"/>
        <v>61</v>
      </c>
      <c r="B68" s="160">
        <f>+B67+28</f>
        <v>40598</v>
      </c>
      <c r="D68" s="151">
        <v>-395599</v>
      </c>
      <c r="E68" s="151"/>
      <c r="F68" s="170">
        <v>3.2500000000000001E-2</v>
      </c>
      <c r="G68" s="168">
        <f t="shared" ref="G68:G112" si="10">ROUND((+I67+E68+(D68/2))*F68/12,0)</f>
        <v>-1840</v>
      </c>
      <c r="H68" s="166">
        <f t="shared" si="9"/>
        <v>-397438.96750000003</v>
      </c>
      <c r="I68" s="162">
        <f t="shared" si="8"/>
        <v>-878902.93500000006</v>
      </c>
      <c r="J68" s="151"/>
      <c r="K68" s="152"/>
    </row>
    <row r="69" spans="1:11" hidden="1" outlineLevel="1" x14ac:dyDescent="0.25">
      <c r="A69" s="153">
        <f t="shared" si="0"/>
        <v>62</v>
      </c>
      <c r="B69" s="160">
        <f>+B68+31</f>
        <v>40629</v>
      </c>
      <c r="D69" s="151">
        <v>-239077</v>
      </c>
      <c r="E69" s="151"/>
      <c r="F69" s="170">
        <v>3.2500000000000001E-2</v>
      </c>
      <c r="G69" s="168">
        <f t="shared" si="10"/>
        <v>-2704</v>
      </c>
      <c r="H69" s="166">
        <f t="shared" si="9"/>
        <v>-241780.9675</v>
      </c>
      <c r="I69" s="162">
        <f t="shared" si="8"/>
        <v>-1120683.9025000001</v>
      </c>
      <c r="J69" s="151"/>
      <c r="K69" s="152"/>
    </row>
    <row r="70" spans="1:11" hidden="1" outlineLevel="1" x14ac:dyDescent="0.25">
      <c r="A70" s="153">
        <f t="shared" si="0"/>
        <v>63</v>
      </c>
      <c r="B70" s="160">
        <f>+B69+30</f>
        <v>40659</v>
      </c>
      <c r="D70" s="151">
        <v>-424355</v>
      </c>
      <c r="E70" s="151"/>
      <c r="F70" s="170">
        <v>3.2500000000000001E-2</v>
      </c>
      <c r="G70" s="168">
        <f t="shared" si="10"/>
        <v>-3610</v>
      </c>
      <c r="H70" s="166">
        <f t="shared" si="9"/>
        <v>-427964.96750000003</v>
      </c>
      <c r="I70" s="162">
        <f t="shared" si="8"/>
        <v>-1548648.87</v>
      </c>
      <c r="J70" s="151"/>
      <c r="K70" s="152"/>
    </row>
    <row r="71" spans="1:11" hidden="1" outlineLevel="1" x14ac:dyDescent="0.25">
      <c r="A71" s="153">
        <f t="shared" si="0"/>
        <v>64</v>
      </c>
      <c r="B71" s="160">
        <f>+B70+31</f>
        <v>40690</v>
      </c>
      <c r="D71" s="151">
        <v>-98440</v>
      </c>
      <c r="E71" s="151"/>
      <c r="F71" s="170">
        <v>3.2500000000000001E-2</v>
      </c>
      <c r="G71" s="168">
        <f t="shared" si="10"/>
        <v>-4328</v>
      </c>
      <c r="H71" s="166">
        <f t="shared" si="9"/>
        <v>-102767.9675</v>
      </c>
      <c r="I71" s="162">
        <f t="shared" si="8"/>
        <v>-1651416.8375000001</v>
      </c>
      <c r="J71" s="151"/>
      <c r="K71" s="152"/>
    </row>
    <row r="72" spans="1:11" hidden="1" outlineLevel="1" x14ac:dyDescent="0.25">
      <c r="A72" s="153">
        <f t="shared" si="0"/>
        <v>65</v>
      </c>
      <c r="B72" s="160">
        <f>+B71+30</f>
        <v>40720</v>
      </c>
      <c r="D72" s="151">
        <v>-66489</v>
      </c>
      <c r="E72" s="151"/>
      <c r="F72" s="170">
        <v>3.2500000000000001E-2</v>
      </c>
      <c r="G72" s="168">
        <f t="shared" si="10"/>
        <v>-4563</v>
      </c>
      <c r="H72" s="166">
        <f t="shared" si="9"/>
        <v>-71051.967499999999</v>
      </c>
      <c r="I72" s="162">
        <f t="shared" si="8"/>
        <v>-1722468.8050000002</v>
      </c>
      <c r="J72" s="151"/>
      <c r="K72" s="152"/>
    </row>
    <row r="73" spans="1:11" hidden="1" outlineLevel="1" x14ac:dyDescent="0.25">
      <c r="A73" s="153">
        <f t="shared" ref="A73:A136" si="11">+A72+1</f>
        <v>66</v>
      </c>
      <c r="B73" s="160">
        <f>+B72+31</f>
        <v>40751</v>
      </c>
      <c r="D73" s="151">
        <v>-20369</v>
      </c>
      <c r="E73" s="151"/>
      <c r="F73" s="170">
        <v>3.2500000000000001E-2</v>
      </c>
      <c r="G73" s="168">
        <f t="shared" si="10"/>
        <v>-4693</v>
      </c>
      <c r="H73" s="166">
        <f t="shared" si="9"/>
        <v>-25061.967499999999</v>
      </c>
      <c r="I73" s="162">
        <f t="shared" si="8"/>
        <v>-1747530.7725000002</v>
      </c>
      <c r="J73" s="151"/>
      <c r="K73" s="152"/>
    </row>
    <row r="74" spans="1:11" hidden="1" outlineLevel="1" x14ac:dyDescent="0.25">
      <c r="A74" s="153">
        <f t="shared" si="11"/>
        <v>67</v>
      </c>
      <c r="B74" s="160">
        <f>+B73+30</f>
        <v>40781</v>
      </c>
      <c r="D74" s="151">
        <v>-38725</v>
      </c>
      <c r="E74" s="151"/>
      <c r="F74" s="170">
        <v>3.2500000000000001E-2</v>
      </c>
      <c r="G74" s="168">
        <f t="shared" si="10"/>
        <v>-4785</v>
      </c>
      <c r="H74" s="166">
        <f t="shared" si="9"/>
        <v>-43509.967499999999</v>
      </c>
      <c r="I74" s="162">
        <f t="shared" si="8"/>
        <v>-1791040.7400000002</v>
      </c>
      <c r="J74" s="151"/>
      <c r="K74" s="152"/>
    </row>
    <row r="75" spans="1:11" hidden="1" outlineLevel="1" x14ac:dyDescent="0.25">
      <c r="A75" s="153">
        <f t="shared" si="11"/>
        <v>68</v>
      </c>
      <c r="B75" s="160">
        <f>+B74+30</f>
        <v>40811</v>
      </c>
      <c r="D75" s="151">
        <v>-72610</v>
      </c>
      <c r="E75" s="151"/>
      <c r="F75" s="170">
        <v>3.2500000000000001E-2</v>
      </c>
      <c r="G75" s="168">
        <f t="shared" si="10"/>
        <v>-4949</v>
      </c>
      <c r="H75" s="166">
        <f t="shared" si="9"/>
        <v>-77558.967499999999</v>
      </c>
      <c r="I75" s="162">
        <f t="shared" si="8"/>
        <v>-1868599.7075000003</v>
      </c>
      <c r="J75" s="151"/>
      <c r="K75" s="152"/>
    </row>
    <row r="76" spans="1:11" hidden="1" outlineLevel="1" x14ac:dyDescent="0.25">
      <c r="A76" s="153">
        <f t="shared" si="11"/>
        <v>69</v>
      </c>
      <c r="B76" s="160">
        <f>+B75+31</f>
        <v>40842</v>
      </c>
      <c r="C76" s="171">
        <v>1</v>
      </c>
      <c r="D76" s="151">
        <v>-141352</v>
      </c>
      <c r="E76" s="151">
        <v>3</v>
      </c>
      <c r="F76" s="170">
        <v>3.2500000000000001E-2</v>
      </c>
      <c r="G76" s="168">
        <f t="shared" si="10"/>
        <v>-5252</v>
      </c>
      <c r="H76" s="166">
        <f t="shared" si="9"/>
        <v>-146600.9675</v>
      </c>
      <c r="I76" s="162">
        <f t="shared" si="8"/>
        <v>-2015200.6750000003</v>
      </c>
      <c r="J76" s="151"/>
      <c r="K76" s="152"/>
    </row>
    <row r="77" spans="1:11" hidden="1" outlineLevel="1" x14ac:dyDescent="0.25">
      <c r="A77" s="153">
        <f t="shared" si="11"/>
        <v>70</v>
      </c>
      <c r="B77" s="160">
        <f>+B76+30</f>
        <v>40872</v>
      </c>
      <c r="C77" s="171">
        <v>1</v>
      </c>
      <c r="D77" s="151">
        <v>-361900</v>
      </c>
      <c r="E77" s="151">
        <f>-I76</f>
        <v>2015200.6750000003</v>
      </c>
      <c r="F77" s="170">
        <v>3.2500000000000001E-2</v>
      </c>
      <c r="G77" s="168">
        <f t="shared" si="10"/>
        <v>-490</v>
      </c>
      <c r="H77" s="166">
        <f t="shared" si="9"/>
        <v>1652810.7075000003</v>
      </c>
      <c r="I77" s="162">
        <f t="shared" si="8"/>
        <v>-362389.96750000003</v>
      </c>
      <c r="J77" s="151"/>
      <c r="K77" s="152"/>
    </row>
    <row r="78" spans="1:11" hidden="1" outlineLevel="1" x14ac:dyDescent="0.25">
      <c r="A78" s="153">
        <f t="shared" si="11"/>
        <v>71</v>
      </c>
      <c r="B78" s="160">
        <f>+B77+31</f>
        <v>40903</v>
      </c>
      <c r="D78" s="151">
        <v>-703241</v>
      </c>
      <c r="E78" s="151"/>
      <c r="F78" s="170">
        <v>3.2500000000000001E-2</v>
      </c>
      <c r="G78" s="168">
        <f t="shared" si="10"/>
        <v>-1934</v>
      </c>
      <c r="H78" s="166">
        <f t="shared" si="9"/>
        <v>-705174.96750000003</v>
      </c>
      <c r="I78" s="162">
        <f t="shared" si="8"/>
        <v>-1067564.9350000001</v>
      </c>
      <c r="J78" s="151"/>
      <c r="K78" s="152"/>
    </row>
    <row r="79" spans="1:11" hidden="1" outlineLevel="1" x14ac:dyDescent="0.25">
      <c r="A79" s="153">
        <f t="shared" si="11"/>
        <v>72</v>
      </c>
      <c r="B79" s="160">
        <f>+B78+31</f>
        <v>40934</v>
      </c>
      <c r="D79" s="151">
        <v>-958052</v>
      </c>
      <c r="E79" s="151"/>
      <c r="F79" s="170">
        <v>3.2500000000000001E-2</v>
      </c>
      <c r="G79" s="168">
        <f t="shared" si="10"/>
        <v>-4189</v>
      </c>
      <c r="H79" s="166">
        <f t="shared" si="9"/>
        <v>-962240.96750000003</v>
      </c>
      <c r="I79" s="162">
        <f t="shared" si="8"/>
        <v>-2029805.9025000001</v>
      </c>
      <c r="J79" s="151"/>
      <c r="K79" s="152"/>
    </row>
    <row r="80" spans="1:11" hidden="1" outlineLevel="1" x14ac:dyDescent="0.25">
      <c r="A80" s="153">
        <f t="shared" si="11"/>
        <v>73</v>
      </c>
      <c r="B80" s="160">
        <f>+B79+29</f>
        <v>40963</v>
      </c>
      <c r="D80" s="151">
        <v>-1079065</v>
      </c>
      <c r="E80" s="151"/>
      <c r="F80" s="170">
        <v>3.2500000000000001E-2</v>
      </c>
      <c r="G80" s="168">
        <f t="shared" si="10"/>
        <v>-6959</v>
      </c>
      <c r="H80" s="166">
        <f t="shared" si="9"/>
        <v>-1086023.9675</v>
      </c>
      <c r="I80" s="162">
        <f t="shared" si="8"/>
        <v>-3115829.87</v>
      </c>
      <c r="J80" s="151"/>
      <c r="K80" s="152"/>
    </row>
    <row r="81" spans="1:11" hidden="1" outlineLevel="1" x14ac:dyDescent="0.25">
      <c r="A81" s="153">
        <f t="shared" si="11"/>
        <v>74</v>
      </c>
      <c r="B81" s="476"/>
      <c r="D81" s="151">
        <v>-930736</v>
      </c>
      <c r="E81" s="151"/>
      <c r="F81" s="170">
        <v>3.2500000000000001E-2</v>
      </c>
      <c r="G81" s="168">
        <f t="shared" si="10"/>
        <v>-9699</v>
      </c>
      <c r="H81" s="166">
        <f t="shared" si="9"/>
        <v>-940434.96750000003</v>
      </c>
      <c r="I81" s="162">
        <f t="shared" si="8"/>
        <v>-4056264.8375000004</v>
      </c>
      <c r="J81" s="151"/>
      <c r="K81" s="152"/>
    </row>
    <row r="82" spans="1:11" hidden="1" outlineLevel="1" x14ac:dyDescent="0.25">
      <c r="A82" s="153">
        <f t="shared" si="11"/>
        <v>75</v>
      </c>
      <c r="B82" s="160">
        <f>+B81+30</f>
        <v>30</v>
      </c>
      <c r="D82" s="151">
        <v>-85118</v>
      </c>
      <c r="E82" s="151"/>
      <c r="F82" s="170">
        <v>3.2500000000000001E-2</v>
      </c>
      <c r="G82" s="168">
        <f t="shared" si="10"/>
        <v>-11101</v>
      </c>
      <c r="H82" s="166">
        <f>SUM(D82:G82)</f>
        <v>-96218.967499999999</v>
      </c>
      <c r="I82" s="162">
        <f>+I81+H82</f>
        <v>-4152483.8050000002</v>
      </c>
      <c r="J82" s="151"/>
      <c r="K82" s="152"/>
    </row>
    <row r="83" spans="1:11" hidden="1" outlineLevel="1" x14ac:dyDescent="0.25">
      <c r="A83" s="153">
        <f t="shared" si="11"/>
        <v>76</v>
      </c>
      <c r="B83" s="160">
        <f>+B82+31</f>
        <v>61</v>
      </c>
      <c r="D83" s="151">
        <v>-315878</v>
      </c>
      <c r="E83" s="151"/>
      <c r="F83" s="170">
        <v>3.2500000000000001E-2</v>
      </c>
      <c r="G83" s="168">
        <f t="shared" si="10"/>
        <v>-11674</v>
      </c>
      <c r="H83" s="166">
        <f t="shared" ref="H83:H88" si="12">SUM(D83:G83)</f>
        <v>-327551.96750000003</v>
      </c>
      <c r="I83" s="162">
        <f t="shared" ref="I83:I112" si="13">+I82+H83</f>
        <v>-4480035.7725</v>
      </c>
      <c r="J83" s="172"/>
      <c r="K83" s="152"/>
    </row>
    <row r="84" spans="1:11" hidden="1" outlineLevel="1" x14ac:dyDescent="0.25">
      <c r="A84" s="153">
        <f t="shared" si="11"/>
        <v>77</v>
      </c>
      <c r="B84" s="160">
        <f>+B83+30</f>
        <v>91</v>
      </c>
      <c r="C84" s="171">
        <v>2</v>
      </c>
      <c r="D84" s="151">
        <v>718.62</v>
      </c>
      <c r="E84" s="151">
        <v>4061107</v>
      </c>
      <c r="F84" s="170">
        <v>3.2500000000000001E-2</v>
      </c>
      <c r="G84" s="168">
        <f t="shared" si="10"/>
        <v>-1134</v>
      </c>
      <c r="H84" s="166">
        <f t="shared" si="12"/>
        <v>4060691.6525000003</v>
      </c>
      <c r="I84" s="162">
        <f t="shared" si="13"/>
        <v>-419344.11999999965</v>
      </c>
      <c r="J84" s="151"/>
      <c r="K84" s="152"/>
    </row>
    <row r="85" spans="1:11" hidden="1" outlineLevel="1" x14ac:dyDescent="0.25">
      <c r="A85" s="153">
        <f t="shared" si="11"/>
        <v>78</v>
      </c>
      <c r="B85" s="160">
        <f>+B84+31</f>
        <v>122</v>
      </c>
      <c r="D85" s="151">
        <v>0</v>
      </c>
      <c r="E85" s="151"/>
      <c r="F85" s="170">
        <v>3.2500000000000001E-2</v>
      </c>
      <c r="G85" s="168">
        <f t="shared" si="10"/>
        <v>-1136</v>
      </c>
      <c r="H85" s="166">
        <f t="shared" si="12"/>
        <v>-1135.9675</v>
      </c>
      <c r="I85" s="162">
        <f t="shared" si="13"/>
        <v>-420480.08749999967</v>
      </c>
      <c r="J85" s="151"/>
      <c r="K85" s="152"/>
    </row>
    <row r="86" spans="1:11" hidden="1" outlineLevel="1" x14ac:dyDescent="0.25">
      <c r="A86" s="153">
        <f t="shared" si="11"/>
        <v>79</v>
      </c>
      <c r="B86" s="160">
        <f>+B85+30</f>
        <v>152</v>
      </c>
      <c r="D86" s="151">
        <v>0</v>
      </c>
      <c r="E86" s="151"/>
      <c r="F86" s="170">
        <v>3.2500000000000001E-2</v>
      </c>
      <c r="G86" s="168">
        <f t="shared" si="10"/>
        <v>-1139</v>
      </c>
      <c r="H86" s="166">
        <f t="shared" si="12"/>
        <v>-1138.9675</v>
      </c>
      <c r="I86" s="162">
        <f t="shared" si="13"/>
        <v>-421619.0549999997</v>
      </c>
      <c r="J86" s="151"/>
      <c r="K86" s="152"/>
    </row>
    <row r="87" spans="1:11" hidden="1" outlineLevel="1" x14ac:dyDescent="0.25">
      <c r="A87" s="153">
        <f t="shared" si="11"/>
        <v>80</v>
      </c>
      <c r="B87" s="160">
        <f>+B86+30</f>
        <v>182</v>
      </c>
      <c r="D87" s="151">
        <v>0</v>
      </c>
      <c r="E87" s="151"/>
      <c r="F87" s="170">
        <v>3.2500000000000001E-2</v>
      </c>
      <c r="G87" s="168">
        <f t="shared" si="10"/>
        <v>-1142</v>
      </c>
      <c r="H87" s="166">
        <f t="shared" si="12"/>
        <v>-1141.9675</v>
      </c>
      <c r="I87" s="162">
        <f t="shared" si="13"/>
        <v>-422761.02249999973</v>
      </c>
      <c r="J87" s="151"/>
      <c r="K87" s="152"/>
    </row>
    <row r="88" spans="1:11" hidden="1" outlineLevel="1" x14ac:dyDescent="0.25">
      <c r="A88" s="153">
        <f t="shared" si="11"/>
        <v>81</v>
      </c>
      <c r="B88" s="160">
        <f>+B87+31</f>
        <v>213</v>
      </c>
      <c r="D88" s="151">
        <v>-315011</v>
      </c>
      <c r="E88" s="151"/>
      <c r="F88" s="170">
        <v>3.2500000000000001E-2</v>
      </c>
      <c r="G88" s="168">
        <f t="shared" si="10"/>
        <v>-1572</v>
      </c>
      <c r="H88" s="166">
        <f t="shared" si="12"/>
        <v>-316582.96750000003</v>
      </c>
      <c r="I88" s="162">
        <f t="shared" si="13"/>
        <v>-739343.98999999976</v>
      </c>
      <c r="J88" s="172"/>
      <c r="K88" s="152"/>
    </row>
    <row r="89" spans="1:11" hidden="1" outlineLevel="1" x14ac:dyDescent="0.25">
      <c r="A89" s="153">
        <f t="shared" si="11"/>
        <v>82</v>
      </c>
      <c r="B89" s="160">
        <f>+B88+30</f>
        <v>243</v>
      </c>
      <c r="C89" s="171">
        <v>1</v>
      </c>
      <c r="D89" s="151">
        <v>-3131</v>
      </c>
      <c r="E89" s="151">
        <f>-I88</f>
        <v>739343.98999999976</v>
      </c>
      <c r="F89" s="170">
        <v>3.2500000000000001E-2</v>
      </c>
      <c r="G89" s="168">
        <f t="shared" si="10"/>
        <v>-4</v>
      </c>
      <c r="H89" s="166">
        <f t="shared" ref="H89:H112" si="14">SUM(D89:E89,G89)</f>
        <v>736208.98999999976</v>
      </c>
      <c r="I89" s="162">
        <f t="shared" si="13"/>
        <v>-3135</v>
      </c>
      <c r="J89" s="172"/>
      <c r="K89" s="152"/>
    </row>
    <row r="90" spans="1:11" hidden="1" outlineLevel="1" x14ac:dyDescent="0.25">
      <c r="A90" s="153">
        <f t="shared" si="11"/>
        <v>83</v>
      </c>
      <c r="B90" s="160">
        <f>+B89+31</f>
        <v>274</v>
      </c>
      <c r="D90" s="151">
        <v>-50040</v>
      </c>
      <c r="E90" s="151"/>
      <c r="F90" s="170">
        <v>3.2500000000000001E-2</v>
      </c>
      <c r="G90" s="168">
        <f t="shared" si="10"/>
        <v>-76</v>
      </c>
      <c r="H90" s="166">
        <f t="shared" si="14"/>
        <v>-50116</v>
      </c>
      <c r="I90" s="162">
        <f t="shared" si="13"/>
        <v>-53251</v>
      </c>
      <c r="J90" s="172"/>
      <c r="K90" s="152"/>
    </row>
    <row r="91" spans="1:11" s="173" customFormat="1" hidden="1" outlineLevel="1" x14ac:dyDescent="0.25">
      <c r="A91" s="153">
        <f t="shared" si="11"/>
        <v>84</v>
      </c>
      <c r="B91" s="173">
        <f>+B90+31</f>
        <v>305</v>
      </c>
      <c r="D91" s="151">
        <v>-136612</v>
      </c>
      <c r="E91" s="166"/>
      <c r="F91" s="170">
        <v>3.2500000000000001E-2</v>
      </c>
      <c r="G91" s="168">
        <f t="shared" si="10"/>
        <v>-329</v>
      </c>
      <c r="H91" s="166">
        <f t="shared" si="14"/>
        <v>-136941</v>
      </c>
      <c r="I91" s="162">
        <f t="shared" si="13"/>
        <v>-190192</v>
      </c>
      <c r="J91" s="166"/>
      <c r="K91" s="174"/>
    </row>
    <row r="92" spans="1:11" s="173" customFormat="1" hidden="1" outlineLevel="1" x14ac:dyDescent="0.25">
      <c r="A92" s="153">
        <f t="shared" si="11"/>
        <v>85</v>
      </c>
      <c r="B92" s="160">
        <f>+B91+28</f>
        <v>333</v>
      </c>
      <c r="D92" s="151">
        <v>-277705</v>
      </c>
      <c r="E92" s="166"/>
      <c r="F92" s="170">
        <v>3.2500000000000001E-2</v>
      </c>
      <c r="G92" s="168">
        <f t="shared" si="10"/>
        <v>-891</v>
      </c>
      <c r="H92" s="166">
        <f t="shared" si="14"/>
        <v>-278596</v>
      </c>
      <c r="I92" s="162">
        <f t="shared" si="13"/>
        <v>-468788</v>
      </c>
      <c r="J92" s="166"/>
      <c r="K92" s="174"/>
    </row>
    <row r="93" spans="1:11" s="173" customFormat="1" hidden="1" outlineLevel="1" x14ac:dyDescent="0.25">
      <c r="A93" s="153">
        <f t="shared" si="11"/>
        <v>86</v>
      </c>
      <c r="B93" s="160">
        <f>+B92+31</f>
        <v>364</v>
      </c>
      <c r="D93" s="151">
        <v>127284</v>
      </c>
      <c r="E93" s="166"/>
      <c r="F93" s="170">
        <v>3.2500000000000001E-2</v>
      </c>
      <c r="G93" s="168">
        <f t="shared" si="10"/>
        <v>-1097</v>
      </c>
      <c r="H93" s="166">
        <f t="shared" si="14"/>
        <v>126187</v>
      </c>
      <c r="I93" s="162">
        <f t="shared" si="13"/>
        <v>-342601</v>
      </c>
      <c r="J93" s="166"/>
      <c r="K93" s="174"/>
    </row>
    <row r="94" spans="1:11" s="173" customFormat="1" hidden="1" outlineLevel="1" x14ac:dyDescent="0.25">
      <c r="A94" s="153">
        <f t="shared" si="11"/>
        <v>87</v>
      </c>
      <c r="B94" s="147">
        <f>+B93+30</f>
        <v>394</v>
      </c>
      <c r="D94" s="192">
        <v>-118502</v>
      </c>
      <c r="E94" s="166"/>
      <c r="F94" s="170">
        <v>3.2500000000000001E-2</v>
      </c>
      <c r="G94" s="168">
        <f t="shared" si="10"/>
        <v>-1088</v>
      </c>
      <c r="H94" s="166">
        <f t="shared" si="14"/>
        <v>-119590</v>
      </c>
      <c r="I94" s="162">
        <f t="shared" si="13"/>
        <v>-462191</v>
      </c>
      <c r="J94" s="166"/>
      <c r="K94" s="174"/>
    </row>
    <row r="95" spans="1:11" s="173" customFormat="1" hidden="1" outlineLevel="1" x14ac:dyDescent="0.25">
      <c r="A95" s="153">
        <f t="shared" si="11"/>
        <v>88</v>
      </c>
      <c r="B95" s="147">
        <f>+B94+31</f>
        <v>425</v>
      </c>
      <c r="D95" s="192">
        <v>-61710</v>
      </c>
      <c r="E95" s="166"/>
      <c r="F95" s="170">
        <v>3.2500000000000001E-2</v>
      </c>
      <c r="G95" s="168">
        <f t="shared" si="10"/>
        <v>-1335</v>
      </c>
      <c r="H95" s="166">
        <f t="shared" si="14"/>
        <v>-63045</v>
      </c>
      <c r="I95" s="162">
        <f t="shared" si="13"/>
        <v>-525236</v>
      </c>
      <c r="J95" s="166"/>
      <c r="K95" s="174"/>
    </row>
    <row r="96" spans="1:11" s="173" customFormat="1" hidden="1" outlineLevel="1" x14ac:dyDescent="0.25">
      <c r="A96" s="153">
        <f t="shared" si="11"/>
        <v>89</v>
      </c>
      <c r="B96" s="147">
        <f>+B95+30</f>
        <v>455</v>
      </c>
      <c r="D96" s="151">
        <v>130558</v>
      </c>
      <c r="E96" s="166"/>
      <c r="F96" s="170">
        <v>3.2500000000000001E-2</v>
      </c>
      <c r="G96" s="168">
        <f t="shared" si="10"/>
        <v>-1246</v>
      </c>
      <c r="H96" s="166">
        <f t="shared" si="14"/>
        <v>129312</v>
      </c>
      <c r="I96" s="162">
        <f t="shared" si="13"/>
        <v>-395924</v>
      </c>
      <c r="J96" s="166"/>
      <c r="K96" s="174"/>
    </row>
    <row r="97" spans="1:11" s="173" customFormat="1" hidden="1" outlineLevel="1" x14ac:dyDescent="0.25">
      <c r="A97" s="153">
        <f t="shared" si="11"/>
        <v>90</v>
      </c>
      <c r="B97" s="160">
        <f>+B96+31</f>
        <v>486</v>
      </c>
      <c r="D97" s="151">
        <v>30297</v>
      </c>
      <c r="E97" s="166"/>
      <c r="F97" s="170">
        <v>3.2500000000000001E-2</v>
      </c>
      <c r="G97" s="168">
        <f t="shared" si="10"/>
        <v>-1031</v>
      </c>
      <c r="H97" s="166">
        <f t="shared" si="14"/>
        <v>29266</v>
      </c>
      <c r="I97" s="162">
        <f t="shared" si="13"/>
        <v>-366658</v>
      </c>
      <c r="J97" s="166"/>
      <c r="K97" s="174"/>
    </row>
    <row r="98" spans="1:11" s="173" customFormat="1" hidden="1" outlineLevel="1" x14ac:dyDescent="0.25">
      <c r="A98" s="153">
        <f t="shared" si="11"/>
        <v>91</v>
      </c>
      <c r="B98" s="160">
        <f>+B97+30</f>
        <v>516</v>
      </c>
      <c r="D98" s="151">
        <v>13514</v>
      </c>
      <c r="E98" s="166"/>
      <c r="F98" s="170">
        <v>3.2500000000000001E-2</v>
      </c>
      <c r="G98" s="168">
        <f t="shared" si="10"/>
        <v>-975</v>
      </c>
      <c r="H98" s="166">
        <f t="shared" si="14"/>
        <v>12539</v>
      </c>
      <c r="I98" s="162">
        <f t="shared" si="13"/>
        <v>-354119</v>
      </c>
      <c r="J98" s="166"/>
      <c r="K98" s="174"/>
    </row>
    <row r="99" spans="1:11" s="173" customFormat="1" hidden="1" outlineLevel="1" x14ac:dyDescent="0.25">
      <c r="A99" s="153">
        <f t="shared" si="11"/>
        <v>92</v>
      </c>
      <c r="B99" s="160">
        <f>+B98+30</f>
        <v>546</v>
      </c>
      <c r="D99" s="151">
        <v>-99827</v>
      </c>
      <c r="E99" s="166"/>
      <c r="F99" s="170">
        <v>3.2500000000000001E-2</v>
      </c>
      <c r="G99" s="168">
        <f t="shared" si="10"/>
        <v>-1094</v>
      </c>
      <c r="H99" s="166">
        <f t="shared" si="14"/>
        <v>-100921</v>
      </c>
      <c r="I99" s="162">
        <f t="shared" si="13"/>
        <v>-455040</v>
      </c>
      <c r="J99" s="166"/>
      <c r="K99" s="174"/>
    </row>
    <row r="100" spans="1:11" s="173" customFormat="1" hidden="1" outlineLevel="1" x14ac:dyDescent="0.25">
      <c r="A100" s="153">
        <f t="shared" si="11"/>
        <v>93</v>
      </c>
      <c r="B100" s="160">
        <f>+B99+31</f>
        <v>577</v>
      </c>
      <c r="D100" s="151">
        <v>20129</v>
      </c>
      <c r="E100" s="166"/>
      <c r="F100" s="170">
        <v>3.2500000000000001E-2</v>
      </c>
      <c r="G100" s="168">
        <f t="shared" si="10"/>
        <v>-1205</v>
      </c>
      <c r="H100" s="166">
        <f t="shared" si="14"/>
        <v>18924</v>
      </c>
      <c r="I100" s="162">
        <f t="shared" si="13"/>
        <v>-436116</v>
      </c>
      <c r="J100" s="166"/>
      <c r="K100" s="174"/>
    </row>
    <row r="101" spans="1:11" s="173" customFormat="1" hidden="1" outlineLevel="1" x14ac:dyDescent="0.25">
      <c r="A101" s="153">
        <f t="shared" si="11"/>
        <v>94</v>
      </c>
      <c r="B101" s="160">
        <f>+B100+30</f>
        <v>607</v>
      </c>
      <c r="C101" s="176">
        <v>1</v>
      </c>
      <c r="D101" s="151">
        <v>-80036</v>
      </c>
      <c r="E101" s="166">
        <f>-I100</f>
        <v>436116</v>
      </c>
      <c r="F101" s="170">
        <v>3.2500000000000001E-2</v>
      </c>
      <c r="G101" s="168">
        <f t="shared" si="10"/>
        <v>-108</v>
      </c>
      <c r="H101" s="166">
        <f t="shared" si="14"/>
        <v>355972</v>
      </c>
      <c r="I101" s="162">
        <f t="shared" si="13"/>
        <v>-80144</v>
      </c>
      <c r="J101" s="166"/>
      <c r="K101" s="174"/>
    </row>
    <row r="102" spans="1:11" s="173" customFormat="1" hidden="1" outlineLevel="1" x14ac:dyDescent="0.25">
      <c r="A102" s="153">
        <f t="shared" si="11"/>
        <v>95</v>
      </c>
      <c r="B102" s="160">
        <f>+B101+31</f>
        <v>638</v>
      </c>
      <c r="D102" s="151">
        <v>398581</v>
      </c>
      <c r="E102" s="166"/>
      <c r="F102" s="170">
        <v>3.2500000000000001E-2</v>
      </c>
      <c r="G102" s="168">
        <f t="shared" si="10"/>
        <v>323</v>
      </c>
      <c r="H102" s="166">
        <f t="shared" si="14"/>
        <v>398904</v>
      </c>
      <c r="I102" s="162">
        <f t="shared" si="13"/>
        <v>318760</v>
      </c>
      <c r="J102" s="166"/>
      <c r="K102" s="174"/>
    </row>
    <row r="103" spans="1:11" s="173" customFormat="1" hidden="1" outlineLevel="1" x14ac:dyDescent="0.25">
      <c r="A103" s="153">
        <f t="shared" si="11"/>
        <v>96</v>
      </c>
      <c r="B103" s="160">
        <f>+B102+31</f>
        <v>669</v>
      </c>
      <c r="D103" s="151">
        <v>142262</v>
      </c>
      <c r="E103" s="174"/>
      <c r="F103" s="170">
        <v>3.2500000000000001E-2</v>
      </c>
      <c r="G103" s="168">
        <f t="shared" si="10"/>
        <v>1056</v>
      </c>
      <c r="H103" s="166">
        <f t="shared" si="14"/>
        <v>143318</v>
      </c>
      <c r="I103" s="162">
        <f t="shared" si="13"/>
        <v>462078</v>
      </c>
      <c r="J103" s="166"/>
      <c r="K103" s="174"/>
    </row>
    <row r="104" spans="1:11" s="173" customFormat="1" hidden="1" outlineLevel="1" x14ac:dyDescent="0.25">
      <c r="A104" s="153">
        <f t="shared" si="11"/>
        <v>97</v>
      </c>
      <c r="B104" s="160">
        <f>+B103+28</f>
        <v>697</v>
      </c>
      <c r="D104" s="151">
        <v>1110875</v>
      </c>
      <c r="E104" s="174"/>
      <c r="F104" s="170">
        <v>3.2500000000000001E-2</v>
      </c>
      <c r="G104" s="168">
        <f t="shared" si="10"/>
        <v>2756</v>
      </c>
      <c r="H104" s="166">
        <f t="shared" si="14"/>
        <v>1113631</v>
      </c>
      <c r="I104" s="162">
        <f t="shared" si="13"/>
        <v>1575709</v>
      </c>
      <c r="J104" s="166"/>
      <c r="K104" s="174"/>
    </row>
    <row r="105" spans="1:11" s="173" customFormat="1" hidden="1" outlineLevel="1" x14ac:dyDescent="0.25">
      <c r="A105" s="153">
        <f t="shared" si="11"/>
        <v>98</v>
      </c>
      <c r="B105" s="160">
        <f>+B104+31</f>
        <v>728</v>
      </c>
      <c r="D105" s="151">
        <v>881986</v>
      </c>
      <c r="E105" s="174"/>
      <c r="F105" s="170">
        <v>3.2500000000000001E-2</v>
      </c>
      <c r="G105" s="168">
        <f t="shared" si="10"/>
        <v>5462</v>
      </c>
      <c r="H105" s="166">
        <f t="shared" si="14"/>
        <v>887448</v>
      </c>
      <c r="I105" s="162">
        <f t="shared" si="13"/>
        <v>2463157</v>
      </c>
      <c r="J105" s="166"/>
      <c r="K105" s="174"/>
    </row>
    <row r="106" spans="1:11" s="173" customFormat="1" hidden="1" outlineLevel="1" x14ac:dyDescent="0.25">
      <c r="A106" s="153">
        <f t="shared" si="11"/>
        <v>99</v>
      </c>
      <c r="B106" s="160">
        <f>+B105+30</f>
        <v>758</v>
      </c>
      <c r="D106" s="151">
        <v>17442</v>
      </c>
      <c r="E106" s="174"/>
      <c r="F106" s="170">
        <v>3.2500000000000001E-2</v>
      </c>
      <c r="G106" s="168">
        <f t="shared" si="10"/>
        <v>6695</v>
      </c>
      <c r="H106" s="166">
        <f t="shared" si="14"/>
        <v>24137</v>
      </c>
      <c r="I106" s="162">
        <f t="shared" si="13"/>
        <v>2487294</v>
      </c>
      <c r="J106" s="166"/>
      <c r="K106" s="174"/>
    </row>
    <row r="107" spans="1:11" s="173" customFormat="1" hidden="1" outlineLevel="1" x14ac:dyDescent="0.25">
      <c r="A107" s="153">
        <f t="shared" si="11"/>
        <v>100</v>
      </c>
      <c r="B107" s="160">
        <f>+B106+31</f>
        <v>789</v>
      </c>
      <c r="D107" s="151">
        <v>147728</v>
      </c>
      <c r="E107" s="174"/>
      <c r="F107" s="170">
        <v>3.2500000000000001E-2</v>
      </c>
      <c r="G107" s="168">
        <f t="shared" si="10"/>
        <v>6936</v>
      </c>
      <c r="H107" s="166">
        <f t="shared" si="14"/>
        <v>154664</v>
      </c>
      <c r="I107" s="162">
        <f t="shared" si="13"/>
        <v>2641958</v>
      </c>
      <c r="J107" s="166"/>
      <c r="K107" s="174"/>
    </row>
    <row r="108" spans="1:11" s="173" customFormat="1" hidden="1" outlineLevel="1" x14ac:dyDescent="0.25">
      <c r="A108" s="153">
        <f t="shared" si="11"/>
        <v>101</v>
      </c>
      <c r="B108" s="160">
        <f>+B107+30</f>
        <v>819</v>
      </c>
      <c r="D108" s="151">
        <v>112468</v>
      </c>
      <c r="E108" s="174"/>
      <c r="F108" s="170">
        <v>3.2500000000000001E-2</v>
      </c>
      <c r="G108" s="168">
        <f t="shared" si="10"/>
        <v>7308</v>
      </c>
      <c r="H108" s="166">
        <f t="shared" si="14"/>
        <v>119776</v>
      </c>
      <c r="I108" s="162">
        <f t="shared" si="13"/>
        <v>2761734</v>
      </c>
      <c r="J108" s="166"/>
      <c r="K108" s="174"/>
    </row>
    <row r="109" spans="1:11" s="173" customFormat="1" hidden="1" outlineLevel="1" x14ac:dyDescent="0.25">
      <c r="A109" s="153">
        <f t="shared" si="11"/>
        <v>102</v>
      </c>
      <c r="B109" s="160">
        <f>+B108+31</f>
        <v>850</v>
      </c>
      <c r="D109" s="151">
        <v>74068</v>
      </c>
      <c r="E109" s="174"/>
      <c r="F109" s="170">
        <v>3.2500000000000001E-2</v>
      </c>
      <c r="G109" s="168">
        <f t="shared" si="10"/>
        <v>7580</v>
      </c>
      <c r="H109" s="166">
        <f t="shared" si="14"/>
        <v>81648</v>
      </c>
      <c r="I109" s="162">
        <f t="shared" si="13"/>
        <v>2843382</v>
      </c>
      <c r="J109" s="166"/>
      <c r="K109" s="174"/>
    </row>
    <row r="110" spans="1:11" s="173" customFormat="1" hidden="1" outlineLevel="1" x14ac:dyDescent="0.25">
      <c r="A110" s="153">
        <f t="shared" si="11"/>
        <v>103</v>
      </c>
      <c r="B110" s="160">
        <f>+B109+31</f>
        <v>881</v>
      </c>
      <c r="D110" s="151">
        <v>49866</v>
      </c>
      <c r="E110" s="174"/>
      <c r="F110" s="170">
        <v>3.2500000000000001E-2</v>
      </c>
      <c r="G110" s="168">
        <f t="shared" si="10"/>
        <v>7768</v>
      </c>
      <c r="H110" s="166">
        <f t="shared" si="14"/>
        <v>57634</v>
      </c>
      <c r="I110" s="162">
        <f t="shared" si="13"/>
        <v>2901016</v>
      </c>
      <c r="J110" s="166"/>
      <c r="K110" s="174"/>
    </row>
    <row r="111" spans="1:11" s="173" customFormat="1" hidden="1" outlineLevel="1" x14ac:dyDescent="0.25">
      <c r="A111" s="153">
        <f t="shared" si="11"/>
        <v>104</v>
      </c>
      <c r="B111" s="160">
        <f>+B110+30</f>
        <v>911</v>
      </c>
      <c r="D111" s="151">
        <v>-71842</v>
      </c>
      <c r="E111" s="174"/>
      <c r="F111" s="170">
        <v>3.2500000000000001E-2</v>
      </c>
      <c r="G111" s="168">
        <f t="shared" si="10"/>
        <v>7760</v>
      </c>
      <c r="H111" s="166">
        <f t="shared" si="14"/>
        <v>-64082</v>
      </c>
      <c r="I111" s="162">
        <f t="shared" si="13"/>
        <v>2836934</v>
      </c>
      <c r="J111" s="166"/>
      <c r="K111" s="174"/>
    </row>
    <row r="112" spans="1:11" s="173" customFormat="1" hidden="1" outlineLevel="1" x14ac:dyDescent="0.25">
      <c r="A112" s="153">
        <f t="shared" si="11"/>
        <v>105</v>
      </c>
      <c r="B112" s="160">
        <f>+B111+31</f>
        <v>942</v>
      </c>
      <c r="D112" s="151">
        <v>-28417</v>
      </c>
      <c r="E112" s="174"/>
      <c r="F112" s="170">
        <v>3.2500000000000001E-2</v>
      </c>
      <c r="G112" s="168">
        <f t="shared" si="10"/>
        <v>7645</v>
      </c>
      <c r="H112" s="166">
        <f t="shared" si="14"/>
        <v>-20772</v>
      </c>
      <c r="I112" s="162">
        <f t="shared" si="13"/>
        <v>2816162</v>
      </c>
      <c r="J112" s="166"/>
      <c r="K112" s="174"/>
    </row>
    <row r="113" spans="1:11" s="173" customFormat="1" hidden="1" outlineLevel="1" x14ac:dyDescent="0.25">
      <c r="A113" s="153">
        <f t="shared" si="11"/>
        <v>106</v>
      </c>
      <c r="B113" s="160">
        <f>+B112+30</f>
        <v>972</v>
      </c>
      <c r="C113" s="176">
        <v>1</v>
      </c>
      <c r="D113" s="151">
        <v>98527</v>
      </c>
      <c r="E113" s="166">
        <v>-2916751</v>
      </c>
      <c r="F113" s="170">
        <v>3.2500000000000001E-2</v>
      </c>
      <c r="G113" s="168">
        <f>ROUND((+I112+E113+(D113/2))*F113/12,0)</f>
        <v>-139</v>
      </c>
      <c r="H113" s="166">
        <f>SUM(D113:E113,G113)</f>
        <v>-2818363</v>
      </c>
      <c r="I113" s="162">
        <f>+I112+H113</f>
        <v>-2201</v>
      </c>
      <c r="J113" s="166"/>
      <c r="K113" s="174"/>
    </row>
    <row r="114" spans="1:11" s="173" customFormat="1" hidden="1" outlineLevel="1" x14ac:dyDescent="0.25">
      <c r="A114" s="153">
        <f t="shared" si="11"/>
        <v>107</v>
      </c>
      <c r="B114" s="160">
        <f>+B113+31</f>
        <v>1003</v>
      </c>
      <c r="D114" s="151">
        <v>-106827</v>
      </c>
      <c r="E114" s="174"/>
      <c r="F114" s="170">
        <v>3.2500000000000001E-2</v>
      </c>
      <c r="G114" s="168">
        <f>ROUND((+I113+E114+(D114/2))*(F114/12),0)</f>
        <v>-151</v>
      </c>
      <c r="H114" s="166">
        <f>SUM(D114:E114,G114)</f>
        <v>-106978</v>
      </c>
      <c r="I114" s="162">
        <f>+I113+H114</f>
        <v>-109179</v>
      </c>
      <c r="J114" s="166"/>
      <c r="K114" s="174"/>
    </row>
    <row r="115" spans="1:11" s="173" customFormat="1" hidden="1" outlineLevel="1" x14ac:dyDescent="0.25">
      <c r="A115" s="153">
        <f t="shared" si="11"/>
        <v>108</v>
      </c>
      <c r="B115" s="160">
        <f>+B114+31</f>
        <v>1034</v>
      </c>
      <c r="D115" s="151">
        <v>-490858</v>
      </c>
      <c r="E115" s="174"/>
      <c r="F115" s="170">
        <v>3.2500000000000001E-2</v>
      </c>
      <c r="G115" s="168">
        <f t="shared" ref="G115:G121" si="15">ROUND((+I114+E115+(D115/2))*F115/12,0)</f>
        <v>-960</v>
      </c>
      <c r="H115" s="166">
        <f t="shared" ref="H115:H121" si="16">SUM(D115:E115,G115)</f>
        <v>-491818</v>
      </c>
      <c r="I115" s="162">
        <f t="shared" ref="I115:I121" si="17">+I114+H115</f>
        <v>-600997</v>
      </c>
      <c r="J115" s="166"/>
      <c r="K115" s="174"/>
    </row>
    <row r="116" spans="1:11" s="173" customFormat="1" hidden="1" outlineLevel="1" x14ac:dyDescent="0.25">
      <c r="A116" s="153">
        <f t="shared" si="11"/>
        <v>109</v>
      </c>
      <c r="B116" s="160">
        <f>+B115+28</f>
        <v>1062</v>
      </c>
      <c r="D116" s="151">
        <v>-401492</v>
      </c>
      <c r="E116" s="174"/>
      <c r="F116" s="170">
        <v>3.2500000000000001E-2</v>
      </c>
      <c r="G116" s="168">
        <f t="shared" si="15"/>
        <v>-2171</v>
      </c>
      <c r="H116" s="166">
        <f t="shared" si="16"/>
        <v>-403663</v>
      </c>
      <c r="I116" s="162">
        <f t="shared" si="17"/>
        <v>-1004660</v>
      </c>
      <c r="J116" s="166"/>
      <c r="K116" s="174"/>
    </row>
    <row r="117" spans="1:11" s="173" customFormat="1" hidden="1" outlineLevel="1" x14ac:dyDescent="0.25">
      <c r="A117" s="153">
        <f t="shared" si="11"/>
        <v>110</v>
      </c>
      <c r="B117" s="160">
        <f>+B116+31</f>
        <v>1093</v>
      </c>
      <c r="D117" s="151">
        <v>-490273</v>
      </c>
      <c r="E117" s="174"/>
      <c r="F117" s="170">
        <v>3.2500000000000001E-2</v>
      </c>
      <c r="G117" s="168">
        <f t="shared" si="15"/>
        <v>-3385</v>
      </c>
      <c r="H117" s="166">
        <f t="shared" si="16"/>
        <v>-493658</v>
      </c>
      <c r="I117" s="162">
        <f t="shared" si="17"/>
        <v>-1498318</v>
      </c>
      <c r="J117" s="166"/>
      <c r="K117" s="174"/>
    </row>
    <row r="118" spans="1:11" s="173" customFormat="1" hidden="1" outlineLevel="1" x14ac:dyDescent="0.25">
      <c r="A118" s="153">
        <f t="shared" si="11"/>
        <v>111</v>
      </c>
      <c r="B118" s="160">
        <f>+B117+30</f>
        <v>1123</v>
      </c>
      <c r="D118" s="151">
        <v>-507617</v>
      </c>
      <c r="E118" s="174"/>
      <c r="F118" s="170">
        <v>3.2500000000000001E-2</v>
      </c>
      <c r="G118" s="168">
        <f t="shared" si="15"/>
        <v>-4745</v>
      </c>
      <c r="H118" s="166">
        <f t="shared" si="16"/>
        <v>-512362</v>
      </c>
      <c r="I118" s="162">
        <f t="shared" si="17"/>
        <v>-2010680</v>
      </c>
      <c r="J118" s="166"/>
      <c r="K118" s="174"/>
    </row>
    <row r="119" spans="1:11" s="173" customFormat="1" hidden="1" outlineLevel="1" x14ac:dyDescent="0.25">
      <c r="A119" s="153">
        <f t="shared" si="11"/>
        <v>112</v>
      </c>
      <c r="B119" s="160">
        <f>+B118+31</f>
        <v>1154</v>
      </c>
      <c r="D119" s="151">
        <v>-270013</v>
      </c>
      <c r="E119" s="174"/>
      <c r="F119" s="170">
        <v>3.2500000000000001E-2</v>
      </c>
      <c r="G119" s="168">
        <f t="shared" si="15"/>
        <v>-5811</v>
      </c>
      <c r="H119" s="166">
        <f t="shared" si="16"/>
        <v>-275824</v>
      </c>
      <c r="I119" s="162">
        <f t="shared" si="17"/>
        <v>-2286504</v>
      </c>
      <c r="J119" s="166"/>
      <c r="K119" s="174"/>
    </row>
    <row r="120" spans="1:11" s="173" customFormat="1" hidden="1" outlineLevel="1" x14ac:dyDescent="0.25">
      <c r="A120" s="153">
        <f t="shared" si="11"/>
        <v>113</v>
      </c>
      <c r="B120" s="160">
        <f>+B119+30</f>
        <v>1184</v>
      </c>
      <c r="D120" s="151">
        <v>-283325</v>
      </c>
      <c r="E120" s="174"/>
      <c r="F120" s="170">
        <v>3.2500000000000001E-2</v>
      </c>
      <c r="G120" s="168">
        <f t="shared" si="15"/>
        <v>-6576</v>
      </c>
      <c r="H120" s="166">
        <f t="shared" si="16"/>
        <v>-289901</v>
      </c>
      <c r="I120" s="162">
        <f t="shared" si="17"/>
        <v>-2576405</v>
      </c>
      <c r="J120" s="166"/>
      <c r="K120" s="174"/>
    </row>
    <row r="121" spans="1:11" s="173" customFormat="1" hidden="1" outlineLevel="1" x14ac:dyDescent="0.25">
      <c r="A121" s="153">
        <f t="shared" si="11"/>
        <v>114</v>
      </c>
      <c r="B121" s="160">
        <f>+B120+31</f>
        <v>1215</v>
      </c>
      <c r="D121" s="151">
        <v>-264071</v>
      </c>
      <c r="E121" s="174"/>
      <c r="F121" s="170">
        <v>3.2500000000000001E-2</v>
      </c>
      <c r="G121" s="168">
        <f t="shared" si="15"/>
        <v>-7335</v>
      </c>
      <c r="H121" s="166">
        <f t="shared" si="16"/>
        <v>-271406</v>
      </c>
      <c r="I121" s="162">
        <f t="shared" si="17"/>
        <v>-2847811</v>
      </c>
      <c r="J121" s="166"/>
      <c r="K121" s="177"/>
    </row>
    <row r="122" spans="1:11" s="173" customFormat="1" hidden="1" outlineLevel="1" x14ac:dyDescent="0.25">
      <c r="A122" s="153">
        <f t="shared" si="11"/>
        <v>115</v>
      </c>
      <c r="B122" s="160">
        <f>+B121+31</f>
        <v>1246</v>
      </c>
      <c r="D122" s="151">
        <v>-214976</v>
      </c>
      <c r="E122" s="166"/>
      <c r="F122" s="170">
        <v>3.2500000000000001E-2</v>
      </c>
      <c r="G122" s="168">
        <f>ROUND((+I121+E122+(D122/2))*F122/12,0)</f>
        <v>-8004</v>
      </c>
      <c r="H122" s="166">
        <f>SUM(D122:E122,G122)</f>
        <v>-222980</v>
      </c>
      <c r="I122" s="162">
        <f>+I121+H122</f>
        <v>-3070791</v>
      </c>
      <c r="J122" s="166"/>
      <c r="K122" s="174"/>
    </row>
    <row r="123" spans="1:11" s="173" customFormat="1" hidden="1" outlineLevel="1" x14ac:dyDescent="0.25">
      <c r="A123" s="153">
        <f t="shared" si="11"/>
        <v>116</v>
      </c>
      <c r="B123" s="160">
        <f>+B122+30</f>
        <v>1276</v>
      </c>
      <c r="C123" s="178"/>
      <c r="D123" s="151">
        <v>-308272</v>
      </c>
      <c r="E123" s="174"/>
      <c r="F123" s="170">
        <v>3.2500000000000001E-2</v>
      </c>
      <c r="G123" s="168">
        <f>ROUND((+I122+E123+(D123/2))*F123/12,0)</f>
        <v>-8734</v>
      </c>
      <c r="H123" s="166">
        <f>SUM(D123:E123,G123)</f>
        <v>-317006</v>
      </c>
      <c r="I123" s="162">
        <f>+I122+H123</f>
        <v>-3387797</v>
      </c>
      <c r="J123" s="166"/>
      <c r="K123" s="174"/>
    </row>
    <row r="124" spans="1:11" s="173" customFormat="1" hidden="1" outlineLevel="1" x14ac:dyDescent="0.25">
      <c r="A124" s="153">
        <f t="shared" si="11"/>
        <v>117</v>
      </c>
      <c r="B124" s="160">
        <f>+B123+31</f>
        <v>1307</v>
      </c>
      <c r="C124" s="176"/>
      <c r="D124" s="151">
        <v>-251408</v>
      </c>
      <c r="E124" s="179"/>
      <c r="F124" s="170">
        <v>3.2500000000000001E-2</v>
      </c>
      <c r="G124" s="168">
        <f>ROUND((+I123+E124+(D124/2))*F124/12,0)</f>
        <v>-9516</v>
      </c>
      <c r="H124" s="166">
        <f>SUM(D124:E124,G124)</f>
        <v>-260924</v>
      </c>
      <c r="I124" s="162">
        <f>+I123+H124</f>
        <v>-3648721</v>
      </c>
      <c r="J124" s="166"/>
      <c r="K124" s="174"/>
    </row>
    <row r="125" spans="1:11" s="173" customFormat="1" hidden="1" outlineLevel="1" x14ac:dyDescent="0.25">
      <c r="A125" s="153">
        <f t="shared" si="11"/>
        <v>118</v>
      </c>
      <c r="B125" s="160">
        <f>+B124+30</f>
        <v>1337</v>
      </c>
      <c r="C125" s="176">
        <v>1</v>
      </c>
      <c r="D125" s="151">
        <v>-166164.95065709995</v>
      </c>
      <c r="E125" s="179">
        <v>3087447</v>
      </c>
      <c r="F125" s="170">
        <v>3.2500000000000001E-2</v>
      </c>
      <c r="G125" s="168">
        <f t="shared" ref="G125:G127" si="18">ROUND((+I124+E125+(D125/2))*F125/12,0)</f>
        <v>-1745</v>
      </c>
      <c r="H125" s="166">
        <f t="shared" ref="H125:H160" si="19">SUM(D125:E125,G125)</f>
        <v>2919537.0493429</v>
      </c>
      <c r="I125" s="162">
        <f t="shared" ref="I125:I129" si="20">+I124+H125</f>
        <v>-729183.95065709995</v>
      </c>
      <c r="J125" s="166"/>
      <c r="K125" s="174"/>
    </row>
    <row r="126" spans="1:11" s="173" customFormat="1" hidden="1" outlineLevel="1" x14ac:dyDescent="0.25">
      <c r="A126" s="153">
        <f t="shared" si="11"/>
        <v>119</v>
      </c>
      <c r="B126" s="160">
        <f>+B125+31</f>
        <v>1368</v>
      </c>
      <c r="C126" s="178"/>
      <c r="D126" s="151">
        <v>-404269.03908600006</v>
      </c>
      <c r="E126" s="180"/>
      <c r="F126" s="170">
        <v>3.2500000000000001E-2</v>
      </c>
      <c r="G126" s="168">
        <f t="shared" si="18"/>
        <v>-2522</v>
      </c>
      <c r="H126" s="166">
        <f t="shared" si="19"/>
        <v>-406791.03908600006</v>
      </c>
      <c r="I126" s="162">
        <f t="shared" si="20"/>
        <v>-1135974.9897431</v>
      </c>
      <c r="J126" s="166"/>
      <c r="K126" s="174"/>
    </row>
    <row r="127" spans="1:11" s="173" customFormat="1" hidden="1" outlineLevel="1" x14ac:dyDescent="0.25">
      <c r="A127" s="153">
        <f t="shared" si="11"/>
        <v>120</v>
      </c>
      <c r="B127" s="160">
        <f>+B126+31</f>
        <v>1399</v>
      </c>
      <c r="C127" s="178"/>
      <c r="D127" s="151">
        <v>-389512.2211529999</v>
      </c>
      <c r="E127" s="174"/>
      <c r="F127" s="170">
        <v>3.2500000000000001E-2</v>
      </c>
      <c r="G127" s="168">
        <f t="shared" si="18"/>
        <v>-3604</v>
      </c>
      <c r="H127" s="166">
        <f t="shared" si="19"/>
        <v>-393116.2211529999</v>
      </c>
      <c r="I127" s="162">
        <f t="shared" si="20"/>
        <v>-1529091.2108960999</v>
      </c>
      <c r="J127" s="166"/>
      <c r="K127" s="174"/>
    </row>
    <row r="128" spans="1:11" s="173" customFormat="1" hidden="1" outlineLevel="1" x14ac:dyDescent="0.25">
      <c r="A128" s="153">
        <f t="shared" si="11"/>
        <v>121</v>
      </c>
      <c r="B128" s="181">
        <f>+B127+29</f>
        <v>1428</v>
      </c>
      <c r="C128" s="178"/>
      <c r="D128" s="151">
        <v>-435772.88909700001</v>
      </c>
      <c r="E128" s="174"/>
      <c r="F128" s="170">
        <v>3.2500000000000001E-2</v>
      </c>
      <c r="G128" s="168">
        <f>ROUND((+I127+E128+(D128/2))*F128/12,2)</f>
        <v>-4731.3999999999996</v>
      </c>
      <c r="H128" s="166">
        <f t="shared" si="19"/>
        <v>-440504.28909700003</v>
      </c>
      <c r="I128" s="162">
        <f t="shared" si="20"/>
        <v>-1969595.4999930998</v>
      </c>
      <c r="J128" s="166"/>
      <c r="K128" s="174"/>
    </row>
    <row r="129" spans="1:11" s="173" customFormat="1" hidden="1" outlineLevel="1" x14ac:dyDescent="0.25">
      <c r="A129" s="153">
        <f t="shared" si="11"/>
        <v>122</v>
      </c>
      <c r="B129" s="160">
        <f>+B128+31</f>
        <v>1459</v>
      </c>
      <c r="C129" s="176">
        <v>2</v>
      </c>
      <c r="D129" s="151">
        <v>-636092.29787799995</v>
      </c>
      <c r="E129" s="179">
        <v>93.490000000000009</v>
      </c>
      <c r="F129" s="170">
        <v>3.2500000000000001E-2</v>
      </c>
      <c r="G129" s="168">
        <f t="shared" ref="G129:G160" si="21">ROUND((+I128+E129+(D129/2))*F129/12,2)</f>
        <v>-6195.44</v>
      </c>
      <c r="H129" s="166">
        <f t="shared" si="19"/>
        <v>-642194.24787799991</v>
      </c>
      <c r="I129" s="162">
        <f t="shared" si="20"/>
        <v>-2611789.7478711</v>
      </c>
      <c r="J129" s="166"/>
      <c r="K129" s="174"/>
    </row>
    <row r="130" spans="1:11" s="173" customFormat="1" hidden="1" outlineLevel="1" x14ac:dyDescent="0.25">
      <c r="A130" s="153">
        <f t="shared" si="11"/>
        <v>123</v>
      </c>
      <c r="B130" s="160">
        <f>B129+30</f>
        <v>1489</v>
      </c>
      <c r="C130" s="176"/>
      <c r="D130" s="151">
        <v>-339881.772902</v>
      </c>
      <c r="E130" s="179"/>
      <c r="F130" s="170">
        <v>3.4599999999999999E-2</v>
      </c>
      <c r="G130" s="168">
        <f t="shared" si="21"/>
        <v>-8020.66</v>
      </c>
      <c r="H130" s="166">
        <f t="shared" si="19"/>
        <v>-347902.43290199997</v>
      </c>
      <c r="I130" s="162">
        <f>+I129+H130</f>
        <v>-2959692.1807730999</v>
      </c>
      <c r="J130" s="166"/>
      <c r="K130" s="174"/>
    </row>
    <row r="131" spans="1:11" s="173" customFormat="1" hidden="1" outlineLevel="1" x14ac:dyDescent="0.25">
      <c r="A131" s="153">
        <f t="shared" si="11"/>
        <v>124</v>
      </c>
      <c r="B131" s="160">
        <f>B130+31</f>
        <v>1520</v>
      </c>
      <c r="C131" s="176"/>
      <c r="D131" s="151">
        <v>-323178.75623599987</v>
      </c>
      <c r="E131" s="179"/>
      <c r="F131" s="170">
        <v>3.4599999999999999E-2</v>
      </c>
      <c r="G131" s="168">
        <f t="shared" si="21"/>
        <v>-8999.7000000000007</v>
      </c>
      <c r="H131" s="166">
        <f t="shared" si="19"/>
        <v>-332178.45623599988</v>
      </c>
      <c r="I131" s="162">
        <f>+I130+H131</f>
        <v>-3291870.6370090996</v>
      </c>
      <c r="J131" s="166"/>
      <c r="K131" s="174"/>
    </row>
    <row r="132" spans="1:11" s="173" customFormat="1" hidden="1" outlineLevel="1" x14ac:dyDescent="0.25">
      <c r="A132" s="153">
        <f t="shared" si="11"/>
        <v>125</v>
      </c>
      <c r="B132" s="160">
        <f>B131+30</f>
        <v>1550</v>
      </c>
      <c r="C132" s="176">
        <v>3</v>
      </c>
      <c r="D132" s="151">
        <v>-205022.84986199997</v>
      </c>
      <c r="E132" s="179">
        <v>2611790</v>
      </c>
      <c r="F132" s="170">
        <v>3.4599999999999999E-2</v>
      </c>
      <c r="G132" s="168">
        <f t="shared" si="21"/>
        <v>-2256.4699999999998</v>
      </c>
      <c r="H132" s="166">
        <f t="shared" si="19"/>
        <v>2404510.6801379998</v>
      </c>
      <c r="I132" s="162">
        <f t="shared" ref="I132:I160" si="22">+I131+H132</f>
        <v>-887359.95687109977</v>
      </c>
      <c r="J132" s="166"/>
      <c r="K132" s="174"/>
    </row>
    <row r="133" spans="1:11" s="174" customFormat="1" hidden="1" outlineLevel="1" x14ac:dyDescent="0.25">
      <c r="A133" s="153">
        <f t="shared" si="11"/>
        <v>126</v>
      </c>
      <c r="B133" s="182">
        <f>B132+31</f>
        <v>1581</v>
      </c>
      <c r="C133" s="183"/>
      <c r="D133" s="151">
        <v>-120736.6912</v>
      </c>
      <c r="E133" s="179"/>
      <c r="F133" s="170">
        <v>3.5000000000000003E-2</v>
      </c>
      <c r="G133" s="168">
        <f t="shared" si="21"/>
        <v>-2764.21</v>
      </c>
      <c r="H133" s="166">
        <f t="shared" si="19"/>
        <v>-123500.90120000001</v>
      </c>
      <c r="I133" s="162">
        <f t="shared" si="22"/>
        <v>-1010860.8580710997</v>
      </c>
      <c r="J133" s="166"/>
    </row>
    <row r="134" spans="1:11" s="173" customFormat="1" hidden="1" outlineLevel="1" x14ac:dyDescent="0.25">
      <c r="A134" s="153">
        <f t="shared" si="11"/>
        <v>127</v>
      </c>
      <c r="B134" s="160">
        <f>B133+31</f>
        <v>1612</v>
      </c>
      <c r="C134" s="176"/>
      <c r="D134" s="151">
        <v>-140455.13302800001</v>
      </c>
      <c r="E134" s="179"/>
      <c r="F134" s="170">
        <v>3.5000000000000003E-2</v>
      </c>
      <c r="G134" s="168">
        <f t="shared" si="21"/>
        <v>-3153.17</v>
      </c>
      <c r="H134" s="166">
        <f t="shared" si="19"/>
        <v>-143608.30302800002</v>
      </c>
      <c r="I134" s="162">
        <f t="shared" si="22"/>
        <v>-1154469.1610990998</v>
      </c>
      <c r="J134" s="166"/>
      <c r="K134" s="174"/>
    </row>
    <row r="135" spans="1:11" s="173" customFormat="1" hidden="1" outlineLevel="1" x14ac:dyDescent="0.25">
      <c r="A135" s="153">
        <f t="shared" si="11"/>
        <v>128</v>
      </c>
      <c r="B135" s="160">
        <f>B134+30</f>
        <v>1642</v>
      </c>
      <c r="C135" s="176"/>
      <c r="D135" s="151">
        <v>-132915.83371500007</v>
      </c>
      <c r="E135" s="179"/>
      <c r="F135" s="170">
        <v>3.5000000000000003E-2</v>
      </c>
      <c r="G135" s="168">
        <f t="shared" si="21"/>
        <v>-3561.04</v>
      </c>
      <c r="H135" s="166">
        <f t="shared" si="19"/>
        <v>-136476.87371500008</v>
      </c>
      <c r="I135" s="162">
        <f t="shared" si="22"/>
        <v>-1290946.0348140998</v>
      </c>
      <c r="J135" s="166"/>
      <c r="K135" s="174"/>
    </row>
    <row r="136" spans="1:11" s="173" customFormat="1" hidden="1" outlineLevel="1" x14ac:dyDescent="0.25">
      <c r="A136" s="153">
        <f t="shared" si="11"/>
        <v>129</v>
      </c>
      <c r="B136" s="160">
        <f>B135+31</f>
        <v>1673</v>
      </c>
      <c r="C136" s="176"/>
      <c r="D136" s="151">
        <v>-169127.98</v>
      </c>
      <c r="E136" s="179"/>
      <c r="F136" s="170">
        <v>3.5000000000000003E-2</v>
      </c>
      <c r="G136" s="168">
        <f t="shared" si="21"/>
        <v>-4011.9</v>
      </c>
      <c r="H136" s="166">
        <f t="shared" si="19"/>
        <v>-173139.88</v>
      </c>
      <c r="I136" s="162">
        <f t="shared" si="22"/>
        <v>-1464085.9148140997</v>
      </c>
      <c r="J136" s="166"/>
      <c r="K136" s="174"/>
    </row>
    <row r="137" spans="1:11" s="173" customFormat="1" hidden="1" outlineLevel="1" collapsed="1" x14ac:dyDescent="0.25">
      <c r="A137" s="153">
        <f t="shared" ref="A137:A177" si="23">+A136+1</f>
        <v>130</v>
      </c>
      <c r="B137" s="160">
        <f>+B136+30</f>
        <v>1703</v>
      </c>
      <c r="C137" s="176">
        <v>1</v>
      </c>
      <c r="D137" s="151">
        <v>-86960.092357000103</v>
      </c>
      <c r="E137" s="179">
        <v>1161213.3799999999</v>
      </c>
      <c r="F137" s="170">
        <v>3.5000000000000003E-2</v>
      </c>
      <c r="G137" s="168">
        <f t="shared" si="21"/>
        <v>-1010.2</v>
      </c>
      <c r="H137" s="166">
        <f t="shared" si="19"/>
        <v>1073243.0876429998</v>
      </c>
      <c r="I137" s="162">
        <f t="shared" si="22"/>
        <v>-390842.82717109984</v>
      </c>
      <c r="J137" s="166"/>
      <c r="K137" s="174"/>
    </row>
    <row r="138" spans="1:11" s="173" customFormat="1" hidden="1" outlineLevel="1" x14ac:dyDescent="0.25">
      <c r="A138" s="153">
        <f t="shared" si="23"/>
        <v>131</v>
      </c>
      <c r="B138" s="160">
        <f>+B137+31</f>
        <v>1734</v>
      </c>
      <c r="C138" s="176"/>
      <c r="D138" s="151">
        <v>397271.74515200034</v>
      </c>
      <c r="E138" s="179"/>
      <c r="F138" s="170">
        <v>3.5000000000000003E-2</v>
      </c>
      <c r="G138" s="168">
        <f t="shared" si="21"/>
        <v>-560.6</v>
      </c>
      <c r="H138" s="166">
        <f t="shared" si="19"/>
        <v>396711.14515200036</v>
      </c>
      <c r="I138" s="162">
        <f t="shared" si="22"/>
        <v>5868.3179809005233</v>
      </c>
      <c r="J138" s="166"/>
      <c r="K138" s="174"/>
    </row>
    <row r="139" spans="1:11" s="173" customFormat="1" hidden="1" outlineLevel="1" x14ac:dyDescent="0.25">
      <c r="A139" s="153">
        <f t="shared" si="23"/>
        <v>132</v>
      </c>
      <c r="B139" s="160">
        <f>+B138+31</f>
        <v>1765</v>
      </c>
      <c r="C139" s="176"/>
      <c r="D139" s="151">
        <v>389591.8774239989</v>
      </c>
      <c r="E139" s="179"/>
      <c r="F139" s="170">
        <v>3.5000000000000003E-2</v>
      </c>
      <c r="G139" s="168">
        <f t="shared" si="21"/>
        <v>585.27</v>
      </c>
      <c r="H139" s="166">
        <f t="shared" si="19"/>
        <v>390177.14742399892</v>
      </c>
      <c r="I139" s="162">
        <f t="shared" si="22"/>
        <v>396045.46540489944</v>
      </c>
      <c r="J139" s="166"/>
      <c r="K139" s="174"/>
    </row>
    <row r="140" spans="1:11" s="173" customFormat="1" hidden="1" outlineLevel="1" x14ac:dyDescent="0.25">
      <c r="A140" s="153">
        <f t="shared" si="23"/>
        <v>133</v>
      </c>
      <c r="B140" s="160">
        <f>+B139+28</f>
        <v>1793</v>
      </c>
      <c r="C140" s="176"/>
      <c r="D140" s="151">
        <v>-133253.06445800001</v>
      </c>
      <c r="E140" s="179"/>
      <c r="F140" s="170">
        <v>3.5000000000000003E-2</v>
      </c>
      <c r="G140" s="168">
        <f t="shared" si="21"/>
        <v>960.81</v>
      </c>
      <c r="H140" s="166">
        <f t="shared" si="19"/>
        <v>-132292.25445800001</v>
      </c>
      <c r="I140" s="162">
        <f t="shared" si="22"/>
        <v>263753.21094689943</v>
      </c>
      <c r="J140" s="166"/>
      <c r="K140" s="174"/>
    </row>
    <row r="141" spans="1:11" s="173" customFormat="1" hidden="1" outlineLevel="1" x14ac:dyDescent="0.25">
      <c r="A141" s="153">
        <f t="shared" si="23"/>
        <v>134</v>
      </c>
      <c r="B141" s="160">
        <f>+B140+31</f>
        <v>1824</v>
      </c>
      <c r="C141" s="176"/>
      <c r="D141" s="151">
        <v>-303716.84245999996</v>
      </c>
      <c r="E141" s="179"/>
      <c r="F141" s="170">
        <v>3.5000000000000003E-2</v>
      </c>
      <c r="G141" s="168">
        <f t="shared" si="21"/>
        <v>326.36</v>
      </c>
      <c r="H141" s="166">
        <f t="shared" si="19"/>
        <v>-303390.48245999997</v>
      </c>
      <c r="I141" s="162">
        <f t="shared" si="22"/>
        <v>-39637.271513100539</v>
      </c>
      <c r="J141" s="166"/>
      <c r="K141" s="174"/>
    </row>
    <row r="142" spans="1:11" s="173" customFormat="1" hidden="1" outlineLevel="1" x14ac:dyDescent="0.25">
      <c r="A142" s="153">
        <f t="shared" si="23"/>
        <v>135</v>
      </c>
      <c r="B142" s="160">
        <f t="shared" ref="B142:B150" si="24">+B141+31</f>
        <v>1855</v>
      </c>
      <c r="C142" s="176"/>
      <c r="D142" s="151">
        <v>-192040.20714000007</v>
      </c>
      <c r="E142" s="179"/>
      <c r="F142" s="170">
        <v>3.7100000000000001E-2</v>
      </c>
      <c r="G142" s="168">
        <f t="shared" si="21"/>
        <v>-419.41</v>
      </c>
      <c r="H142" s="166">
        <f t="shared" si="19"/>
        <v>-192459.61714000007</v>
      </c>
      <c r="I142" s="162">
        <f t="shared" si="22"/>
        <v>-232096.88865310061</v>
      </c>
      <c r="J142" s="166"/>
      <c r="K142" s="174"/>
    </row>
    <row r="143" spans="1:11" s="173" customFormat="1" hidden="1" outlineLevel="1" x14ac:dyDescent="0.25">
      <c r="A143" s="153">
        <f t="shared" si="23"/>
        <v>136</v>
      </c>
      <c r="B143" s="160">
        <f t="shared" si="24"/>
        <v>1886</v>
      </c>
      <c r="C143" s="176"/>
      <c r="D143" s="151">
        <v>-79605.552554000053</v>
      </c>
      <c r="E143" s="179"/>
      <c r="F143" s="170">
        <v>3.7100000000000001E-2</v>
      </c>
      <c r="G143" s="168">
        <f t="shared" si="21"/>
        <v>-840.62</v>
      </c>
      <c r="H143" s="166">
        <f t="shared" si="19"/>
        <v>-80446.172554000048</v>
      </c>
      <c r="I143" s="162">
        <f t="shared" si="22"/>
        <v>-312543.06120710063</v>
      </c>
      <c r="J143" s="166"/>
      <c r="K143" s="174"/>
    </row>
    <row r="144" spans="1:11" s="173" customFormat="1" hidden="1" outlineLevel="1" x14ac:dyDescent="0.25">
      <c r="A144" s="153">
        <f t="shared" si="23"/>
        <v>137</v>
      </c>
      <c r="B144" s="160">
        <f t="shared" si="24"/>
        <v>1917</v>
      </c>
      <c r="C144" s="176"/>
      <c r="D144" s="151">
        <v>-41501.479491000064</v>
      </c>
      <c r="E144" s="179"/>
      <c r="F144" s="170">
        <v>3.7100000000000001E-2</v>
      </c>
      <c r="G144" s="168">
        <f t="shared" si="21"/>
        <v>-1030.43</v>
      </c>
      <c r="H144" s="166">
        <f t="shared" si="19"/>
        <v>-42531.909491000064</v>
      </c>
      <c r="I144" s="162">
        <f t="shared" si="22"/>
        <v>-355074.97069810069</v>
      </c>
      <c r="J144" s="166"/>
      <c r="K144" s="174"/>
    </row>
    <row r="145" spans="1:11" s="173" customFormat="1" hidden="1" outlineLevel="1" x14ac:dyDescent="0.25">
      <c r="A145" s="153">
        <f t="shared" si="23"/>
        <v>138</v>
      </c>
      <c r="B145" s="160">
        <f t="shared" si="24"/>
        <v>1948</v>
      </c>
      <c r="C145" s="176"/>
      <c r="D145" s="151">
        <v>-122679.39746800007</v>
      </c>
      <c r="E145" s="179"/>
      <c r="F145" s="170">
        <v>3.9600000000000003E-2</v>
      </c>
      <c r="G145" s="168">
        <f t="shared" si="21"/>
        <v>-1374.17</v>
      </c>
      <c r="H145" s="166">
        <f t="shared" si="19"/>
        <v>-124053.56746800007</v>
      </c>
      <c r="I145" s="162">
        <f t="shared" si="22"/>
        <v>-479128.53816610074</v>
      </c>
      <c r="J145" s="166"/>
      <c r="K145" s="174"/>
    </row>
    <row r="146" spans="1:11" s="173" customFormat="1" hidden="1" outlineLevel="1" x14ac:dyDescent="0.25">
      <c r="A146" s="153">
        <f t="shared" si="23"/>
        <v>139</v>
      </c>
      <c r="B146" s="160">
        <f t="shared" si="24"/>
        <v>1979</v>
      </c>
      <c r="C146" s="176"/>
      <c r="D146" s="151">
        <v>-18444.442625000025</v>
      </c>
      <c r="E146" s="179"/>
      <c r="F146" s="170">
        <v>3.9600000000000003E-2</v>
      </c>
      <c r="G146" s="168">
        <f t="shared" si="21"/>
        <v>-1611.56</v>
      </c>
      <c r="H146" s="166">
        <f t="shared" si="19"/>
        <v>-20056.002625000026</v>
      </c>
      <c r="I146" s="162">
        <f t="shared" si="22"/>
        <v>-499184.54079110076</v>
      </c>
      <c r="J146" s="166"/>
      <c r="K146" s="174"/>
    </row>
    <row r="147" spans="1:11" s="173" customFormat="1" hidden="1" outlineLevel="1" x14ac:dyDescent="0.25">
      <c r="A147" s="153">
        <f t="shared" si="23"/>
        <v>140</v>
      </c>
      <c r="B147" s="160">
        <f t="shared" si="24"/>
        <v>2010</v>
      </c>
      <c r="C147" s="176"/>
      <c r="D147" s="151">
        <v>-149595.89859999984</v>
      </c>
      <c r="E147" s="179"/>
      <c r="F147" s="170">
        <v>3.9600000000000003E-2</v>
      </c>
      <c r="G147" s="168">
        <f t="shared" si="21"/>
        <v>-1894.14</v>
      </c>
      <c r="H147" s="166">
        <f t="shared" si="19"/>
        <v>-151490.03859999985</v>
      </c>
      <c r="I147" s="162">
        <f t="shared" si="22"/>
        <v>-650674.57939110068</v>
      </c>
      <c r="J147" s="166"/>
      <c r="K147" s="174"/>
    </row>
    <row r="148" spans="1:11" s="173" customFormat="1" hidden="1" outlineLevel="1" x14ac:dyDescent="0.25">
      <c r="A148" s="153">
        <f t="shared" si="23"/>
        <v>141</v>
      </c>
      <c r="B148" s="160">
        <f t="shared" si="24"/>
        <v>2041</v>
      </c>
      <c r="C148" s="176"/>
      <c r="D148" s="151">
        <v>-291809.80427799979</v>
      </c>
      <c r="E148" s="179"/>
      <c r="F148" s="170">
        <v>4.2099999999999999E-2</v>
      </c>
      <c r="G148" s="168">
        <f t="shared" si="21"/>
        <v>-2794.67</v>
      </c>
      <c r="H148" s="166">
        <f t="shared" si="19"/>
        <v>-294604.47427799978</v>
      </c>
      <c r="I148" s="162">
        <f t="shared" si="22"/>
        <v>-945279.05366910039</v>
      </c>
      <c r="J148" s="166"/>
      <c r="K148" s="174"/>
    </row>
    <row r="149" spans="1:11" s="173" customFormat="1" hidden="1" outlineLevel="1" x14ac:dyDescent="0.25">
      <c r="A149" s="153">
        <f t="shared" si="23"/>
        <v>142</v>
      </c>
      <c r="B149" s="160">
        <f t="shared" si="24"/>
        <v>2072</v>
      </c>
      <c r="C149" s="176">
        <v>1</v>
      </c>
      <c r="D149" s="151">
        <v>16913.827920999844</v>
      </c>
      <c r="E149" s="179">
        <v>502484.6</v>
      </c>
      <c r="F149" s="170">
        <v>4.2099999999999999E-2</v>
      </c>
      <c r="G149" s="168">
        <f t="shared" si="21"/>
        <v>-1523.8</v>
      </c>
      <c r="H149" s="166">
        <f t="shared" si="19"/>
        <v>517874.62792099983</v>
      </c>
      <c r="I149" s="162">
        <f t="shared" si="22"/>
        <v>-427404.42574810056</v>
      </c>
      <c r="J149" s="166"/>
      <c r="K149" s="174"/>
    </row>
    <row r="150" spans="1:11" s="173" customFormat="1" hidden="1" outlineLevel="1" x14ac:dyDescent="0.25">
      <c r="A150" s="153">
        <f t="shared" si="23"/>
        <v>143</v>
      </c>
      <c r="B150" s="160">
        <f t="shared" si="24"/>
        <v>2103</v>
      </c>
      <c r="C150" s="176"/>
      <c r="D150" s="151">
        <v>-17087.423284000251</v>
      </c>
      <c r="E150" s="179"/>
      <c r="F150" s="170">
        <v>4.2099999999999999E-2</v>
      </c>
      <c r="G150" s="168">
        <f t="shared" si="21"/>
        <v>-1529.45</v>
      </c>
      <c r="H150" s="166">
        <f t="shared" si="19"/>
        <v>-18616.873284000252</v>
      </c>
      <c r="I150" s="162">
        <f t="shared" si="22"/>
        <v>-446021.29903210083</v>
      </c>
      <c r="J150" s="166"/>
      <c r="K150" s="174"/>
    </row>
    <row r="151" spans="1:11" s="173" customFormat="1" hidden="1" outlineLevel="1" x14ac:dyDescent="0.25">
      <c r="A151" s="153">
        <f t="shared" si="23"/>
        <v>144</v>
      </c>
      <c r="B151" s="184">
        <v>43101</v>
      </c>
      <c r="C151" s="176"/>
      <c r="D151" s="151">
        <v>-60473.59</v>
      </c>
      <c r="E151" s="179"/>
      <c r="F151" s="170">
        <v>4.2500000000000003E-2</v>
      </c>
      <c r="G151" s="168">
        <f t="shared" si="21"/>
        <v>-1686.75</v>
      </c>
      <c r="H151" s="166">
        <f t="shared" si="19"/>
        <v>-62160.34</v>
      </c>
      <c r="I151" s="162">
        <f t="shared" si="22"/>
        <v>-508181.63903210079</v>
      </c>
      <c r="J151" s="166"/>
      <c r="K151" s="174"/>
    </row>
    <row r="152" spans="1:11" s="173" customFormat="1" hidden="1" outlineLevel="1" x14ac:dyDescent="0.25">
      <c r="A152" s="153">
        <f t="shared" si="23"/>
        <v>145</v>
      </c>
      <c r="B152" s="184">
        <v>43132</v>
      </c>
      <c r="C152" s="176"/>
      <c r="D152" s="151">
        <v>-162473.62387200026</v>
      </c>
      <c r="E152" s="179"/>
      <c r="F152" s="170">
        <v>4.2500000000000003E-2</v>
      </c>
      <c r="G152" s="168">
        <f t="shared" si="21"/>
        <v>-2087.52</v>
      </c>
      <c r="H152" s="166">
        <f t="shared" si="19"/>
        <v>-164561.14387200025</v>
      </c>
      <c r="I152" s="162">
        <f t="shared" si="22"/>
        <v>-672742.78290410107</v>
      </c>
      <c r="J152" s="166"/>
      <c r="K152" s="174"/>
    </row>
    <row r="153" spans="1:11" s="173" customFormat="1" hidden="1" outlineLevel="1" x14ac:dyDescent="0.25">
      <c r="A153" s="153">
        <f t="shared" si="23"/>
        <v>146</v>
      </c>
      <c r="B153" s="184">
        <v>43160</v>
      </c>
      <c r="C153" s="176"/>
      <c r="D153" s="151">
        <v>-280210.47632000013</v>
      </c>
      <c r="E153" s="179"/>
      <c r="F153" s="170">
        <v>4.2500000000000003E-2</v>
      </c>
      <c r="G153" s="168">
        <f t="shared" si="21"/>
        <v>-2878.84</v>
      </c>
      <c r="H153" s="166">
        <f t="shared" si="19"/>
        <v>-283089.31632000016</v>
      </c>
      <c r="I153" s="162">
        <f t="shared" si="22"/>
        <v>-955832.09922410129</v>
      </c>
      <c r="J153" s="166"/>
      <c r="K153" s="174"/>
    </row>
    <row r="154" spans="1:11" s="173" customFormat="1" hidden="1" outlineLevel="1" x14ac:dyDescent="0.25">
      <c r="A154" s="153">
        <f t="shared" si="23"/>
        <v>147</v>
      </c>
      <c r="B154" s="184">
        <v>43191</v>
      </c>
      <c r="C154" s="176"/>
      <c r="D154" s="151">
        <v>-407923.54092800012</v>
      </c>
      <c r="E154" s="179"/>
      <c r="F154" s="170">
        <v>4.4699999999999997E-2</v>
      </c>
      <c r="G154" s="168">
        <f t="shared" si="21"/>
        <v>-4320.2299999999996</v>
      </c>
      <c r="H154" s="166">
        <f t="shared" si="19"/>
        <v>-412243.7709280001</v>
      </c>
      <c r="I154" s="162">
        <f t="shared" si="22"/>
        <v>-1368075.8701521014</v>
      </c>
      <c r="J154" s="166"/>
      <c r="K154" s="174"/>
    </row>
    <row r="155" spans="1:11" s="173" customFormat="1" hidden="1" outlineLevel="1" x14ac:dyDescent="0.25">
      <c r="A155" s="153">
        <f t="shared" si="23"/>
        <v>148</v>
      </c>
      <c r="B155" s="184">
        <v>43221</v>
      </c>
      <c r="C155" s="176"/>
      <c r="D155" s="151">
        <v>-197888.21846400003</v>
      </c>
      <c r="E155" s="179"/>
      <c r="F155" s="170">
        <v>4.4699999999999997E-2</v>
      </c>
      <c r="G155" s="168">
        <f t="shared" si="21"/>
        <v>-5464.65</v>
      </c>
      <c r="H155" s="166">
        <f t="shared" si="19"/>
        <v>-203352.86846400003</v>
      </c>
      <c r="I155" s="162">
        <f t="shared" si="22"/>
        <v>-1571428.7386161014</v>
      </c>
      <c r="J155" s="166"/>
      <c r="K155" s="174"/>
    </row>
    <row r="156" spans="1:11" s="173" customFormat="1" hidden="1" outlineLevel="1" x14ac:dyDescent="0.25">
      <c r="A156" s="153">
        <f t="shared" si="23"/>
        <v>149</v>
      </c>
      <c r="B156" s="184">
        <v>43252</v>
      </c>
      <c r="C156" s="176"/>
      <c r="D156" s="151">
        <v>-181874.12280399998</v>
      </c>
      <c r="E156" s="179"/>
      <c r="F156" s="170">
        <v>4.4699999999999997E-2</v>
      </c>
      <c r="G156" s="168">
        <f t="shared" si="21"/>
        <v>-6192.31</v>
      </c>
      <c r="H156" s="166">
        <f t="shared" si="19"/>
        <v>-188066.43280399998</v>
      </c>
      <c r="I156" s="162">
        <f t="shared" si="22"/>
        <v>-1759495.1714201015</v>
      </c>
      <c r="J156" s="166"/>
      <c r="K156" s="174"/>
    </row>
    <row r="157" spans="1:11" s="173" customFormat="1" hidden="1" outlineLevel="1" x14ac:dyDescent="0.25">
      <c r="A157" s="153">
        <f t="shared" si="23"/>
        <v>150</v>
      </c>
      <c r="B157" s="184">
        <v>43282</v>
      </c>
      <c r="C157" s="176"/>
      <c r="D157" s="151">
        <v>-138692.90726000001</v>
      </c>
      <c r="E157" s="179"/>
      <c r="F157" s="170">
        <v>4.6899999999999997E-2</v>
      </c>
      <c r="G157" s="168">
        <f t="shared" si="21"/>
        <v>-7147.72</v>
      </c>
      <c r="H157" s="166">
        <f t="shared" si="19"/>
        <v>-145840.62726000001</v>
      </c>
      <c r="I157" s="162">
        <f t="shared" si="22"/>
        <v>-1905335.7986801015</v>
      </c>
      <c r="J157" s="166"/>
      <c r="K157" s="174"/>
    </row>
    <row r="158" spans="1:11" s="173" customFormat="1" hidden="1" outlineLevel="1" x14ac:dyDescent="0.25">
      <c r="A158" s="153">
        <f t="shared" si="23"/>
        <v>151</v>
      </c>
      <c r="B158" s="184">
        <v>43313</v>
      </c>
      <c r="C158" s="176"/>
      <c r="D158" s="151">
        <v>-62814.382783999958</v>
      </c>
      <c r="E158" s="179"/>
      <c r="F158" s="170">
        <v>4.6899999999999997E-2</v>
      </c>
      <c r="G158" s="168">
        <f t="shared" si="21"/>
        <v>-7569.44</v>
      </c>
      <c r="H158" s="166">
        <f t="shared" si="19"/>
        <v>-70383.82278399996</v>
      </c>
      <c r="I158" s="162">
        <f t="shared" si="22"/>
        <v>-1975719.6214641016</v>
      </c>
      <c r="J158" s="166"/>
      <c r="K158" s="174"/>
    </row>
    <row r="159" spans="1:11" s="173" customFormat="1" hidden="1" outlineLevel="1" x14ac:dyDescent="0.25">
      <c r="A159" s="153">
        <f t="shared" si="23"/>
        <v>152</v>
      </c>
      <c r="B159" s="184">
        <v>43344</v>
      </c>
      <c r="C159" s="176"/>
      <c r="D159" s="151">
        <v>-136799.79808900016</v>
      </c>
      <c r="E159" s="179"/>
      <c r="F159" s="170">
        <v>4.6899999999999997E-2</v>
      </c>
      <c r="G159" s="168">
        <f t="shared" si="21"/>
        <v>-7989.1</v>
      </c>
      <c r="H159" s="166">
        <f t="shared" si="19"/>
        <v>-144788.89808900017</v>
      </c>
      <c r="I159" s="162">
        <f t="shared" si="22"/>
        <v>-2120508.5195531016</v>
      </c>
      <c r="J159" s="166"/>
      <c r="K159" s="174"/>
    </row>
    <row r="160" spans="1:11" s="173" customFormat="1" hidden="1" outlineLevel="1" x14ac:dyDescent="0.25">
      <c r="A160" s="153">
        <f t="shared" si="23"/>
        <v>153</v>
      </c>
      <c r="B160" s="184">
        <v>43374</v>
      </c>
      <c r="C160" s="176"/>
      <c r="D160" s="151">
        <v>-171187.56944600004</v>
      </c>
      <c r="E160" s="179"/>
      <c r="F160" s="185">
        <v>4.9599999999999998E-2</v>
      </c>
      <c r="G160" s="168">
        <f t="shared" si="21"/>
        <v>-9118.56</v>
      </c>
      <c r="H160" s="166">
        <f t="shared" si="19"/>
        <v>-180306.12944600004</v>
      </c>
      <c r="I160" s="162">
        <f t="shared" si="22"/>
        <v>-2300814.6489991015</v>
      </c>
      <c r="J160" s="166"/>
      <c r="K160" s="174"/>
    </row>
    <row r="161" spans="1:11" s="173" customFormat="1" collapsed="1" x14ac:dyDescent="0.25">
      <c r="A161" s="153">
        <f t="shared" si="23"/>
        <v>154</v>
      </c>
      <c r="B161" s="184">
        <v>43405</v>
      </c>
      <c r="C161" s="176">
        <v>1</v>
      </c>
      <c r="D161" s="151">
        <v>950778.20533500053</v>
      </c>
      <c r="E161" s="179">
        <v>1991639.6114641016</v>
      </c>
      <c r="F161" s="185">
        <v>4.9599999999999998E-2</v>
      </c>
      <c r="G161" s="168">
        <v>687.02</v>
      </c>
      <c r="H161" s="166">
        <v>2943104.8367991024</v>
      </c>
      <c r="I161" s="162">
        <v>642290.18780000089</v>
      </c>
      <c r="J161" s="166"/>
      <c r="K161" s="174"/>
    </row>
    <row r="162" spans="1:11" s="173" customFormat="1" x14ac:dyDescent="0.25">
      <c r="A162" s="153">
        <f t="shared" si="23"/>
        <v>155</v>
      </c>
      <c r="B162" s="184">
        <v>43435</v>
      </c>
      <c r="C162" s="176"/>
      <c r="D162" s="151">
        <v>701599.81078328099</v>
      </c>
      <c r="E162" s="179"/>
      <c r="F162" s="185">
        <v>4.9599999999999998E-2</v>
      </c>
      <c r="G162" s="168">
        <v>4104.7700000000004</v>
      </c>
      <c r="H162" s="166">
        <v>705704.58078328101</v>
      </c>
      <c r="I162" s="162">
        <v>1347994.7685832819</v>
      </c>
      <c r="J162" s="166"/>
      <c r="K162" s="174"/>
    </row>
    <row r="163" spans="1:11" s="173" customFormat="1" x14ac:dyDescent="0.25">
      <c r="A163" s="153">
        <f t="shared" si="23"/>
        <v>156</v>
      </c>
      <c r="B163" s="184">
        <v>43466</v>
      </c>
      <c r="C163" s="176"/>
      <c r="D163" s="151">
        <v>388675.61577244988</v>
      </c>
      <c r="E163" s="179"/>
      <c r="F163" s="185">
        <v>5.1799999999999999E-2</v>
      </c>
      <c r="G163" s="168">
        <v>6657.74</v>
      </c>
      <c r="H163" s="166">
        <v>395333.35577244987</v>
      </c>
      <c r="I163" s="162">
        <v>1743328.1243557318</v>
      </c>
      <c r="J163" s="166"/>
      <c r="K163" s="174"/>
    </row>
    <row r="164" spans="1:11" s="173" customFormat="1" x14ac:dyDescent="0.25">
      <c r="A164" s="153">
        <f t="shared" si="23"/>
        <v>157</v>
      </c>
      <c r="B164" s="184">
        <v>43497</v>
      </c>
      <c r="C164" s="176"/>
      <c r="D164" s="151">
        <v>1216886.1177600003</v>
      </c>
      <c r="E164" s="179"/>
      <c r="F164" s="185">
        <v>5.1799999999999999E-2</v>
      </c>
      <c r="G164" s="168">
        <v>10151.81</v>
      </c>
      <c r="H164" s="166">
        <v>1227037.9277600003</v>
      </c>
      <c r="I164" s="162">
        <v>2970366.0521157319</v>
      </c>
      <c r="J164" s="166"/>
      <c r="K164" s="174"/>
    </row>
    <row r="165" spans="1:11" s="173" customFormat="1" x14ac:dyDescent="0.25">
      <c r="A165" s="153">
        <f t="shared" si="23"/>
        <v>158</v>
      </c>
      <c r="B165" s="184">
        <v>43525</v>
      </c>
      <c r="C165" s="176"/>
      <c r="D165" s="151">
        <v>561925.9502249998</v>
      </c>
      <c r="E165" s="179"/>
      <c r="F165" s="185">
        <v>5.1799999999999999E-2</v>
      </c>
      <c r="G165" s="168">
        <v>14034.9</v>
      </c>
      <c r="H165" s="166">
        <v>575960.85022499983</v>
      </c>
      <c r="I165" s="162">
        <v>3546326.9023407316</v>
      </c>
      <c r="J165" s="166"/>
      <c r="K165" s="174"/>
    </row>
    <row r="166" spans="1:11" s="173" customFormat="1" x14ac:dyDescent="0.25">
      <c r="A166" s="153">
        <f t="shared" si="23"/>
        <v>159</v>
      </c>
      <c r="B166" s="184">
        <v>43556</v>
      </c>
      <c r="C166" s="176"/>
      <c r="D166" s="151">
        <v>-251479.4393180511</v>
      </c>
      <c r="E166" s="179"/>
      <c r="F166" s="185">
        <v>5.45E-2</v>
      </c>
      <c r="G166" s="168">
        <v>15535.17</v>
      </c>
      <c r="H166" s="166">
        <v>-235944.26931805108</v>
      </c>
      <c r="I166" s="162">
        <v>3310382.6330226804</v>
      </c>
      <c r="J166" s="166"/>
      <c r="K166" s="174"/>
    </row>
    <row r="167" spans="1:11" s="173" customFormat="1" x14ac:dyDescent="0.25">
      <c r="A167" s="153">
        <f t="shared" si="23"/>
        <v>160</v>
      </c>
      <c r="B167" s="184">
        <v>43586</v>
      </c>
      <c r="C167" s="176"/>
      <c r="D167" s="151">
        <v>-240347.44889643404</v>
      </c>
      <c r="E167" s="179"/>
      <c r="F167" s="185">
        <v>5.45E-2</v>
      </c>
      <c r="G167" s="168">
        <v>14488.87</v>
      </c>
      <c r="H167" s="166">
        <v>-225858.57889643405</v>
      </c>
      <c r="I167" s="162">
        <v>3084524.0541262464</v>
      </c>
      <c r="J167" s="166"/>
      <c r="K167" s="174"/>
    </row>
    <row r="168" spans="1:11" s="173" customFormat="1" x14ac:dyDescent="0.25">
      <c r="A168" s="153">
        <f t="shared" si="23"/>
        <v>161</v>
      </c>
      <c r="B168" s="184">
        <v>43617</v>
      </c>
      <c r="C168" s="176"/>
      <c r="D168" s="151">
        <v>-199222.30125700001</v>
      </c>
      <c r="E168" s="179"/>
      <c r="F168" s="185">
        <v>5.45E-2</v>
      </c>
      <c r="G168" s="168">
        <v>13556.48</v>
      </c>
      <c r="H168" s="166">
        <v>-185665.821257</v>
      </c>
      <c r="I168" s="162">
        <v>2898858.2328692465</v>
      </c>
      <c r="J168" s="166"/>
      <c r="K168" s="174"/>
    </row>
    <row r="169" spans="1:11" s="173" customFormat="1" x14ac:dyDescent="0.25">
      <c r="A169" s="153">
        <f t="shared" si="23"/>
        <v>162</v>
      </c>
      <c r="B169" s="184">
        <v>43647</v>
      </c>
      <c r="C169" s="176"/>
      <c r="D169" s="151">
        <v>-115634.95162399998</v>
      </c>
      <c r="E169" s="179"/>
      <c r="F169" s="185">
        <v>5.5E-2</v>
      </c>
      <c r="G169" s="168">
        <v>13021.44</v>
      </c>
      <c r="H169" s="166">
        <v>-102613.51162399998</v>
      </c>
      <c r="I169" s="162">
        <v>2796244.7212452465</v>
      </c>
      <c r="J169" s="166"/>
      <c r="K169" s="174"/>
    </row>
    <row r="170" spans="1:11" s="173" customFormat="1" x14ac:dyDescent="0.25">
      <c r="A170" s="153">
        <f t="shared" si="23"/>
        <v>163</v>
      </c>
      <c r="B170" s="184">
        <v>43678</v>
      </c>
      <c r="C170" s="176"/>
      <c r="D170" s="151">
        <v>-104459.36503015843</v>
      </c>
      <c r="E170" s="179"/>
      <c r="F170" s="185">
        <v>5.5E-2</v>
      </c>
      <c r="G170" s="168">
        <v>12576.74</v>
      </c>
      <c r="H170" s="166">
        <v>-91882.625030158422</v>
      </c>
      <c r="I170" s="162">
        <v>2704362.0962150879</v>
      </c>
      <c r="J170" s="166"/>
      <c r="K170" s="174"/>
    </row>
    <row r="171" spans="1:11" s="173" customFormat="1" x14ac:dyDescent="0.25">
      <c r="A171" s="153">
        <f t="shared" si="23"/>
        <v>164</v>
      </c>
      <c r="B171" s="184">
        <v>43709</v>
      </c>
      <c r="C171" s="176"/>
      <c r="D171" s="151"/>
      <c r="E171" s="179"/>
      <c r="F171" s="185">
        <v>5.5E-2</v>
      </c>
      <c r="G171" s="168">
        <v>12394.99</v>
      </c>
      <c r="H171" s="166">
        <v>12394.99</v>
      </c>
      <c r="I171" s="162">
        <v>2716757.0862150881</v>
      </c>
      <c r="J171" s="166"/>
      <c r="K171" s="174"/>
    </row>
    <row r="172" spans="1:11" s="173" customFormat="1" x14ac:dyDescent="0.25">
      <c r="A172" s="153">
        <f t="shared" si="23"/>
        <v>165</v>
      </c>
      <c r="B172" s="184">
        <v>43739</v>
      </c>
      <c r="C172" s="176"/>
      <c r="D172" s="151"/>
      <c r="E172" s="179"/>
      <c r="F172" s="186">
        <v>5.4199999999999998E-2</v>
      </c>
      <c r="G172" s="168">
        <v>12270.69</v>
      </c>
      <c r="H172" s="166">
        <v>12270.69</v>
      </c>
      <c r="I172" s="162">
        <v>2729027.7762150881</v>
      </c>
      <c r="J172" s="166"/>
      <c r="K172" s="174"/>
    </row>
    <row r="173" spans="1:11" s="173" customFormat="1" x14ac:dyDescent="0.25">
      <c r="A173" s="153">
        <f t="shared" si="23"/>
        <v>166</v>
      </c>
      <c r="B173" s="160"/>
      <c r="D173" s="151"/>
      <c r="E173" s="174"/>
      <c r="F173" s="187"/>
      <c r="G173" s="168"/>
      <c r="H173" s="166"/>
      <c r="I173" s="162"/>
      <c r="J173" s="166"/>
      <c r="K173" s="174"/>
    </row>
    <row r="174" spans="1:11" x14ac:dyDescent="0.25">
      <c r="A174" s="153">
        <f t="shared" si="23"/>
        <v>167</v>
      </c>
      <c r="B174" s="188" t="s">
        <v>157</v>
      </c>
    </row>
    <row r="175" spans="1:11" x14ac:dyDescent="0.25">
      <c r="A175" s="153">
        <f t="shared" si="23"/>
        <v>168</v>
      </c>
      <c r="B175" s="189"/>
    </row>
    <row r="176" spans="1:11" x14ac:dyDescent="0.25">
      <c r="A176" s="153">
        <f t="shared" si="23"/>
        <v>169</v>
      </c>
      <c r="B176" s="190" t="s">
        <v>131</v>
      </c>
    </row>
    <row r="177" spans="1:2" x14ac:dyDescent="0.25">
      <c r="A177" s="153">
        <f t="shared" si="23"/>
        <v>170</v>
      </c>
      <c r="B177" s="159" t="s">
        <v>158</v>
      </c>
    </row>
    <row r="178" spans="1:2" x14ac:dyDescent="0.25">
      <c r="B178" s="191"/>
    </row>
  </sheetData>
  <pageMargins left="0.7" right="0.7" top="0.75" bottom="0.75" header="0.3" footer="0.3"/>
  <pageSetup scale="66" orientation="landscape" horizontalDpi="300" verticalDpi="300" r:id="rId1"/>
  <headerFooter>
    <oddHeader>&amp;RNWN's Advice 19-06A
Exhibit A - Supporting Materials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showGridLines="0" view="pageLayout" zoomScaleNormal="100" workbookViewId="0">
      <selection activeCell="X20" sqref="X20"/>
    </sheetView>
  </sheetViews>
  <sheetFormatPr defaultColWidth="7.88671875" defaultRowHeight="13.2" x14ac:dyDescent="0.25"/>
  <cols>
    <col min="1" max="1" width="4" style="146" customWidth="1"/>
    <col min="2" max="2" width="13.44140625" style="147" customWidth="1"/>
    <col min="3" max="3" width="12.109375" style="147" customWidth="1"/>
    <col min="4" max="4" width="13.44140625" style="147" customWidth="1"/>
    <col min="5" max="5" width="14.6640625" style="147" customWidth="1"/>
    <col min="6" max="7" width="13.44140625" style="147" customWidth="1"/>
    <col min="8" max="9" width="17.6640625" style="147" customWidth="1"/>
    <col min="10" max="10" width="13.44140625" style="148" customWidth="1"/>
    <col min="11" max="20" width="13.44140625" style="147" customWidth="1"/>
    <col min="21" max="16384" width="7.88671875" style="147"/>
  </cols>
  <sheetData>
    <row r="1" spans="1:10" x14ac:dyDescent="0.25">
      <c r="B1" s="147" t="s">
        <v>133</v>
      </c>
      <c r="D1" s="147" t="s">
        <v>134</v>
      </c>
    </row>
    <row r="2" spans="1:10" x14ac:dyDescent="0.25">
      <c r="B2" s="147" t="s">
        <v>135</v>
      </c>
      <c r="D2" s="147" t="s">
        <v>68</v>
      </c>
    </row>
    <row r="3" spans="1:10" x14ac:dyDescent="0.25">
      <c r="B3" s="147" t="s">
        <v>136</v>
      </c>
      <c r="D3" s="159" t="s">
        <v>159</v>
      </c>
    </row>
    <row r="4" spans="1:10" x14ac:dyDescent="0.25">
      <c r="B4" s="147" t="s">
        <v>138</v>
      </c>
      <c r="D4" s="150">
        <v>191421</v>
      </c>
      <c r="E4" s="152"/>
      <c r="F4" s="152"/>
      <c r="G4" s="152"/>
      <c r="H4" s="193"/>
      <c r="I4" s="152"/>
      <c r="J4" s="151"/>
    </row>
    <row r="5" spans="1:10" x14ac:dyDescent="0.25">
      <c r="D5" s="152" t="s">
        <v>139</v>
      </c>
      <c r="E5" s="152"/>
      <c r="F5" s="152"/>
      <c r="G5" s="152"/>
      <c r="H5" s="152"/>
      <c r="I5" s="152"/>
      <c r="J5" s="151"/>
    </row>
    <row r="6" spans="1:10" x14ac:dyDescent="0.25">
      <c r="D6" s="152" t="s">
        <v>140</v>
      </c>
      <c r="E6" s="152"/>
      <c r="F6" s="152"/>
      <c r="G6" s="152"/>
      <c r="H6" s="152"/>
      <c r="I6" s="152"/>
      <c r="J6" s="151"/>
    </row>
    <row r="7" spans="1:10" x14ac:dyDescent="0.25">
      <c r="D7" s="152"/>
      <c r="E7" s="152"/>
      <c r="F7" s="152"/>
      <c r="G7" s="152"/>
      <c r="H7" s="152"/>
      <c r="I7" s="152"/>
      <c r="J7" s="151"/>
    </row>
    <row r="8" spans="1:10" x14ac:dyDescent="0.25">
      <c r="A8" s="153">
        <v>1</v>
      </c>
      <c r="B8" s="147" t="s">
        <v>141</v>
      </c>
      <c r="D8" s="152"/>
      <c r="E8" s="152"/>
      <c r="F8" s="152"/>
      <c r="G8" s="194"/>
      <c r="H8" s="152"/>
      <c r="I8" s="152"/>
      <c r="J8" s="151"/>
    </row>
    <row r="9" spans="1:10" x14ac:dyDescent="0.25">
      <c r="A9" s="153">
        <f t="shared" ref="A9:A72" si="0">+A8+1</f>
        <v>2</v>
      </c>
      <c r="D9" s="152"/>
      <c r="E9" s="152"/>
      <c r="F9" s="152"/>
      <c r="G9" s="194"/>
      <c r="H9" s="152"/>
      <c r="I9" s="152"/>
      <c r="J9" s="151"/>
    </row>
    <row r="10" spans="1:10" x14ac:dyDescent="0.25">
      <c r="A10" s="153">
        <f t="shared" si="0"/>
        <v>3</v>
      </c>
      <c r="B10" s="155"/>
      <c r="C10" s="155"/>
      <c r="D10" s="194"/>
      <c r="E10" s="194"/>
      <c r="F10" s="194"/>
      <c r="G10" s="194"/>
      <c r="H10" s="194"/>
      <c r="I10" s="194"/>
      <c r="J10" s="151"/>
    </row>
    <row r="11" spans="1:10" x14ac:dyDescent="0.25">
      <c r="A11" s="153">
        <f t="shared" si="0"/>
        <v>4</v>
      </c>
      <c r="B11" s="156" t="s">
        <v>142</v>
      </c>
      <c r="C11" s="156" t="s">
        <v>143</v>
      </c>
      <c r="D11" s="195" t="s">
        <v>118</v>
      </c>
      <c r="E11" s="195" t="s">
        <v>145</v>
      </c>
      <c r="F11" s="157" t="s">
        <v>146</v>
      </c>
      <c r="G11" s="157" t="s">
        <v>108</v>
      </c>
      <c r="H11" s="157" t="s">
        <v>117</v>
      </c>
      <c r="I11" s="157" t="s">
        <v>111</v>
      </c>
      <c r="J11" s="151"/>
    </row>
    <row r="12" spans="1:10" x14ac:dyDescent="0.25">
      <c r="A12" s="153">
        <f t="shared" si="0"/>
        <v>5</v>
      </c>
      <c r="B12" s="155" t="s">
        <v>147</v>
      </c>
      <c r="C12" s="155" t="s">
        <v>148</v>
      </c>
      <c r="D12" s="194" t="s">
        <v>149</v>
      </c>
      <c r="E12" s="194" t="s">
        <v>150</v>
      </c>
      <c r="F12" s="158" t="s">
        <v>151</v>
      </c>
      <c r="G12" s="158" t="s">
        <v>152</v>
      </c>
      <c r="H12" s="158" t="s">
        <v>153</v>
      </c>
      <c r="I12" s="158" t="s">
        <v>154</v>
      </c>
      <c r="J12" s="154"/>
    </row>
    <row r="13" spans="1:10" x14ac:dyDescent="0.25">
      <c r="A13" s="153">
        <f t="shared" si="0"/>
        <v>6</v>
      </c>
      <c r="D13" s="152"/>
      <c r="E13" s="152"/>
      <c r="F13" s="152"/>
      <c r="G13" s="194"/>
      <c r="H13" s="152"/>
      <c r="I13" s="152"/>
      <c r="J13" s="151"/>
    </row>
    <row r="14" spans="1:10" hidden="1" x14ac:dyDescent="0.25">
      <c r="A14" s="153">
        <f t="shared" si="0"/>
        <v>7</v>
      </c>
      <c r="B14" s="159" t="s">
        <v>155</v>
      </c>
      <c r="D14" s="151"/>
      <c r="E14" s="151"/>
      <c r="F14" s="151"/>
      <c r="G14" s="151"/>
      <c r="H14" s="151"/>
      <c r="I14" s="151"/>
      <c r="J14" s="151"/>
    </row>
    <row r="15" spans="1:10" hidden="1" x14ac:dyDescent="0.25">
      <c r="A15" s="153">
        <f t="shared" si="0"/>
        <v>8</v>
      </c>
      <c r="B15" s="160">
        <v>39021</v>
      </c>
      <c r="D15" s="151"/>
      <c r="E15" s="151"/>
      <c r="F15" s="151"/>
      <c r="G15" s="163"/>
      <c r="H15" s="151"/>
      <c r="I15" s="161">
        <v>-108333.09</v>
      </c>
      <c r="J15" s="151"/>
    </row>
    <row r="16" spans="1:10" hidden="1" x14ac:dyDescent="0.25">
      <c r="A16" s="153">
        <f t="shared" si="0"/>
        <v>9</v>
      </c>
      <c r="B16" s="160">
        <f>+B15+30</f>
        <v>39051</v>
      </c>
      <c r="D16" s="151">
        <f>1938.86+13441.19</f>
        <v>15380.050000000001</v>
      </c>
      <c r="E16" s="151">
        <f>-'[2]191420 Defer WACOG'!E16</f>
        <v>-572607</v>
      </c>
      <c r="F16" s="151"/>
      <c r="G16" s="163">
        <f>-692.5-4340.68</f>
        <v>-5033.18</v>
      </c>
      <c r="H16" s="151">
        <f t="shared" ref="H16:H27" si="1">SUM(D16:G16)</f>
        <v>-562260.13</v>
      </c>
      <c r="I16" s="162">
        <f t="shared" ref="I16:I79" si="2">+I15+H16</f>
        <v>-670593.22</v>
      </c>
      <c r="J16" s="151"/>
    </row>
    <row r="17" spans="1:10" hidden="1" x14ac:dyDescent="0.25">
      <c r="A17" s="153">
        <f t="shared" si="0"/>
        <v>10</v>
      </c>
      <c r="B17" s="160">
        <f>+B16+31</f>
        <v>39082</v>
      </c>
      <c r="D17" s="151">
        <v>35793.33</v>
      </c>
      <c r="E17" s="151"/>
      <c r="F17" s="151"/>
      <c r="G17" s="163">
        <v>-4209.8900000000003</v>
      </c>
      <c r="H17" s="151">
        <f t="shared" si="1"/>
        <v>31583.440000000002</v>
      </c>
      <c r="I17" s="162">
        <f t="shared" si="2"/>
        <v>-639009.78</v>
      </c>
      <c r="J17" s="151"/>
    </row>
    <row r="18" spans="1:10" hidden="1" x14ac:dyDescent="0.25">
      <c r="A18" s="153">
        <f t="shared" si="0"/>
        <v>11</v>
      </c>
      <c r="B18" s="160">
        <f>+B17+31</f>
        <v>39113</v>
      </c>
      <c r="D18" s="151">
        <v>46397.81</v>
      </c>
      <c r="E18" s="151"/>
      <c r="F18" s="151"/>
      <c r="G18" s="163">
        <v>-3971.98</v>
      </c>
      <c r="H18" s="151">
        <f t="shared" si="1"/>
        <v>42425.829999999994</v>
      </c>
      <c r="I18" s="162">
        <f t="shared" si="2"/>
        <v>-596583.95000000007</v>
      </c>
      <c r="J18" s="151"/>
    </row>
    <row r="19" spans="1:10" hidden="1" x14ac:dyDescent="0.25">
      <c r="A19" s="153">
        <f t="shared" si="0"/>
        <v>12</v>
      </c>
      <c r="B19" s="160">
        <f>+B18+28</f>
        <v>39141</v>
      </c>
      <c r="D19" s="151">
        <v>41633.870000000003</v>
      </c>
      <c r="E19" s="151"/>
      <c r="F19" s="151"/>
      <c r="G19" s="163">
        <v>-3920.01</v>
      </c>
      <c r="H19" s="151">
        <f t="shared" si="1"/>
        <v>37713.86</v>
      </c>
      <c r="I19" s="162">
        <f t="shared" si="2"/>
        <v>-558870.09000000008</v>
      </c>
      <c r="J19" s="151"/>
    </row>
    <row r="20" spans="1:10" hidden="1" x14ac:dyDescent="0.25">
      <c r="A20" s="153">
        <f t="shared" si="0"/>
        <v>13</v>
      </c>
      <c r="B20" s="160">
        <f>+B19+31</f>
        <v>39172</v>
      </c>
      <c r="D20" s="151">
        <v>30959.43</v>
      </c>
      <c r="E20" s="151"/>
      <c r="F20" s="151"/>
      <c r="G20" s="163">
        <v>-3699.58</v>
      </c>
      <c r="H20" s="151">
        <f t="shared" si="1"/>
        <v>27259.85</v>
      </c>
      <c r="I20" s="162">
        <f t="shared" si="2"/>
        <v>-531610.24000000011</v>
      </c>
      <c r="J20" s="151"/>
    </row>
    <row r="21" spans="1:10" hidden="1" x14ac:dyDescent="0.25">
      <c r="A21" s="153">
        <f t="shared" si="0"/>
        <v>14</v>
      </c>
      <c r="B21" s="160">
        <f>+B20+30</f>
        <v>39202</v>
      </c>
      <c r="D21" s="151">
        <v>22211.56</v>
      </c>
      <c r="E21" s="151"/>
      <c r="F21" s="151"/>
      <c r="G21" s="163">
        <v>-3543.77</v>
      </c>
      <c r="H21" s="151">
        <f t="shared" si="1"/>
        <v>18667.79</v>
      </c>
      <c r="I21" s="162">
        <f t="shared" si="2"/>
        <v>-512942.45000000013</v>
      </c>
      <c r="J21" s="151"/>
    </row>
    <row r="22" spans="1:10" hidden="1" x14ac:dyDescent="0.25">
      <c r="A22" s="153">
        <f t="shared" si="0"/>
        <v>15</v>
      </c>
      <c r="B22" s="160">
        <f>+B21+31</f>
        <v>39233</v>
      </c>
      <c r="D22" s="151">
        <v>17015.62</v>
      </c>
      <c r="E22" s="151"/>
      <c r="F22" s="151"/>
      <c r="G22" s="163">
        <v>-3434.36</v>
      </c>
      <c r="H22" s="151">
        <f t="shared" si="1"/>
        <v>13581.259999999998</v>
      </c>
      <c r="I22" s="162">
        <f t="shared" si="2"/>
        <v>-499361.19000000012</v>
      </c>
      <c r="J22" s="151"/>
    </row>
    <row r="23" spans="1:10" hidden="1" x14ac:dyDescent="0.25">
      <c r="A23" s="153">
        <f t="shared" si="0"/>
        <v>16</v>
      </c>
      <c r="B23" s="160">
        <f>+B22+30</f>
        <v>39263</v>
      </c>
      <c r="D23" s="151">
        <v>11810.44</v>
      </c>
      <c r="E23" s="151"/>
      <c r="F23" s="151"/>
      <c r="G23" s="163">
        <v>-3460.84</v>
      </c>
      <c r="H23" s="151">
        <f t="shared" si="1"/>
        <v>8349.6</v>
      </c>
      <c r="I23" s="162">
        <f t="shared" si="2"/>
        <v>-491011.59000000014</v>
      </c>
      <c r="J23" s="162"/>
    </row>
    <row r="24" spans="1:10" hidden="1" x14ac:dyDescent="0.25">
      <c r="A24" s="153">
        <f t="shared" si="0"/>
        <v>17</v>
      </c>
      <c r="B24" s="160">
        <f>+B23+31</f>
        <v>39294</v>
      </c>
      <c r="C24" s="196"/>
      <c r="D24" s="151">
        <v>9999.68</v>
      </c>
      <c r="E24" s="151"/>
      <c r="F24" s="151"/>
      <c r="G24" s="162">
        <f>ROUND((+I23+E24+(D24/2))*0.0825/12,2)</f>
        <v>-3341.33</v>
      </c>
      <c r="H24" s="151">
        <f t="shared" si="1"/>
        <v>6658.35</v>
      </c>
      <c r="I24" s="162">
        <f t="shared" si="2"/>
        <v>-484353.24000000017</v>
      </c>
      <c r="J24" s="151"/>
    </row>
    <row r="25" spans="1:10" hidden="1" x14ac:dyDescent="0.25">
      <c r="A25" s="153">
        <f t="shared" si="0"/>
        <v>18</v>
      </c>
      <c r="B25" s="160">
        <f>+B24+30</f>
        <v>39324</v>
      </c>
      <c r="C25" s="196"/>
      <c r="D25" s="151">
        <v>9248.5400000000009</v>
      </c>
      <c r="E25" s="151"/>
      <c r="F25" s="151"/>
      <c r="G25" s="162">
        <f>ROUND((+I24+E25+(D25/2))*0.0825/12,2)</f>
        <v>-3298.14</v>
      </c>
      <c r="H25" s="151">
        <f t="shared" si="1"/>
        <v>5950.4000000000015</v>
      </c>
      <c r="I25" s="162">
        <f t="shared" si="2"/>
        <v>-478402.84000000014</v>
      </c>
      <c r="J25" s="151"/>
    </row>
    <row r="26" spans="1:10" hidden="1" x14ac:dyDescent="0.25">
      <c r="A26" s="153">
        <f t="shared" si="0"/>
        <v>19</v>
      </c>
      <c r="B26" s="160">
        <f>+B25+30</f>
        <v>39354</v>
      </c>
      <c r="C26" s="196"/>
      <c r="D26" s="151">
        <v>10144.530000000001</v>
      </c>
      <c r="E26" s="151"/>
      <c r="F26" s="151"/>
      <c r="G26" s="162">
        <f>ROUND((+I25+E26+(D26/2))*0.0825/12,2)</f>
        <v>-3254.15</v>
      </c>
      <c r="H26" s="151">
        <f t="shared" si="1"/>
        <v>6890.380000000001</v>
      </c>
      <c r="I26" s="162">
        <f t="shared" si="2"/>
        <v>-471512.46000000014</v>
      </c>
      <c r="J26" s="151"/>
    </row>
    <row r="27" spans="1:10" hidden="1" x14ac:dyDescent="0.25">
      <c r="A27" s="153">
        <f t="shared" si="0"/>
        <v>20</v>
      </c>
      <c r="B27" s="160">
        <f>+B26+31</f>
        <v>39385</v>
      </c>
      <c r="C27" s="196"/>
      <c r="D27" s="166">
        <v>15090.36</v>
      </c>
      <c r="E27" s="166"/>
      <c r="F27" s="166"/>
      <c r="G27" s="168">
        <f>ROUND((+I26+E27+(D27/2))*0.0825/12,2)</f>
        <v>-3189.78</v>
      </c>
      <c r="H27" s="166">
        <f t="shared" si="1"/>
        <v>11900.58</v>
      </c>
      <c r="I27" s="162">
        <f t="shared" si="2"/>
        <v>-459611.88000000012</v>
      </c>
      <c r="J27" s="151"/>
    </row>
    <row r="28" spans="1:10" hidden="1" x14ac:dyDescent="0.25">
      <c r="A28" s="153">
        <f t="shared" si="0"/>
        <v>21</v>
      </c>
      <c r="B28" s="160">
        <f>+B27+30</f>
        <v>39415</v>
      </c>
      <c r="C28" s="147" t="s">
        <v>160</v>
      </c>
      <c r="D28" s="166">
        <v>11269.68</v>
      </c>
      <c r="E28" s="166">
        <f>-'[2]191420 Defer WACOG'!E28</f>
        <v>-5713797</v>
      </c>
      <c r="F28" s="166"/>
      <c r="G28" s="168">
        <f>ROUND((+I27+E28+(D28/2))*0.0825/12,2)</f>
        <v>-42403.45</v>
      </c>
      <c r="H28" s="166">
        <f t="shared" ref="H28:H42" si="3">SUM(D28:G28)</f>
        <v>-5744930.7700000005</v>
      </c>
      <c r="I28" s="162">
        <f t="shared" si="2"/>
        <v>-6204542.6500000004</v>
      </c>
      <c r="J28" s="151"/>
    </row>
    <row r="29" spans="1:10" hidden="1" x14ac:dyDescent="0.25">
      <c r="A29" s="153">
        <f t="shared" si="0"/>
        <v>22</v>
      </c>
      <c r="B29" s="160">
        <f>+B28</f>
        <v>39415</v>
      </c>
      <c r="C29" s="147" t="s">
        <v>161</v>
      </c>
      <c r="D29" s="166">
        <v>233322.88</v>
      </c>
      <c r="E29" s="166"/>
      <c r="F29" s="166"/>
      <c r="G29" s="168">
        <f>ROUND((+(D29/2))*0.0825/12,2)</f>
        <v>802.05</v>
      </c>
      <c r="H29" s="166">
        <f t="shared" si="3"/>
        <v>234124.93</v>
      </c>
      <c r="I29" s="162">
        <f t="shared" si="2"/>
        <v>-5970417.7200000007</v>
      </c>
      <c r="J29" s="151"/>
    </row>
    <row r="30" spans="1:10" hidden="1" x14ac:dyDescent="0.25">
      <c r="A30" s="153">
        <f t="shared" si="0"/>
        <v>23</v>
      </c>
      <c r="B30" s="160">
        <f>+B28+31</f>
        <v>39446</v>
      </c>
      <c r="D30" s="151">
        <v>691497</v>
      </c>
      <c r="E30" s="151"/>
      <c r="F30" s="151"/>
      <c r="G30" s="168">
        <f>ROUND((+I29+E30+(D30/2))*0.0825/12,2)</f>
        <v>-38669.599999999999</v>
      </c>
      <c r="H30" s="166">
        <f t="shared" si="3"/>
        <v>652827.4</v>
      </c>
      <c r="I30" s="162">
        <f t="shared" si="2"/>
        <v>-5317590.32</v>
      </c>
      <c r="J30" s="151"/>
    </row>
    <row r="31" spans="1:10" hidden="1" x14ac:dyDescent="0.25">
      <c r="A31" s="153">
        <f t="shared" si="0"/>
        <v>24</v>
      </c>
      <c r="B31" s="160">
        <f>+B30+31</f>
        <v>39477</v>
      </c>
      <c r="D31" s="151">
        <v>835033.65</v>
      </c>
      <c r="E31" s="152"/>
      <c r="F31" s="152"/>
      <c r="G31" s="168">
        <f>ROUND((+I30+E31+(D31/2))*0.0776/12,2)</f>
        <v>-31687.14</v>
      </c>
      <c r="H31" s="166">
        <f t="shared" si="3"/>
        <v>803346.51</v>
      </c>
      <c r="I31" s="162">
        <f t="shared" si="2"/>
        <v>-4514243.8100000005</v>
      </c>
      <c r="J31" s="151"/>
    </row>
    <row r="32" spans="1:10" hidden="1" x14ac:dyDescent="0.25">
      <c r="A32" s="153">
        <f t="shared" si="0"/>
        <v>25</v>
      </c>
      <c r="B32" s="160">
        <f>+B31+29</f>
        <v>39506</v>
      </c>
      <c r="D32" s="151">
        <v>790013.29</v>
      </c>
      <c r="E32" s="152"/>
      <c r="F32" s="152"/>
      <c r="G32" s="168">
        <f>ROUND((+I31+E32+(D32/2))*0.0776/12,2)</f>
        <v>-26637.73</v>
      </c>
      <c r="H32" s="166">
        <f t="shared" si="3"/>
        <v>763375.56</v>
      </c>
      <c r="I32" s="162">
        <f t="shared" si="2"/>
        <v>-3750868.2500000005</v>
      </c>
      <c r="J32" s="151"/>
    </row>
    <row r="33" spans="1:10" hidden="1" x14ac:dyDescent="0.25">
      <c r="A33" s="153">
        <f t="shared" si="0"/>
        <v>26</v>
      </c>
      <c r="B33" s="160">
        <f>+B32+31</f>
        <v>39537</v>
      </c>
      <c r="D33" s="151">
        <v>578221.73</v>
      </c>
      <c r="E33" s="152"/>
      <c r="F33" s="152"/>
      <c r="G33" s="168">
        <f>ROUND((+I32+E33+(D33/2))*0.0776/12,2)</f>
        <v>-22386.03</v>
      </c>
      <c r="H33" s="166">
        <f t="shared" si="3"/>
        <v>555835.69999999995</v>
      </c>
      <c r="I33" s="162">
        <f t="shared" si="2"/>
        <v>-3195032.5500000007</v>
      </c>
      <c r="J33" s="151"/>
    </row>
    <row r="34" spans="1:10" hidden="1" x14ac:dyDescent="0.25">
      <c r="A34" s="153">
        <f t="shared" si="0"/>
        <v>27</v>
      </c>
      <c r="B34" s="160">
        <f>+B33+30</f>
        <v>39567</v>
      </c>
      <c r="D34" s="151">
        <v>588237.96</v>
      </c>
      <c r="E34" s="152"/>
      <c r="F34" s="152"/>
      <c r="G34" s="168">
        <f>ROUND((+I33+E34+(D34/2))*0.0677/12,2)</f>
        <v>-16365.99</v>
      </c>
      <c r="H34" s="166">
        <f t="shared" si="3"/>
        <v>571871.97</v>
      </c>
      <c r="I34" s="162">
        <f t="shared" si="2"/>
        <v>-2623160.580000001</v>
      </c>
      <c r="J34" s="151"/>
    </row>
    <row r="35" spans="1:10" hidden="1" x14ac:dyDescent="0.25">
      <c r="A35" s="153">
        <f t="shared" si="0"/>
        <v>28</v>
      </c>
      <c r="B35" s="160">
        <f>+B34+31</f>
        <v>39598</v>
      </c>
      <c r="D35" s="151">
        <v>398285.64</v>
      </c>
      <c r="E35" s="152"/>
      <c r="F35" s="152"/>
      <c r="G35" s="168">
        <f>ROUND((+I34+E35+(D35/2))*0.0677/12,2)</f>
        <v>-13675.5</v>
      </c>
      <c r="H35" s="166">
        <f t="shared" si="3"/>
        <v>384610.14</v>
      </c>
      <c r="I35" s="162">
        <f t="shared" si="2"/>
        <v>-2238550.4400000009</v>
      </c>
      <c r="J35" s="151"/>
    </row>
    <row r="36" spans="1:10" hidden="1" x14ac:dyDescent="0.25">
      <c r="A36" s="153">
        <f t="shared" si="0"/>
        <v>29</v>
      </c>
      <c r="B36" s="160">
        <f>+B35+30</f>
        <v>39628</v>
      </c>
      <c r="D36" s="151">
        <v>269730.38</v>
      </c>
      <c r="E36" s="152"/>
      <c r="F36" s="152"/>
      <c r="G36" s="168">
        <f>ROUND((+I35+E36+(D36/2))*0.0677/12,2)</f>
        <v>-11868.29</v>
      </c>
      <c r="H36" s="166">
        <f t="shared" si="3"/>
        <v>257862.09</v>
      </c>
      <c r="I36" s="162">
        <f t="shared" si="2"/>
        <v>-1980688.3500000008</v>
      </c>
      <c r="J36" s="151"/>
    </row>
    <row r="37" spans="1:10" hidden="1" x14ac:dyDescent="0.25">
      <c r="A37" s="153">
        <f t="shared" si="0"/>
        <v>30</v>
      </c>
      <c r="B37" s="160">
        <f>+B36+31</f>
        <v>39659</v>
      </c>
      <c r="D37" s="151">
        <v>205144.05</v>
      </c>
      <c r="E37" s="152"/>
      <c r="F37" s="152"/>
      <c r="G37" s="168">
        <f>ROUND((+I36+E37+(D37/2))*0.053/12,2)</f>
        <v>-8295.01</v>
      </c>
      <c r="H37" s="166">
        <f t="shared" si="3"/>
        <v>196849.03999999998</v>
      </c>
      <c r="I37" s="162">
        <f t="shared" si="2"/>
        <v>-1783839.3100000008</v>
      </c>
      <c r="J37" s="151"/>
    </row>
    <row r="38" spans="1:10" hidden="1" x14ac:dyDescent="0.25">
      <c r="A38" s="153">
        <f t="shared" si="0"/>
        <v>31</v>
      </c>
      <c r="B38" s="160">
        <f>+B37+30</f>
        <v>39689</v>
      </c>
      <c r="D38" s="151">
        <v>173863.12</v>
      </c>
      <c r="E38" s="152"/>
      <c r="F38" s="152"/>
      <c r="G38" s="168">
        <f>ROUND((+I37+E38+(D38/2))*0.053/12,2)</f>
        <v>-7494.68</v>
      </c>
      <c r="H38" s="166">
        <f t="shared" si="3"/>
        <v>166368.44</v>
      </c>
      <c r="I38" s="162">
        <f t="shared" si="2"/>
        <v>-1617470.8700000008</v>
      </c>
      <c r="J38" s="151"/>
    </row>
    <row r="39" spans="1:10" hidden="1" x14ac:dyDescent="0.25">
      <c r="A39" s="153">
        <f t="shared" si="0"/>
        <v>32</v>
      </c>
      <c r="B39" s="160">
        <f>+B38+30</f>
        <v>39719</v>
      </c>
      <c r="D39" s="151">
        <v>182358.51</v>
      </c>
      <c r="E39" s="152"/>
      <c r="F39" s="152"/>
      <c r="G39" s="168">
        <f>ROUND((+I38+E39+(D39/2))*0.053/12,2)</f>
        <v>-6741.12</v>
      </c>
      <c r="H39" s="166">
        <f t="shared" si="3"/>
        <v>175617.39</v>
      </c>
      <c r="I39" s="162">
        <f t="shared" si="2"/>
        <v>-1441853.4800000009</v>
      </c>
      <c r="J39" s="151"/>
    </row>
    <row r="40" spans="1:10" hidden="1" x14ac:dyDescent="0.25">
      <c r="A40" s="153">
        <f t="shared" si="0"/>
        <v>33</v>
      </c>
      <c r="B40" s="160">
        <f>+B39+31</f>
        <v>39750</v>
      </c>
      <c r="D40" s="166">
        <f>242723-12</f>
        <v>242711</v>
      </c>
      <c r="E40" s="166"/>
      <c r="F40" s="166"/>
      <c r="G40" s="168">
        <f>ROUND((+I39+E40+(D40/2))*0.05/12,2)</f>
        <v>-5502.07</v>
      </c>
      <c r="H40" s="166">
        <f t="shared" si="3"/>
        <v>237208.93</v>
      </c>
      <c r="I40" s="162">
        <f t="shared" si="2"/>
        <v>-1204644.550000001</v>
      </c>
      <c r="J40" s="151"/>
    </row>
    <row r="41" spans="1:10" hidden="1" x14ac:dyDescent="0.25">
      <c r="A41" s="153">
        <f t="shared" si="0"/>
        <v>34</v>
      </c>
      <c r="B41" s="160">
        <f>+B40+30</f>
        <v>39780</v>
      </c>
      <c r="D41" s="151">
        <v>145406.41</v>
      </c>
      <c r="E41" s="166">
        <f>-'[2]191420 Defer WACOG'!E40</f>
        <v>2262733</v>
      </c>
      <c r="F41" s="166"/>
      <c r="G41" s="168">
        <f>ROUND((+I40+E41+(D41/2))*0.05/12,2)</f>
        <v>4711.63</v>
      </c>
      <c r="H41" s="166">
        <f t="shared" si="3"/>
        <v>2412851.04</v>
      </c>
      <c r="I41" s="162">
        <f t="shared" si="2"/>
        <v>1208206.4899999991</v>
      </c>
      <c r="J41" s="151"/>
    </row>
    <row r="42" spans="1:10" hidden="1" x14ac:dyDescent="0.25">
      <c r="A42" s="153">
        <f t="shared" si="0"/>
        <v>35</v>
      </c>
      <c r="B42" s="160">
        <f>+B41+31</f>
        <v>39811</v>
      </c>
      <c r="D42" s="151">
        <v>-145297</v>
      </c>
      <c r="E42" s="152"/>
      <c r="F42" s="152"/>
      <c r="G42" s="168">
        <f>ROUND((+I41+E42+(D42/2))*0.05/12,2)</f>
        <v>4731.49</v>
      </c>
      <c r="H42" s="166">
        <f t="shared" si="3"/>
        <v>-140565.51</v>
      </c>
      <c r="I42" s="162">
        <f t="shared" si="2"/>
        <v>1067640.9799999991</v>
      </c>
      <c r="J42" s="151"/>
    </row>
    <row r="43" spans="1:10" hidden="1" x14ac:dyDescent="0.25">
      <c r="A43" s="153">
        <f t="shared" si="0"/>
        <v>36</v>
      </c>
      <c r="B43" s="160">
        <f>+B42+31</f>
        <v>39842</v>
      </c>
      <c r="D43" s="151">
        <v>-205495.43</v>
      </c>
      <c r="E43" s="152"/>
      <c r="F43" s="152"/>
      <c r="G43" s="168">
        <f>ROUND((+I42+E43+(D43/2))*0.0452/12,2)</f>
        <v>3634.43</v>
      </c>
      <c r="H43" s="166">
        <f t="shared" ref="H43:H52" si="4">SUM(D43:G43)</f>
        <v>-201861</v>
      </c>
      <c r="I43" s="162">
        <f t="shared" si="2"/>
        <v>865779.97999999905</v>
      </c>
      <c r="J43" s="151"/>
    </row>
    <row r="44" spans="1:10" hidden="1" x14ac:dyDescent="0.25">
      <c r="A44" s="153">
        <f t="shared" si="0"/>
        <v>37</v>
      </c>
      <c r="B44" s="160">
        <f>+B43+28</f>
        <v>39870</v>
      </c>
      <c r="D44" s="151">
        <v>-180219.15</v>
      </c>
      <c r="E44" s="152"/>
      <c r="F44" s="152"/>
      <c r="G44" s="168">
        <f>ROUND((+I43+E44+(D44/2))*0.0452/12,2)</f>
        <v>2921.69</v>
      </c>
      <c r="H44" s="166">
        <f t="shared" si="4"/>
        <v>-177297.46</v>
      </c>
      <c r="I44" s="162">
        <f t="shared" si="2"/>
        <v>688482.51999999909</v>
      </c>
      <c r="J44" s="151"/>
    </row>
    <row r="45" spans="1:10" hidden="1" x14ac:dyDescent="0.25">
      <c r="A45" s="153">
        <f t="shared" si="0"/>
        <v>38</v>
      </c>
      <c r="B45" s="160">
        <f>+B44+31</f>
        <v>39901</v>
      </c>
      <c r="D45" s="151">
        <v>-161853.42000000001</v>
      </c>
      <c r="E45" s="152"/>
      <c r="F45" s="152"/>
      <c r="G45" s="168">
        <f>ROUND((+I44+E45+(D45/2))*0.0452/12,2)</f>
        <v>2288.46</v>
      </c>
      <c r="H45" s="166">
        <f t="shared" si="4"/>
        <v>-159564.96000000002</v>
      </c>
      <c r="I45" s="162">
        <f t="shared" si="2"/>
        <v>528917.55999999912</v>
      </c>
      <c r="J45" s="151"/>
    </row>
    <row r="46" spans="1:10" hidden="1" x14ac:dyDescent="0.25">
      <c r="A46" s="153">
        <f t="shared" si="0"/>
        <v>39</v>
      </c>
      <c r="B46" s="160">
        <f>+B45+30</f>
        <v>39931</v>
      </c>
      <c r="D46" s="151">
        <v>-121126.76</v>
      </c>
      <c r="E46" s="152"/>
      <c r="F46" s="152"/>
      <c r="G46" s="168">
        <f>ROUND((+I45+E46+(D46/2))*0.0337/12,2)</f>
        <v>1315.29</v>
      </c>
      <c r="H46" s="166">
        <f t="shared" si="4"/>
        <v>-119811.47</v>
      </c>
      <c r="I46" s="162">
        <f t="shared" si="2"/>
        <v>409106.08999999915</v>
      </c>
      <c r="J46" s="151"/>
    </row>
    <row r="47" spans="1:10" hidden="1" x14ac:dyDescent="0.25">
      <c r="A47" s="153">
        <f t="shared" si="0"/>
        <v>40</v>
      </c>
      <c r="B47" s="160">
        <f>+B46+31</f>
        <v>39962</v>
      </c>
      <c r="D47" s="151">
        <v>-77329.429999999993</v>
      </c>
      <c r="E47" s="152"/>
      <c r="F47" s="152"/>
      <c r="G47" s="168">
        <f>ROUND((+I46+E47+(D47/2))*0.0337/12,2)</f>
        <v>1040.32</v>
      </c>
      <c r="H47" s="166">
        <f t="shared" si="4"/>
        <v>-76289.109999999986</v>
      </c>
      <c r="I47" s="162">
        <f t="shared" si="2"/>
        <v>332816.97999999917</v>
      </c>
      <c r="J47" s="151"/>
    </row>
    <row r="48" spans="1:10" hidden="1" x14ac:dyDescent="0.25">
      <c r="A48" s="153">
        <f t="shared" si="0"/>
        <v>41</v>
      </c>
      <c r="B48" s="160">
        <f>+B47+30</f>
        <v>39992</v>
      </c>
      <c r="D48" s="151">
        <v>4092989.09</v>
      </c>
      <c r="E48" s="151">
        <f>-'[2]191420 Defer WACOG'!E47</f>
        <v>-4072328.88</v>
      </c>
      <c r="F48" s="151"/>
      <c r="G48" s="168">
        <f>ROUND((+I47+E48+(D48/2))*0.0337/12,2)</f>
        <v>-4754.5600000000004</v>
      </c>
      <c r="H48" s="166">
        <f t="shared" si="4"/>
        <v>15905.649999999961</v>
      </c>
      <c r="I48" s="162">
        <f t="shared" si="2"/>
        <v>348722.62999999913</v>
      </c>
      <c r="J48" s="151"/>
    </row>
    <row r="49" spans="1:12" hidden="1" x14ac:dyDescent="0.25">
      <c r="A49" s="153">
        <f t="shared" si="0"/>
        <v>42</v>
      </c>
      <c r="B49" s="160">
        <f>+B48+31</f>
        <v>40023</v>
      </c>
      <c r="D49" s="151">
        <v>-39805.550000000003</v>
      </c>
      <c r="E49" s="152"/>
      <c r="F49" s="152"/>
      <c r="G49" s="168">
        <f>ROUND((+I48+E49+(D49/2))*0.0325/12,2)</f>
        <v>890.55</v>
      </c>
      <c r="H49" s="166">
        <f t="shared" si="4"/>
        <v>-38915</v>
      </c>
      <c r="I49" s="162">
        <f t="shared" si="2"/>
        <v>309807.62999999913</v>
      </c>
      <c r="J49" s="151"/>
    </row>
    <row r="50" spans="1:12" hidden="1" x14ac:dyDescent="0.25">
      <c r="A50" s="153">
        <f t="shared" si="0"/>
        <v>43</v>
      </c>
      <c r="B50" s="160">
        <f>+B49+30</f>
        <v>40053</v>
      </c>
      <c r="D50" s="151">
        <v>-37281.910000000003</v>
      </c>
      <c r="E50" s="152"/>
      <c r="F50" s="152"/>
      <c r="G50" s="168">
        <f>ROUND((+I49+E50+(D50/2))*0.0325/12,2)</f>
        <v>788.58</v>
      </c>
      <c r="H50" s="166">
        <f t="shared" si="4"/>
        <v>-36493.33</v>
      </c>
      <c r="I50" s="162">
        <f t="shared" si="2"/>
        <v>273314.29999999912</v>
      </c>
      <c r="J50" s="151"/>
    </row>
    <row r="51" spans="1:12" hidden="1" x14ac:dyDescent="0.25">
      <c r="A51" s="153">
        <f t="shared" si="0"/>
        <v>44</v>
      </c>
      <c r="B51" s="160">
        <f>+B50+30</f>
        <v>40083</v>
      </c>
      <c r="D51" s="151">
        <v>-40411.11</v>
      </c>
      <c r="E51" s="152"/>
      <c r="F51" s="152"/>
      <c r="G51" s="168">
        <f>ROUND((+I50+E51+(D51/2))*0.0325/12,2)</f>
        <v>685.5</v>
      </c>
      <c r="H51" s="166">
        <f t="shared" si="4"/>
        <v>-39725.61</v>
      </c>
      <c r="I51" s="162">
        <f t="shared" si="2"/>
        <v>233588.68999999913</v>
      </c>
      <c r="J51" s="151"/>
    </row>
    <row r="52" spans="1:12" hidden="1" x14ac:dyDescent="0.25">
      <c r="A52" s="153">
        <f t="shared" si="0"/>
        <v>45</v>
      </c>
      <c r="B52" s="160">
        <f>+B51+31</f>
        <v>40114</v>
      </c>
      <c r="D52" s="151">
        <v>-56417.1</v>
      </c>
      <c r="E52" s="152"/>
      <c r="F52" s="152"/>
      <c r="G52" s="168">
        <f>ROUND((+I51+E52+(D52/2))*0.0325/12,2)</f>
        <v>556.24</v>
      </c>
      <c r="H52" s="166">
        <f t="shared" si="4"/>
        <v>-55860.86</v>
      </c>
      <c r="I52" s="162">
        <f t="shared" si="2"/>
        <v>177727.82999999914</v>
      </c>
      <c r="J52" s="151"/>
    </row>
    <row r="53" spans="1:12" hidden="1" x14ac:dyDescent="0.25">
      <c r="A53" s="153">
        <f t="shared" si="0"/>
        <v>46</v>
      </c>
      <c r="B53" s="160">
        <f>+B52+30</f>
        <v>40144</v>
      </c>
      <c r="D53" s="151">
        <v>-47340.04</v>
      </c>
      <c r="E53" s="152"/>
      <c r="F53" s="152"/>
      <c r="G53" s="168">
        <f>ROUND((+I52+E53+(D53/2))*0.0325/12,2)</f>
        <v>417.24</v>
      </c>
      <c r="H53" s="166">
        <f t="shared" ref="H53:H59" si="5">SUM(D53:G53)</f>
        <v>-46922.8</v>
      </c>
      <c r="I53" s="162">
        <f t="shared" si="2"/>
        <v>130805.02999999914</v>
      </c>
      <c r="J53" s="151"/>
    </row>
    <row r="54" spans="1:12" hidden="1" x14ac:dyDescent="0.25">
      <c r="A54" s="153">
        <f t="shared" si="0"/>
        <v>47</v>
      </c>
      <c r="B54" s="160">
        <f>+B53+30</f>
        <v>40174</v>
      </c>
      <c r="D54" s="151"/>
      <c r="E54" s="152"/>
      <c r="F54" s="152"/>
      <c r="G54" s="168"/>
      <c r="H54" s="166"/>
      <c r="I54" s="162"/>
      <c r="J54" s="151"/>
    </row>
    <row r="55" spans="1:12" hidden="1" x14ac:dyDescent="0.25">
      <c r="A55" s="153">
        <f t="shared" si="0"/>
        <v>48</v>
      </c>
      <c r="B55" s="160"/>
      <c r="C55" s="147" t="s">
        <v>161</v>
      </c>
      <c r="D55" s="151">
        <f>164696.55-126</f>
        <v>164570.54999999999</v>
      </c>
      <c r="E55" s="151">
        <f>-'[2]191420 Defer WACOG'!E52</f>
        <v>-4409571.21</v>
      </c>
      <c r="F55" s="151"/>
      <c r="G55" s="168">
        <f>ROUND((+E55+(D55/2))*0.0325/12,2)</f>
        <v>-11719.73</v>
      </c>
      <c r="H55" s="166">
        <f t="shared" si="5"/>
        <v>-4256720.3900000006</v>
      </c>
      <c r="I55" s="162">
        <f>+I53+H55</f>
        <v>-4125915.3600000013</v>
      </c>
      <c r="J55" s="151"/>
      <c r="K55" s="148"/>
      <c r="L55" s="148"/>
    </row>
    <row r="56" spans="1:12" hidden="1" x14ac:dyDescent="0.25">
      <c r="A56" s="153">
        <f t="shared" si="0"/>
        <v>49</v>
      </c>
      <c r="B56" s="160">
        <f>+B53+31</f>
        <v>40175</v>
      </c>
      <c r="D56" s="151">
        <v>538177.81000000006</v>
      </c>
      <c r="E56" s="152"/>
      <c r="F56" s="152"/>
      <c r="G56" s="168">
        <f>ROUND((+I55+E56+(D56/2))*0.0325/12,2)</f>
        <v>-10445.57</v>
      </c>
      <c r="H56" s="166">
        <f t="shared" si="5"/>
        <v>527732.24000000011</v>
      </c>
      <c r="I56" s="162">
        <f t="shared" si="2"/>
        <v>-3598183.120000001</v>
      </c>
      <c r="J56" s="151"/>
    </row>
    <row r="57" spans="1:12" hidden="1" x14ac:dyDescent="0.25">
      <c r="A57" s="153">
        <f t="shared" si="0"/>
        <v>50</v>
      </c>
      <c r="B57" s="160">
        <f>+B56+31</f>
        <v>40206</v>
      </c>
      <c r="D57" s="151">
        <v>609774.49607460003</v>
      </c>
      <c r="E57" s="152"/>
      <c r="F57" s="152"/>
      <c r="G57" s="168">
        <f>ROUND((+I56+E57+(D57/2))*0.0325/12,2)</f>
        <v>-8919.34</v>
      </c>
      <c r="H57" s="166">
        <f t="shared" si="5"/>
        <v>600855.15607460006</v>
      </c>
      <c r="I57" s="162">
        <f t="shared" si="2"/>
        <v>-2997327.9639254007</v>
      </c>
      <c r="J57" s="151"/>
    </row>
    <row r="58" spans="1:12" hidden="1" x14ac:dyDescent="0.25">
      <c r="A58" s="153">
        <f t="shared" si="0"/>
        <v>51</v>
      </c>
      <c r="B58" s="160">
        <f>+B57+28</f>
        <v>40234</v>
      </c>
      <c r="D58" s="151">
        <v>419977.48348609993</v>
      </c>
      <c r="E58" s="152"/>
      <c r="F58" s="152"/>
      <c r="G58" s="197">
        <v>-7549.04</v>
      </c>
      <c r="H58" s="166">
        <f t="shared" si="5"/>
        <v>412428.44348609995</v>
      </c>
      <c r="I58" s="162">
        <f t="shared" si="2"/>
        <v>-2584899.5204393007</v>
      </c>
      <c r="J58" s="151"/>
    </row>
    <row r="59" spans="1:12" hidden="1" x14ac:dyDescent="0.25">
      <c r="A59" s="153">
        <f t="shared" si="0"/>
        <v>52</v>
      </c>
      <c r="B59" s="160">
        <f>+B58+31</f>
        <v>40265</v>
      </c>
      <c r="D59" s="151">
        <v>359134.14</v>
      </c>
      <c r="E59" s="152"/>
      <c r="F59" s="152"/>
      <c r="G59" s="168">
        <f t="shared" ref="G59:G67" si="6">ROUND((+I58+E59+(D59/2))*0.0325/12,2)</f>
        <v>-6514.44</v>
      </c>
      <c r="H59" s="166">
        <f t="shared" si="5"/>
        <v>352619.7</v>
      </c>
      <c r="I59" s="162">
        <f t="shared" si="2"/>
        <v>-2232279.8204393005</v>
      </c>
      <c r="J59" s="151"/>
    </row>
    <row r="60" spans="1:12" hidden="1" x14ac:dyDescent="0.25">
      <c r="A60" s="153">
        <f t="shared" si="0"/>
        <v>53</v>
      </c>
      <c r="B60" s="160">
        <f>+B59+30</f>
        <v>40295</v>
      </c>
      <c r="D60" s="151">
        <v>338444.62</v>
      </c>
      <c r="E60" s="152"/>
      <c r="F60" s="152"/>
      <c r="G60" s="168">
        <f t="shared" si="6"/>
        <v>-5587.45</v>
      </c>
      <c r="H60" s="166">
        <f t="shared" ref="H60:H85" si="7">SUM(D60:G60)</f>
        <v>332857.17</v>
      </c>
      <c r="I60" s="162">
        <f t="shared" si="2"/>
        <v>-1899422.6504393006</v>
      </c>
      <c r="J60" s="151"/>
    </row>
    <row r="61" spans="1:12" hidden="1" x14ac:dyDescent="0.25">
      <c r="A61" s="153">
        <f t="shared" si="0"/>
        <v>54</v>
      </c>
      <c r="B61" s="160">
        <f>+B60+31</f>
        <v>40326</v>
      </c>
      <c r="D61" s="151">
        <v>260032.1</v>
      </c>
      <c r="E61" s="152"/>
      <c r="F61" s="152"/>
      <c r="G61" s="168">
        <f t="shared" si="6"/>
        <v>-4792.1400000000003</v>
      </c>
      <c r="H61" s="166">
        <f t="shared" si="7"/>
        <v>255239.96</v>
      </c>
      <c r="I61" s="162">
        <f t="shared" si="2"/>
        <v>-1644182.6904393006</v>
      </c>
      <c r="J61" s="151"/>
    </row>
    <row r="62" spans="1:12" hidden="1" x14ac:dyDescent="0.25">
      <c r="A62" s="153">
        <f t="shared" si="0"/>
        <v>55</v>
      </c>
      <c r="B62" s="160">
        <f>+B61+30</f>
        <v>40356</v>
      </c>
      <c r="D62" s="151">
        <v>208054.98</v>
      </c>
      <c r="E62" s="151"/>
      <c r="F62" s="151"/>
      <c r="G62" s="168">
        <f t="shared" si="6"/>
        <v>-4171.25</v>
      </c>
      <c r="H62" s="166">
        <f t="shared" si="7"/>
        <v>203883.73</v>
      </c>
      <c r="I62" s="162">
        <f t="shared" si="2"/>
        <v>-1440298.9604393006</v>
      </c>
      <c r="J62" s="151"/>
    </row>
    <row r="63" spans="1:12" hidden="1" x14ac:dyDescent="0.25">
      <c r="A63" s="153">
        <f t="shared" si="0"/>
        <v>56</v>
      </c>
      <c r="B63" s="160">
        <f>+B62+31</f>
        <v>40387</v>
      </c>
      <c r="D63" s="151">
        <v>147452.81098089999</v>
      </c>
      <c r="E63" s="151"/>
      <c r="F63" s="151"/>
      <c r="G63" s="168">
        <f t="shared" si="6"/>
        <v>-3701.13</v>
      </c>
      <c r="H63" s="166">
        <f t="shared" si="7"/>
        <v>143751.68098089998</v>
      </c>
      <c r="I63" s="162">
        <f t="shared" si="2"/>
        <v>-1296547.2794584006</v>
      </c>
      <c r="J63" s="151"/>
      <c r="K63" s="148"/>
    </row>
    <row r="64" spans="1:12" hidden="1" x14ac:dyDescent="0.25">
      <c r="A64" s="153">
        <f t="shared" si="0"/>
        <v>57</v>
      </c>
      <c r="B64" s="160">
        <f>+B63+30</f>
        <v>40417</v>
      </c>
      <c r="D64" s="151">
        <v>130079.2587949</v>
      </c>
      <c r="E64" s="151"/>
      <c r="F64" s="151"/>
      <c r="G64" s="168">
        <f t="shared" si="6"/>
        <v>-3335.33</v>
      </c>
      <c r="H64" s="166">
        <f t="shared" si="7"/>
        <v>126743.9287949</v>
      </c>
      <c r="I64" s="162">
        <f t="shared" si="2"/>
        <v>-1169803.3506635006</v>
      </c>
      <c r="J64" s="151"/>
    </row>
    <row r="65" spans="1:10" hidden="1" x14ac:dyDescent="0.25">
      <c r="A65" s="153">
        <f t="shared" si="0"/>
        <v>58</v>
      </c>
      <c r="B65" s="160">
        <f>+B64+30</f>
        <v>40447</v>
      </c>
      <c r="D65" s="151">
        <v>132544.51323279997</v>
      </c>
      <c r="E65" s="151"/>
      <c r="F65" s="151"/>
      <c r="G65" s="168">
        <f t="shared" si="6"/>
        <v>-2988.73</v>
      </c>
      <c r="H65" s="166">
        <f t="shared" si="7"/>
        <v>129555.78323279998</v>
      </c>
      <c r="I65" s="162">
        <f t="shared" si="2"/>
        <v>-1040247.5674307006</v>
      </c>
      <c r="J65" s="151"/>
    </row>
    <row r="66" spans="1:10" hidden="1" x14ac:dyDescent="0.25">
      <c r="A66" s="153">
        <f t="shared" si="0"/>
        <v>59</v>
      </c>
      <c r="B66" s="160">
        <f>+B65+31</f>
        <v>40478</v>
      </c>
      <c r="D66" s="151">
        <v>160991.21</v>
      </c>
      <c r="E66" s="152"/>
      <c r="F66" s="152"/>
      <c r="G66" s="168">
        <f t="shared" si="6"/>
        <v>-2599.33</v>
      </c>
      <c r="H66" s="166">
        <f t="shared" si="7"/>
        <v>158391.88</v>
      </c>
      <c r="I66" s="162">
        <f t="shared" si="2"/>
        <v>-881855.68743070064</v>
      </c>
      <c r="J66" s="151"/>
    </row>
    <row r="67" spans="1:10" hidden="1" x14ac:dyDescent="0.25">
      <c r="A67" s="153">
        <f t="shared" si="0"/>
        <v>60</v>
      </c>
      <c r="B67" s="160">
        <f>+B66+30</f>
        <v>40508</v>
      </c>
      <c r="C67" s="147" t="s">
        <v>160</v>
      </c>
      <c r="D67" s="151">
        <v>134323.07</v>
      </c>
      <c r="E67" s="151"/>
      <c r="F67" s="151"/>
      <c r="G67" s="168">
        <f t="shared" si="6"/>
        <v>-2206.46</v>
      </c>
      <c r="H67" s="166">
        <f t="shared" si="7"/>
        <v>132116.61000000002</v>
      </c>
      <c r="I67" s="162">
        <f t="shared" si="2"/>
        <v>-749739.07743070065</v>
      </c>
      <c r="J67" s="151"/>
    </row>
    <row r="68" spans="1:10" hidden="1" x14ac:dyDescent="0.25">
      <c r="A68" s="153">
        <f t="shared" si="0"/>
        <v>61</v>
      </c>
      <c r="B68" s="160"/>
      <c r="C68" s="147" t="s">
        <v>161</v>
      </c>
      <c r="D68" s="151">
        <v>93545.33</v>
      </c>
      <c r="E68" s="151">
        <f>-'[2]191420 Defer WACOG'!E65</f>
        <v>-2005890.9999999995</v>
      </c>
      <c r="F68" s="151"/>
      <c r="G68" s="168">
        <f>ROUND((+E68+(D68/2))*0.0325/12,2)</f>
        <v>-5305.95</v>
      </c>
      <c r="H68" s="166">
        <f t="shared" si="7"/>
        <v>-1917651.6199999994</v>
      </c>
      <c r="I68" s="162">
        <f t="shared" si="2"/>
        <v>-2667390.6974307001</v>
      </c>
      <c r="J68" s="151"/>
    </row>
    <row r="69" spans="1:10" hidden="1" x14ac:dyDescent="0.25">
      <c r="A69" s="153">
        <f t="shared" si="0"/>
        <v>62</v>
      </c>
      <c r="B69" s="160">
        <f>+B67+31</f>
        <v>40539</v>
      </c>
      <c r="D69" s="151">
        <v>380591.72</v>
      </c>
      <c r="E69" s="152"/>
      <c r="F69" s="152"/>
      <c r="G69" s="168">
        <f>ROUND((+I68+E69+(D69/2))*0.0325/12,2)</f>
        <v>-6708.8</v>
      </c>
      <c r="H69" s="166">
        <f t="shared" si="7"/>
        <v>373882.92</v>
      </c>
      <c r="I69" s="162">
        <f t="shared" si="2"/>
        <v>-2293507.7774307001</v>
      </c>
      <c r="J69" s="151"/>
    </row>
    <row r="70" spans="1:10" hidden="1" x14ac:dyDescent="0.25">
      <c r="A70" s="153">
        <f t="shared" si="0"/>
        <v>63</v>
      </c>
      <c r="B70" s="160">
        <f>+B69+31</f>
        <v>40570</v>
      </c>
      <c r="D70" s="151">
        <v>446885.18</v>
      </c>
      <c r="E70" s="152"/>
      <c r="F70" s="187">
        <v>3.2500000000000001E-2</v>
      </c>
      <c r="G70" s="168">
        <f>ROUND((+I69+E70+(D70/2))*F70/12,0)</f>
        <v>-5606</v>
      </c>
      <c r="H70" s="166">
        <f t="shared" si="7"/>
        <v>441279.21249999997</v>
      </c>
      <c r="I70" s="162">
        <f t="shared" si="2"/>
        <v>-1852228.5649307002</v>
      </c>
      <c r="J70" s="151"/>
    </row>
    <row r="71" spans="1:10" hidden="1" x14ac:dyDescent="0.25">
      <c r="A71" s="153">
        <f t="shared" si="0"/>
        <v>64</v>
      </c>
      <c r="B71" s="160">
        <f>+B70+28</f>
        <v>40598</v>
      </c>
      <c r="D71" s="151">
        <v>357784.16</v>
      </c>
      <c r="E71" s="152"/>
      <c r="F71" s="187">
        <v>3.2500000000000001E-2</v>
      </c>
      <c r="G71" s="168">
        <f t="shared" ref="G71:G85" si="8">ROUND((+I70+E71+(D71/2))*F71/12,0)</f>
        <v>-4532</v>
      </c>
      <c r="H71" s="166">
        <f t="shared" si="7"/>
        <v>353252.19249999995</v>
      </c>
      <c r="I71" s="162">
        <f t="shared" si="2"/>
        <v>-1498976.3724307003</v>
      </c>
      <c r="J71" s="151"/>
    </row>
    <row r="72" spans="1:10" hidden="1" x14ac:dyDescent="0.25">
      <c r="A72" s="153">
        <f t="shared" si="0"/>
        <v>65</v>
      </c>
      <c r="B72" s="160">
        <f>+B71+31</f>
        <v>40629</v>
      </c>
      <c r="D72" s="151">
        <v>378695.88</v>
      </c>
      <c r="E72" s="152"/>
      <c r="F72" s="187">
        <v>3.2500000000000001E-2</v>
      </c>
      <c r="G72" s="168">
        <f t="shared" si="8"/>
        <v>-3547</v>
      </c>
      <c r="H72" s="166">
        <f t="shared" si="7"/>
        <v>375148.91249999998</v>
      </c>
      <c r="I72" s="162">
        <f t="shared" si="2"/>
        <v>-1123827.4599307002</v>
      </c>
      <c r="J72" s="151"/>
    </row>
    <row r="73" spans="1:10" hidden="1" x14ac:dyDescent="0.25">
      <c r="A73" s="153">
        <f t="shared" ref="A73:A136" si="9">+A72+1</f>
        <v>66</v>
      </c>
      <c r="B73" s="160">
        <f>+B72+30</f>
        <v>40659</v>
      </c>
      <c r="D73" s="151">
        <v>288040.3</v>
      </c>
      <c r="E73" s="152"/>
      <c r="F73" s="187">
        <v>3.2500000000000001E-2</v>
      </c>
      <c r="G73" s="168">
        <f t="shared" si="8"/>
        <v>-2654</v>
      </c>
      <c r="H73" s="166">
        <f t="shared" si="7"/>
        <v>285386.33249999996</v>
      </c>
      <c r="I73" s="162">
        <f t="shared" si="2"/>
        <v>-838441.12743070023</v>
      </c>
      <c r="J73" s="151"/>
    </row>
    <row r="74" spans="1:10" hidden="1" x14ac:dyDescent="0.25">
      <c r="A74" s="153">
        <f t="shared" si="9"/>
        <v>67</v>
      </c>
      <c r="B74" s="160">
        <f>+B73+31</f>
        <v>40690</v>
      </c>
      <c r="D74" s="151">
        <v>228495.1</v>
      </c>
      <c r="E74" s="152"/>
      <c r="F74" s="187">
        <v>3.2500000000000001E-2</v>
      </c>
      <c r="G74" s="168">
        <f t="shared" si="8"/>
        <v>-1961</v>
      </c>
      <c r="H74" s="166">
        <f t="shared" si="7"/>
        <v>226534.13250000001</v>
      </c>
      <c r="I74" s="162">
        <f t="shared" si="2"/>
        <v>-611906.99493070017</v>
      </c>
      <c r="J74" s="151"/>
    </row>
    <row r="75" spans="1:10" hidden="1" x14ac:dyDescent="0.25">
      <c r="A75" s="153">
        <f t="shared" si="9"/>
        <v>68</v>
      </c>
      <c r="B75" s="160">
        <f>+B74+30</f>
        <v>40720</v>
      </c>
      <c r="D75" s="151">
        <v>145227.70000000001</v>
      </c>
      <c r="E75" s="152"/>
      <c r="F75" s="187">
        <v>3.2500000000000001E-2</v>
      </c>
      <c r="G75" s="168">
        <f t="shared" si="8"/>
        <v>-1461</v>
      </c>
      <c r="H75" s="166">
        <f t="shared" si="7"/>
        <v>143766.73250000001</v>
      </c>
      <c r="I75" s="162">
        <f t="shared" si="2"/>
        <v>-468140.26243070012</v>
      </c>
      <c r="J75" s="151"/>
    </row>
    <row r="76" spans="1:10" hidden="1" x14ac:dyDescent="0.25">
      <c r="A76" s="153">
        <f t="shared" si="9"/>
        <v>69</v>
      </c>
      <c r="B76" s="160">
        <f>+B75+31</f>
        <v>40751</v>
      </c>
      <c r="D76" s="151">
        <v>97521.15</v>
      </c>
      <c r="E76" s="152"/>
      <c r="F76" s="187">
        <v>3.2500000000000001E-2</v>
      </c>
      <c r="G76" s="168">
        <f t="shared" si="8"/>
        <v>-1136</v>
      </c>
      <c r="H76" s="166">
        <f t="shared" si="7"/>
        <v>96385.182499999995</v>
      </c>
      <c r="I76" s="162">
        <f t="shared" si="2"/>
        <v>-371755.07993070013</v>
      </c>
      <c r="J76" s="151"/>
    </row>
    <row r="77" spans="1:10" hidden="1" x14ac:dyDescent="0.25">
      <c r="A77" s="153">
        <f t="shared" si="9"/>
        <v>70</v>
      </c>
      <c r="B77" s="160">
        <f>+B76+30</f>
        <v>40781</v>
      </c>
      <c r="D77" s="151">
        <v>83149.17</v>
      </c>
      <c r="E77" s="152"/>
      <c r="F77" s="187">
        <v>3.2500000000000001E-2</v>
      </c>
      <c r="G77" s="168">
        <f t="shared" si="8"/>
        <v>-894</v>
      </c>
      <c r="H77" s="166">
        <f t="shared" si="7"/>
        <v>82255.202499999999</v>
      </c>
      <c r="I77" s="162">
        <f t="shared" si="2"/>
        <v>-289499.87743070011</v>
      </c>
      <c r="J77" s="151"/>
    </row>
    <row r="78" spans="1:10" hidden="1" x14ac:dyDescent="0.25">
      <c r="A78" s="153">
        <f t="shared" si="9"/>
        <v>71</v>
      </c>
      <c r="B78" s="160">
        <f>+B77+30</f>
        <v>40811</v>
      </c>
      <c r="D78" s="151">
        <v>84846.81</v>
      </c>
      <c r="E78" s="152"/>
      <c r="F78" s="187">
        <v>3.2500000000000001E-2</v>
      </c>
      <c r="G78" s="168">
        <f t="shared" si="8"/>
        <v>-669</v>
      </c>
      <c r="H78" s="166">
        <f t="shared" si="7"/>
        <v>84177.842499999999</v>
      </c>
      <c r="I78" s="162">
        <f t="shared" si="2"/>
        <v>-205322.03493070012</v>
      </c>
      <c r="J78" s="151"/>
    </row>
    <row r="79" spans="1:10" hidden="1" x14ac:dyDescent="0.25">
      <c r="A79" s="153">
        <f t="shared" si="9"/>
        <v>72</v>
      </c>
      <c r="B79" s="160">
        <f>+B78+31</f>
        <v>40842</v>
      </c>
      <c r="D79" s="151">
        <v>111936.22517760002</v>
      </c>
      <c r="E79" s="152"/>
      <c r="F79" s="187">
        <v>3.2500000000000001E-2</v>
      </c>
      <c r="G79" s="168">
        <f t="shared" si="8"/>
        <v>-405</v>
      </c>
      <c r="H79" s="166">
        <f t="shared" si="7"/>
        <v>111531.25767760002</v>
      </c>
      <c r="I79" s="162">
        <f t="shared" si="2"/>
        <v>-93790.777253100096</v>
      </c>
      <c r="J79" s="151"/>
    </row>
    <row r="80" spans="1:10" hidden="1" x14ac:dyDescent="0.25">
      <c r="A80" s="153">
        <f t="shared" si="9"/>
        <v>73</v>
      </c>
      <c r="B80" s="160">
        <f>+B79+30</f>
        <v>40872</v>
      </c>
      <c r="C80" s="147" t="s">
        <v>162</v>
      </c>
      <c r="D80" s="151">
        <v>113666.17</v>
      </c>
      <c r="E80" s="151"/>
      <c r="F80" s="187">
        <v>3.2500000000000001E-2</v>
      </c>
      <c r="G80" s="168">
        <f t="shared" si="8"/>
        <v>-100</v>
      </c>
      <c r="H80" s="166">
        <f t="shared" si="7"/>
        <v>113566.2025</v>
      </c>
      <c r="I80" s="162">
        <f t="shared" ref="I80:I85" si="10">+I79+H80</f>
        <v>19775.425246899904</v>
      </c>
      <c r="J80" s="151"/>
    </row>
    <row r="81" spans="1:10" hidden="1" x14ac:dyDescent="0.25">
      <c r="A81" s="153">
        <f t="shared" si="9"/>
        <v>74</v>
      </c>
      <c r="B81" s="476"/>
      <c r="C81" s="147" t="s">
        <v>163</v>
      </c>
      <c r="D81" s="151">
        <v>76583.360000000001</v>
      </c>
      <c r="E81" s="151">
        <f>-'[2]191420 Defer WACOG'!E77</f>
        <v>-2015200.6750000003</v>
      </c>
      <c r="F81" s="187">
        <v>3.2500000000000001E-2</v>
      </c>
      <c r="G81" s="198">
        <f>ROUND((+E81+(D81/2))*F81/12,2)</f>
        <v>-5354.13</v>
      </c>
      <c r="H81" s="166">
        <f t="shared" si="7"/>
        <v>-1943971.4125000001</v>
      </c>
      <c r="I81" s="162">
        <f t="shared" si="10"/>
        <v>-1924195.9872531001</v>
      </c>
      <c r="J81" s="151"/>
    </row>
    <row r="82" spans="1:10" hidden="1" x14ac:dyDescent="0.25">
      <c r="A82" s="153">
        <f t="shared" si="9"/>
        <v>75</v>
      </c>
      <c r="B82" s="160">
        <f>+B80+31</f>
        <v>40903</v>
      </c>
      <c r="D82" s="151">
        <v>289729.53848920006</v>
      </c>
      <c r="E82" s="152"/>
      <c r="F82" s="187">
        <v>3.2500000000000001E-2</v>
      </c>
      <c r="G82" s="168">
        <f t="shared" si="8"/>
        <v>-4819</v>
      </c>
      <c r="H82" s="166">
        <f t="shared" si="7"/>
        <v>284910.57098920003</v>
      </c>
      <c r="I82" s="162">
        <f t="shared" si="10"/>
        <v>-1639285.4162639002</v>
      </c>
      <c r="J82" s="151"/>
    </row>
    <row r="83" spans="1:10" hidden="1" x14ac:dyDescent="0.25">
      <c r="A83" s="153">
        <f t="shared" si="9"/>
        <v>76</v>
      </c>
      <c r="B83" s="160">
        <f>+B82+31</f>
        <v>40934</v>
      </c>
      <c r="D83" s="151">
        <v>318854.17</v>
      </c>
      <c r="E83" s="152"/>
      <c r="F83" s="187">
        <v>3.2500000000000001E-2</v>
      </c>
      <c r="G83" s="168">
        <f t="shared" si="8"/>
        <v>-4008</v>
      </c>
      <c r="H83" s="166">
        <f t="shared" si="7"/>
        <v>314846.20249999996</v>
      </c>
      <c r="I83" s="162">
        <f t="shared" si="10"/>
        <v>-1324439.2137639003</v>
      </c>
      <c r="J83" s="151"/>
    </row>
    <row r="84" spans="1:10" hidden="1" x14ac:dyDescent="0.25">
      <c r="A84" s="153">
        <f t="shared" si="9"/>
        <v>77</v>
      </c>
      <c r="B84" s="160">
        <f>+B83+29</f>
        <v>40963</v>
      </c>
      <c r="D84" s="151">
        <v>269133.83699159999</v>
      </c>
      <c r="E84" s="152"/>
      <c r="F84" s="187">
        <v>3.2500000000000001E-2</v>
      </c>
      <c r="G84" s="168">
        <f t="shared" si="8"/>
        <v>-3223</v>
      </c>
      <c r="H84" s="166">
        <f t="shared" si="7"/>
        <v>265910.86949159997</v>
      </c>
      <c r="I84" s="162">
        <f t="shared" si="10"/>
        <v>-1058528.3442723004</v>
      </c>
      <c r="J84" s="151"/>
    </row>
    <row r="85" spans="1:10" hidden="1" x14ac:dyDescent="0.25">
      <c r="A85" s="153">
        <f t="shared" si="9"/>
        <v>78</v>
      </c>
      <c r="B85" s="160">
        <f>+B84+31</f>
        <v>40994</v>
      </c>
      <c r="D85" s="151">
        <v>253747.67912040005</v>
      </c>
      <c r="E85" s="152"/>
      <c r="F85" s="187">
        <v>3.2500000000000001E-2</v>
      </c>
      <c r="G85" s="168">
        <f t="shared" si="8"/>
        <v>-2523</v>
      </c>
      <c r="H85" s="166">
        <f t="shared" si="7"/>
        <v>251224.71162040005</v>
      </c>
      <c r="I85" s="162">
        <f t="shared" si="10"/>
        <v>-807303.63265190029</v>
      </c>
      <c r="J85" s="151"/>
    </row>
    <row r="86" spans="1:10" hidden="1" x14ac:dyDescent="0.25">
      <c r="A86" s="153">
        <f t="shared" si="9"/>
        <v>79</v>
      </c>
      <c r="B86" s="160">
        <f>+B85+30</f>
        <v>41024</v>
      </c>
      <c r="D86" s="151">
        <v>196728.53631840003</v>
      </c>
      <c r="E86" s="152"/>
      <c r="F86" s="187">
        <v>3.2500000000000001E-2</v>
      </c>
      <c r="G86" s="168">
        <f>ROUND((+I85+E86+(D86/2))*F86/12,0)</f>
        <v>-1920</v>
      </c>
      <c r="H86" s="166">
        <f>SUM(D86:G86)</f>
        <v>194808.56881840003</v>
      </c>
      <c r="I86" s="162">
        <f>+I85+H86</f>
        <v>-612495.06383350026</v>
      </c>
      <c r="J86" s="151"/>
    </row>
    <row r="87" spans="1:10" hidden="1" x14ac:dyDescent="0.25">
      <c r="A87" s="153">
        <f t="shared" si="9"/>
        <v>80</v>
      </c>
      <c r="B87" s="160">
        <f>+B86+31</f>
        <v>41055</v>
      </c>
      <c r="D87" s="151">
        <v>122082.80527159999</v>
      </c>
      <c r="E87" s="152"/>
      <c r="F87" s="187">
        <v>3.2500000000000001E-2</v>
      </c>
      <c r="G87" s="168">
        <f t="shared" ref="G87:G92" si="11">ROUND((+I86+E87+(D87/2))*F87/12,0)</f>
        <v>-1494</v>
      </c>
      <c r="H87" s="166">
        <f t="shared" ref="H87:H92" si="12">SUM(D87:G87)</f>
        <v>120588.8377716</v>
      </c>
      <c r="I87" s="162">
        <f t="shared" ref="I87:I120" si="13">+I86+H87</f>
        <v>-491906.22606190026</v>
      </c>
      <c r="J87" s="151"/>
    </row>
    <row r="88" spans="1:10" hidden="1" x14ac:dyDescent="0.25">
      <c r="A88" s="153">
        <f t="shared" si="9"/>
        <v>81</v>
      </c>
      <c r="B88" s="160">
        <f>+B87+30</f>
        <v>41085</v>
      </c>
      <c r="C88" s="171">
        <v>2</v>
      </c>
      <c r="D88" s="151">
        <v>3883843.0371594001</v>
      </c>
      <c r="E88" s="151">
        <f>-'[2]191420 Defer WACOG'!E84</f>
        <v>-4061107</v>
      </c>
      <c r="F88" s="187">
        <v>3.2500000000000001E-2</v>
      </c>
      <c r="G88" s="198">
        <f>ROUND((+I87+(E88/2)+(D88/2))*F88/12,2)</f>
        <v>-1572.29</v>
      </c>
      <c r="H88" s="166">
        <f t="shared" si="12"/>
        <v>-178836.22034059995</v>
      </c>
      <c r="I88" s="162">
        <f t="shared" si="13"/>
        <v>-670742.44640250015</v>
      </c>
      <c r="J88" s="151"/>
    </row>
    <row r="89" spans="1:10" hidden="1" x14ac:dyDescent="0.25">
      <c r="A89" s="153">
        <f t="shared" si="9"/>
        <v>82</v>
      </c>
      <c r="B89" s="160">
        <f>+B88+31</f>
        <v>41116</v>
      </c>
      <c r="D89" s="151">
        <v>286214.77607280004</v>
      </c>
      <c r="E89" s="152"/>
      <c r="F89" s="187">
        <v>3.2500000000000001E-2</v>
      </c>
      <c r="G89" s="168">
        <f t="shared" si="11"/>
        <v>-1429</v>
      </c>
      <c r="H89" s="166">
        <f t="shared" si="12"/>
        <v>284785.80857280002</v>
      </c>
      <c r="I89" s="162">
        <f t="shared" si="13"/>
        <v>-385956.63782970014</v>
      </c>
      <c r="J89" s="151"/>
    </row>
    <row r="90" spans="1:10" hidden="1" x14ac:dyDescent="0.25">
      <c r="A90" s="153">
        <f t="shared" si="9"/>
        <v>83</v>
      </c>
      <c r="B90" s="160">
        <f>+B89+30</f>
        <v>41146</v>
      </c>
      <c r="D90" s="151">
        <v>59109.280897999997</v>
      </c>
      <c r="E90" s="152"/>
      <c r="F90" s="187">
        <v>3.2500000000000001E-2</v>
      </c>
      <c r="G90" s="168">
        <f t="shared" si="11"/>
        <v>-965</v>
      </c>
      <c r="H90" s="166">
        <f t="shared" si="12"/>
        <v>58144.313397999998</v>
      </c>
      <c r="I90" s="162">
        <f t="shared" si="13"/>
        <v>-327812.32443170017</v>
      </c>
      <c r="J90" s="151"/>
    </row>
    <row r="91" spans="1:10" hidden="1" x14ac:dyDescent="0.25">
      <c r="A91" s="153">
        <f t="shared" si="9"/>
        <v>84</v>
      </c>
      <c r="B91" s="160">
        <f>+B90+30</f>
        <v>41176</v>
      </c>
      <c r="D91" s="151">
        <v>60100.352925600004</v>
      </c>
      <c r="E91" s="152"/>
      <c r="F91" s="187">
        <v>3.2500000000000001E-2</v>
      </c>
      <c r="G91" s="168">
        <f t="shared" si="11"/>
        <v>-806</v>
      </c>
      <c r="H91" s="166">
        <f t="shared" si="12"/>
        <v>59294.385425600005</v>
      </c>
      <c r="I91" s="162">
        <f t="shared" si="13"/>
        <v>-268517.93900610018</v>
      </c>
      <c r="J91" s="151"/>
    </row>
    <row r="92" spans="1:10" hidden="1" x14ac:dyDescent="0.25">
      <c r="A92" s="153">
        <f t="shared" si="9"/>
        <v>85</v>
      </c>
      <c r="B92" s="160">
        <f>+B91+31</f>
        <v>41207</v>
      </c>
      <c r="D92" s="151">
        <v>77365.781200399972</v>
      </c>
      <c r="E92" s="152"/>
      <c r="F92" s="187">
        <v>3.2500000000000001E-2</v>
      </c>
      <c r="G92" s="168">
        <f t="shared" si="11"/>
        <v>-622</v>
      </c>
      <c r="H92" s="166">
        <f t="shared" si="12"/>
        <v>76743.813700399973</v>
      </c>
      <c r="I92" s="162">
        <f t="shared" si="13"/>
        <v>-191774.1253057002</v>
      </c>
      <c r="J92" s="151"/>
    </row>
    <row r="93" spans="1:10" hidden="1" x14ac:dyDescent="0.25">
      <c r="A93" s="153">
        <f t="shared" si="9"/>
        <v>86</v>
      </c>
      <c r="B93" s="160">
        <f>+B92+30</f>
        <v>41237</v>
      </c>
      <c r="C93" s="147" t="s">
        <v>162</v>
      </c>
      <c r="D93" s="151">
        <v>73242.398073200005</v>
      </c>
      <c r="E93" s="151"/>
      <c r="F93" s="187">
        <v>3.2500000000000001E-2</v>
      </c>
      <c r="G93" s="168">
        <f>ROUND((+I92+E93+(D93/2))*F93/12,0)</f>
        <v>-420</v>
      </c>
      <c r="H93" s="166">
        <f t="shared" ref="H93:H98" si="14">SUM(D93:G93)</f>
        <v>72822.430573200007</v>
      </c>
      <c r="I93" s="162">
        <f t="shared" si="13"/>
        <v>-118951.6947325002</v>
      </c>
      <c r="J93" s="151"/>
    </row>
    <row r="94" spans="1:10" hidden="1" x14ac:dyDescent="0.25">
      <c r="A94" s="153">
        <f t="shared" si="9"/>
        <v>87</v>
      </c>
      <c r="B94" s="160">
        <f>+B93</f>
        <v>41237</v>
      </c>
      <c r="C94" s="147" t="s">
        <v>163</v>
      </c>
      <c r="D94" s="151">
        <v>38960.65</v>
      </c>
      <c r="E94" s="151">
        <v>-1361415.61</v>
      </c>
      <c r="F94" s="187">
        <v>3.2500000000000001E-2</v>
      </c>
      <c r="G94" s="198">
        <f>ROUND((+E94+(D94/2))*F94/12,2)</f>
        <v>-3634.41</v>
      </c>
      <c r="H94" s="166">
        <f t="shared" si="14"/>
        <v>-1326089.3375000001</v>
      </c>
      <c r="I94" s="162">
        <f t="shared" si="13"/>
        <v>-1445041.0322325004</v>
      </c>
      <c r="J94" s="151"/>
    </row>
    <row r="95" spans="1:10" hidden="1" x14ac:dyDescent="0.25">
      <c r="A95" s="153">
        <f t="shared" si="9"/>
        <v>88</v>
      </c>
      <c r="B95" s="160">
        <f>+B94+31</f>
        <v>41268</v>
      </c>
      <c r="C95" s="171">
        <v>3</v>
      </c>
      <c r="D95" s="151">
        <v>150738.80923480002</v>
      </c>
      <c r="E95" s="151">
        <v>-1.05</v>
      </c>
      <c r="F95" s="187">
        <v>3.2500000000000001E-2</v>
      </c>
      <c r="G95" s="168">
        <f t="shared" ref="G95:G106" si="15">ROUND((+I94+E95+(D95/2))*F95/12,0)</f>
        <v>-3710</v>
      </c>
      <c r="H95" s="166">
        <f t="shared" si="14"/>
        <v>147027.79173480003</v>
      </c>
      <c r="I95" s="162">
        <f t="shared" si="13"/>
        <v>-1298013.2404977004</v>
      </c>
      <c r="J95" s="151"/>
    </row>
    <row r="96" spans="1:10" hidden="1" x14ac:dyDescent="0.25">
      <c r="A96" s="153">
        <f t="shared" si="9"/>
        <v>89</v>
      </c>
      <c r="B96" s="173">
        <f>+B95+31</f>
        <v>41299</v>
      </c>
      <c r="D96" s="151">
        <v>224213.43333279999</v>
      </c>
      <c r="E96" s="152"/>
      <c r="F96" s="187">
        <v>3.2500000000000001E-2</v>
      </c>
      <c r="G96" s="168">
        <f t="shared" si="15"/>
        <v>-3212</v>
      </c>
      <c r="H96" s="166">
        <f t="shared" si="14"/>
        <v>221001.46583279999</v>
      </c>
      <c r="I96" s="162">
        <f t="shared" si="13"/>
        <v>-1077011.7746649005</v>
      </c>
      <c r="J96" s="151"/>
    </row>
    <row r="97" spans="1:10" hidden="1" x14ac:dyDescent="0.25">
      <c r="A97" s="153">
        <f t="shared" si="9"/>
        <v>90</v>
      </c>
      <c r="B97" s="160">
        <f>+B96+28</f>
        <v>41327</v>
      </c>
      <c r="D97" s="151">
        <v>181427.04</v>
      </c>
      <c r="E97" s="152"/>
      <c r="F97" s="187">
        <v>3.2500000000000001E-2</v>
      </c>
      <c r="G97" s="168">
        <f t="shared" si="15"/>
        <v>-2671</v>
      </c>
      <c r="H97" s="166">
        <f t="shared" si="14"/>
        <v>178756.07250000001</v>
      </c>
      <c r="I97" s="162">
        <f t="shared" si="13"/>
        <v>-898255.70216490049</v>
      </c>
      <c r="J97" s="151"/>
    </row>
    <row r="98" spans="1:10" hidden="1" x14ac:dyDescent="0.25">
      <c r="A98" s="153">
        <f t="shared" si="9"/>
        <v>91</v>
      </c>
      <c r="B98" s="160">
        <f>+B97+31</f>
        <v>41358</v>
      </c>
      <c r="D98" s="222">
        <v>143072.29122360004</v>
      </c>
      <c r="E98" s="152"/>
      <c r="F98" s="187">
        <v>3.2500000000000001E-2</v>
      </c>
      <c r="G98" s="168">
        <f t="shared" si="15"/>
        <v>-2239</v>
      </c>
      <c r="H98" s="166">
        <f t="shared" si="14"/>
        <v>140833.32372360004</v>
      </c>
      <c r="I98" s="162">
        <f t="shared" si="13"/>
        <v>-757422.37844130048</v>
      </c>
      <c r="J98" s="151"/>
    </row>
    <row r="99" spans="1:10" hidden="1" x14ac:dyDescent="0.25">
      <c r="A99" s="153">
        <f t="shared" si="9"/>
        <v>92</v>
      </c>
      <c r="B99" s="147">
        <f>+B98+30</f>
        <v>41388</v>
      </c>
      <c r="D99" s="222">
        <v>103434.2960568</v>
      </c>
      <c r="E99" s="152"/>
      <c r="F99" s="187">
        <v>3.2500000000000001E-2</v>
      </c>
      <c r="G99" s="168">
        <f t="shared" si="15"/>
        <v>-1911</v>
      </c>
      <c r="H99" s="166">
        <f t="shared" ref="H99:H120" si="16">SUM(D99:G99)</f>
        <v>101523.3285568</v>
      </c>
      <c r="I99" s="162">
        <f t="shared" si="13"/>
        <v>-655899.04988450045</v>
      </c>
      <c r="J99" s="151"/>
    </row>
    <row r="100" spans="1:10" hidden="1" x14ac:dyDescent="0.25">
      <c r="A100" s="153">
        <f t="shared" si="9"/>
        <v>93</v>
      </c>
      <c r="B100" s="147">
        <f>+B99+31</f>
        <v>41419</v>
      </c>
      <c r="D100" s="222">
        <v>71190.199351200004</v>
      </c>
      <c r="E100" s="152"/>
      <c r="F100" s="187">
        <v>3.2500000000000001E-2</v>
      </c>
      <c r="G100" s="168">
        <f t="shared" si="15"/>
        <v>-1680</v>
      </c>
      <c r="H100" s="166">
        <f t="shared" si="16"/>
        <v>69510.231851200006</v>
      </c>
      <c r="I100" s="162">
        <f t="shared" si="13"/>
        <v>-586388.81803330046</v>
      </c>
      <c r="J100" s="151"/>
    </row>
    <row r="101" spans="1:10" hidden="1" x14ac:dyDescent="0.25">
      <c r="A101" s="153">
        <f t="shared" si="9"/>
        <v>94</v>
      </c>
      <c r="B101" s="147">
        <f>+B100+30</f>
        <v>41449</v>
      </c>
      <c r="D101" s="151">
        <v>56321.96</v>
      </c>
      <c r="E101" s="152"/>
      <c r="F101" s="187">
        <v>3.2500000000000001E-2</v>
      </c>
      <c r="G101" s="168">
        <f t="shared" si="15"/>
        <v>-1512</v>
      </c>
      <c r="H101" s="166">
        <f t="shared" si="16"/>
        <v>54809.9925</v>
      </c>
      <c r="I101" s="162">
        <f t="shared" si="13"/>
        <v>-531578.82553330041</v>
      </c>
      <c r="J101" s="151"/>
    </row>
    <row r="102" spans="1:10" hidden="1" x14ac:dyDescent="0.25">
      <c r="A102" s="153">
        <f t="shared" si="9"/>
        <v>95</v>
      </c>
      <c r="B102" s="147">
        <f>+B101+31</f>
        <v>41480</v>
      </c>
      <c r="C102" s="199"/>
      <c r="D102" s="151">
        <v>42132.092561199999</v>
      </c>
      <c r="E102" s="152"/>
      <c r="F102" s="187">
        <v>3.2500000000000001E-2</v>
      </c>
      <c r="G102" s="168">
        <f t="shared" si="15"/>
        <v>-1383</v>
      </c>
      <c r="H102" s="166">
        <f t="shared" si="16"/>
        <v>40749.1250612</v>
      </c>
      <c r="I102" s="162">
        <f t="shared" si="13"/>
        <v>-490829.70047210041</v>
      </c>
      <c r="J102" s="151"/>
    </row>
    <row r="103" spans="1:10" hidden="1" x14ac:dyDescent="0.25">
      <c r="A103" s="153">
        <f t="shared" si="9"/>
        <v>96</v>
      </c>
      <c r="B103" s="147">
        <f>+B102+31</f>
        <v>41511</v>
      </c>
      <c r="C103" s="199"/>
      <c r="D103" s="151">
        <v>37154.909626400011</v>
      </c>
      <c r="E103" s="152"/>
      <c r="F103" s="187">
        <v>3.2500000000000001E-2</v>
      </c>
      <c r="G103" s="168">
        <f t="shared" si="15"/>
        <v>-1279</v>
      </c>
      <c r="H103" s="166">
        <f t="shared" si="16"/>
        <v>35875.942126400012</v>
      </c>
      <c r="I103" s="162">
        <f t="shared" si="13"/>
        <v>-454953.75834570039</v>
      </c>
      <c r="J103" s="151"/>
    </row>
    <row r="104" spans="1:10" hidden="1" x14ac:dyDescent="0.25">
      <c r="A104" s="153">
        <f t="shared" si="9"/>
        <v>97</v>
      </c>
      <c r="B104" s="147">
        <f>+B103+30</f>
        <v>41541</v>
      </c>
      <c r="C104" s="199"/>
      <c r="D104" s="151">
        <v>37764.730000000003</v>
      </c>
      <c r="E104" s="152"/>
      <c r="F104" s="187">
        <v>3.2500000000000001E-2</v>
      </c>
      <c r="G104" s="168">
        <f t="shared" si="15"/>
        <v>-1181</v>
      </c>
      <c r="H104" s="166">
        <f t="shared" si="16"/>
        <v>36583.762500000004</v>
      </c>
      <c r="I104" s="162">
        <f t="shared" si="13"/>
        <v>-418369.99584570038</v>
      </c>
      <c r="J104" s="151"/>
    </row>
    <row r="105" spans="1:10" hidden="1" x14ac:dyDescent="0.25">
      <c r="A105" s="153">
        <f t="shared" si="9"/>
        <v>98</v>
      </c>
      <c r="B105" s="147">
        <f>+B104+31</f>
        <v>41572</v>
      </c>
      <c r="C105" s="199"/>
      <c r="D105" s="151">
        <v>67073</v>
      </c>
      <c r="E105" s="152"/>
      <c r="F105" s="187">
        <v>3.2500000000000001E-2</v>
      </c>
      <c r="G105" s="168">
        <f t="shared" si="15"/>
        <v>-1042</v>
      </c>
      <c r="H105" s="166">
        <f t="shared" si="16"/>
        <v>66031.032500000001</v>
      </c>
      <c r="I105" s="162">
        <f t="shared" si="13"/>
        <v>-352338.96334570041</v>
      </c>
      <c r="J105" s="151"/>
    </row>
    <row r="106" spans="1:10" hidden="1" x14ac:dyDescent="0.25">
      <c r="A106" s="153">
        <f t="shared" si="9"/>
        <v>99</v>
      </c>
      <c r="B106" s="147">
        <f>+B105+30</f>
        <v>41602</v>
      </c>
      <c r="C106" s="147" t="s">
        <v>162</v>
      </c>
      <c r="D106" s="151">
        <v>52276.08758159999</v>
      </c>
      <c r="E106" s="152"/>
      <c r="F106" s="187">
        <v>3.2500000000000001E-2</v>
      </c>
      <c r="G106" s="168">
        <f t="shared" si="15"/>
        <v>-883</v>
      </c>
      <c r="H106" s="166">
        <f t="shared" si="16"/>
        <v>51393.120081599991</v>
      </c>
      <c r="I106" s="162">
        <f t="shared" si="13"/>
        <v>-300945.84326410043</v>
      </c>
      <c r="J106" s="151"/>
    </row>
    <row r="107" spans="1:10" hidden="1" x14ac:dyDescent="0.25">
      <c r="A107" s="153">
        <f t="shared" si="9"/>
        <v>100</v>
      </c>
      <c r="B107" s="147">
        <f>+B106</f>
        <v>41602</v>
      </c>
      <c r="C107" s="147" t="s">
        <v>163</v>
      </c>
      <c r="D107" s="151">
        <v>26749.61</v>
      </c>
      <c r="E107" s="151">
        <f>-'[2]191420 Defer WACOG'!E101-0.46</f>
        <v>-436116.46</v>
      </c>
      <c r="F107" s="187">
        <v>3.2500000000000001E-2</v>
      </c>
      <c r="G107" s="197">
        <f>ROUND((+E107+(D107/2))*F107/12,2)</f>
        <v>-1144.93</v>
      </c>
      <c r="H107" s="166">
        <f t="shared" si="16"/>
        <v>-410511.74750000006</v>
      </c>
      <c r="I107" s="162">
        <f t="shared" si="13"/>
        <v>-711457.59076410043</v>
      </c>
      <c r="J107" s="151"/>
    </row>
    <row r="108" spans="1:10" hidden="1" x14ac:dyDescent="0.25">
      <c r="A108" s="153">
        <f t="shared" si="9"/>
        <v>101</v>
      </c>
      <c r="B108" s="200">
        <f>+B107+31</f>
        <v>41633</v>
      </c>
      <c r="D108" s="151">
        <f>129579.8684628-0.03</f>
        <v>129579.83846280001</v>
      </c>
      <c r="E108" s="151"/>
      <c r="F108" s="187">
        <v>3.2500000000000001E-2</v>
      </c>
      <c r="G108" s="168">
        <f t="shared" ref="G108:G118" si="17">ROUND((+I107+E108+(D108/2))*F108/12,2)</f>
        <v>-1751.39</v>
      </c>
      <c r="H108" s="166">
        <f t="shared" si="16"/>
        <v>127828.48096280001</v>
      </c>
      <c r="I108" s="162">
        <f t="shared" si="13"/>
        <v>-583629.10980130045</v>
      </c>
      <c r="J108" s="151"/>
    </row>
    <row r="109" spans="1:10" hidden="1" x14ac:dyDescent="0.25">
      <c r="A109" s="153">
        <f t="shared" si="9"/>
        <v>102</v>
      </c>
      <c r="B109" s="200">
        <f>+B108+31</f>
        <v>41664</v>
      </c>
      <c r="D109" s="151">
        <f>142308.5504216-0.03</f>
        <v>142308.5204216</v>
      </c>
      <c r="E109" s="151"/>
      <c r="F109" s="187">
        <v>3.2500000000000001E-2</v>
      </c>
      <c r="G109" s="168">
        <f t="shared" si="17"/>
        <v>-1387.95</v>
      </c>
      <c r="H109" s="166">
        <f t="shared" si="16"/>
        <v>140920.60292159999</v>
      </c>
      <c r="I109" s="162">
        <f t="shared" si="13"/>
        <v>-442708.50687970046</v>
      </c>
      <c r="J109" s="151"/>
    </row>
    <row r="110" spans="1:10" hidden="1" x14ac:dyDescent="0.25">
      <c r="A110" s="153">
        <f t="shared" si="9"/>
        <v>103</v>
      </c>
      <c r="B110" s="201">
        <f>+B109+28</f>
        <v>41692</v>
      </c>
      <c r="D110" s="151">
        <f>130841.9299972-0.04</f>
        <v>130841.88999720001</v>
      </c>
      <c r="E110" s="151"/>
      <c r="F110" s="187">
        <v>3.2500000000000001E-2</v>
      </c>
      <c r="G110" s="168">
        <f t="shared" si="17"/>
        <v>-1021.82</v>
      </c>
      <c r="H110" s="166">
        <f t="shared" si="16"/>
        <v>129820.1024972</v>
      </c>
      <c r="I110" s="162">
        <f t="shared" si="13"/>
        <v>-312888.40438250045</v>
      </c>
      <c r="J110" s="151"/>
    </row>
    <row r="111" spans="1:10" hidden="1" x14ac:dyDescent="0.25">
      <c r="A111" s="153">
        <f t="shared" si="9"/>
        <v>104</v>
      </c>
      <c r="B111" s="201">
        <f>+B110+31</f>
        <v>41723</v>
      </c>
      <c r="D111" s="151">
        <f>94393.3777056-0.03</f>
        <v>94393.347705599997</v>
      </c>
      <c r="E111" s="151"/>
      <c r="F111" s="187">
        <v>3.2500000000000001E-2</v>
      </c>
      <c r="G111" s="168">
        <f t="shared" si="17"/>
        <v>-719.58</v>
      </c>
      <c r="H111" s="166">
        <f t="shared" si="16"/>
        <v>93673.800205599997</v>
      </c>
      <c r="I111" s="162">
        <f t="shared" si="13"/>
        <v>-219214.60417690047</v>
      </c>
      <c r="J111" s="151"/>
    </row>
    <row r="112" spans="1:10" hidden="1" x14ac:dyDescent="0.25">
      <c r="A112" s="153">
        <f t="shared" si="9"/>
        <v>105</v>
      </c>
      <c r="B112" s="201">
        <f>+B111+30</f>
        <v>41753</v>
      </c>
      <c r="D112" s="151">
        <f>66360.8266572-0.02</f>
        <v>66360.806657199995</v>
      </c>
      <c r="E112" s="151"/>
      <c r="F112" s="187">
        <v>3.2500000000000001E-2</v>
      </c>
      <c r="G112" s="168">
        <f t="shared" si="17"/>
        <v>-503.84</v>
      </c>
      <c r="H112" s="166">
        <f t="shared" si="16"/>
        <v>65856.9991572</v>
      </c>
      <c r="I112" s="162">
        <f t="shared" si="13"/>
        <v>-153357.60501970048</v>
      </c>
      <c r="J112" s="151"/>
    </row>
    <row r="113" spans="1:11" hidden="1" x14ac:dyDescent="0.25">
      <c r="A113" s="153">
        <f t="shared" si="9"/>
        <v>106</v>
      </c>
      <c r="B113" s="147">
        <f>+B112+31</f>
        <v>41784</v>
      </c>
      <c r="D113" s="151">
        <f>44584.85-0.04</f>
        <v>44584.81</v>
      </c>
      <c r="E113" s="151"/>
      <c r="F113" s="187">
        <v>3.2500000000000001E-2</v>
      </c>
      <c r="G113" s="168">
        <f t="shared" si="17"/>
        <v>-354.97</v>
      </c>
      <c r="H113" s="166">
        <f t="shared" si="16"/>
        <v>44229.872499999998</v>
      </c>
      <c r="I113" s="162">
        <f t="shared" si="13"/>
        <v>-109127.73251970048</v>
      </c>
      <c r="J113" s="151"/>
    </row>
    <row r="114" spans="1:11" hidden="1" x14ac:dyDescent="0.25">
      <c r="A114" s="153">
        <f t="shared" si="9"/>
        <v>107</v>
      </c>
      <c r="B114" s="147">
        <f>+B113+30</f>
        <v>41814</v>
      </c>
      <c r="D114" s="151">
        <f>30396.74-0.03</f>
        <v>30396.710000000003</v>
      </c>
      <c r="E114" s="151"/>
      <c r="F114" s="187">
        <v>3.2500000000000001E-2</v>
      </c>
      <c r="G114" s="168">
        <f t="shared" si="17"/>
        <v>-254.39</v>
      </c>
      <c r="H114" s="166">
        <f t="shared" si="16"/>
        <v>30142.352500000005</v>
      </c>
      <c r="I114" s="162">
        <f t="shared" si="13"/>
        <v>-78985.380019700475</v>
      </c>
      <c r="J114" s="151"/>
    </row>
    <row r="115" spans="1:11" hidden="1" x14ac:dyDescent="0.25">
      <c r="A115" s="153">
        <f t="shared" si="9"/>
        <v>108</v>
      </c>
      <c r="B115" s="147">
        <f>+B114+31</f>
        <v>41845</v>
      </c>
      <c r="D115" s="151">
        <v>26658.299420000007</v>
      </c>
      <c r="E115" s="151"/>
      <c r="F115" s="187">
        <v>3.2500000000000001E-2</v>
      </c>
      <c r="G115" s="168">
        <f t="shared" si="17"/>
        <v>-177.82</v>
      </c>
      <c r="H115" s="166">
        <f t="shared" si="16"/>
        <v>26480.511920000008</v>
      </c>
      <c r="I115" s="162">
        <f t="shared" si="13"/>
        <v>-52504.86809970047</v>
      </c>
      <c r="J115" s="151"/>
    </row>
    <row r="116" spans="1:11" hidden="1" x14ac:dyDescent="0.25">
      <c r="A116" s="153">
        <f t="shared" si="9"/>
        <v>109</v>
      </c>
      <c r="B116" s="147">
        <f>+B115+31</f>
        <v>41876</v>
      </c>
      <c r="D116" s="151">
        <v>21843.74</v>
      </c>
      <c r="E116" s="151"/>
      <c r="F116" s="187">
        <v>3.2500000000000001E-2</v>
      </c>
      <c r="G116" s="168">
        <f t="shared" si="17"/>
        <v>-112.62</v>
      </c>
      <c r="H116" s="166">
        <f t="shared" si="16"/>
        <v>21731.152500000004</v>
      </c>
      <c r="I116" s="162">
        <f t="shared" si="13"/>
        <v>-30773.715599700467</v>
      </c>
      <c r="J116" s="151"/>
    </row>
    <row r="117" spans="1:11" hidden="1" x14ac:dyDescent="0.25">
      <c r="A117" s="153">
        <f t="shared" si="9"/>
        <v>110</v>
      </c>
      <c r="B117" s="147">
        <f>+B116+30</f>
        <v>41906</v>
      </c>
      <c r="C117" s="202"/>
      <c r="D117" s="151">
        <v>22867.861646400001</v>
      </c>
      <c r="E117" s="151"/>
      <c r="F117" s="187">
        <v>3.2500000000000001E-2</v>
      </c>
      <c r="G117" s="168">
        <f t="shared" si="17"/>
        <v>-52.38</v>
      </c>
      <c r="H117" s="166">
        <f t="shared" si="16"/>
        <v>22815.514146400001</v>
      </c>
      <c r="I117" s="162">
        <f t="shared" si="13"/>
        <v>-7958.2014533004658</v>
      </c>
      <c r="J117" s="151"/>
    </row>
    <row r="118" spans="1:11" hidden="1" x14ac:dyDescent="0.25">
      <c r="A118" s="153">
        <f t="shared" si="9"/>
        <v>111</v>
      </c>
      <c r="B118" s="147">
        <f>+B117+31</f>
        <v>41937</v>
      </c>
      <c r="C118" s="202"/>
      <c r="D118" s="151">
        <v>26894.12</v>
      </c>
      <c r="E118" s="151"/>
      <c r="F118" s="187">
        <v>3.2500000000000001E-2</v>
      </c>
      <c r="G118" s="168">
        <f t="shared" si="17"/>
        <v>14.87</v>
      </c>
      <c r="H118" s="166">
        <f t="shared" si="16"/>
        <v>26909.022499999999</v>
      </c>
      <c r="I118" s="162">
        <f t="shared" si="13"/>
        <v>18950.821046699533</v>
      </c>
      <c r="J118" s="151"/>
    </row>
    <row r="119" spans="1:11" hidden="1" x14ac:dyDescent="0.25">
      <c r="A119" s="153">
        <f t="shared" si="9"/>
        <v>112</v>
      </c>
      <c r="B119" s="147">
        <f>+B118+30</f>
        <v>41967</v>
      </c>
      <c r="C119" s="147" t="s">
        <v>162</v>
      </c>
      <c r="D119" s="151">
        <v>25353.35</v>
      </c>
      <c r="E119" s="152"/>
      <c r="F119" s="170">
        <v>3.2500000000000001E-2</v>
      </c>
      <c r="G119" s="168">
        <f>ROUND((+I118+E119+(D119/2))*F119/12,0)</f>
        <v>86</v>
      </c>
      <c r="H119" s="166">
        <f t="shared" si="16"/>
        <v>25439.3825</v>
      </c>
      <c r="I119" s="162">
        <f t="shared" si="13"/>
        <v>44390.203546699529</v>
      </c>
      <c r="J119" s="151"/>
    </row>
    <row r="120" spans="1:11" hidden="1" x14ac:dyDescent="0.25">
      <c r="A120" s="153">
        <f t="shared" si="9"/>
        <v>113</v>
      </c>
      <c r="B120" s="147">
        <f>+B119</f>
        <v>41967</v>
      </c>
      <c r="C120" s="147" t="s">
        <v>163</v>
      </c>
      <c r="D120" s="151">
        <v>-108913.00000000001</v>
      </c>
      <c r="E120" s="151">
        <f>-'[2]191420 Defer WACOG'!E113</f>
        <v>2916751</v>
      </c>
      <c r="F120" s="170">
        <v>3.2500000000000001E-2</v>
      </c>
      <c r="G120" s="197">
        <f>ROUND((+E120+(D120/2))*F120/12,2)</f>
        <v>7752.05</v>
      </c>
      <c r="H120" s="166">
        <f t="shared" si="16"/>
        <v>2815590.0825</v>
      </c>
      <c r="I120" s="162">
        <f t="shared" si="13"/>
        <v>2859980.2860466996</v>
      </c>
      <c r="J120" s="151"/>
    </row>
    <row r="121" spans="1:11" hidden="1" x14ac:dyDescent="0.25">
      <c r="A121" s="153">
        <f t="shared" si="9"/>
        <v>114</v>
      </c>
      <c r="B121" s="147">
        <f>+B120+31</f>
        <v>41998</v>
      </c>
      <c r="C121" s="202"/>
      <c r="D121" s="151">
        <v>-414581.94244360004</v>
      </c>
      <c r="E121" s="151"/>
      <c r="F121" s="170">
        <v>3.2500000000000001E-2</v>
      </c>
      <c r="G121" s="168">
        <f>ROUND((+I120+E121+(D121/2))*F121/12,0)</f>
        <v>7184</v>
      </c>
      <c r="H121" s="166">
        <f>SUM(D121:G121)</f>
        <v>-407397.90994360007</v>
      </c>
      <c r="I121" s="162">
        <f>+I120+H121</f>
        <v>2452582.3761030994</v>
      </c>
      <c r="J121" s="151"/>
    </row>
    <row r="122" spans="1:11" hidden="1" x14ac:dyDescent="0.25">
      <c r="A122" s="153">
        <f t="shared" si="9"/>
        <v>115</v>
      </c>
      <c r="B122" s="147">
        <f>+B121+31</f>
        <v>42029</v>
      </c>
      <c r="C122" s="202"/>
      <c r="D122" s="151">
        <v>-452896.97086599993</v>
      </c>
      <c r="E122" s="151"/>
      <c r="F122" s="170">
        <v>3.2500000000000001E-2</v>
      </c>
      <c r="G122" s="168">
        <f t="shared" ref="G122:G128" si="18">ROUND((+I121+E122+(D122/2))*F122/12,0)</f>
        <v>6029</v>
      </c>
      <c r="H122" s="166">
        <f t="shared" ref="H122:H128" si="19">SUM(D122:G122)</f>
        <v>-446867.93836599996</v>
      </c>
      <c r="I122" s="162">
        <f t="shared" ref="I122:I171" si="20">+I121+H122</f>
        <v>2005714.4377370994</v>
      </c>
      <c r="J122" s="151"/>
    </row>
    <row r="123" spans="1:11" hidden="1" x14ac:dyDescent="0.25">
      <c r="A123" s="153">
        <f t="shared" si="9"/>
        <v>116</v>
      </c>
      <c r="B123" s="147">
        <f>+B122+28</f>
        <v>42057</v>
      </c>
      <c r="C123" s="202"/>
      <c r="D123" s="148">
        <v>-336241.31661720015</v>
      </c>
      <c r="E123" s="148"/>
      <c r="F123" s="204">
        <v>3.2500000000000001E-2</v>
      </c>
      <c r="G123" s="205">
        <f t="shared" si="18"/>
        <v>4977</v>
      </c>
      <c r="H123" s="206">
        <f t="shared" si="19"/>
        <v>-331264.28411720018</v>
      </c>
      <c r="I123" s="207">
        <f t="shared" si="20"/>
        <v>1674450.1536198992</v>
      </c>
    </row>
    <row r="124" spans="1:11" hidden="1" x14ac:dyDescent="0.25">
      <c r="A124" s="153">
        <f t="shared" si="9"/>
        <v>117</v>
      </c>
      <c r="B124" s="147">
        <f>+B123+31</f>
        <v>42088</v>
      </c>
      <c r="C124" s="202"/>
      <c r="D124" s="148">
        <v>-268160.42747080006</v>
      </c>
      <c r="E124" s="148"/>
      <c r="F124" s="204">
        <v>3.2500000000000001E-2</v>
      </c>
      <c r="G124" s="205">
        <f t="shared" si="18"/>
        <v>4172</v>
      </c>
      <c r="H124" s="206">
        <f t="shared" si="19"/>
        <v>-263988.39497080009</v>
      </c>
      <c r="I124" s="207">
        <f t="shared" si="20"/>
        <v>1410461.7586490992</v>
      </c>
    </row>
    <row r="125" spans="1:11" hidden="1" x14ac:dyDescent="0.25">
      <c r="A125" s="153">
        <f t="shared" si="9"/>
        <v>118</v>
      </c>
      <c r="B125" s="147">
        <f>+B124+30</f>
        <v>42118</v>
      </c>
      <c r="C125" s="202"/>
      <c r="D125" s="148">
        <v>-219645.01164960003</v>
      </c>
      <c r="E125" s="148"/>
      <c r="F125" s="204">
        <v>3.2500000000000001E-2</v>
      </c>
      <c r="G125" s="205">
        <f t="shared" si="18"/>
        <v>3523</v>
      </c>
      <c r="H125" s="206">
        <f t="shared" si="19"/>
        <v>-216121.97914960003</v>
      </c>
      <c r="I125" s="207">
        <f t="shared" si="20"/>
        <v>1194339.7794994991</v>
      </c>
    </row>
    <row r="126" spans="1:11" hidden="1" x14ac:dyDescent="0.25">
      <c r="A126" s="153">
        <f t="shared" si="9"/>
        <v>119</v>
      </c>
      <c r="B126" s="147">
        <f>+B125+31</f>
        <v>42149</v>
      </c>
      <c r="C126" s="202"/>
      <c r="D126" s="148">
        <v>-164676.90774120003</v>
      </c>
      <c r="E126" s="148"/>
      <c r="F126" s="204">
        <v>3.2500000000000001E-2</v>
      </c>
      <c r="G126" s="205">
        <f t="shared" si="18"/>
        <v>3012</v>
      </c>
      <c r="H126" s="206">
        <f t="shared" si="19"/>
        <v>-161664.87524120003</v>
      </c>
      <c r="I126" s="207">
        <f t="shared" si="20"/>
        <v>1032674.9042582992</v>
      </c>
    </row>
    <row r="127" spans="1:11" hidden="1" x14ac:dyDescent="0.25">
      <c r="A127" s="153">
        <f t="shared" si="9"/>
        <v>120</v>
      </c>
      <c r="B127" s="147">
        <f>+B126+30</f>
        <v>42179</v>
      </c>
      <c r="C127" s="202"/>
      <c r="D127" s="148">
        <v>-113282.45226959998</v>
      </c>
      <c r="E127" s="148"/>
      <c r="F127" s="204">
        <v>3.2500000000000001E-2</v>
      </c>
      <c r="G127" s="205">
        <f t="shared" si="18"/>
        <v>2643</v>
      </c>
      <c r="H127" s="206">
        <f t="shared" si="19"/>
        <v>-110639.41976959998</v>
      </c>
      <c r="I127" s="207">
        <f t="shared" si="20"/>
        <v>922035.48448869912</v>
      </c>
    </row>
    <row r="128" spans="1:11" hidden="1" x14ac:dyDescent="0.25">
      <c r="A128" s="153">
        <f t="shared" si="9"/>
        <v>121</v>
      </c>
      <c r="B128" s="147">
        <f>+B127+31</f>
        <v>42210</v>
      </c>
      <c r="C128" s="202"/>
      <c r="D128" s="148">
        <v>-85339.087638000012</v>
      </c>
      <c r="E128" s="148"/>
      <c r="F128" s="204">
        <v>3.2500000000000001E-2</v>
      </c>
      <c r="G128" s="205">
        <f t="shared" si="18"/>
        <v>2382</v>
      </c>
      <c r="H128" s="206">
        <f t="shared" si="19"/>
        <v>-82957.055138000011</v>
      </c>
      <c r="I128" s="207">
        <f t="shared" si="20"/>
        <v>839078.42935069907</v>
      </c>
      <c r="K128" s="208"/>
    </row>
    <row r="129" spans="1:9" hidden="1" x14ac:dyDescent="0.25">
      <c r="A129" s="153">
        <f t="shared" si="9"/>
        <v>122</v>
      </c>
      <c r="B129" s="147">
        <f>+B128+31</f>
        <v>42241</v>
      </c>
      <c r="C129" s="202"/>
      <c r="D129" s="148">
        <v>-80926.740000000005</v>
      </c>
      <c r="E129" s="148">
        <v>-1.54</v>
      </c>
      <c r="F129" s="204">
        <v>3.2500000000000001E-2</v>
      </c>
      <c r="G129" s="205">
        <f>ROUND((+I128+E129+(D129/2))*F129/12,0)</f>
        <v>2163</v>
      </c>
      <c r="H129" s="206">
        <f t="shared" ref="H129:H139" si="21">SUM(D129:G129)</f>
        <v>-78765.247499999998</v>
      </c>
      <c r="I129" s="207">
        <f t="shared" si="20"/>
        <v>760313.18185069901</v>
      </c>
    </row>
    <row r="130" spans="1:9" hidden="1" x14ac:dyDescent="0.25">
      <c r="A130" s="153">
        <f t="shared" si="9"/>
        <v>123</v>
      </c>
      <c r="B130" s="147">
        <f>+B129+30</f>
        <v>42271</v>
      </c>
      <c r="C130" s="178"/>
      <c r="D130" s="148">
        <v>-93315.46</v>
      </c>
      <c r="E130" s="148"/>
      <c r="F130" s="204">
        <v>3.2500000000000001E-2</v>
      </c>
      <c r="G130" s="205">
        <f t="shared" ref="G130:G171" si="22">ROUND((+I129+E130+(D130/2))*F130/12,2)</f>
        <v>1932.82</v>
      </c>
      <c r="H130" s="206">
        <f t="shared" si="21"/>
        <v>-91382.607499999998</v>
      </c>
      <c r="I130" s="207">
        <f t="shared" si="20"/>
        <v>668930.57435069897</v>
      </c>
    </row>
    <row r="131" spans="1:9" hidden="1" x14ac:dyDescent="0.25">
      <c r="A131" s="153">
        <f t="shared" si="9"/>
        <v>124</v>
      </c>
      <c r="B131" s="147">
        <f>+B130+31</f>
        <v>42302</v>
      </c>
      <c r="C131" s="178"/>
      <c r="D131" s="148">
        <v>-110871.54</v>
      </c>
      <c r="E131" s="148"/>
      <c r="F131" s="204">
        <v>3.2500000000000001E-2</v>
      </c>
      <c r="G131" s="205">
        <f t="shared" si="22"/>
        <v>1661.55</v>
      </c>
      <c r="H131" s="206">
        <f t="shared" si="21"/>
        <v>-109209.95749999999</v>
      </c>
      <c r="I131" s="207">
        <f t="shared" si="20"/>
        <v>559720.61685069895</v>
      </c>
    </row>
    <row r="132" spans="1:9" hidden="1" x14ac:dyDescent="0.25">
      <c r="A132" s="153">
        <f t="shared" si="9"/>
        <v>125</v>
      </c>
      <c r="B132" s="147">
        <f>+B131+30</f>
        <v>42332</v>
      </c>
      <c r="C132" s="147" t="s">
        <v>162</v>
      </c>
      <c r="D132" s="148">
        <v>-92886.01</v>
      </c>
      <c r="E132" s="209"/>
      <c r="F132" s="170">
        <v>3.2500000000000001E-2</v>
      </c>
      <c r="G132" s="168">
        <f>ROUND((+I131+E132+(D132/2))*F132/12,0)</f>
        <v>1390</v>
      </c>
      <c r="H132" s="166">
        <f t="shared" ref="H132:H133" si="23">SUM(D132:G132)</f>
        <v>-91495.977499999994</v>
      </c>
      <c r="I132" s="162">
        <f t="shared" si="20"/>
        <v>468224.63935069897</v>
      </c>
    </row>
    <row r="133" spans="1:9" hidden="1" x14ac:dyDescent="0.25">
      <c r="A133" s="153">
        <f t="shared" si="9"/>
        <v>126</v>
      </c>
      <c r="B133" s="147">
        <f>+B132</f>
        <v>42332</v>
      </c>
      <c r="C133" s="147" t="s">
        <v>164</v>
      </c>
      <c r="D133" s="148">
        <v>86255.75</v>
      </c>
      <c r="E133" s="209">
        <v>-3087447</v>
      </c>
      <c r="F133" s="170">
        <v>3.2500000000000001E-2</v>
      </c>
      <c r="G133" s="168">
        <f>ROUND((+E133+(D133/2))*F133/12,2)</f>
        <v>-8245.0300000000007</v>
      </c>
      <c r="H133" s="166">
        <f t="shared" si="23"/>
        <v>-3009436.2474999996</v>
      </c>
      <c r="I133" s="162">
        <f t="shared" si="20"/>
        <v>-2541211.6081493008</v>
      </c>
    </row>
    <row r="134" spans="1:9" hidden="1" x14ac:dyDescent="0.25">
      <c r="A134" s="153">
        <f t="shared" si="9"/>
        <v>127</v>
      </c>
      <c r="B134" s="147">
        <f>B132+31</f>
        <v>42363</v>
      </c>
      <c r="C134" s="178"/>
      <c r="D134" s="148">
        <v>395126.01</v>
      </c>
      <c r="E134" s="148"/>
      <c r="F134" s="170">
        <v>3.2500000000000001E-2</v>
      </c>
      <c r="G134" s="168">
        <f>ROUND((+I133+E134+(D134/2))*F134/12,0)</f>
        <v>-6347</v>
      </c>
      <c r="H134" s="166">
        <f>SUM(D134:G134)</f>
        <v>388779.04249999998</v>
      </c>
      <c r="I134" s="162">
        <f>+I133+H134</f>
        <v>-2152432.5656493008</v>
      </c>
    </row>
    <row r="135" spans="1:9" hidden="1" x14ac:dyDescent="0.25">
      <c r="A135" s="153">
        <f t="shared" si="9"/>
        <v>128</v>
      </c>
      <c r="B135" s="147">
        <f>B134+31</f>
        <v>42394</v>
      </c>
      <c r="C135" s="178"/>
      <c r="D135" s="148">
        <v>473725.83</v>
      </c>
      <c r="E135" s="148"/>
      <c r="F135" s="204">
        <v>3.2500000000000001E-2</v>
      </c>
      <c r="G135" s="205">
        <f t="shared" si="22"/>
        <v>-5188</v>
      </c>
      <c r="H135" s="206">
        <f t="shared" si="21"/>
        <v>468537.86249999999</v>
      </c>
      <c r="I135" s="207">
        <f t="shared" si="20"/>
        <v>-1683894.7031493008</v>
      </c>
    </row>
    <row r="136" spans="1:9" hidden="1" x14ac:dyDescent="0.25">
      <c r="A136" s="153">
        <f t="shared" si="9"/>
        <v>129</v>
      </c>
      <c r="B136" s="147">
        <f>B135+29</f>
        <v>42423</v>
      </c>
      <c r="C136" s="178"/>
      <c r="D136" s="148">
        <v>316534.03000000003</v>
      </c>
      <c r="E136" s="148"/>
      <c r="F136" s="204">
        <v>3.2500000000000001E-2</v>
      </c>
      <c r="G136" s="205">
        <f t="shared" si="22"/>
        <v>-4131.91</v>
      </c>
      <c r="H136" s="206">
        <f t="shared" si="21"/>
        <v>312402.15250000003</v>
      </c>
      <c r="I136" s="207">
        <f t="shared" si="20"/>
        <v>-1371492.5506493007</v>
      </c>
    </row>
    <row r="137" spans="1:9" hidden="1" x14ac:dyDescent="0.25">
      <c r="A137" s="153">
        <f t="shared" ref="A137:A190" si="24">+A136+1</f>
        <v>130</v>
      </c>
      <c r="B137" s="147">
        <f>B136+31</f>
        <v>42454</v>
      </c>
      <c r="C137" s="178"/>
      <c r="D137" s="148">
        <v>270616.67</v>
      </c>
      <c r="E137" s="148"/>
      <c r="F137" s="204">
        <v>3.2500000000000001E-2</v>
      </c>
      <c r="G137" s="205">
        <f t="shared" si="22"/>
        <v>-3348</v>
      </c>
      <c r="H137" s="206">
        <f t="shared" si="21"/>
        <v>267268.70249999996</v>
      </c>
      <c r="I137" s="207">
        <f t="shared" si="20"/>
        <v>-1104223.8481493008</v>
      </c>
    </row>
    <row r="138" spans="1:9" hidden="1" x14ac:dyDescent="0.25">
      <c r="A138" s="153">
        <f t="shared" si="24"/>
        <v>131</v>
      </c>
      <c r="B138" s="147">
        <f>B137+30</f>
        <v>42484</v>
      </c>
      <c r="C138" s="178"/>
      <c r="D138" s="148">
        <v>200192.1</v>
      </c>
      <c r="E138" s="148"/>
      <c r="F138" s="204">
        <v>3.4599999999999999E-2</v>
      </c>
      <c r="G138" s="205">
        <f t="shared" si="22"/>
        <v>-2895.24</v>
      </c>
      <c r="H138" s="206">
        <f t="shared" si="21"/>
        <v>197296.89460000003</v>
      </c>
      <c r="I138" s="207">
        <f t="shared" si="20"/>
        <v>-906926.95354930079</v>
      </c>
    </row>
    <row r="139" spans="1:9" hidden="1" x14ac:dyDescent="0.25">
      <c r="A139" s="153">
        <f t="shared" si="24"/>
        <v>132</v>
      </c>
      <c r="B139" s="147">
        <f>B138+31</f>
        <v>42515</v>
      </c>
      <c r="C139" s="178"/>
      <c r="D139" s="148">
        <v>125112</v>
      </c>
      <c r="E139" s="148">
        <v>-0.3</v>
      </c>
      <c r="F139" s="204">
        <v>3.4599999999999999E-2</v>
      </c>
      <c r="G139" s="205">
        <f t="shared" si="22"/>
        <v>-2434.6</v>
      </c>
      <c r="H139" s="206">
        <f t="shared" si="21"/>
        <v>122677.13459999999</v>
      </c>
      <c r="I139" s="207">
        <f t="shared" si="20"/>
        <v>-784249.8189493008</v>
      </c>
    </row>
    <row r="140" spans="1:9" hidden="1" x14ac:dyDescent="0.25">
      <c r="A140" s="153">
        <f t="shared" si="24"/>
        <v>133</v>
      </c>
      <c r="B140" s="147">
        <f>B139+30</f>
        <v>42545</v>
      </c>
      <c r="C140" s="176">
        <v>2</v>
      </c>
      <c r="D140" s="148">
        <v>2644118.4</v>
      </c>
      <c r="E140" s="148">
        <v>-2611790</v>
      </c>
      <c r="F140" s="204">
        <v>3.4599999999999999E-2</v>
      </c>
      <c r="G140" s="205">
        <f t="shared" si="22"/>
        <v>-5979.98</v>
      </c>
      <c r="H140" s="206">
        <f t="shared" ref="H140:H142" si="25">SUM(D140:G140)</f>
        <v>26348.454599999906</v>
      </c>
      <c r="I140" s="207">
        <f t="shared" si="20"/>
        <v>-757901.36434930086</v>
      </c>
    </row>
    <row r="141" spans="1:9" hidden="1" x14ac:dyDescent="0.25">
      <c r="A141" s="153">
        <f t="shared" si="24"/>
        <v>134</v>
      </c>
      <c r="B141" s="147">
        <f>B140+31</f>
        <v>42576</v>
      </c>
      <c r="C141" s="178"/>
      <c r="D141" s="148">
        <v>143291.51999999999</v>
      </c>
      <c r="E141" s="148"/>
      <c r="F141" s="204">
        <v>3.5000000000000003E-2</v>
      </c>
      <c r="G141" s="205">
        <f t="shared" si="22"/>
        <v>-2001.58</v>
      </c>
      <c r="H141" s="206">
        <f t="shared" si="25"/>
        <v>141289.97500000001</v>
      </c>
      <c r="I141" s="207">
        <f t="shared" si="20"/>
        <v>-616611.38934930088</v>
      </c>
    </row>
    <row r="142" spans="1:9" hidden="1" x14ac:dyDescent="0.25">
      <c r="A142" s="153">
        <f t="shared" si="24"/>
        <v>135</v>
      </c>
      <c r="B142" s="147">
        <f>B141+31</f>
        <v>42607</v>
      </c>
      <c r="C142" s="178"/>
      <c r="D142" s="148">
        <v>76947.12</v>
      </c>
      <c r="E142" s="148"/>
      <c r="F142" s="204">
        <v>3.5000000000000003E-2</v>
      </c>
      <c r="G142" s="205">
        <f t="shared" si="22"/>
        <v>-1686.24</v>
      </c>
      <c r="H142" s="206">
        <f t="shared" si="25"/>
        <v>75260.914999999994</v>
      </c>
      <c r="I142" s="207">
        <f t="shared" si="20"/>
        <v>-541350.47434930084</v>
      </c>
    </row>
    <row r="143" spans="1:9" hidden="1" x14ac:dyDescent="0.25">
      <c r="A143" s="153">
        <f t="shared" si="24"/>
        <v>136</v>
      </c>
      <c r="B143" s="147">
        <f>B142+30</f>
        <v>42637</v>
      </c>
      <c r="C143" s="178"/>
      <c r="D143" s="223">
        <v>83763.6415232</v>
      </c>
      <c r="E143" s="209"/>
      <c r="F143" s="210">
        <v>3.5000000000000003E-2</v>
      </c>
      <c r="G143" s="211">
        <f t="shared" si="22"/>
        <v>-1456.78</v>
      </c>
      <c r="H143" s="212">
        <f t="shared" ref="H143:H171" si="26">D143+E143+G143</f>
        <v>82306.861523200001</v>
      </c>
      <c r="I143" s="213">
        <f t="shared" si="20"/>
        <v>-459043.61282610084</v>
      </c>
    </row>
    <row r="144" spans="1:9" hidden="1" x14ac:dyDescent="0.25">
      <c r="A144" s="153">
        <f t="shared" si="24"/>
        <v>137</v>
      </c>
      <c r="B144" s="147">
        <f>B143+31</f>
        <v>42668</v>
      </c>
      <c r="C144" s="178"/>
      <c r="D144" s="223">
        <v>119384.2138612</v>
      </c>
      <c r="E144" s="209"/>
      <c r="F144" s="210">
        <v>3.5000000000000003E-2</v>
      </c>
      <c r="G144" s="211">
        <f t="shared" si="22"/>
        <v>-1164.78</v>
      </c>
      <c r="H144" s="212">
        <f t="shared" si="26"/>
        <v>118219.4338612</v>
      </c>
      <c r="I144" s="213">
        <f t="shared" si="20"/>
        <v>-340824.17896490084</v>
      </c>
    </row>
    <row r="145" spans="1:9" hidden="1" x14ac:dyDescent="0.25">
      <c r="A145" s="153">
        <f t="shared" si="24"/>
        <v>138</v>
      </c>
      <c r="B145" s="184">
        <f>B144+30</f>
        <v>42698</v>
      </c>
      <c r="C145" s="214" t="s">
        <v>165</v>
      </c>
      <c r="D145" s="223">
        <v>99870.190000000017</v>
      </c>
      <c r="E145" s="214"/>
      <c r="F145" s="210">
        <v>3.5000000000000003E-2</v>
      </c>
      <c r="G145" s="211">
        <f t="shared" si="22"/>
        <v>-848.43</v>
      </c>
      <c r="H145" s="212">
        <f t="shared" si="26"/>
        <v>99021.760000000024</v>
      </c>
      <c r="I145" s="213">
        <f t="shared" si="20"/>
        <v>-241802.41896490083</v>
      </c>
    </row>
    <row r="146" spans="1:9" hidden="1" x14ac:dyDescent="0.25">
      <c r="A146" s="153">
        <f t="shared" si="24"/>
        <v>139</v>
      </c>
      <c r="B146" s="184">
        <f>B145</f>
        <v>42698</v>
      </c>
      <c r="C146" s="147" t="s">
        <v>164</v>
      </c>
      <c r="D146" s="223">
        <v>42457.31</v>
      </c>
      <c r="E146" s="209">
        <v>-1161213.3799999999</v>
      </c>
      <c r="F146" s="210">
        <v>3.5000000000000003E-2</v>
      </c>
      <c r="G146" s="211">
        <f>ROUND((+E146+(D146/2))*F146/12,2)</f>
        <v>-3324.96</v>
      </c>
      <c r="H146" s="212">
        <f t="shared" si="26"/>
        <v>-1122081.0299999998</v>
      </c>
      <c r="I146" s="213">
        <f t="shared" si="20"/>
        <v>-1363883.4489649006</v>
      </c>
    </row>
    <row r="147" spans="1:9" hidden="1" x14ac:dyDescent="0.25">
      <c r="A147" s="153">
        <f t="shared" si="24"/>
        <v>140</v>
      </c>
      <c r="B147" s="184">
        <f>B146+31</f>
        <v>42729</v>
      </c>
      <c r="C147" s="214"/>
      <c r="D147" s="223">
        <v>205724.76</v>
      </c>
      <c r="E147" s="209"/>
      <c r="F147" s="210">
        <v>3.5000000000000003E-2</v>
      </c>
      <c r="G147" s="211">
        <f t="shared" si="22"/>
        <v>-3677.98</v>
      </c>
      <c r="H147" s="212">
        <f t="shared" si="26"/>
        <v>202046.78</v>
      </c>
      <c r="I147" s="213">
        <f t="shared" si="20"/>
        <v>-1161836.6689649005</v>
      </c>
    </row>
    <row r="148" spans="1:9" hidden="1" x14ac:dyDescent="0.25">
      <c r="A148" s="153">
        <f t="shared" si="24"/>
        <v>141</v>
      </c>
      <c r="B148" s="184">
        <f t="shared" ref="B148:B157" si="27">B147+31</f>
        <v>42760</v>
      </c>
      <c r="C148" s="214"/>
      <c r="D148" s="223">
        <v>353480.54999999987</v>
      </c>
      <c r="E148" s="209"/>
      <c r="F148" s="210">
        <v>3.5000000000000003E-2</v>
      </c>
      <c r="G148" s="211">
        <f t="shared" si="22"/>
        <v>-2873.2</v>
      </c>
      <c r="H148" s="212">
        <f t="shared" si="26"/>
        <v>350607.34999999986</v>
      </c>
      <c r="I148" s="213">
        <f t="shared" si="20"/>
        <v>-811229.31896490068</v>
      </c>
    </row>
    <row r="149" spans="1:9" hidden="1" x14ac:dyDescent="0.25">
      <c r="A149" s="153">
        <f t="shared" si="24"/>
        <v>142</v>
      </c>
      <c r="B149" s="184">
        <f t="shared" si="27"/>
        <v>42791</v>
      </c>
      <c r="C149" s="214"/>
      <c r="D149" s="223">
        <v>265746.88000000006</v>
      </c>
      <c r="E149" s="209"/>
      <c r="F149" s="210">
        <v>3.5000000000000003E-2</v>
      </c>
      <c r="G149" s="211">
        <f t="shared" si="22"/>
        <v>-1978.54</v>
      </c>
      <c r="H149" s="212">
        <f t="shared" si="26"/>
        <v>263768.34000000008</v>
      </c>
      <c r="I149" s="213">
        <f t="shared" si="20"/>
        <v>-547460.9789649006</v>
      </c>
    </row>
    <row r="150" spans="1:9" hidden="1" x14ac:dyDescent="0.25">
      <c r="A150" s="153">
        <f t="shared" si="24"/>
        <v>143</v>
      </c>
      <c r="B150" s="184">
        <f t="shared" si="27"/>
        <v>42822</v>
      </c>
      <c r="C150" s="214"/>
      <c r="D150" s="223">
        <v>207355.01</v>
      </c>
      <c r="E150" s="209"/>
      <c r="F150" s="210">
        <v>3.5000000000000003E-2</v>
      </c>
      <c r="G150" s="211">
        <f t="shared" si="22"/>
        <v>-1294.3699999999999</v>
      </c>
      <c r="H150" s="212">
        <f t="shared" si="26"/>
        <v>206060.64</v>
      </c>
      <c r="I150" s="213">
        <f t="shared" si="20"/>
        <v>-341400.33896490058</v>
      </c>
    </row>
    <row r="151" spans="1:9" hidden="1" x14ac:dyDescent="0.25">
      <c r="A151" s="153">
        <f t="shared" si="24"/>
        <v>144</v>
      </c>
      <c r="B151" s="184">
        <f t="shared" si="27"/>
        <v>42853</v>
      </c>
      <c r="C151" s="214"/>
      <c r="D151" s="223">
        <v>149129.61999999997</v>
      </c>
      <c r="E151" s="209"/>
      <c r="F151" s="210">
        <v>3.7100000000000001E-2</v>
      </c>
      <c r="G151" s="211">
        <f t="shared" si="22"/>
        <v>-824.97</v>
      </c>
      <c r="H151" s="212">
        <f t="shared" si="26"/>
        <v>148304.64999999997</v>
      </c>
      <c r="I151" s="213">
        <f t="shared" si="20"/>
        <v>-193095.68896490062</v>
      </c>
    </row>
    <row r="152" spans="1:9" hidden="1" x14ac:dyDescent="0.25">
      <c r="A152" s="153">
        <f t="shared" si="24"/>
        <v>145</v>
      </c>
      <c r="B152" s="184">
        <f t="shared" si="27"/>
        <v>42884</v>
      </c>
      <c r="C152" s="214"/>
      <c r="D152" s="223">
        <v>107467.04000000001</v>
      </c>
      <c r="E152" s="209"/>
      <c r="F152" s="210">
        <v>3.7100000000000001E-2</v>
      </c>
      <c r="G152" s="211">
        <f t="shared" si="22"/>
        <v>-430.86</v>
      </c>
      <c r="H152" s="212">
        <f t="shared" si="26"/>
        <v>107036.18000000001</v>
      </c>
      <c r="I152" s="213">
        <f t="shared" si="20"/>
        <v>-86059.508964900611</v>
      </c>
    </row>
    <row r="153" spans="1:9" hidden="1" x14ac:dyDescent="0.25">
      <c r="A153" s="153">
        <f t="shared" si="24"/>
        <v>146</v>
      </c>
      <c r="B153" s="184">
        <f t="shared" si="27"/>
        <v>42915</v>
      </c>
      <c r="C153" s="214"/>
      <c r="D153" s="223">
        <v>66793.119999999995</v>
      </c>
      <c r="E153" s="209"/>
      <c r="F153" s="210">
        <v>3.7100000000000001E-2</v>
      </c>
      <c r="G153" s="211">
        <f t="shared" si="22"/>
        <v>-162.82</v>
      </c>
      <c r="H153" s="212">
        <f t="shared" si="26"/>
        <v>66630.299999999988</v>
      </c>
      <c r="I153" s="213">
        <f t="shared" si="20"/>
        <v>-19429.208964900623</v>
      </c>
    </row>
    <row r="154" spans="1:9" hidden="1" x14ac:dyDescent="0.25">
      <c r="A154" s="153">
        <f t="shared" si="24"/>
        <v>147</v>
      </c>
      <c r="B154" s="184">
        <f t="shared" si="27"/>
        <v>42946</v>
      </c>
      <c r="C154" s="214"/>
      <c r="D154" s="223">
        <v>50289.820000000014</v>
      </c>
      <c r="E154" s="209"/>
      <c r="F154" s="210">
        <v>3.9600000000000003E-2</v>
      </c>
      <c r="G154" s="211">
        <f t="shared" si="22"/>
        <v>18.86</v>
      </c>
      <c r="H154" s="212">
        <f t="shared" si="26"/>
        <v>50308.680000000015</v>
      </c>
      <c r="I154" s="213">
        <f t="shared" si="20"/>
        <v>30879.471035099392</v>
      </c>
    </row>
    <row r="155" spans="1:9" hidden="1" x14ac:dyDescent="0.25">
      <c r="A155" s="153">
        <f t="shared" si="24"/>
        <v>148</v>
      </c>
      <c r="B155" s="184">
        <f t="shared" si="27"/>
        <v>42977</v>
      </c>
      <c r="C155" s="214"/>
      <c r="D155" s="223">
        <v>42364.98000000001</v>
      </c>
      <c r="E155" s="209"/>
      <c r="F155" s="210">
        <v>3.9600000000000003E-2</v>
      </c>
      <c r="G155" s="211">
        <f t="shared" si="22"/>
        <v>171.8</v>
      </c>
      <c r="H155" s="212">
        <f t="shared" si="26"/>
        <v>42536.780000000013</v>
      </c>
      <c r="I155" s="213">
        <f t="shared" si="20"/>
        <v>73416.251035099413</v>
      </c>
    </row>
    <row r="156" spans="1:9" hidden="1" x14ac:dyDescent="0.25">
      <c r="A156" s="153">
        <f t="shared" si="24"/>
        <v>149</v>
      </c>
      <c r="B156" s="184">
        <f t="shared" si="27"/>
        <v>43008</v>
      </c>
      <c r="C156" s="214"/>
      <c r="D156" s="223">
        <v>45018.709999999992</v>
      </c>
      <c r="E156" s="209"/>
      <c r="F156" s="210">
        <v>3.9600000000000003E-2</v>
      </c>
      <c r="G156" s="211">
        <f t="shared" si="22"/>
        <v>316.55</v>
      </c>
      <c r="H156" s="212">
        <f t="shared" si="26"/>
        <v>45335.259999999995</v>
      </c>
      <c r="I156" s="213">
        <f t="shared" si="20"/>
        <v>118751.51103509941</v>
      </c>
    </row>
    <row r="157" spans="1:9" hidden="1" x14ac:dyDescent="0.25">
      <c r="A157" s="153">
        <f t="shared" si="24"/>
        <v>150</v>
      </c>
      <c r="B157" s="184">
        <f t="shared" si="27"/>
        <v>43039</v>
      </c>
      <c r="C157" s="214"/>
      <c r="D157" s="223">
        <v>72619.959999999977</v>
      </c>
      <c r="E157" s="209"/>
      <c r="F157" s="210">
        <v>4.2099999999999999E-2</v>
      </c>
      <c r="G157" s="211">
        <f t="shared" si="22"/>
        <v>544.01</v>
      </c>
      <c r="H157" s="212">
        <f t="shared" si="26"/>
        <v>73163.969999999972</v>
      </c>
      <c r="I157" s="213">
        <f t="shared" si="20"/>
        <v>191915.48103509936</v>
      </c>
    </row>
    <row r="158" spans="1:9" hidden="1" x14ac:dyDescent="0.25">
      <c r="A158" s="153">
        <f t="shared" si="24"/>
        <v>151</v>
      </c>
      <c r="B158" s="184">
        <f>B157+30</f>
        <v>43069</v>
      </c>
      <c r="C158" s="214" t="s">
        <v>165</v>
      </c>
      <c r="D158" s="223">
        <v>76080.929999999993</v>
      </c>
      <c r="E158" s="209"/>
      <c r="F158" s="210">
        <v>4.2099999999999999E-2</v>
      </c>
      <c r="G158" s="211">
        <f t="shared" si="22"/>
        <v>806.76</v>
      </c>
      <c r="H158" s="212">
        <f t="shared" si="26"/>
        <v>76887.689999999988</v>
      </c>
      <c r="I158" s="213">
        <f t="shared" si="20"/>
        <v>268803.17103509937</v>
      </c>
    </row>
    <row r="159" spans="1:9" hidden="1" x14ac:dyDescent="0.25">
      <c r="A159" s="153">
        <f t="shared" si="24"/>
        <v>152</v>
      </c>
      <c r="B159" s="184">
        <v>43069</v>
      </c>
      <c r="C159" s="147" t="s">
        <v>164</v>
      </c>
      <c r="D159" s="223">
        <v>10226.259999999998</v>
      </c>
      <c r="E159" s="209">
        <v>-502484.6</v>
      </c>
      <c r="F159" s="210">
        <v>4.2099999999999999E-2</v>
      </c>
      <c r="G159" s="211">
        <f>ROUND((+E159+(D159/2))*F159/12,2)</f>
        <v>-1744.94</v>
      </c>
      <c r="H159" s="212">
        <f t="shared" si="26"/>
        <v>-494003.27999999997</v>
      </c>
      <c r="I159" s="213">
        <f t="shared" si="20"/>
        <v>-225200.1089649006</v>
      </c>
    </row>
    <row r="160" spans="1:9" hidden="1" x14ac:dyDescent="0.25">
      <c r="A160" s="153">
        <f t="shared" si="24"/>
        <v>153</v>
      </c>
      <c r="B160" s="184">
        <f>B158+31</f>
        <v>43100</v>
      </c>
      <c r="C160" s="214"/>
      <c r="D160" s="223">
        <v>39613.340000000004</v>
      </c>
      <c r="E160" s="209"/>
      <c r="F160" s="210">
        <v>4.2099999999999999E-2</v>
      </c>
      <c r="G160" s="211">
        <f t="shared" si="22"/>
        <v>-720.59</v>
      </c>
      <c r="H160" s="212">
        <f t="shared" si="26"/>
        <v>38892.750000000007</v>
      </c>
      <c r="I160" s="213">
        <f t="shared" si="20"/>
        <v>-186307.3589649006</v>
      </c>
    </row>
    <row r="161" spans="1:9" hidden="1" x14ac:dyDescent="0.25">
      <c r="A161" s="153">
        <f t="shared" si="24"/>
        <v>154</v>
      </c>
      <c r="B161" s="184">
        <v>43101</v>
      </c>
      <c r="C161" s="214"/>
      <c r="D161" s="223">
        <v>51299.63</v>
      </c>
      <c r="E161" s="209"/>
      <c r="F161" s="210">
        <v>4.2500000000000003E-2</v>
      </c>
      <c r="G161" s="211">
        <f t="shared" si="22"/>
        <v>-569</v>
      </c>
      <c r="H161" s="212">
        <f t="shared" si="26"/>
        <v>50730.63</v>
      </c>
      <c r="I161" s="213">
        <f t="shared" si="20"/>
        <v>-135576.7289649006</v>
      </c>
    </row>
    <row r="162" spans="1:9" hidden="1" x14ac:dyDescent="0.25">
      <c r="A162" s="153">
        <f t="shared" si="24"/>
        <v>155</v>
      </c>
      <c r="B162" s="184">
        <v>43132</v>
      </c>
      <c r="C162" s="214"/>
      <c r="D162" s="223">
        <v>36894.660000000018</v>
      </c>
      <c r="E162" s="209"/>
      <c r="F162" s="210">
        <v>4.2500000000000003E-2</v>
      </c>
      <c r="G162" s="211">
        <f t="shared" si="22"/>
        <v>-414.83</v>
      </c>
      <c r="H162" s="212">
        <f t="shared" si="26"/>
        <v>36479.830000000016</v>
      </c>
      <c r="I162" s="213">
        <f t="shared" si="20"/>
        <v>-99096.898964900582</v>
      </c>
    </row>
    <row r="163" spans="1:9" hidden="1" x14ac:dyDescent="0.25">
      <c r="A163" s="153">
        <f t="shared" si="24"/>
        <v>156</v>
      </c>
      <c r="B163" s="184">
        <v>43160</v>
      </c>
      <c r="C163" s="214"/>
      <c r="D163" s="223">
        <v>40763.21</v>
      </c>
      <c r="E163" s="209"/>
      <c r="F163" s="210">
        <v>4.2500000000000003E-2</v>
      </c>
      <c r="G163" s="211">
        <f t="shared" si="22"/>
        <v>-278.77999999999997</v>
      </c>
      <c r="H163" s="212">
        <f t="shared" si="26"/>
        <v>40484.43</v>
      </c>
      <c r="I163" s="213">
        <f t="shared" si="20"/>
        <v>-58612.468964900581</v>
      </c>
    </row>
    <row r="164" spans="1:9" hidden="1" x14ac:dyDescent="0.25">
      <c r="A164" s="153">
        <f t="shared" si="24"/>
        <v>157</v>
      </c>
      <c r="B164" s="184">
        <v>43191</v>
      </c>
      <c r="C164" s="214"/>
      <c r="D164" s="223">
        <v>29832.390000000003</v>
      </c>
      <c r="E164" s="209"/>
      <c r="F164" s="210">
        <v>4.4699999999999997E-2</v>
      </c>
      <c r="G164" s="211">
        <f t="shared" si="22"/>
        <v>-162.77000000000001</v>
      </c>
      <c r="H164" s="212">
        <f t="shared" si="26"/>
        <v>29669.620000000003</v>
      </c>
      <c r="I164" s="213">
        <f t="shared" si="20"/>
        <v>-28942.848964900579</v>
      </c>
    </row>
    <row r="165" spans="1:9" hidden="1" x14ac:dyDescent="0.25">
      <c r="A165" s="153">
        <f t="shared" si="24"/>
        <v>158</v>
      </c>
      <c r="B165" s="184">
        <v>43221</v>
      </c>
      <c r="C165" s="214"/>
      <c r="D165" s="223">
        <v>16357.3</v>
      </c>
      <c r="E165" s="209"/>
      <c r="F165" s="210">
        <v>4.4699999999999997E-2</v>
      </c>
      <c r="G165" s="211">
        <f t="shared" si="22"/>
        <v>-77.349999999999994</v>
      </c>
      <c r="H165" s="212">
        <f t="shared" si="26"/>
        <v>16279.949999999999</v>
      </c>
      <c r="I165" s="213">
        <f t="shared" si="20"/>
        <v>-12662.89896490058</v>
      </c>
    </row>
    <row r="166" spans="1:9" hidden="1" x14ac:dyDescent="0.25">
      <c r="A166" s="153">
        <f t="shared" si="24"/>
        <v>159</v>
      </c>
      <c r="B166" s="184">
        <v>43252</v>
      </c>
      <c r="C166" s="214"/>
      <c r="D166" s="223">
        <v>11254.5</v>
      </c>
      <c r="E166" s="209"/>
      <c r="F166" s="210">
        <v>4.4699999999999997E-2</v>
      </c>
      <c r="G166" s="211">
        <f t="shared" si="22"/>
        <v>-26.21</v>
      </c>
      <c r="H166" s="212">
        <f t="shared" si="26"/>
        <v>11228.29</v>
      </c>
      <c r="I166" s="213">
        <f t="shared" si="20"/>
        <v>-1434.6089649005789</v>
      </c>
    </row>
    <row r="167" spans="1:9" hidden="1" x14ac:dyDescent="0.25">
      <c r="A167" s="153">
        <f t="shared" si="24"/>
        <v>160</v>
      </c>
      <c r="B167" s="184">
        <v>43282</v>
      </c>
      <c r="C167" s="176">
        <v>2</v>
      </c>
      <c r="D167" s="223">
        <v>9387.34</v>
      </c>
      <c r="E167" s="209">
        <v>-0.39</v>
      </c>
      <c r="F167" s="210">
        <v>4.6899999999999997E-2</v>
      </c>
      <c r="G167" s="211">
        <f t="shared" si="22"/>
        <v>12.74</v>
      </c>
      <c r="H167" s="212">
        <f t="shared" si="26"/>
        <v>9399.69</v>
      </c>
      <c r="I167" s="213">
        <f t="shared" si="20"/>
        <v>7965.0810350994216</v>
      </c>
    </row>
    <row r="168" spans="1:9" hidden="1" x14ac:dyDescent="0.25">
      <c r="A168" s="153">
        <f t="shared" si="24"/>
        <v>161</v>
      </c>
      <c r="B168" s="184">
        <v>43313</v>
      </c>
      <c r="C168" s="214"/>
      <c r="D168" s="223">
        <v>7935.630000000001</v>
      </c>
      <c r="E168" s="209"/>
      <c r="F168" s="210">
        <v>4.6899999999999997E-2</v>
      </c>
      <c r="G168" s="211">
        <f t="shared" si="22"/>
        <v>46.64</v>
      </c>
      <c r="H168" s="212">
        <f t="shared" si="26"/>
        <v>7982.2700000000013</v>
      </c>
      <c r="I168" s="213">
        <f t="shared" si="20"/>
        <v>15947.351035099422</v>
      </c>
    </row>
    <row r="169" spans="1:9" hidden="1" x14ac:dyDescent="0.25">
      <c r="A169" s="153">
        <f t="shared" si="24"/>
        <v>162</v>
      </c>
      <c r="B169" s="184">
        <v>43344</v>
      </c>
      <c r="C169" s="215"/>
      <c r="D169" s="223">
        <v>8827.7999999999993</v>
      </c>
      <c r="E169" s="209"/>
      <c r="F169" s="210">
        <v>4.6899999999999997E-2</v>
      </c>
      <c r="G169" s="211">
        <f t="shared" si="22"/>
        <v>79.58</v>
      </c>
      <c r="H169" s="212">
        <f t="shared" si="26"/>
        <v>8907.3799999999992</v>
      </c>
      <c r="I169" s="213">
        <f t="shared" si="20"/>
        <v>24854.731035099423</v>
      </c>
    </row>
    <row r="170" spans="1:9" hidden="1" x14ac:dyDescent="0.25">
      <c r="A170" s="153">
        <f t="shared" si="24"/>
        <v>163</v>
      </c>
      <c r="B170" s="184">
        <v>43374</v>
      </c>
      <c r="C170" s="215"/>
      <c r="D170" s="223">
        <v>12531.070000000002</v>
      </c>
      <c r="E170" s="209"/>
      <c r="F170" s="185">
        <v>4.9599999999999998E-2</v>
      </c>
      <c r="G170" s="211">
        <f t="shared" si="22"/>
        <v>128.63</v>
      </c>
      <c r="H170" s="212">
        <f t="shared" si="26"/>
        <v>12659.7</v>
      </c>
      <c r="I170" s="213">
        <f t="shared" si="20"/>
        <v>37514.43103509942</v>
      </c>
    </row>
    <row r="171" spans="1:9" hidden="1" x14ac:dyDescent="0.25">
      <c r="A171" s="153">
        <f t="shared" si="24"/>
        <v>164</v>
      </c>
      <c r="B171" s="184">
        <v>43405</v>
      </c>
      <c r="C171" s="214" t="s">
        <v>165</v>
      </c>
      <c r="D171" s="223">
        <v>12465.109999999999</v>
      </c>
      <c r="E171" s="209"/>
      <c r="F171" s="185">
        <v>4.9599999999999998E-2</v>
      </c>
      <c r="G171" s="211">
        <f t="shared" si="22"/>
        <v>180.82</v>
      </c>
      <c r="H171" s="212">
        <f t="shared" si="26"/>
        <v>12645.929999999998</v>
      </c>
      <c r="I171" s="213">
        <f t="shared" si="20"/>
        <v>50160.36103509942</v>
      </c>
    </row>
    <row r="172" spans="1:9" x14ac:dyDescent="0.25">
      <c r="A172" s="153">
        <f t="shared" si="24"/>
        <v>165</v>
      </c>
      <c r="B172" s="184">
        <v>43405</v>
      </c>
      <c r="C172" s="147" t="s">
        <v>164</v>
      </c>
      <c r="D172" s="223">
        <v>61337.17</v>
      </c>
      <c r="E172" s="209">
        <v>-1991639.6114641016</v>
      </c>
      <c r="F172" s="185">
        <v>4.9599999999999998E-2</v>
      </c>
      <c r="G172" s="211">
        <v>-8105.35</v>
      </c>
      <c r="H172" s="212">
        <v>-1938407.7914641018</v>
      </c>
      <c r="I172" s="213">
        <v>-1888247.4304290023</v>
      </c>
    </row>
    <row r="173" spans="1:9" x14ac:dyDescent="0.25">
      <c r="A173" s="153">
        <f t="shared" si="24"/>
        <v>166</v>
      </c>
      <c r="B173" s="184">
        <v>43435</v>
      </c>
      <c r="C173" s="215"/>
      <c r="D173" s="223">
        <v>271734.82000000007</v>
      </c>
      <c r="E173" s="209"/>
      <c r="F173" s="185">
        <v>4.9599999999999998E-2</v>
      </c>
      <c r="G173" s="211">
        <v>-7243.17</v>
      </c>
      <c r="H173" s="212">
        <v>264491.65000000008</v>
      </c>
      <c r="I173" s="213">
        <v>-1623755.7804290021</v>
      </c>
    </row>
    <row r="174" spans="1:9" x14ac:dyDescent="0.25">
      <c r="A174" s="153">
        <f t="shared" si="24"/>
        <v>167</v>
      </c>
      <c r="B174" s="184">
        <v>43466</v>
      </c>
      <c r="C174" s="215"/>
      <c r="D174" s="223">
        <v>315752.82</v>
      </c>
      <c r="E174" s="209"/>
      <c r="F174" s="185">
        <v>5.1799999999999999E-2</v>
      </c>
      <c r="G174" s="211">
        <v>-6327.71</v>
      </c>
      <c r="H174" s="212">
        <v>309425.11</v>
      </c>
      <c r="I174" s="213">
        <v>-1314330.670429002</v>
      </c>
    </row>
    <row r="175" spans="1:9" x14ac:dyDescent="0.25">
      <c r="A175" s="153">
        <f t="shared" si="24"/>
        <v>168</v>
      </c>
      <c r="B175" s="184">
        <v>43497</v>
      </c>
      <c r="C175" s="215"/>
      <c r="D175" s="223">
        <v>311561.3899999999</v>
      </c>
      <c r="E175" s="209"/>
      <c r="F175" s="185">
        <v>5.1799999999999999E-2</v>
      </c>
      <c r="G175" s="211">
        <v>-5001.07</v>
      </c>
      <c r="H175" s="212">
        <v>306560.31999999989</v>
      </c>
      <c r="I175" s="213">
        <v>-1007770.3504290022</v>
      </c>
    </row>
    <row r="176" spans="1:9" x14ac:dyDescent="0.25">
      <c r="A176" s="153">
        <f t="shared" si="24"/>
        <v>169</v>
      </c>
      <c r="B176" s="184">
        <v>43525</v>
      </c>
      <c r="C176" s="215"/>
      <c r="D176" s="223">
        <v>337027.89999999997</v>
      </c>
      <c r="E176" s="209"/>
      <c r="F176" s="185">
        <v>5.1799999999999999E-2</v>
      </c>
      <c r="G176" s="211">
        <v>-3622.79</v>
      </c>
      <c r="H176" s="212">
        <v>333405.11</v>
      </c>
      <c r="I176" s="213">
        <v>-674365.24042900221</v>
      </c>
    </row>
    <row r="177" spans="1:9" x14ac:dyDescent="0.25">
      <c r="A177" s="153">
        <f t="shared" si="24"/>
        <v>170</v>
      </c>
      <c r="B177" s="184">
        <v>43556</v>
      </c>
      <c r="C177" s="215"/>
      <c r="D177" s="223">
        <v>165956.04999999999</v>
      </c>
      <c r="E177" s="209"/>
      <c r="F177" s="185">
        <v>5.45E-2</v>
      </c>
      <c r="G177" s="211">
        <v>-2685.88</v>
      </c>
      <c r="H177" s="212">
        <v>163270.16999999998</v>
      </c>
      <c r="I177" s="213">
        <v>-511095.07042900223</v>
      </c>
    </row>
    <row r="178" spans="1:9" x14ac:dyDescent="0.25">
      <c r="A178" s="153">
        <f t="shared" si="24"/>
        <v>171</v>
      </c>
      <c r="B178" s="184">
        <v>43586</v>
      </c>
      <c r="C178" s="215"/>
      <c r="D178" s="223">
        <v>114947.73999999998</v>
      </c>
      <c r="E178" s="209"/>
      <c r="F178" s="185">
        <v>5.45E-2</v>
      </c>
      <c r="G178" s="211">
        <v>-2060.1999999999998</v>
      </c>
      <c r="H178" s="212">
        <v>112887.53999999998</v>
      </c>
      <c r="I178" s="213">
        <v>-398207.53042900225</v>
      </c>
    </row>
    <row r="179" spans="1:9" x14ac:dyDescent="0.25">
      <c r="A179" s="153">
        <f t="shared" si="24"/>
        <v>172</v>
      </c>
      <c r="B179" s="184">
        <v>43617</v>
      </c>
      <c r="C179" s="215"/>
      <c r="D179" s="223">
        <v>77541.459999999963</v>
      </c>
      <c r="E179" s="209"/>
      <c r="F179" s="185">
        <v>5.45E-2</v>
      </c>
      <c r="G179" s="211">
        <v>-1632.44</v>
      </c>
      <c r="H179" s="212">
        <v>75909.01999999996</v>
      </c>
      <c r="I179" s="213">
        <v>-322298.51042900229</v>
      </c>
    </row>
    <row r="180" spans="1:9" x14ac:dyDescent="0.25">
      <c r="A180" s="153">
        <f t="shared" si="24"/>
        <v>173</v>
      </c>
      <c r="B180" s="184">
        <v>43647</v>
      </c>
      <c r="C180" s="215"/>
      <c r="D180" s="223">
        <v>67515.929999999993</v>
      </c>
      <c r="E180" s="209"/>
      <c r="F180" s="185">
        <v>5.5E-2</v>
      </c>
      <c r="G180" s="211">
        <v>-1322.48</v>
      </c>
      <c r="H180" s="212">
        <v>66193.45</v>
      </c>
      <c r="I180" s="213">
        <v>-256105.06042900227</v>
      </c>
    </row>
    <row r="181" spans="1:9" x14ac:dyDescent="0.25">
      <c r="A181" s="153">
        <f t="shared" si="24"/>
        <v>174</v>
      </c>
      <c r="B181" s="184">
        <v>43678</v>
      </c>
      <c r="C181" s="215"/>
      <c r="D181" s="223">
        <v>55940.850000000006</v>
      </c>
      <c r="E181" s="209"/>
      <c r="F181" s="185">
        <v>5.5E-2</v>
      </c>
      <c r="G181" s="211">
        <v>-1045.6199999999999</v>
      </c>
      <c r="H181" s="212">
        <v>54895.23</v>
      </c>
      <c r="I181" s="213">
        <v>-201209.83042900226</v>
      </c>
    </row>
    <row r="182" spans="1:9" x14ac:dyDescent="0.25">
      <c r="A182" s="153">
        <f t="shared" si="24"/>
        <v>175</v>
      </c>
      <c r="B182" s="184">
        <v>43709</v>
      </c>
      <c r="C182" s="215" t="s">
        <v>166</v>
      </c>
      <c r="D182" s="223">
        <v>64652.539999999994</v>
      </c>
      <c r="E182" s="209"/>
      <c r="F182" s="185">
        <v>5.5E-2</v>
      </c>
      <c r="G182" s="211">
        <v>-774.05</v>
      </c>
      <c r="H182" s="212">
        <v>63878.489999999991</v>
      </c>
      <c r="I182" s="213">
        <v>-137331.34042900227</v>
      </c>
    </row>
    <row r="183" spans="1:9" x14ac:dyDescent="0.25">
      <c r="A183" s="153">
        <f t="shared" si="24"/>
        <v>176</v>
      </c>
      <c r="B183" s="184">
        <v>43739</v>
      </c>
      <c r="C183" s="215" t="s">
        <v>166</v>
      </c>
      <c r="D183" s="223">
        <v>128633.45999999998</v>
      </c>
      <c r="E183" s="209"/>
      <c r="F183" s="186">
        <v>5.4199999999999998E-2</v>
      </c>
      <c r="G183" s="211">
        <v>-329.78</v>
      </c>
      <c r="H183" s="212">
        <v>128303.67999999998</v>
      </c>
      <c r="I183" s="213">
        <v>-9027.6604290022951</v>
      </c>
    </row>
    <row r="184" spans="1:9" x14ac:dyDescent="0.25">
      <c r="A184" s="153">
        <f t="shared" si="24"/>
        <v>177</v>
      </c>
      <c r="B184" s="184"/>
      <c r="C184" s="215"/>
      <c r="D184" s="223"/>
      <c r="E184" s="209"/>
      <c r="F184" s="185"/>
      <c r="G184" s="211"/>
      <c r="H184" s="212"/>
      <c r="I184" s="213"/>
    </row>
    <row r="185" spans="1:9" x14ac:dyDescent="0.25">
      <c r="A185" s="153">
        <f t="shared" si="24"/>
        <v>178</v>
      </c>
      <c r="C185" s="202"/>
      <c r="D185" s="148"/>
      <c r="E185" s="148"/>
      <c r="F185" s="204"/>
      <c r="G185" s="205"/>
      <c r="H185" s="206"/>
      <c r="I185" s="207"/>
    </row>
    <row r="186" spans="1:9" x14ac:dyDescent="0.25">
      <c r="A186" s="153">
        <f t="shared" si="24"/>
        <v>179</v>
      </c>
      <c r="B186" s="216" t="s">
        <v>157</v>
      </c>
      <c r="D186" s="217"/>
      <c r="E186" s="218"/>
      <c r="F186" s="148"/>
      <c r="G186" s="219"/>
      <c r="I186" s="213"/>
    </row>
    <row r="187" spans="1:9" x14ac:dyDescent="0.25">
      <c r="A187" s="153">
        <f t="shared" si="24"/>
        <v>180</v>
      </c>
      <c r="B187" s="189"/>
      <c r="D187" s="217"/>
      <c r="E187" s="148"/>
      <c r="F187" s="148"/>
      <c r="G187" s="204"/>
      <c r="I187" s="220"/>
    </row>
    <row r="188" spans="1:9" x14ac:dyDescent="0.25">
      <c r="A188" s="153">
        <f t="shared" si="24"/>
        <v>181</v>
      </c>
      <c r="B188" s="190" t="s">
        <v>131</v>
      </c>
      <c r="E188" s="219"/>
      <c r="F188" s="148"/>
      <c r="G188" s="219"/>
    </row>
    <row r="189" spans="1:9" x14ac:dyDescent="0.25">
      <c r="A189" s="153">
        <f t="shared" si="24"/>
        <v>182</v>
      </c>
      <c r="B189" s="147" t="s">
        <v>167</v>
      </c>
    </row>
    <row r="190" spans="1:9" x14ac:dyDescent="0.25">
      <c r="A190" s="153">
        <f t="shared" si="24"/>
        <v>183</v>
      </c>
      <c r="B190" s="221" t="s">
        <v>168</v>
      </c>
    </row>
  </sheetData>
  <pageMargins left="0.7" right="0.7" top="0.75" bottom="0.75" header="0.3" footer="0.3"/>
  <pageSetup scale="66" orientation="landscape" horizontalDpi="300" verticalDpi="300" r:id="rId1"/>
  <headerFooter>
    <oddHeader>&amp;RNWN's Advice 19-06A
Exhibit A - Supporting Materials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"/>
  <sheetViews>
    <sheetView showGridLines="0" view="pageLayout" zoomScaleNormal="100" workbookViewId="0">
      <selection activeCell="X20" sqref="X20"/>
    </sheetView>
  </sheetViews>
  <sheetFormatPr defaultColWidth="7.88671875" defaultRowHeight="13.2" outlineLevelRow="1" x14ac:dyDescent="0.25"/>
  <cols>
    <col min="1" max="1" width="4" style="146" customWidth="1"/>
    <col min="2" max="2" width="13.44140625" style="147" customWidth="1"/>
    <col min="3" max="3" width="8.88671875" style="147" customWidth="1"/>
    <col min="4" max="4" width="14.6640625" style="148" customWidth="1"/>
    <col min="5" max="5" width="14.88671875" style="148" customWidth="1"/>
    <col min="6" max="7" width="13.44140625" style="148" customWidth="1"/>
    <col min="8" max="9" width="16.5546875" style="148" customWidth="1"/>
    <col min="10" max="11" width="13.44140625" style="148" hidden="1" customWidth="1"/>
    <col min="12" max="12" width="14.33203125" style="147" customWidth="1"/>
    <col min="13" max="20" width="13.44140625" style="147" customWidth="1"/>
    <col min="21" max="16384" width="7.88671875" style="147"/>
  </cols>
  <sheetData>
    <row r="1" spans="1:12" x14ac:dyDescent="0.25">
      <c r="B1" s="147" t="s">
        <v>133</v>
      </c>
      <c r="D1" s="148" t="s">
        <v>134</v>
      </c>
    </row>
    <row r="2" spans="1:12" x14ac:dyDescent="0.25">
      <c r="B2" s="147" t="s">
        <v>135</v>
      </c>
      <c r="D2" s="148" t="s">
        <v>68</v>
      </c>
    </row>
    <row r="3" spans="1:12" x14ac:dyDescent="0.25">
      <c r="B3" s="147" t="s">
        <v>136</v>
      </c>
      <c r="D3" s="149" t="s">
        <v>169</v>
      </c>
    </row>
    <row r="4" spans="1:12" x14ac:dyDescent="0.25">
      <c r="B4" s="147" t="s">
        <v>138</v>
      </c>
      <c r="D4" s="150">
        <v>191430</v>
      </c>
      <c r="E4" s="151"/>
      <c r="F4" s="151"/>
      <c r="G4" s="151"/>
      <c r="H4" s="151"/>
      <c r="I4" s="151"/>
      <c r="J4" s="151"/>
      <c r="K4" s="151"/>
      <c r="L4" s="152"/>
    </row>
    <row r="5" spans="1:12" x14ac:dyDescent="0.25">
      <c r="D5" s="152" t="s">
        <v>139</v>
      </c>
      <c r="E5" s="151"/>
      <c r="F5" s="151"/>
      <c r="G5" s="151"/>
      <c r="H5" s="151"/>
      <c r="I5" s="151"/>
      <c r="J5" s="151"/>
      <c r="K5" s="151"/>
      <c r="L5" s="152"/>
    </row>
    <row r="6" spans="1:12" x14ac:dyDescent="0.25">
      <c r="D6" s="152" t="s">
        <v>140</v>
      </c>
      <c r="E6" s="151"/>
      <c r="F6" s="151"/>
      <c r="G6" s="151"/>
      <c r="H6" s="151"/>
      <c r="I6" s="151"/>
      <c r="J6" s="151"/>
      <c r="K6" s="151"/>
      <c r="L6" s="152"/>
    </row>
    <row r="7" spans="1:12" x14ac:dyDescent="0.25">
      <c r="D7" s="151"/>
      <c r="E7" s="151"/>
      <c r="F7" s="151"/>
      <c r="G7" s="151"/>
      <c r="H7" s="151"/>
      <c r="I7" s="151"/>
      <c r="J7" s="151"/>
      <c r="K7" s="151"/>
      <c r="L7" s="152"/>
    </row>
    <row r="8" spans="1:12" x14ac:dyDescent="0.25">
      <c r="A8" s="153">
        <v>1</v>
      </c>
      <c r="B8" s="147" t="s">
        <v>141</v>
      </c>
      <c r="D8" s="151"/>
      <c r="E8" s="151"/>
      <c r="F8" s="151"/>
      <c r="G8" s="154"/>
      <c r="H8" s="151"/>
      <c r="I8" s="151"/>
      <c r="J8" s="151"/>
      <c r="K8" s="151"/>
      <c r="L8" s="152"/>
    </row>
    <row r="9" spans="1:12" x14ac:dyDescent="0.25">
      <c r="A9" s="153">
        <f t="shared" ref="A9:A72" si="0">+A8+1</f>
        <v>2</v>
      </c>
      <c r="D9" s="151"/>
      <c r="E9" s="151"/>
      <c r="F9" s="151"/>
      <c r="G9" s="154"/>
      <c r="H9" s="151"/>
      <c r="I9" s="151"/>
      <c r="J9" s="151"/>
      <c r="K9" s="151"/>
      <c r="L9" s="152"/>
    </row>
    <row r="10" spans="1:12" x14ac:dyDescent="0.25">
      <c r="A10" s="153">
        <f t="shared" si="0"/>
        <v>3</v>
      </c>
      <c r="B10" s="155"/>
      <c r="C10" s="155"/>
      <c r="D10" s="154"/>
      <c r="E10" s="154"/>
      <c r="F10" s="154"/>
      <c r="G10" s="154"/>
      <c r="H10" s="154"/>
      <c r="I10" s="154"/>
      <c r="J10" s="151"/>
      <c r="K10" s="151"/>
      <c r="L10" s="152"/>
    </row>
    <row r="11" spans="1:12" x14ac:dyDescent="0.25">
      <c r="A11" s="153">
        <f t="shared" si="0"/>
        <v>4</v>
      </c>
      <c r="B11" s="156" t="s">
        <v>142</v>
      </c>
      <c r="C11" s="156" t="s">
        <v>143</v>
      </c>
      <c r="D11" s="157" t="s">
        <v>144</v>
      </c>
      <c r="E11" s="157" t="s">
        <v>145</v>
      </c>
      <c r="F11" s="157" t="s">
        <v>146</v>
      </c>
      <c r="G11" s="157" t="s">
        <v>108</v>
      </c>
      <c r="H11" s="157" t="s">
        <v>117</v>
      </c>
      <c r="I11" s="157" t="s">
        <v>111</v>
      </c>
      <c r="J11" s="151"/>
      <c r="K11" s="151"/>
      <c r="L11" s="152"/>
    </row>
    <row r="12" spans="1:12" x14ac:dyDescent="0.25">
      <c r="A12" s="153">
        <f t="shared" si="0"/>
        <v>5</v>
      </c>
      <c r="B12" s="155" t="s">
        <v>147</v>
      </c>
      <c r="C12" s="155" t="s">
        <v>148</v>
      </c>
      <c r="D12" s="154" t="s">
        <v>149</v>
      </c>
      <c r="E12" s="154" t="s">
        <v>150</v>
      </c>
      <c r="F12" s="158" t="s">
        <v>151</v>
      </c>
      <c r="G12" s="158" t="s">
        <v>152</v>
      </c>
      <c r="H12" s="158" t="s">
        <v>153</v>
      </c>
      <c r="I12" s="158" t="s">
        <v>154</v>
      </c>
      <c r="J12" s="154"/>
      <c r="K12" s="151"/>
      <c r="L12" s="152"/>
    </row>
    <row r="13" spans="1:12" x14ac:dyDescent="0.25">
      <c r="A13" s="153">
        <f t="shared" si="0"/>
        <v>6</v>
      </c>
      <c r="D13" s="151"/>
      <c r="E13" s="151"/>
      <c r="F13" s="151"/>
      <c r="G13" s="154"/>
      <c r="H13" s="151"/>
      <c r="I13" s="151"/>
      <c r="J13" s="151"/>
      <c r="K13" s="151"/>
      <c r="L13" s="152"/>
    </row>
    <row r="14" spans="1:12" hidden="1" x14ac:dyDescent="0.25">
      <c r="A14" s="153">
        <f t="shared" si="0"/>
        <v>7</v>
      </c>
      <c r="B14" s="159" t="s">
        <v>155</v>
      </c>
      <c r="D14" s="151"/>
      <c r="E14" s="151"/>
      <c r="F14" s="151"/>
      <c r="G14" s="151"/>
      <c r="H14" s="151"/>
      <c r="I14" s="151"/>
      <c r="J14" s="151"/>
      <c r="K14" s="151"/>
      <c r="L14" s="152"/>
    </row>
    <row r="15" spans="1:12" hidden="1" outlineLevel="1" x14ac:dyDescent="0.25">
      <c r="A15" s="153">
        <f t="shared" si="0"/>
        <v>8</v>
      </c>
      <c r="B15" s="160">
        <v>39021</v>
      </c>
      <c r="D15" s="161"/>
      <c r="E15" s="151"/>
      <c r="F15" s="151"/>
      <c r="G15" s="162"/>
      <c r="H15" s="151"/>
      <c r="I15" s="161">
        <v>6815.73</v>
      </c>
      <c r="J15" s="151"/>
      <c r="K15" s="151"/>
      <c r="L15" s="152"/>
    </row>
    <row r="16" spans="1:12" hidden="1" outlineLevel="1" x14ac:dyDescent="0.25">
      <c r="A16" s="153">
        <f t="shared" si="0"/>
        <v>9</v>
      </c>
      <c r="B16" s="160">
        <f>+B15+30</f>
        <v>39051</v>
      </c>
      <c r="D16" s="161">
        <v>-155570.91</v>
      </c>
      <c r="E16" s="151">
        <v>-6815.73</v>
      </c>
      <c r="F16" s="151"/>
      <c r="G16" s="163">
        <v>-502</v>
      </c>
      <c r="H16" s="151">
        <f t="shared" ref="H16:H53" si="1">SUM(D16:G16)</f>
        <v>-162888.64000000001</v>
      </c>
      <c r="I16" s="162">
        <f t="shared" ref="I16:I79" si="2">+I15+H16</f>
        <v>-156072.91</v>
      </c>
      <c r="J16" s="151"/>
      <c r="K16" s="151"/>
      <c r="L16" s="152"/>
    </row>
    <row r="17" spans="1:12" hidden="1" outlineLevel="1" x14ac:dyDescent="0.25">
      <c r="A17" s="153">
        <f t="shared" si="0"/>
        <v>10</v>
      </c>
      <c r="B17" s="160">
        <f>+B16+31</f>
        <v>39082</v>
      </c>
      <c r="D17" s="161">
        <f>-35318.87+98863.99</f>
        <v>63545.120000000003</v>
      </c>
      <c r="E17" s="151"/>
      <c r="F17" s="151"/>
      <c r="G17" s="163">
        <f>-1121+319</f>
        <v>-802</v>
      </c>
      <c r="H17" s="151">
        <f t="shared" si="1"/>
        <v>62743.12</v>
      </c>
      <c r="I17" s="162">
        <f t="shared" si="2"/>
        <v>-93329.790000000008</v>
      </c>
      <c r="J17" s="151"/>
      <c r="K17" s="151"/>
      <c r="L17" s="152"/>
    </row>
    <row r="18" spans="1:12" hidden="1" outlineLevel="1" x14ac:dyDescent="0.25">
      <c r="A18" s="153">
        <f t="shared" si="0"/>
        <v>11</v>
      </c>
      <c r="B18" s="160">
        <f>+B17+31</f>
        <v>39113</v>
      </c>
      <c r="D18" s="161">
        <v>108095.83</v>
      </c>
      <c r="E18" s="151"/>
      <c r="F18" s="151"/>
      <c r="G18" s="163">
        <v>-267</v>
      </c>
      <c r="H18" s="151">
        <f t="shared" si="1"/>
        <v>107828.83</v>
      </c>
      <c r="I18" s="162">
        <f t="shared" si="2"/>
        <v>14499.039999999994</v>
      </c>
      <c r="J18" s="151"/>
      <c r="K18" s="151"/>
      <c r="L18" s="152"/>
    </row>
    <row r="19" spans="1:12" hidden="1" outlineLevel="1" x14ac:dyDescent="0.25">
      <c r="A19" s="153">
        <f t="shared" si="0"/>
        <v>12</v>
      </c>
      <c r="B19" s="160">
        <f>+B18+28</f>
        <v>39141</v>
      </c>
      <c r="D19" s="161">
        <v>117337.56</v>
      </c>
      <c r="E19" s="151"/>
      <c r="F19" s="151"/>
      <c r="G19" s="163">
        <v>498</v>
      </c>
      <c r="H19" s="151">
        <f t="shared" si="1"/>
        <v>117835.56</v>
      </c>
      <c r="I19" s="162">
        <f t="shared" si="2"/>
        <v>132334.59999999998</v>
      </c>
      <c r="J19" s="151"/>
      <c r="K19" s="151"/>
      <c r="L19" s="152"/>
    </row>
    <row r="20" spans="1:12" hidden="1" outlineLevel="1" x14ac:dyDescent="0.25">
      <c r="A20" s="153">
        <f t="shared" si="0"/>
        <v>13</v>
      </c>
      <c r="B20" s="160">
        <f>+B19+31</f>
        <v>39172</v>
      </c>
      <c r="D20" s="161">
        <v>116842.97</v>
      </c>
      <c r="E20" s="151"/>
      <c r="F20" s="151"/>
      <c r="G20" s="163">
        <v>1299</v>
      </c>
      <c r="H20" s="151">
        <f t="shared" si="1"/>
        <v>118141.97</v>
      </c>
      <c r="I20" s="162">
        <f t="shared" si="2"/>
        <v>250476.56999999998</v>
      </c>
      <c r="J20" s="151"/>
      <c r="K20" s="151"/>
      <c r="L20" s="152"/>
    </row>
    <row r="21" spans="1:12" hidden="1" outlineLevel="1" x14ac:dyDescent="0.25">
      <c r="A21" s="153">
        <f t="shared" si="0"/>
        <v>14</v>
      </c>
      <c r="B21" s="160">
        <f>+B20+30</f>
        <v>39202</v>
      </c>
      <c r="D21" s="161">
        <v>71590.210000000006</v>
      </c>
      <c r="E21" s="151"/>
      <c r="F21" s="151"/>
      <c r="G21" s="163">
        <v>2202</v>
      </c>
      <c r="H21" s="151">
        <f t="shared" si="1"/>
        <v>73792.210000000006</v>
      </c>
      <c r="I21" s="162">
        <f t="shared" si="2"/>
        <v>324268.77999999997</v>
      </c>
      <c r="J21" s="151"/>
      <c r="K21" s="151"/>
      <c r="L21" s="152"/>
    </row>
    <row r="22" spans="1:12" hidden="1" outlineLevel="1" x14ac:dyDescent="0.25">
      <c r="A22" s="153">
        <f t="shared" si="0"/>
        <v>15</v>
      </c>
      <c r="B22" s="160">
        <f>+B21+31</f>
        <v>39233</v>
      </c>
      <c r="D22" s="161">
        <v>77426.73</v>
      </c>
      <c r="E22" s="151"/>
      <c r="F22" s="151"/>
      <c r="G22" s="163">
        <v>2477</v>
      </c>
      <c r="H22" s="151">
        <f t="shared" si="1"/>
        <v>79903.73</v>
      </c>
      <c r="I22" s="162">
        <f t="shared" si="2"/>
        <v>404172.50999999995</v>
      </c>
      <c r="J22" s="151"/>
      <c r="K22" s="151"/>
      <c r="L22" s="152"/>
    </row>
    <row r="23" spans="1:12" hidden="1" outlineLevel="1" x14ac:dyDescent="0.25">
      <c r="A23" s="153">
        <f t="shared" si="0"/>
        <v>16</v>
      </c>
      <c r="B23" s="160">
        <f>+B22+30</f>
        <v>39263</v>
      </c>
      <c r="D23" s="161">
        <v>67461.16</v>
      </c>
      <c r="E23" s="151"/>
      <c r="F23" s="151"/>
      <c r="G23" s="163">
        <f>3002</f>
        <v>3002</v>
      </c>
      <c r="H23" s="151">
        <f t="shared" si="1"/>
        <v>70463.16</v>
      </c>
      <c r="I23" s="162">
        <f t="shared" si="2"/>
        <v>474635.66999999993</v>
      </c>
      <c r="J23" s="162"/>
      <c r="K23" s="151"/>
      <c r="L23" s="152"/>
    </row>
    <row r="24" spans="1:12" hidden="1" outlineLevel="1" x14ac:dyDescent="0.25">
      <c r="A24" s="153">
        <f t="shared" si="0"/>
        <v>17</v>
      </c>
      <c r="B24" s="160">
        <f>+B23+31</f>
        <v>39294</v>
      </c>
      <c r="C24" s="147" t="s">
        <v>170</v>
      </c>
      <c r="D24" s="161">
        <v>63572.3</v>
      </c>
      <c r="E24" s="151">
        <v>-158792.81</v>
      </c>
      <c r="F24" s="151"/>
      <c r="G24" s="163">
        <f>3368-6064.04</f>
        <v>-2696.04</v>
      </c>
      <c r="H24" s="151">
        <f t="shared" si="1"/>
        <v>-97916.549999999988</v>
      </c>
      <c r="I24" s="162">
        <f t="shared" si="2"/>
        <v>376719.11999999994</v>
      </c>
      <c r="J24" s="151"/>
      <c r="K24" s="151"/>
      <c r="L24" s="152"/>
    </row>
    <row r="25" spans="1:12" hidden="1" outlineLevel="1" x14ac:dyDescent="0.25">
      <c r="A25" s="153">
        <f t="shared" si="0"/>
        <v>18</v>
      </c>
      <c r="B25" s="160">
        <f>+B24+30</f>
        <v>39324</v>
      </c>
      <c r="C25" s="164"/>
      <c r="D25" s="161">
        <v>63578.17</v>
      </c>
      <c r="E25" s="151"/>
      <c r="F25" s="151"/>
      <c r="G25" s="163">
        <v>3839</v>
      </c>
      <c r="H25" s="151">
        <f t="shared" si="1"/>
        <v>67417.17</v>
      </c>
      <c r="I25" s="162">
        <f t="shared" si="2"/>
        <v>444136.28999999992</v>
      </c>
      <c r="J25" s="151"/>
      <c r="K25" s="151"/>
      <c r="L25" s="152"/>
    </row>
    <row r="26" spans="1:12" hidden="1" outlineLevel="1" x14ac:dyDescent="0.25">
      <c r="A26" s="153">
        <f t="shared" si="0"/>
        <v>19</v>
      </c>
      <c r="B26" s="160">
        <f>+B25+30</f>
        <v>39354</v>
      </c>
      <c r="C26" s="164"/>
      <c r="D26" s="161">
        <v>65055.92</v>
      </c>
      <c r="E26" s="151"/>
      <c r="F26" s="151"/>
      <c r="G26" s="163">
        <v>1441</v>
      </c>
      <c r="H26" s="151">
        <f t="shared" si="1"/>
        <v>66496.92</v>
      </c>
      <c r="I26" s="162">
        <f t="shared" si="2"/>
        <v>510633.2099999999</v>
      </c>
      <c r="J26" s="151"/>
      <c r="K26" s="151"/>
      <c r="L26" s="152"/>
    </row>
    <row r="27" spans="1:12" hidden="1" outlineLevel="1" x14ac:dyDescent="0.25">
      <c r="A27" s="153">
        <f t="shared" si="0"/>
        <v>20</v>
      </c>
      <c r="B27" s="160">
        <f>+B26+31</f>
        <v>39385</v>
      </c>
      <c r="C27" s="164"/>
      <c r="D27" s="165">
        <v>116135.34</v>
      </c>
      <c r="E27" s="166"/>
      <c r="F27" s="166"/>
      <c r="G27" s="167">
        <v>4027</v>
      </c>
      <c r="H27" s="166">
        <f t="shared" si="1"/>
        <v>120162.34</v>
      </c>
      <c r="I27" s="162">
        <f t="shared" si="2"/>
        <v>630795.54999999993</v>
      </c>
      <c r="J27" s="151"/>
      <c r="K27" s="151"/>
      <c r="L27" s="152"/>
    </row>
    <row r="28" spans="1:12" hidden="1" outlineLevel="1" x14ac:dyDescent="0.25">
      <c r="A28" s="153">
        <f t="shared" si="0"/>
        <v>21</v>
      </c>
      <c r="B28" s="160">
        <f>+B27+30</f>
        <v>39415</v>
      </c>
      <c r="C28" s="147" t="s">
        <v>171</v>
      </c>
      <c r="D28" s="165">
        <v>-20724.490000000002</v>
      </c>
      <c r="E28" s="166">
        <f>-I27</f>
        <v>-630795.54999999993</v>
      </c>
      <c r="F28" s="166"/>
      <c r="G28" s="168">
        <f>ROUND((+I27+E28+(D28/2))*0.0825/12,2)</f>
        <v>-71.239999999999995</v>
      </c>
      <c r="H28" s="166">
        <f t="shared" si="1"/>
        <v>-651591.27999999991</v>
      </c>
      <c r="I28" s="162">
        <f t="shared" si="2"/>
        <v>-20795.729999999981</v>
      </c>
      <c r="J28" s="151"/>
      <c r="K28" s="151"/>
      <c r="L28" s="152"/>
    </row>
    <row r="29" spans="1:12" hidden="1" outlineLevel="1" x14ac:dyDescent="0.25">
      <c r="A29" s="153">
        <f t="shared" si="0"/>
        <v>22</v>
      </c>
      <c r="B29" s="160">
        <f>+B28+31</f>
        <v>39446</v>
      </c>
      <c r="D29" s="165">
        <v>-3123.86</v>
      </c>
      <c r="E29" s="166"/>
      <c r="F29" s="166"/>
      <c r="G29" s="168">
        <f>ROUND((+I28+E29+(D29/2))*0.0825/12,2)</f>
        <v>-153.71</v>
      </c>
      <c r="H29" s="166">
        <f t="shared" si="1"/>
        <v>-3277.57</v>
      </c>
      <c r="I29" s="162">
        <f t="shared" si="2"/>
        <v>-24073.299999999981</v>
      </c>
      <c r="J29" s="151"/>
      <c r="K29" s="151"/>
      <c r="L29" s="152"/>
    </row>
    <row r="30" spans="1:12" hidden="1" outlineLevel="1" x14ac:dyDescent="0.25">
      <c r="A30" s="153">
        <f t="shared" si="0"/>
        <v>23</v>
      </c>
      <c r="B30" s="160">
        <f>+B29+31</f>
        <v>39477</v>
      </c>
      <c r="D30" s="161">
        <v>15496.29</v>
      </c>
      <c r="E30" s="151"/>
      <c r="F30" s="151"/>
      <c r="G30" s="167">
        <v>-26</v>
      </c>
      <c r="H30" s="166">
        <f t="shared" si="1"/>
        <v>15470.29</v>
      </c>
      <c r="I30" s="162">
        <f t="shared" si="2"/>
        <v>-8603.0099999999802</v>
      </c>
      <c r="J30" s="151"/>
      <c r="K30" s="151"/>
      <c r="L30" s="152"/>
    </row>
    <row r="31" spans="1:12" hidden="1" outlineLevel="1" x14ac:dyDescent="0.25">
      <c r="A31" s="153">
        <f t="shared" si="0"/>
        <v>24</v>
      </c>
      <c r="B31" s="160">
        <f>+B30+29</f>
        <v>39506</v>
      </c>
      <c r="D31" s="161">
        <v>42494.54</v>
      </c>
      <c r="E31" s="151"/>
      <c r="F31" s="151"/>
      <c r="G31" s="167">
        <v>87</v>
      </c>
      <c r="H31" s="166">
        <f t="shared" si="1"/>
        <v>42581.54</v>
      </c>
      <c r="I31" s="162">
        <f t="shared" si="2"/>
        <v>33978.530000000021</v>
      </c>
      <c r="J31" s="151"/>
      <c r="K31" s="151"/>
      <c r="L31" s="152"/>
    </row>
    <row r="32" spans="1:12" hidden="1" outlineLevel="1" x14ac:dyDescent="0.25">
      <c r="A32" s="153">
        <f t="shared" si="0"/>
        <v>25</v>
      </c>
      <c r="B32" s="160">
        <f>+B31+31</f>
        <v>39537</v>
      </c>
      <c r="D32" s="161">
        <f>21145.77-159191.79</f>
        <v>-138046.02000000002</v>
      </c>
      <c r="E32" s="162"/>
      <c r="F32" s="162"/>
      <c r="G32" s="167">
        <f>367-548</f>
        <v>-181</v>
      </c>
      <c r="H32" s="166">
        <f t="shared" si="1"/>
        <v>-138227.02000000002</v>
      </c>
      <c r="I32" s="162">
        <f t="shared" si="2"/>
        <v>-104248.48999999999</v>
      </c>
      <c r="J32" s="151"/>
      <c r="K32" s="151"/>
      <c r="L32" s="152"/>
    </row>
    <row r="33" spans="1:12" hidden="1" outlineLevel="1" x14ac:dyDescent="0.25">
      <c r="A33" s="153">
        <f t="shared" si="0"/>
        <v>26</v>
      </c>
      <c r="B33" s="160">
        <f>+B32+30</f>
        <v>39567</v>
      </c>
      <c r="D33" s="161">
        <v>-3281.7</v>
      </c>
      <c r="E33" s="151"/>
      <c r="F33" s="151"/>
      <c r="G33" s="167">
        <v>-584</v>
      </c>
      <c r="H33" s="166">
        <f t="shared" si="1"/>
        <v>-3865.7</v>
      </c>
      <c r="I33" s="162">
        <f t="shared" si="2"/>
        <v>-108114.18999999999</v>
      </c>
      <c r="J33" s="151"/>
      <c r="K33" s="151"/>
      <c r="L33" s="152"/>
    </row>
    <row r="34" spans="1:12" hidden="1" outlineLevel="1" x14ac:dyDescent="0.25">
      <c r="A34" s="153">
        <f t="shared" si="0"/>
        <v>27</v>
      </c>
      <c r="B34" s="160">
        <f>+B33+31</f>
        <v>39598</v>
      </c>
      <c r="D34" s="161">
        <v>4581.09</v>
      </c>
      <c r="E34" s="151"/>
      <c r="F34" s="151"/>
      <c r="G34" s="168">
        <f>ROUND((+I33+E34+(D34/2))*0.0677/12,2)</f>
        <v>-597.02</v>
      </c>
      <c r="H34" s="166">
        <f t="shared" si="1"/>
        <v>3984.07</v>
      </c>
      <c r="I34" s="162">
        <f t="shared" si="2"/>
        <v>-104130.11999999998</v>
      </c>
      <c r="J34" s="151"/>
      <c r="K34" s="151"/>
      <c r="L34" s="152"/>
    </row>
    <row r="35" spans="1:12" hidden="1" outlineLevel="1" x14ac:dyDescent="0.25">
      <c r="A35" s="153">
        <f t="shared" si="0"/>
        <v>28</v>
      </c>
      <c r="B35" s="160">
        <f>+B34+30</f>
        <v>39628</v>
      </c>
      <c r="D35" s="161">
        <v>-9432.5</v>
      </c>
      <c r="E35" s="151"/>
      <c r="F35" s="151"/>
      <c r="G35" s="167">
        <v>-588</v>
      </c>
      <c r="H35" s="166">
        <f t="shared" si="1"/>
        <v>-10020.5</v>
      </c>
      <c r="I35" s="162">
        <f t="shared" si="2"/>
        <v>-114150.61999999998</v>
      </c>
      <c r="J35" s="151"/>
      <c r="K35" s="151"/>
      <c r="L35" s="152"/>
    </row>
    <row r="36" spans="1:12" hidden="1" outlineLevel="1" x14ac:dyDescent="0.25">
      <c r="A36" s="153">
        <f t="shared" si="0"/>
        <v>29</v>
      </c>
      <c r="B36" s="160">
        <f>+B35+31</f>
        <v>39659</v>
      </c>
      <c r="D36" s="161">
        <v>-6430.84</v>
      </c>
      <c r="E36" s="151"/>
      <c r="F36" s="151"/>
      <c r="G36" s="168">
        <f>ROUND((+I35+E36+(D36/2))*0.053/12,2)</f>
        <v>-518.37</v>
      </c>
      <c r="H36" s="166">
        <f t="shared" si="1"/>
        <v>-6949.21</v>
      </c>
      <c r="I36" s="162">
        <f t="shared" si="2"/>
        <v>-121099.82999999999</v>
      </c>
      <c r="J36" s="151"/>
      <c r="K36" s="151"/>
      <c r="L36" s="152"/>
    </row>
    <row r="37" spans="1:12" hidden="1" outlineLevel="1" x14ac:dyDescent="0.25">
      <c r="A37" s="153">
        <f t="shared" si="0"/>
        <v>30</v>
      </c>
      <c r="B37" s="160">
        <f>+B36+30</f>
        <v>39689</v>
      </c>
      <c r="D37" s="161">
        <v>-16761.12</v>
      </c>
      <c r="E37" s="151"/>
      <c r="F37" s="151"/>
      <c r="G37" s="168">
        <f>ROUND((+I36+E37+(D37/2))*0.053/12,2)</f>
        <v>-571.87</v>
      </c>
      <c r="H37" s="166">
        <f t="shared" si="1"/>
        <v>-17332.989999999998</v>
      </c>
      <c r="I37" s="162">
        <f t="shared" si="2"/>
        <v>-138432.81999999998</v>
      </c>
      <c r="J37" s="151"/>
      <c r="K37" s="151"/>
      <c r="L37" s="152"/>
    </row>
    <row r="38" spans="1:12" hidden="1" outlineLevel="1" x14ac:dyDescent="0.25">
      <c r="A38" s="153">
        <f t="shared" si="0"/>
        <v>31</v>
      </c>
      <c r="B38" s="160">
        <f>+B37+30</f>
        <v>39719</v>
      </c>
      <c r="D38" s="161">
        <v>-6251.87</v>
      </c>
      <c r="E38" s="224"/>
      <c r="F38" s="224"/>
      <c r="G38" s="168">
        <f>ROUND((+I37+E38+(D38/2))*0.053/12,2)</f>
        <v>-625.22</v>
      </c>
      <c r="H38" s="166">
        <f t="shared" si="1"/>
        <v>-6877.09</v>
      </c>
      <c r="I38" s="162">
        <f t="shared" si="2"/>
        <v>-145309.90999999997</v>
      </c>
      <c r="J38" s="151"/>
      <c r="K38" s="151"/>
      <c r="L38" s="152"/>
    </row>
    <row r="39" spans="1:12" hidden="1" outlineLevel="1" x14ac:dyDescent="0.25">
      <c r="A39" s="153">
        <f t="shared" si="0"/>
        <v>32</v>
      </c>
      <c r="B39" s="160">
        <f>+B38+31</f>
        <v>39750</v>
      </c>
      <c r="D39" s="165">
        <f>-34213.41+101</f>
        <v>-34112.410000000003</v>
      </c>
      <c r="E39" s="151"/>
      <c r="F39" s="151"/>
      <c r="G39" s="168">
        <f>ROUND((+I38+E39+(D39/2))*0.05/12,2)</f>
        <v>-676.53</v>
      </c>
      <c r="H39" s="166">
        <f t="shared" si="1"/>
        <v>-34788.94</v>
      </c>
      <c r="I39" s="162">
        <f t="shared" si="2"/>
        <v>-180098.84999999998</v>
      </c>
      <c r="J39" s="151"/>
      <c r="K39" s="151"/>
      <c r="L39" s="152"/>
    </row>
    <row r="40" spans="1:12" hidden="1" outlineLevel="1" x14ac:dyDescent="0.25">
      <c r="A40" s="153">
        <f t="shared" si="0"/>
        <v>33</v>
      </c>
      <c r="B40" s="160">
        <f>+B39+30</f>
        <v>39780</v>
      </c>
      <c r="D40" s="165">
        <v>22655.35</v>
      </c>
      <c r="E40" s="165">
        <v>155793</v>
      </c>
      <c r="F40" s="165"/>
      <c r="G40" s="168">
        <f>ROUND((+I39+E40+(D40/2))*0.05/12,2)</f>
        <v>-54.08</v>
      </c>
      <c r="H40" s="166">
        <f t="shared" si="1"/>
        <v>178394.27000000002</v>
      </c>
      <c r="I40" s="162">
        <f t="shared" si="2"/>
        <v>-1704.5799999999581</v>
      </c>
      <c r="J40" s="151"/>
      <c r="K40" s="151"/>
      <c r="L40" s="152"/>
    </row>
    <row r="41" spans="1:12" hidden="1" outlineLevel="1" x14ac:dyDescent="0.25">
      <c r="A41" s="153">
        <f t="shared" si="0"/>
        <v>34</v>
      </c>
      <c r="B41" s="160">
        <f>+B40+31</f>
        <v>39811</v>
      </c>
      <c r="D41" s="165">
        <v>-59981.33</v>
      </c>
      <c r="E41" s="151"/>
      <c r="F41" s="151"/>
      <c r="G41" s="168">
        <f>ROUND((+I40+E41+(D41/2))*0.05/12,2)</f>
        <v>-132.06</v>
      </c>
      <c r="H41" s="166">
        <f t="shared" si="1"/>
        <v>-60113.39</v>
      </c>
      <c r="I41" s="162">
        <f t="shared" si="2"/>
        <v>-61817.969999999958</v>
      </c>
      <c r="J41" s="151"/>
      <c r="K41" s="151"/>
      <c r="L41" s="152"/>
    </row>
    <row r="42" spans="1:12" hidden="1" outlineLevel="1" x14ac:dyDescent="0.25">
      <c r="A42" s="153">
        <f t="shared" si="0"/>
        <v>35</v>
      </c>
      <c r="B42" s="160">
        <f>+B41+31</f>
        <v>39842</v>
      </c>
      <c r="D42" s="165">
        <v>-54704</v>
      </c>
      <c r="E42" s="151"/>
      <c r="F42" s="151"/>
      <c r="G42" s="168">
        <f>ROUND((+I41+E42+(D42/2))*0.0452/12,2)</f>
        <v>-335.87</v>
      </c>
      <c r="H42" s="166">
        <f t="shared" si="1"/>
        <v>-55039.87</v>
      </c>
      <c r="I42" s="162">
        <f t="shared" si="2"/>
        <v>-116857.83999999997</v>
      </c>
      <c r="J42" s="151"/>
      <c r="K42" s="151"/>
      <c r="L42" s="152"/>
    </row>
    <row r="43" spans="1:12" hidden="1" outlineLevel="1" x14ac:dyDescent="0.25">
      <c r="A43" s="153">
        <f t="shared" si="0"/>
        <v>36</v>
      </c>
      <c r="B43" s="160">
        <f>+B42+28</f>
        <v>39870</v>
      </c>
      <c r="D43" s="165">
        <v>-25572.3</v>
      </c>
      <c r="E43" s="151"/>
      <c r="F43" s="151"/>
      <c r="G43" s="168">
        <f>ROUND((+I42+E43+(D43/2))*0.0452/12,2)</f>
        <v>-488.33</v>
      </c>
      <c r="H43" s="166">
        <f t="shared" si="1"/>
        <v>-26060.63</v>
      </c>
      <c r="I43" s="162">
        <f t="shared" si="2"/>
        <v>-142918.46999999997</v>
      </c>
      <c r="J43" s="151"/>
      <c r="K43" s="151"/>
      <c r="L43" s="152"/>
    </row>
    <row r="44" spans="1:12" hidden="1" outlineLevel="1" x14ac:dyDescent="0.25">
      <c r="A44" s="153">
        <f t="shared" si="0"/>
        <v>37</v>
      </c>
      <c r="B44" s="160">
        <f>+B43+31</f>
        <v>39901</v>
      </c>
      <c r="D44" s="161">
        <v>-30417.45</v>
      </c>
      <c r="E44" s="224"/>
      <c r="F44" s="224"/>
      <c r="G44" s="168">
        <f>ROUND((+I43+E44+(D44/2))*0.0452/12,2)</f>
        <v>-595.61</v>
      </c>
      <c r="H44" s="166">
        <f t="shared" si="1"/>
        <v>-31013.06</v>
      </c>
      <c r="I44" s="162">
        <f t="shared" si="2"/>
        <v>-173931.52999999997</v>
      </c>
      <c r="J44" s="151"/>
      <c r="K44" s="151"/>
      <c r="L44" s="152"/>
    </row>
    <row r="45" spans="1:12" hidden="1" outlineLevel="1" x14ac:dyDescent="0.25">
      <c r="A45" s="153">
        <f t="shared" si="0"/>
        <v>38</v>
      </c>
      <c r="B45" s="160">
        <f>+B44+30</f>
        <v>39931</v>
      </c>
      <c r="D45" s="161">
        <v>63779.29</v>
      </c>
      <c r="E45" s="224">
        <f>-'[2]191432'!E45</f>
        <v>-2012245.2499999998</v>
      </c>
      <c r="F45" s="224"/>
      <c r="G45" s="168">
        <v>-3224</v>
      </c>
      <c r="H45" s="166">
        <f t="shared" si="1"/>
        <v>-1951689.9599999997</v>
      </c>
      <c r="I45" s="162">
        <f t="shared" si="2"/>
        <v>-2125621.4899999998</v>
      </c>
      <c r="J45" s="151"/>
      <c r="K45" s="151"/>
      <c r="L45" s="152"/>
    </row>
    <row r="46" spans="1:12" hidden="1" outlineLevel="1" x14ac:dyDescent="0.25">
      <c r="A46" s="153">
        <f t="shared" si="0"/>
        <v>39</v>
      </c>
      <c r="B46" s="160">
        <f>+B45+31</f>
        <v>39962</v>
      </c>
      <c r="D46" s="161">
        <v>256227.69</v>
      </c>
      <c r="E46" s="224"/>
      <c r="F46" s="224"/>
      <c r="G46" s="168">
        <f>ROUND((+I45+E46+(D46/2))*0.0337/12,2)</f>
        <v>-5609.67</v>
      </c>
      <c r="H46" s="166">
        <f t="shared" si="1"/>
        <v>250618.02</v>
      </c>
      <c r="I46" s="162">
        <f t="shared" si="2"/>
        <v>-1875003.4699999997</v>
      </c>
      <c r="J46" s="151"/>
      <c r="K46" s="151"/>
      <c r="L46" s="152"/>
    </row>
    <row r="47" spans="1:12" hidden="1" outlineLevel="1" x14ac:dyDescent="0.25">
      <c r="A47" s="153">
        <f t="shared" si="0"/>
        <v>40</v>
      </c>
      <c r="B47" s="160">
        <f>+B46+30</f>
        <v>39992</v>
      </c>
      <c r="D47" s="161">
        <v>392566.01</v>
      </c>
      <c r="E47" s="224"/>
      <c r="F47" s="224"/>
      <c r="G47" s="168">
        <f>ROUND((+I46+E47+(D47/2))*0.0337/12,2)</f>
        <v>-4714.41</v>
      </c>
      <c r="H47" s="166">
        <f t="shared" si="1"/>
        <v>387851.60000000003</v>
      </c>
      <c r="I47" s="162">
        <f t="shared" si="2"/>
        <v>-1487151.8699999996</v>
      </c>
      <c r="J47" s="151">
        <v>-1487151.46</v>
      </c>
      <c r="K47" s="151">
        <f>+I47-J47</f>
        <v>-0.40999999968335032</v>
      </c>
      <c r="L47" s="152"/>
    </row>
    <row r="48" spans="1:12" hidden="1" outlineLevel="1" x14ac:dyDescent="0.25">
      <c r="A48" s="153">
        <f t="shared" si="0"/>
        <v>41</v>
      </c>
      <c r="B48" s="160">
        <f>+B47+31</f>
        <v>40023</v>
      </c>
      <c r="D48" s="161">
        <v>404074.44</v>
      </c>
      <c r="E48" s="224"/>
      <c r="F48" s="224"/>
      <c r="G48" s="167">
        <v>-6312</v>
      </c>
      <c r="H48" s="166">
        <f t="shared" si="1"/>
        <v>397762.44</v>
      </c>
      <c r="I48" s="162">
        <f t="shared" si="2"/>
        <v>-1089389.4299999997</v>
      </c>
      <c r="J48" s="151">
        <v>-1089389.02</v>
      </c>
      <c r="K48" s="151">
        <f t="shared" ref="K48:K61" si="3">+I48-J48</f>
        <v>-0.40999999968335032</v>
      </c>
      <c r="L48" s="152"/>
    </row>
    <row r="49" spans="1:12" hidden="1" outlineLevel="1" x14ac:dyDescent="0.25">
      <c r="A49" s="153">
        <f t="shared" si="0"/>
        <v>42</v>
      </c>
      <c r="B49" s="160">
        <f>+B48+30</f>
        <v>40053</v>
      </c>
      <c r="D49" s="161">
        <v>407122.28</v>
      </c>
      <c r="E49" s="224"/>
      <c r="F49" s="224"/>
      <c r="G49" s="168">
        <f>ROUND((+I48+E49+(D49/2))*0.0325/12,2)</f>
        <v>-2399.12</v>
      </c>
      <c r="H49" s="166">
        <f t="shared" si="1"/>
        <v>404723.16000000003</v>
      </c>
      <c r="I49" s="162">
        <f t="shared" si="2"/>
        <v>-684666.26999999967</v>
      </c>
      <c r="J49" s="151">
        <v>-684667.74</v>
      </c>
      <c r="K49" s="151">
        <f t="shared" si="3"/>
        <v>1.4700000003213063</v>
      </c>
      <c r="L49" s="152"/>
    </row>
    <row r="50" spans="1:12" hidden="1" outlineLevel="1" x14ac:dyDescent="0.25">
      <c r="A50" s="153">
        <f t="shared" si="0"/>
        <v>43</v>
      </c>
      <c r="B50" s="160">
        <f>+B49+30</f>
        <v>40083</v>
      </c>
      <c r="D50" s="161">
        <v>371696.76</v>
      </c>
      <c r="E50" s="224"/>
      <c r="F50" s="224"/>
      <c r="G50" s="168">
        <f>ROUND((+I49+E50+(D50/2))*0.0325/12,2)</f>
        <v>-1350.97</v>
      </c>
      <c r="H50" s="166">
        <f t="shared" si="1"/>
        <v>370345.79000000004</v>
      </c>
      <c r="I50" s="162">
        <f t="shared" si="2"/>
        <v>-314320.47999999963</v>
      </c>
      <c r="J50" s="151">
        <v>-314323.98</v>
      </c>
      <c r="K50" s="151">
        <f t="shared" si="3"/>
        <v>3.500000000349246</v>
      </c>
      <c r="L50" s="152"/>
    </row>
    <row r="51" spans="1:12" hidden="1" outlineLevel="1" x14ac:dyDescent="0.25">
      <c r="A51" s="153">
        <f t="shared" si="0"/>
        <v>44</v>
      </c>
      <c r="B51" s="160">
        <f>+B50+31</f>
        <v>40114</v>
      </c>
      <c r="D51" s="161">
        <v>149766.32999999999</v>
      </c>
      <c r="E51" s="224"/>
      <c r="F51" s="224"/>
      <c r="G51" s="168">
        <f>ROUND((+I50+E51+(D51/2))*0.0325/12,2)</f>
        <v>-648.48</v>
      </c>
      <c r="H51" s="166">
        <f t="shared" si="1"/>
        <v>149117.84999999998</v>
      </c>
      <c r="I51" s="162">
        <f t="shared" si="2"/>
        <v>-165202.62999999966</v>
      </c>
      <c r="J51" s="151">
        <f>-165613.65</f>
        <v>-165613.65</v>
      </c>
      <c r="K51" s="151">
        <f t="shared" si="3"/>
        <v>411.02000000033877</v>
      </c>
      <c r="L51" s="152"/>
    </row>
    <row r="52" spans="1:12" hidden="1" outlineLevel="1" x14ac:dyDescent="0.25">
      <c r="A52" s="153">
        <f t="shared" si="0"/>
        <v>45</v>
      </c>
      <c r="B52" s="160">
        <f>+B51+30</f>
        <v>40144</v>
      </c>
      <c r="D52" s="161">
        <f>-204385.94+12551.78-16.99</f>
        <v>-191851.15</v>
      </c>
      <c r="E52" s="224">
        <f>-I51</f>
        <v>165202.62999999966</v>
      </c>
      <c r="F52" s="224"/>
      <c r="G52" s="168">
        <f>ROUND((+I51+E52+(D52/2))*0.0325/12,2)</f>
        <v>-259.8</v>
      </c>
      <c r="H52" s="166">
        <f t="shared" si="1"/>
        <v>-26908.320000000338</v>
      </c>
      <c r="I52" s="162">
        <f t="shared" si="2"/>
        <v>-192110.94999999998</v>
      </c>
      <c r="J52" s="151">
        <v>-192110.93</v>
      </c>
      <c r="K52" s="151">
        <f t="shared" si="3"/>
        <v>-1.9999999989522621E-2</v>
      </c>
      <c r="L52" s="152"/>
    </row>
    <row r="53" spans="1:12" hidden="1" outlineLevel="1" x14ac:dyDescent="0.25">
      <c r="A53" s="153">
        <f t="shared" si="0"/>
        <v>46</v>
      </c>
      <c r="B53" s="160">
        <f>+B52+31</f>
        <v>40175</v>
      </c>
      <c r="D53" s="161">
        <f>-801400.2-18663.45+25</f>
        <v>-820038.64999999991</v>
      </c>
      <c r="E53" s="224"/>
      <c r="F53" s="224"/>
      <c r="G53" s="168">
        <f>ROUND((+I52+E53+(D53/2))*0.0325/12,2)</f>
        <v>-1630.77</v>
      </c>
      <c r="H53" s="166">
        <f t="shared" si="1"/>
        <v>-821669.41999999993</v>
      </c>
      <c r="I53" s="162">
        <f t="shared" si="2"/>
        <v>-1013780.3699999999</v>
      </c>
      <c r="J53" s="151">
        <v>-1013780.13</v>
      </c>
      <c r="K53" s="151">
        <f t="shared" si="3"/>
        <v>-0.23999999987427145</v>
      </c>
      <c r="L53" s="152"/>
    </row>
    <row r="54" spans="1:12" hidden="1" outlineLevel="1" x14ac:dyDescent="0.25">
      <c r="A54" s="153">
        <f t="shared" si="0"/>
        <v>47</v>
      </c>
      <c r="B54" s="160">
        <f>+B53+31</f>
        <v>40206</v>
      </c>
      <c r="D54" s="161"/>
      <c r="E54" s="224"/>
      <c r="F54" s="224"/>
      <c r="G54" s="168"/>
      <c r="H54" s="166"/>
      <c r="I54" s="162"/>
      <c r="J54" s="151"/>
      <c r="K54" s="151"/>
      <c r="L54" s="152"/>
    </row>
    <row r="55" spans="1:12" hidden="1" outlineLevel="1" x14ac:dyDescent="0.25">
      <c r="A55" s="153">
        <f t="shared" si="0"/>
        <v>48</v>
      </c>
      <c r="B55" s="160">
        <f>+B53+31</f>
        <v>40206</v>
      </c>
      <c r="D55" s="161">
        <v>-287671.32</v>
      </c>
      <c r="E55" s="224"/>
      <c r="F55" s="224"/>
      <c r="G55" s="168">
        <f>ROUND((+I53+E55+(D55/2))*0.0325/12,2)</f>
        <v>-3135.21</v>
      </c>
      <c r="H55" s="166">
        <f t="shared" ref="H55:H76" si="4">SUM(D55:G55)</f>
        <v>-290806.53000000003</v>
      </c>
      <c r="I55" s="162">
        <f>+I53+H55</f>
        <v>-1304586.8999999999</v>
      </c>
      <c r="J55" s="151">
        <v>-1304586.45</v>
      </c>
      <c r="K55" s="151">
        <f t="shared" si="3"/>
        <v>-0.44999999995343387</v>
      </c>
      <c r="L55" s="152"/>
    </row>
    <row r="56" spans="1:12" hidden="1" outlineLevel="1" x14ac:dyDescent="0.25">
      <c r="A56" s="153">
        <f t="shared" si="0"/>
        <v>49</v>
      </c>
      <c r="B56" s="160">
        <f>+B55+28</f>
        <v>40234</v>
      </c>
      <c r="D56" s="161">
        <v>-157461.89000000001</v>
      </c>
      <c r="E56" s="224"/>
      <c r="F56" s="224"/>
      <c r="G56" s="168">
        <f t="shared" ref="G56:G64" si="5">ROUND((+I55+E56+(D56/2))*0.0325/12,2)</f>
        <v>-3746.49</v>
      </c>
      <c r="H56" s="166">
        <f t="shared" si="4"/>
        <v>-161208.38</v>
      </c>
      <c r="I56" s="162">
        <f t="shared" si="2"/>
        <v>-1465795.2799999998</v>
      </c>
      <c r="J56" s="151">
        <v>-1465794.34</v>
      </c>
      <c r="K56" s="151">
        <f t="shared" si="3"/>
        <v>-0.93999999971129</v>
      </c>
      <c r="L56" s="152"/>
    </row>
    <row r="57" spans="1:12" hidden="1" outlineLevel="1" x14ac:dyDescent="0.25">
      <c r="A57" s="153">
        <f t="shared" si="0"/>
        <v>50</v>
      </c>
      <c r="B57" s="160">
        <f>+B56+31</f>
        <v>40265</v>
      </c>
      <c r="D57" s="161">
        <v>-61789.33</v>
      </c>
      <c r="E57" s="224"/>
      <c r="F57" s="224"/>
      <c r="G57" s="168">
        <f t="shared" si="5"/>
        <v>-4053.54</v>
      </c>
      <c r="H57" s="166">
        <f t="shared" si="4"/>
        <v>-65842.87</v>
      </c>
      <c r="I57" s="162">
        <f t="shared" si="2"/>
        <v>-1531638.15</v>
      </c>
      <c r="J57" s="151">
        <v>-1531637.67</v>
      </c>
      <c r="K57" s="151">
        <f t="shared" si="3"/>
        <v>-0.47999999998137355</v>
      </c>
      <c r="L57" s="152"/>
    </row>
    <row r="58" spans="1:12" hidden="1" outlineLevel="1" x14ac:dyDescent="0.25">
      <c r="A58" s="153">
        <f t="shared" si="0"/>
        <v>51</v>
      </c>
      <c r="B58" s="160">
        <f>+B57+30</f>
        <v>40295</v>
      </c>
      <c r="D58" s="161">
        <v>60781.95</v>
      </c>
      <c r="E58" s="224"/>
      <c r="F58" s="224"/>
      <c r="G58" s="168">
        <f t="shared" si="5"/>
        <v>-4065.88</v>
      </c>
      <c r="H58" s="166">
        <f t="shared" si="4"/>
        <v>56716.07</v>
      </c>
      <c r="I58" s="162">
        <f t="shared" si="2"/>
        <v>-1474922.0799999998</v>
      </c>
      <c r="J58" s="151">
        <v>-1474921.72</v>
      </c>
      <c r="K58" s="151">
        <f t="shared" si="3"/>
        <v>-0.35999999986961484</v>
      </c>
      <c r="L58" s="152"/>
    </row>
    <row r="59" spans="1:12" hidden="1" outlineLevel="1" x14ac:dyDescent="0.25">
      <c r="A59" s="153">
        <f t="shared" si="0"/>
        <v>52</v>
      </c>
      <c r="B59" s="160">
        <f>+B58+31</f>
        <v>40326</v>
      </c>
      <c r="D59" s="161">
        <v>239346.47</v>
      </c>
      <c r="E59" s="224"/>
      <c r="F59" s="224"/>
      <c r="G59" s="168">
        <f t="shared" si="5"/>
        <v>-3670.47</v>
      </c>
      <c r="H59" s="166">
        <f t="shared" si="4"/>
        <v>235676</v>
      </c>
      <c r="I59" s="162">
        <f t="shared" si="2"/>
        <v>-1239246.0799999998</v>
      </c>
      <c r="J59" s="151">
        <v>-1239245.25</v>
      </c>
      <c r="K59" s="151">
        <f t="shared" si="3"/>
        <v>-0.82999999984167516</v>
      </c>
      <c r="L59" s="152"/>
    </row>
    <row r="60" spans="1:12" hidden="1" outlineLevel="1" x14ac:dyDescent="0.25">
      <c r="A60" s="153">
        <f t="shared" si="0"/>
        <v>53</v>
      </c>
      <c r="B60" s="160">
        <f>+B59+30</f>
        <v>40356</v>
      </c>
      <c r="D60" s="161">
        <v>370248.84</v>
      </c>
      <c r="E60" s="224"/>
      <c r="F60" s="224"/>
      <c r="G60" s="168">
        <f t="shared" si="5"/>
        <v>-2854.91</v>
      </c>
      <c r="H60" s="166">
        <f t="shared" si="4"/>
        <v>367393.93000000005</v>
      </c>
      <c r="I60" s="162">
        <f t="shared" si="2"/>
        <v>-871852.14999999979</v>
      </c>
      <c r="J60" s="151">
        <v>-872666.41</v>
      </c>
      <c r="K60" s="151">
        <f t="shared" si="3"/>
        <v>814.26000000024214</v>
      </c>
      <c r="L60" s="152"/>
    </row>
    <row r="61" spans="1:12" hidden="1" outlineLevel="1" x14ac:dyDescent="0.25">
      <c r="A61" s="153">
        <f t="shared" si="0"/>
        <v>54</v>
      </c>
      <c r="B61" s="160">
        <f>+B60+31</f>
        <v>40387</v>
      </c>
      <c r="D61" s="161">
        <v>450657.63</v>
      </c>
      <c r="E61" s="224"/>
      <c r="F61" s="224"/>
      <c r="G61" s="168">
        <f t="shared" si="5"/>
        <v>-1751</v>
      </c>
      <c r="H61" s="166">
        <f t="shared" si="4"/>
        <v>448906.63</v>
      </c>
      <c r="I61" s="162">
        <f t="shared" si="2"/>
        <v>-422945.51999999979</v>
      </c>
      <c r="J61" s="151">
        <v>-425678.78</v>
      </c>
      <c r="K61" s="151">
        <f t="shared" si="3"/>
        <v>2733.2600000002421</v>
      </c>
      <c r="L61" s="152"/>
    </row>
    <row r="62" spans="1:12" hidden="1" outlineLevel="1" x14ac:dyDescent="0.25">
      <c r="A62" s="153">
        <f t="shared" si="0"/>
        <v>55</v>
      </c>
      <c r="B62" s="160">
        <f>+B61+30</f>
        <v>40417</v>
      </c>
      <c r="D62" s="161">
        <v>446640.73</v>
      </c>
      <c r="E62" s="224"/>
      <c r="F62" s="224"/>
      <c r="G62" s="168">
        <f t="shared" si="5"/>
        <v>-540.65</v>
      </c>
      <c r="H62" s="166">
        <f t="shared" si="4"/>
        <v>446100.07999999996</v>
      </c>
      <c r="I62" s="162">
        <f t="shared" si="2"/>
        <v>23154.560000000172</v>
      </c>
      <c r="J62" s="151"/>
      <c r="K62" s="151"/>
      <c r="L62" s="152"/>
    </row>
    <row r="63" spans="1:12" hidden="1" outlineLevel="1" x14ac:dyDescent="0.25">
      <c r="A63" s="153">
        <f t="shared" si="0"/>
        <v>56</v>
      </c>
      <c r="B63" s="160">
        <f>+B62+30</f>
        <v>40447</v>
      </c>
      <c r="D63" s="161">
        <v>430486.8</v>
      </c>
      <c r="E63" s="224"/>
      <c r="F63" s="224"/>
      <c r="G63" s="168">
        <f t="shared" si="5"/>
        <v>645.66</v>
      </c>
      <c r="H63" s="166">
        <f t="shared" si="4"/>
        <v>431132.45999999996</v>
      </c>
      <c r="I63" s="162">
        <f t="shared" si="2"/>
        <v>454287.02000000014</v>
      </c>
      <c r="J63" s="151"/>
      <c r="K63" s="151"/>
      <c r="L63" s="152"/>
    </row>
    <row r="64" spans="1:12" hidden="1" outlineLevel="1" x14ac:dyDescent="0.25">
      <c r="A64" s="153">
        <f t="shared" si="0"/>
        <v>57</v>
      </c>
      <c r="B64" s="160">
        <f>+B63+31</f>
        <v>40478</v>
      </c>
      <c r="D64" s="161">
        <v>223797.3</v>
      </c>
      <c r="E64" s="224"/>
      <c r="F64" s="224"/>
      <c r="G64" s="168">
        <f t="shared" si="5"/>
        <v>1533.42</v>
      </c>
      <c r="H64" s="166">
        <f t="shared" si="4"/>
        <v>225330.72</v>
      </c>
      <c r="I64" s="162">
        <f t="shared" si="2"/>
        <v>679617.74000000011</v>
      </c>
      <c r="J64" s="151"/>
      <c r="K64" s="151"/>
      <c r="L64" s="152"/>
    </row>
    <row r="65" spans="1:12" hidden="1" outlineLevel="1" x14ac:dyDescent="0.25">
      <c r="A65" s="153">
        <f t="shared" si="0"/>
        <v>58</v>
      </c>
      <c r="B65" s="160">
        <f>+B64+30</f>
        <v>40508</v>
      </c>
      <c r="D65" s="161">
        <v>-217305.37</v>
      </c>
      <c r="E65" s="224">
        <f>-I64</f>
        <v>-679617.74000000011</v>
      </c>
      <c r="F65" s="224"/>
      <c r="G65" s="168">
        <f>ROUND((+I64+E65+(D65/2))*0.0325/12,0)</f>
        <v>-294</v>
      </c>
      <c r="H65" s="166">
        <f t="shared" si="4"/>
        <v>-897217.1100000001</v>
      </c>
      <c r="I65" s="162">
        <f t="shared" si="2"/>
        <v>-217599.37</v>
      </c>
      <c r="J65" s="151"/>
      <c r="K65" s="151"/>
      <c r="L65" s="152"/>
    </row>
    <row r="66" spans="1:12" hidden="1" outlineLevel="1" x14ac:dyDescent="0.25">
      <c r="A66" s="153">
        <f t="shared" si="0"/>
        <v>59</v>
      </c>
      <c r="B66" s="160">
        <f>+B65+31</f>
        <v>40539</v>
      </c>
      <c r="D66" s="161">
        <v>-474846.71</v>
      </c>
      <c r="E66" s="224"/>
      <c r="F66" s="224"/>
      <c r="G66" s="168">
        <f>ROUND((+I65+E66+(D66/2))*0.0325/12,0)</f>
        <v>-1232</v>
      </c>
      <c r="H66" s="166">
        <f t="shared" si="4"/>
        <v>-476078.71</v>
      </c>
      <c r="I66" s="162">
        <f t="shared" si="2"/>
        <v>-693678.08000000007</v>
      </c>
      <c r="J66" s="151"/>
      <c r="K66" s="151"/>
      <c r="L66" s="152"/>
    </row>
    <row r="67" spans="1:12" hidden="1" outlineLevel="1" x14ac:dyDescent="0.25">
      <c r="A67" s="153">
        <f t="shared" si="0"/>
        <v>60</v>
      </c>
      <c r="B67" s="160">
        <f>+B66+31</f>
        <v>40570</v>
      </c>
      <c r="D67" s="225">
        <v>-521327.98</v>
      </c>
      <c r="E67" s="224"/>
      <c r="F67" s="187">
        <v>3.2500000000000001E-2</v>
      </c>
      <c r="G67" s="168">
        <f t="shared" ref="G67:G121" si="6">ROUND((+I66+E67+(D67/2))*F67/12,0)</f>
        <v>-2585</v>
      </c>
      <c r="H67" s="166">
        <f t="shared" si="4"/>
        <v>-523912.94750000001</v>
      </c>
      <c r="I67" s="162">
        <f t="shared" si="2"/>
        <v>-1217591.0275000001</v>
      </c>
      <c r="J67" s="151"/>
      <c r="K67" s="151"/>
      <c r="L67" s="152"/>
    </row>
    <row r="68" spans="1:12" hidden="1" outlineLevel="1" x14ac:dyDescent="0.25">
      <c r="A68" s="153">
        <f t="shared" si="0"/>
        <v>61</v>
      </c>
      <c r="B68" s="160">
        <f>+B67+28</f>
        <v>40598</v>
      </c>
      <c r="D68" s="161">
        <v>-460274.33</v>
      </c>
      <c r="E68" s="224"/>
      <c r="F68" s="187">
        <v>3.2500000000000001E-2</v>
      </c>
      <c r="G68" s="168">
        <f t="shared" si="6"/>
        <v>-3921</v>
      </c>
      <c r="H68" s="166">
        <f t="shared" si="4"/>
        <v>-464195.29750000004</v>
      </c>
      <c r="I68" s="162">
        <f t="shared" si="2"/>
        <v>-1681786.3250000002</v>
      </c>
      <c r="J68" s="151">
        <v>-1465794.34</v>
      </c>
      <c r="K68" s="151">
        <f>+I68-J68</f>
        <v>-215991.9850000001</v>
      </c>
      <c r="L68" s="152"/>
    </row>
    <row r="69" spans="1:12" hidden="1" outlineLevel="1" x14ac:dyDescent="0.25">
      <c r="A69" s="153">
        <f t="shared" si="0"/>
        <v>62</v>
      </c>
      <c r="B69" s="160">
        <f>+B68+31</f>
        <v>40629</v>
      </c>
      <c r="D69" s="161">
        <v>-261705.06</v>
      </c>
      <c r="E69" s="224"/>
      <c r="F69" s="187">
        <v>3.2500000000000001E-2</v>
      </c>
      <c r="G69" s="168">
        <f t="shared" si="6"/>
        <v>-4909</v>
      </c>
      <c r="H69" s="166">
        <f t="shared" si="4"/>
        <v>-266614.02749999997</v>
      </c>
      <c r="I69" s="162">
        <f t="shared" si="2"/>
        <v>-1948400.3525</v>
      </c>
      <c r="J69" s="151">
        <v>-1531637.67</v>
      </c>
      <c r="K69" s="151">
        <f>+I69-J69</f>
        <v>-416762.68250000011</v>
      </c>
      <c r="L69" s="152"/>
    </row>
    <row r="70" spans="1:12" hidden="1" outlineLevel="1" x14ac:dyDescent="0.25">
      <c r="A70" s="153">
        <f t="shared" si="0"/>
        <v>63</v>
      </c>
      <c r="B70" s="160">
        <f>+B69+30</f>
        <v>40659</v>
      </c>
      <c r="D70" s="161">
        <v>-62256.26</v>
      </c>
      <c r="E70" s="224"/>
      <c r="F70" s="187">
        <v>3.2500000000000001E-2</v>
      </c>
      <c r="G70" s="168">
        <f t="shared" si="6"/>
        <v>-5361</v>
      </c>
      <c r="H70" s="166">
        <f t="shared" si="4"/>
        <v>-67617.227500000008</v>
      </c>
      <c r="I70" s="162">
        <f t="shared" si="2"/>
        <v>-2016017.58</v>
      </c>
      <c r="J70" s="151"/>
      <c r="K70" s="151"/>
      <c r="L70" s="152"/>
    </row>
    <row r="71" spans="1:12" hidden="1" outlineLevel="1" x14ac:dyDescent="0.25">
      <c r="A71" s="153">
        <f t="shared" si="0"/>
        <v>64</v>
      </c>
      <c r="B71" s="160">
        <f>+B70+31</f>
        <v>40690</v>
      </c>
      <c r="D71" s="161">
        <v>212614.84</v>
      </c>
      <c r="E71" s="224"/>
      <c r="F71" s="187">
        <v>3.2500000000000001E-2</v>
      </c>
      <c r="G71" s="168">
        <f t="shared" si="6"/>
        <v>-5172</v>
      </c>
      <c r="H71" s="166">
        <f t="shared" si="4"/>
        <v>207442.8725</v>
      </c>
      <c r="I71" s="162">
        <f t="shared" si="2"/>
        <v>-1808574.7075</v>
      </c>
      <c r="J71" s="151"/>
      <c r="K71" s="151"/>
      <c r="L71" s="152"/>
    </row>
    <row r="72" spans="1:12" hidden="1" outlineLevel="1" x14ac:dyDescent="0.25">
      <c r="A72" s="153">
        <f t="shared" si="0"/>
        <v>65</v>
      </c>
      <c r="B72" s="160">
        <f>+B71+30</f>
        <v>40720</v>
      </c>
      <c r="D72" s="161">
        <v>450414.03</v>
      </c>
      <c r="E72" s="224"/>
      <c r="F72" s="187">
        <v>3.2500000000000001E-2</v>
      </c>
      <c r="G72" s="168">
        <f t="shared" si="6"/>
        <v>-4288</v>
      </c>
      <c r="H72" s="166">
        <f t="shared" si="4"/>
        <v>446126.0625</v>
      </c>
      <c r="I72" s="162">
        <f t="shared" si="2"/>
        <v>-1362448.645</v>
      </c>
      <c r="J72" s="151"/>
      <c r="K72" s="151"/>
      <c r="L72" s="152"/>
    </row>
    <row r="73" spans="1:12" hidden="1" outlineLevel="1" x14ac:dyDescent="0.25">
      <c r="A73" s="153">
        <f t="shared" ref="A73" si="7">+A72+1</f>
        <v>66</v>
      </c>
      <c r="B73" s="160">
        <f>+B72+31</f>
        <v>40751</v>
      </c>
      <c r="D73" s="161">
        <v>491780.98</v>
      </c>
      <c r="E73" s="224"/>
      <c r="F73" s="187">
        <v>3.2500000000000001E-2</v>
      </c>
      <c r="G73" s="168">
        <f t="shared" si="6"/>
        <v>-3024</v>
      </c>
      <c r="H73" s="166">
        <f t="shared" si="4"/>
        <v>488757.01249999995</v>
      </c>
      <c r="I73" s="162">
        <f t="shared" si="2"/>
        <v>-873691.63250000007</v>
      </c>
      <c r="J73" s="151"/>
      <c r="K73" s="151"/>
      <c r="L73" s="152"/>
    </row>
    <row r="74" spans="1:12" hidden="1" outlineLevel="1" x14ac:dyDescent="0.25">
      <c r="A74" s="153">
        <f>+A73+1</f>
        <v>67</v>
      </c>
      <c r="B74" s="160">
        <f>+B73+30</f>
        <v>40781</v>
      </c>
      <c r="D74" s="161">
        <v>510265.26</v>
      </c>
      <c r="E74" s="224"/>
      <c r="F74" s="187">
        <v>3.2500000000000001E-2</v>
      </c>
      <c r="G74" s="168">
        <f t="shared" si="6"/>
        <v>-1675</v>
      </c>
      <c r="H74" s="166">
        <f t="shared" si="4"/>
        <v>508590.29249999998</v>
      </c>
      <c r="I74" s="162">
        <f t="shared" si="2"/>
        <v>-365101.34000000008</v>
      </c>
      <c r="J74" s="151"/>
      <c r="K74" s="151"/>
      <c r="L74" s="152"/>
    </row>
    <row r="75" spans="1:12" hidden="1" outlineLevel="1" x14ac:dyDescent="0.25">
      <c r="A75" s="153">
        <f>+A74+1</f>
        <v>68</v>
      </c>
      <c r="B75" s="160">
        <f>+B74+30</f>
        <v>40811</v>
      </c>
      <c r="D75" s="161">
        <v>479605.52</v>
      </c>
      <c r="E75" s="224"/>
      <c r="F75" s="187">
        <v>3.2500000000000001E-2</v>
      </c>
      <c r="G75" s="168">
        <f t="shared" si="6"/>
        <v>-339</v>
      </c>
      <c r="H75" s="166">
        <f t="shared" si="4"/>
        <v>479266.55249999999</v>
      </c>
      <c r="I75" s="162">
        <f t="shared" si="2"/>
        <v>114165.21249999991</v>
      </c>
      <c r="J75" s="151"/>
      <c r="K75" s="151"/>
      <c r="L75" s="152"/>
    </row>
    <row r="76" spans="1:12" hidden="1" outlineLevel="1" x14ac:dyDescent="0.25">
      <c r="A76" s="153">
        <f>+A75+1</f>
        <v>69</v>
      </c>
      <c r="B76" s="160">
        <f>+B75+31</f>
        <v>40842</v>
      </c>
      <c r="C76" s="171">
        <v>1</v>
      </c>
      <c r="D76" s="161">
        <v>259700.63960599992</v>
      </c>
      <c r="E76" s="226">
        <v>23.68</v>
      </c>
      <c r="F76" s="187">
        <v>3.2500000000000001E-2</v>
      </c>
      <c r="G76" s="168">
        <f t="shared" si="6"/>
        <v>661</v>
      </c>
      <c r="H76" s="166">
        <f t="shared" si="4"/>
        <v>260385.35210599992</v>
      </c>
      <c r="I76" s="162">
        <f t="shared" si="2"/>
        <v>374550.56460599985</v>
      </c>
      <c r="J76" s="151"/>
      <c r="K76" s="151"/>
      <c r="L76" s="152"/>
    </row>
    <row r="77" spans="1:12" hidden="1" outlineLevel="1" x14ac:dyDescent="0.25">
      <c r="A77" s="153">
        <f t="shared" ref="A77:A140" si="8">+A76+1</f>
        <v>70</v>
      </c>
      <c r="B77" s="160">
        <f>+B76+30</f>
        <v>40872</v>
      </c>
      <c r="C77" s="171">
        <v>1</v>
      </c>
      <c r="D77" s="161">
        <v>-289411.29994799965</v>
      </c>
      <c r="E77" s="224">
        <v>-374550.56</v>
      </c>
      <c r="F77" s="187">
        <v>3.2500000000000001E-2</v>
      </c>
      <c r="G77" s="168">
        <f t="shared" si="6"/>
        <v>-392</v>
      </c>
      <c r="H77" s="166">
        <f t="shared" ref="H77:H140" si="9">SUM(D77:E77,G77)</f>
        <v>-664353.85994799971</v>
      </c>
      <c r="I77" s="162">
        <f t="shared" si="2"/>
        <v>-289803.29534199985</v>
      </c>
      <c r="J77" s="151"/>
      <c r="K77" s="151"/>
      <c r="L77" s="227"/>
    </row>
    <row r="78" spans="1:12" hidden="1" outlineLevel="1" x14ac:dyDescent="0.25">
      <c r="A78" s="153">
        <f>+A77+1</f>
        <v>71</v>
      </c>
      <c r="B78" s="160">
        <f>+B77+31</f>
        <v>40903</v>
      </c>
      <c r="D78" s="161">
        <v>-622541.16724699957</v>
      </c>
      <c r="E78" s="224"/>
      <c r="F78" s="187">
        <v>3.2500000000000001E-2</v>
      </c>
      <c r="G78" s="168">
        <f t="shared" si="6"/>
        <v>-1628</v>
      </c>
      <c r="H78" s="166">
        <f t="shared" si="9"/>
        <v>-624169.16724699957</v>
      </c>
      <c r="I78" s="162">
        <f>+I77+H78</f>
        <v>-913972.46258899942</v>
      </c>
      <c r="J78" s="151"/>
      <c r="K78" s="151"/>
      <c r="L78" s="152"/>
    </row>
    <row r="79" spans="1:12" hidden="1" outlineLevel="1" x14ac:dyDescent="0.25">
      <c r="A79" s="153">
        <f t="shared" si="8"/>
        <v>72</v>
      </c>
      <c r="B79" s="160">
        <f>+B78+31</f>
        <v>40934</v>
      </c>
      <c r="D79" s="161">
        <v>-661196.99291699962</v>
      </c>
      <c r="E79" s="224"/>
      <c r="F79" s="187">
        <v>3.2500000000000001E-2</v>
      </c>
      <c r="G79" s="168">
        <f t="shared" si="6"/>
        <v>-3371</v>
      </c>
      <c r="H79" s="166">
        <f t="shared" si="9"/>
        <v>-664567.99291699962</v>
      </c>
      <c r="I79" s="162">
        <f t="shared" si="2"/>
        <v>-1578540.455505999</v>
      </c>
      <c r="J79" s="151"/>
      <c r="K79" s="151"/>
      <c r="L79" s="152"/>
    </row>
    <row r="80" spans="1:12" hidden="1" outlineLevel="1" x14ac:dyDescent="0.25">
      <c r="A80" s="153">
        <f t="shared" si="8"/>
        <v>73</v>
      </c>
      <c r="B80" s="160">
        <f>+B79+29</f>
        <v>40963</v>
      </c>
      <c r="D80" s="161">
        <v>-396922.53456699965</v>
      </c>
      <c r="E80" s="224"/>
      <c r="F80" s="187">
        <v>3.2500000000000001E-2</v>
      </c>
      <c r="G80" s="168">
        <f t="shared" si="6"/>
        <v>-4813</v>
      </c>
      <c r="H80" s="166">
        <f t="shared" si="9"/>
        <v>-401735.53456699965</v>
      </c>
      <c r="I80" s="162">
        <f t="shared" ref="I80:I92" si="10">+I79+H80</f>
        <v>-1980275.9900729987</v>
      </c>
      <c r="J80" s="151"/>
      <c r="K80" s="151"/>
      <c r="L80" s="152"/>
    </row>
    <row r="81" spans="1:13" hidden="1" outlineLevel="1" x14ac:dyDescent="0.25">
      <c r="A81" s="153">
        <f t="shared" si="8"/>
        <v>74</v>
      </c>
      <c r="B81" s="476"/>
      <c r="D81" s="161">
        <v>-356952.82534799946</v>
      </c>
      <c r="E81" s="224"/>
      <c r="F81" s="187">
        <v>3.2500000000000001E-2</v>
      </c>
      <c r="G81" s="168">
        <f t="shared" si="6"/>
        <v>-5847</v>
      </c>
      <c r="H81" s="166">
        <f t="shared" si="9"/>
        <v>-362799.82534799946</v>
      </c>
      <c r="I81" s="162">
        <f t="shared" si="10"/>
        <v>-2343075.8154209983</v>
      </c>
      <c r="J81" s="151"/>
      <c r="K81" s="151"/>
      <c r="L81" s="152"/>
    </row>
    <row r="82" spans="1:13" hidden="1" outlineLevel="1" x14ac:dyDescent="0.25">
      <c r="A82" s="153">
        <f t="shared" si="8"/>
        <v>75</v>
      </c>
      <c r="B82" s="160">
        <f>+B81+30</f>
        <v>30</v>
      </c>
      <c r="D82" s="161">
        <v>65071.220000000438</v>
      </c>
      <c r="E82" s="224"/>
      <c r="F82" s="187">
        <v>3.2500000000000001E-2</v>
      </c>
      <c r="G82" s="168">
        <f t="shared" si="6"/>
        <v>-6258</v>
      </c>
      <c r="H82" s="166">
        <f t="shared" si="9"/>
        <v>58813.220000000438</v>
      </c>
      <c r="I82" s="162">
        <f t="shared" si="10"/>
        <v>-2284262.5954209976</v>
      </c>
      <c r="J82" s="151"/>
      <c r="K82" s="151"/>
      <c r="L82" s="152"/>
    </row>
    <row r="83" spans="1:13" hidden="1" outlineLevel="1" x14ac:dyDescent="0.25">
      <c r="A83" s="153">
        <f t="shared" si="8"/>
        <v>76</v>
      </c>
      <c r="B83" s="160">
        <f>+B82+31</f>
        <v>61</v>
      </c>
      <c r="D83" s="161">
        <v>331092.04165300052</v>
      </c>
      <c r="E83" s="224"/>
      <c r="F83" s="187">
        <v>3.2500000000000001E-2</v>
      </c>
      <c r="G83" s="168">
        <f t="shared" si="6"/>
        <v>-5738</v>
      </c>
      <c r="H83" s="166">
        <f t="shared" si="9"/>
        <v>325354.04165300052</v>
      </c>
      <c r="I83" s="162">
        <f t="shared" si="10"/>
        <v>-1958908.5537679971</v>
      </c>
      <c r="J83" s="151"/>
      <c r="K83" s="151"/>
      <c r="L83" s="172"/>
    </row>
    <row r="84" spans="1:13" hidden="1" outlineLevel="1" x14ac:dyDescent="0.25">
      <c r="A84" s="153">
        <f t="shared" si="8"/>
        <v>77</v>
      </c>
      <c r="B84" s="160">
        <f>+B83+30</f>
        <v>91</v>
      </c>
      <c r="D84" s="161">
        <v>718.62</v>
      </c>
      <c r="E84" s="224"/>
      <c r="F84" s="187">
        <v>3.2500000000000001E-2</v>
      </c>
      <c r="G84" s="168">
        <f t="shared" si="6"/>
        <v>-5304</v>
      </c>
      <c r="H84" s="166">
        <f t="shared" si="9"/>
        <v>-4585.38</v>
      </c>
      <c r="I84" s="162">
        <f t="shared" si="10"/>
        <v>-1963493.933767997</v>
      </c>
      <c r="J84" s="151"/>
      <c r="K84" s="151"/>
      <c r="L84" s="152"/>
    </row>
    <row r="85" spans="1:13" hidden="1" outlineLevel="1" x14ac:dyDescent="0.25">
      <c r="A85" s="153">
        <f t="shared" si="8"/>
        <v>78</v>
      </c>
      <c r="B85" s="160">
        <f>+B84+31</f>
        <v>122</v>
      </c>
      <c r="D85" s="161">
        <v>0</v>
      </c>
      <c r="E85" s="224"/>
      <c r="F85" s="187">
        <v>3.2500000000000001E-2</v>
      </c>
      <c r="G85" s="168">
        <f t="shared" si="6"/>
        <v>-5318</v>
      </c>
      <c r="H85" s="166">
        <f t="shared" si="9"/>
        <v>-5318</v>
      </c>
      <c r="I85" s="162">
        <f t="shared" si="10"/>
        <v>-1968811.933767997</v>
      </c>
      <c r="J85" s="151"/>
      <c r="K85" s="151"/>
      <c r="L85" s="152"/>
    </row>
    <row r="86" spans="1:13" hidden="1" outlineLevel="1" x14ac:dyDescent="0.25">
      <c r="A86" s="153">
        <f t="shared" si="8"/>
        <v>79</v>
      </c>
      <c r="B86" s="160">
        <f>+B85+30</f>
        <v>152</v>
      </c>
      <c r="D86" s="161">
        <v>0</v>
      </c>
      <c r="E86" s="224"/>
      <c r="F86" s="187">
        <v>3.2500000000000001E-2</v>
      </c>
      <c r="G86" s="168">
        <f t="shared" si="6"/>
        <v>-5332</v>
      </c>
      <c r="H86" s="166">
        <f t="shared" si="9"/>
        <v>-5332</v>
      </c>
      <c r="I86" s="162">
        <f t="shared" si="10"/>
        <v>-1974143.933767997</v>
      </c>
      <c r="J86" s="151"/>
      <c r="K86" s="151"/>
      <c r="L86" s="227"/>
    </row>
    <row r="87" spans="1:13" hidden="1" outlineLevel="1" x14ac:dyDescent="0.25">
      <c r="A87" s="153">
        <f t="shared" si="8"/>
        <v>80</v>
      </c>
      <c r="B87" s="160">
        <f>+B86+30</f>
        <v>182</v>
      </c>
      <c r="D87" s="161">
        <v>0</v>
      </c>
      <c r="E87" s="224"/>
      <c r="F87" s="187">
        <v>3.2500000000000001E-2</v>
      </c>
      <c r="G87" s="168">
        <f t="shared" si="6"/>
        <v>-5347</v>
      </c>
      <c r="H87" s="166">
        <f t="shared" si="9"/>
        <v>-5347</v>
      </c>
      <c r="I87" s="162">
        <f t="shared" si="10"/>
        <v>-1979490.933767997</v>
      </c>
      <c r="J87" s="151"/>
      <c r="K87" s="151"/>
      <c r="L87" s="227"/>
      <c r="M87" s="220"/>
    </row>
    <row r="88" spans="1:13" hidden="1" outlineLevel="1" x14ac:dyDescent="0.25">
      <c r="A88" s="153">
        <f t="shared" si="8"/>
        <v>81</v>
      </c>
      <c r="B88" s="160">
        <f>+B87+31</f>
        <v>213</v>
      </c>
      <c r="D88" s="161">
        <f>222438.721117+2121</f>
        <v>224559.72111700001</v>
      </c>
      <c r="E88" s="224"/>
      <c r="F88" s="187">
        <v>3.2500000000000001E-2</v>
      </c>
      <c r="G88" s="168">
        <f t="shared" si="6"/>
        <v>-5057</v>
      </c>
      <c r="H88" s="166">
        <f t="shared" si="9"/>
        <v>219502.72111700001</v>
      </c>
      <c r="I88" s="162">
        <f t="shared" si="10"/>
        <v>-1759988.2126509969</v>
      </c>
      <c r="J88" s="151"/>
      <c r="K88" s="151"/>
      <c r="L88" s="172"/>
    </row>
    <row r="89" spans="1:13" hidden="1" outlineLevel="1" x14ac:dyDescent="0.25">
      <c r="A89" s="153">
        <f t="shared" si="8"/>
        <v>82</v>
      </c>
      <c r="B89" s="160">
        <f>+B88+30</f>
        <v>243</v>
      </c>
      <c r="C89" s="171">
        <v>1</v>
      </c>
      <c r="D89" s="161">
        <v>-208501.35</v>
      </c>
      <c r="E89" s="224">
        <f>-I88</f>
        <v>1759988.2126509969</v>
      </c>
      <c r="F89" s="187">
        <v>3.2500000000000001E-2</v>
      </c>
      <c r="G89" s="168">
        <f t="shared" si="6"/>
        <v>-282</v>
      </c>
      <c r="H89" s="166">
        <f t="shared" si="9"/>
        <v>1551204.8626509968</v>
      </c>
      <c r="I89" s="162">
        <f t="shared" si="10"/>
        <v>-208783.35000000009</v>
      </c>
      <c r="J89" s="151"/>
      <c r="K89" s="151"/>
      <c r="L89" s="172"/>
    </row>
    <row r="90" spans="1:13" hidden="1" outlineLevel="1" x14ac:dyDescent="0.25">
      <c r="A90" s="153">
        <f t="shared" si="8"/>
        <v>83</v>
      </c>
      <c r="B90" s="160">
        <f>+B89+31</f>
        <v>274</v>
      </c>
      <c r="C90" s="171"/>
      <c r="D90" s="161">
        <v>-568700.35164799995</v>
      </c>
      <c r="E90" s="224"/>
      <c r="F90" s="187">
        <v>3.2500000000000001E-2</v>
      </c>
      <c r="G90" s="168">
        <f t="shared" si="6"/>
        <v>-1336</v>
      </c>
      <c r="H90" s="166">
        <f t="shared" si="9"/>
        <v>-570036.35164799995</v>
      </c>
      <c r="I90" s="162">
        <f t="shared" si="10"/>
        <v>-778819.70164800005</v>
      </c>
      <c r="J90" s="151"/>
      <c r="K90" s="151"/>
      <c r="L90" s="172"/>
    </row>
    <row r="91" spans="1:13" hidden="1" outlineLevel="1" x14ac:dyDescent="0.25">
      <c r="A91" s="153">
        <f t="shared" si="8"/>
        <v>84</v>
      </c>
      <c r="B91" s="173">
        <f>+B90+31</f>
        <v>305</v>
      </c>
      <c r="D91" s="161">
        <v>-928536.91629199998</v>
      </c>
      <c r="E91" s="228"/>
      <c r="F91" s="187">
        <v>3.2500000000000001E-2</v>
      </c>
      <c r="G91" s="168">
        <f t="shared" si="6"/>
        <v>-3367</v>
      </c>
      <c r="H91" s="166">
        <f t="shared" si="9"/>
        <v>-931903.91629199998</v>
      </c>
      <c r="I91" s="162">
        <f t="shared" si="10"/>
        <v>-1710723.61794</v>
      </c>
      <c r="J91" s="151"/>
      <c r="K91" s="151"/>
      <c r="L91" s="152"/>
    </row>
    <row r="92" spans="1:13" hidden="1" outlineLevel="1" x14ac:dyDescent="0.25">
      <c r="A92" s="153">
        <f t="shared" si="8"/>
        <v>85</v>
      </c>
      <c r="B92" s="160">
        <f>+B91+28</f>
        <v>333</v>
      </c>
      <c r="D92" s="161">
        <v>-475888.03248400002</v>
      </c>
      <c r="E92" s="224"/>
      <c r="F92" s="187">
        <v>3.2500000000000001E-2</v>
      </c>
      <c r="G92" s="168">
        <f t="shared" si="6"/>
        <v>-5278</v>
      </c>
      <c r="H92" s="166">
        <f t="shared" si="9"/>
        <v>-481166.03248400002</v>
      </c>
      <c r="I92" s="162">
        <f t="shared" si="10"/>
        <v>-2191889.6504239999</v>
      </c>
      <c r="J92" s="151"/>
      <c r="K92" s="151"/>
      <c r="L92" s="152"/>
    </row>
    <row r="93" spans="1:13" hidden="1" outlineLevel="1" x14ac:dyDescent="0.25">
      <c r="A93" s="153">
        <f t="shared" si="8"/>
        <v>86</v>
      </c>
      <c r="B93" s="160">
        <f>+B92+31</f>
        <v>364</v>
      </c>
      <c r="D93" s="161">
        <v>-63277.87</v>
      </c>
      <c r="E93" s="224"/>
      <c r="F93" s="187">
        <v>3.2500000000000001E-2</v>
      </c>
      <c r="G93" s="168">
        <f t="shared" si="6"/>
        <v>-6022</v>
      </c>
      <c r="H93" s="166">
        <f t="shared" si="9"/>
        <v>-69299.87</v>
      </c>
      <c r="I93" s="162">
        <f>+I92+H93</f>
        <v>-2261189.520424</v>
      </c>
      <c r="J93" s="151"/>
      <c r="K93" s="151"/>
      <c r="L93" s="152"/>
    </row>
    <row r="94" spans="1:13" hidden="1" outlineLevel="1" x14ac:dyDescent="0.25">
      <c r="A94" s="153">
        <f t="shared" si="8"/>
        <v>87</v>
      </c>
      <c r="B94" s="147">
        <f>+B93+30</f>
        <v>394</v>
      </c>
      <c r="D94" s="175">
        <v>5291.12</v>
      </c>
      <c r="E94" s="224"/>
      <c r="F94" s="187">
        <v>3.2500000000000001E-2</v>
      </c>
      <c r="G94" s="168">
        <f t="shared" si="6"/>
        <v>-6117</v>
      </c>
      <c r="H94" s="166">
        <f t="shared" si="9"/>
        <v>-825.88000000000011</v>
      </c>
      <c r="I94" s="162">
        <f>+I93+H94</f>
        <v>-2262015.4004239999</v>
      </c>
      <c r="J94" s="151"/>
      <c r="K94" s="151"/>
      <c r="L94" s="152"/>
    </row>
    <row r="95" spans="1:13" hidden="1" outlineLevel="1" x14ac:dyDescent="0.25">
      <c r="A95" s="153">
        <f t="shared" si="8"/>
        <v>88</v>
      </c>
      <c r="B95" s="147">
        <f>+B94+31</f>
        <v>425</v>
      </c>
      <c r="D95" s="175">
        <v>253408.74</v>
      </c>
      <c r="E95" s="224"/>
      <c r="F95" s="187">
        <v>3.2500000000000001E-2</v>
      </c>
      <c r="G95" s="168">
        <f t="shared" si="6"/>
        <v>-5783</v>
      </c>
      <c r="H95" s="166">
        <f t="shared" si="9"/>
        <v>247625.74</v>
      </c>
      <c r="I95" s="162">
        <f>+I94+H95</f>
        <v>-2014389.6604239999</v>
      </c>
      <c r="J95" s="151"/>
      <c r="K95" s="151"/>
      <c r="L95" s="152"/>
    </row>
    <row r="96" spans="1:13" hidden="1" outlineLevel="1" x14ac:dyDescent="0.25">
      <c r="A96" s="153">
        <f t="shared" si="8"/>
        <v>89</v>
      </c>
      <c r="B96" s="147">
        <f>+B95+30</f>
        <v>455</v>
      </c>
      <c r="D96" s="161">
        <v>472132.78</v>
      </c>
      <c r="E96" s="224"/>
      <c r="F96" s="187">
        <v>3.2500000000000001E-2</v>
      </c>
      <c r="G96" s="168">
        <f t="shared" si="6"/>
        <v>-4816</v>
      </c>
      <c r="H96" s="166">
        <f t="shared" si="9"/>
        <v>467316.78</v>
      </c>
      <c r="I96" s="162">
        <f>+I95+H96</f>
        <v>-1547072.8804239999</v>
      </c>
      <c r="J96" s="151"/>
      <c r="K96" s="151"/>
      <c r="L96" s="152"/>
    </row>
    <row r="97" spans="1:12" hidden="1" outlineLevel="1" x14ac:dyDescent="0.25">
      <c r="A97" s="153">
        <f t="shared" si="8"/>
        <v>90</v>
      </c>
      <c r="B97" s="160">
        <f>+B96+31</f>
        <v>486</v>
      </c>
      <c r="D97" s="161">
        <v>508583.406624</v>
      </c>
      <c r="E97" s="224"/>
      <c r="F97" s="187">
        <v>3.2500000000000001E-2</v>
      </c>
      <c r="G97" s="168">
        <f t="shared" si="6"/>
        <v>-3501</v>
      </c>
      <c r="H97" s="166">
        <f t="shared" si="9"/>
        <v>505082.406624</v>
      </c>
      <c r="I97" s="162">
        <f t="shared" ref="I97:I112" si="11">+I96+H97</f>
        <v>-1041990.4737999998</v>
      </c>
      <c r="J97" s="151"/>
      <c r="K97" s="151"/>
      <c r="L97" s="152"/>
    </row>
    <row r="98" spans="1:12" hidden="1" outlineLevel="1" x14ac:dyDescent="0.25">
      <c r="A98" s="153">
        <f t="shared" si="8"/>
        <v>91</v>
      </c>
      <c r="B98" s="160">
        <f>+B97+30</f>
        <v>516</v>
      </c>
      <c r="D98" s="161">
        <v>516617.24526400003</v>
      </c>
      <c r="E98" s="224"/>
      <c r="F98" s="187">
        <v>3.2500000000000001E-2</v>
      </c>
      <c r="G98" s="168">
        <f t="shared" si="6"/>
        <v>-2122</v>
      </c>
      <c r="H98" s="166">
        <f t="shared" si="9"/>
        <v>514495.24526400003</v>
      </c>
      <c r="I98" s="162">
        <f t="shared" si="11"/>
        <v>-527495.22853599978</v>
      </c>
      <c r="J98" s="151"/>
      <c r="K98" s="151"/>
      <c r="L98" s="152"/>
    </row>
    <row r="99" spans="1:12" hidden="1" outlineLevel="1" x14ac:dyDescent="0.25">
      <c r="A99" s="153">
        <f t="shared" si="8"/>
        <v>92</v>
      </c>
      <c r="B99" s="160">
        <f>+B98+30</f>
        <v>546</v>
      </c>
      <c r="D99" s="161">
        <v>404245.25205200003</v>
      </c>
      <c r="E99" s="224"/>
      <c r="F99" s="187">
        <v>3.2500000000000001E-2</v>
      </c>
      <c r="G99" s="168">
        <f t="shared" si="6"/>
        <v>-881</v>
      </c>
      <c r="H99" s="166">
        <f t="shared" si="9"/>
        <v>403364.25205200003</v>
      </c>
      <c r="I99" s="162">
        <f t="shared" si="11"/>
        <v>-124130.97648399975</v>
      </c>
      <c r="J99" s="151"/>
      <c r="K99" s="151"/>
      <c r="L99" s="152"/>
    </row>
    <row r="100" spans="1:12" hidden="1" outlineLevel="1" x14ac:dyDescent="0.25">
      <c r="A100" s="153">
        <f t="shared" si="8"/>
        <v>93</v>
      </c>
      <c r="B100" s="160">
        <f>+B99+31</f>
        <v>577</v>
      </c>
      <c r="D100" s="161">
        <v>120371.06131999999</v>
      </c>
      <c r="E100" s="224"/>
      <c r="F100" s="187">
        <v>3.2500000000000001E-2</v>
      </c>
      <c r="G100" s="168">
        <f t="shared" si="6"/>
        <v>-173</v>
      </c>
      <c r="H100" s="166">
        <f t="shared" si="9"/>
        <v>120198.06131999999</v>
      </c>
      <c r="I100" s="162">
        <f t="shared" si="11"/>
        <v>-3932.9151639997581</v>
      </c>
      <c r="J100" s="151"/>
      <c r="K100" s="151"/>
      <c r="L100" s="152"/>
    </row>
    <row r="101" spans="1:12" hidden="1" outlineLevel="1" x14ac:dyDescent="0.25">
      <c r="A101" s="153">
        <f t="shared" si="8"/>
        <v>94</v>
      </c>
      <c r="B101" s="160">
        <f>+B100+30</f>
        <v>607</v>
      </c>
      <c r="D101" s="161">
        <v>-341364.11522500002</v>
      </c>
      <c r="E101" s="224">
        <f>-I100</f>
        <v>3932.9151639997581</v>
      </c>
      <c r="F101" s="187">
        <v>3.2500000000000001E-2</v>
      </c>
      <c r="G101" s="168">
        <f t="shared" si="6"/>
        <v>-462</v>
      </c>
      <c r="H101" s="166">
        <f t="shared" si="9"/>
        <v>-337893.20006100024</v>
      </c>
      <c r="I101" s="162">
        <f t="shared" si="11"/>
        <v>-341826.11522500002</v>
      </c>
      <c r="J101" s="151"/>
      <c r="K101" s="151"/>
      <c r="L101" s="152"/>
    </row>
    <row r="102" spans="1:12" hidden="1" outlineLevel="1" x14ac:dyDescent="0.25">
      <c r="A102" s="153">
        <f t="shared" si="8"/>
        <v>95</v>
      </c>
      <c r="B102" s="160">
        <f>+B101+31</f>
        <v>638</v>
      </c>
      <c r="D102" s="161">
        <v>-846875.43919399998</v>
      </c>
      <c r="E102" s="224"/>
      <c r="F102" s="187">
        <v>3.2500000000000001E-2</v>
      </c>
      <c r="G102" s="168">
        <f t="shared" si="6"/>
        <v>-2073</v>
      </c>
      <c r="H102" s="166">
        <f t="shared" si="9"/>
        <v>-848948.43919399998</v>
      </c>
      <c r="I102" s="162">
        <f t="shared" si="11"/>
        <v>-1190774.5544189999</v>
      </c>
      <c r="J102" s="151"/>
      <c r="K102" s="151"/>
      <c r="L102" s="152"/>
    </row>
    <row r="103" spans="1:12" hidden="1" outlineLevel="1" x14ac:dyDescent="0.25">
      <c r="A103" s="153">
        <f t="shared" si="8"/>
        <v>96</v>
      </c>
      <c r="B103" s="173">
        <f>+B102+31</f>
        <v>669</v>
      </c>
      <c r="D103" s="161">
        <v>-756184.22901300003</v>
      </c>
      <c r="E103" s="224"/>
      <c r="F103" s="187">
        <v>3.2500000000000001E-2</v>
      </c>
      <c r="G103" s="168">
        <f t="shared" si="6"/>
        <v>-4249</v>
      </c>
      <c r="H103" s="166">
        <f t="shared" si="9"/>
        <v>-760433.22901300003</v>
      </c>
      <c r="I103" s="162">
        <f t="shared" si="11"/>
        <v>-1951207.7834319999</v>
      </c>
      <c r="J103" s="151"/>
      <c r="K103" s="151"/>
      <c r="L103" s="152"/>
    </row>
    <row r="104" spans="1:12" hidden="1" outlineLevel="1" x14ac:dyDescent="0.25">
      <c r="A104" s="153">
        <f t="shared" si="8"/>
        <v>97</v>
      </c>
      <c r="B104" s="173">
        <f>+B103+28</f>
        <v>697</v>
      </c>
      <c r="D104" s="161">
        <v>-683962.21309099998</v>
      </c>
      <c r="E104" s="224"/>
      <c r="F104" s="187">
        <v>3.2500000000000001E-2</v>
      </c>
      <c r="G104" s="168">
        <f t="shared" si="6"/>
        <v>-6211</v>
      </c>
      <c r="H104" s="166">
        <f t="shared" si="9"/>
        <v>-690173.21309099998</v>
      </c>
      <c r="I104" s="162">
        <f t="shared" si="11"/>
        <v>-2641380.9965229998</v>
      </c>
      <c r="J104" s="151"/>
      <c r="K104" s="151"/>
      <c r="L104" s="152"/>
    </row>
    <row r="105" spans="1:12" hidden="1" outlineLevel="1" x14ac:dyDescent="0.25">
      <c r="A105" s="153">
        <f t="shared" si="8"/>
        <v>98</v>
      </c>
      <c r="B105" s="173">
        <f>+B104+31</f>
        <v>728</v>
      </c>
      <c r="D105" s="161">
        <v>-91887.302140000407</v>
      </c>
      <c r="E105" s="224"/>
      <c r="F105" s="187">
        <v>3.2500000000000001E-2</v>
      </c>
      <c r="G105" s="168">
        <f t="shared" si="6"/>
        <v>-7278</v>
      </c>
      <c r="H105" s="166">
        <f t="shared" si="9"/>
        <v>-99165.302140000407</v>
      </c>
      <c r="I105" s="162">
        <f t="shared" si="11"/>
        <v>-2740546.2986630001</v>
      </c>
      <c r="J105" s="151"/>
      <c r="K105" s="151"/>
      <c r="L105" s="152"/>
    </row>
    <row r="106" spans="1:12" hidden="1" outlineLevel="1" x14ac:dyDescent="0.25">
      <c r="A106" s="153">
        <f t="shared" si="8"/>
        <v>99</v>
      </c>
      <c r="B106" s="173">
        <f>+B105+30</f>
        <v>758</v>
      </c>
      <c r="D106" s="161">
        <v>49849.159867999697</v>
      </c>
      <c r="E106" s="224"/>
      <c r="F106" s="187">
        <v>3.2500000000000001E-2</v>
      </c>
      <c r="G106" s="168">
        <f t="shared" si="6"/>
        <v>-7355</v>
      </c>
      <c r="H106" s="166">
        <f t="shared" si="9"/>
        <v>42494.159867999697</v>
      </c>
      <c r="I106" s="162">
        <f t="shared" si="11"/>
        <v>-2698052.1387950005</v>
      </c>
      <c r="J106" s="151"/>
      <c r="K106" s="151"/>
      <c r="L106" s="152"/>
    </row>
    <row r="107" spans="1:12" hidden="1" outlineLevel="1" x14ac:dyDescent="0.25">
      <c r="A107" s="153">
        <f t="shared" si="8"/>
        <v>100</v>
      </c>
      <c r="B107" s="173">
        <f>+B106+31</f>
        <v>789</v>
      </c>
      <c r="D107" s="161">
        <v>408132.25133999903</v>
      </c>
      <c r="E107" s="224"/>
      <c r="F107" s="187">
        <v>3.2500000000000001E-2</v>
      </c>
      <c r="G107" s="168">
        <f t="shared" si="6"/>
        <v>-6755</v>
      </c>
      <c r="H107" s="166">
        <f t="shared" si="9"/>
        <v>401377.25133999903</v>
      </c>
      <c r="I107" s="162">
        <f t="shared" si="11"/>
        <v>-2296674.8874550015</v>
      </c>
      <c r="J107" s="151"/>
      <c r="K107" s="151"/>
      <c r="L107" s="152"/>
    </row>
    <row r="108" spans="1:12" hidden="1" outlineLevel="1" x14ac:dyDescent="0.25">
      <c r="A108" s="153">
        <f t="shared" si="8"/>
        <v>101</v>
      </c>
      <c r="B108" s="173">
        <f>+B107+30</f>
        <v>819</v>
      </c>
      <c r="D108" s="161">
        <v>389577.89226499997</v>
      </c>
      <c r="E108" s="224"/>
      <c r="F108" s="187">
        <v>3.2500000000000001E-2</v>
      </c>
      <c r="G108" s="168">
        <f t="shared" si="6"/>
        <v>-5693</v>
      </c>
      <c r="H108" s="166">
        <f t="shared" si="9"/>
        <v>383884.89226499997</v>
      </c>
      <c r="I108" s="162">
        <f t="shared" si="11"/>
        <v>-1912789.9951900016</v>
      </c>
      <c r="J108" s="151"/>
      <c r="K108" s="151"/>
      <c r="L108" s="152"/>
    </row>
    <row r="109" spans="1:12" hidden="1" outlineLevel="1" x14ac:dyDescent="0.25">
      <c r="A109" s="153">
        <f t="shared" si="8"/>
        <v>102</v>
      </c>
      <c r="B109" s="173">
        <f>+B108+31</f>
        <v>850</v>
      </c>
      <c r="D109" s="161">
        <v>506837.85</v>
      </c>
      <c r="E109" s="224"/>
      <c r="F109" s="187">
        <v>3.2500000000000001E-2</v>
      </c>
      <c r="G109" s="168">
        <f t="shared" si="6"/>
        <v>-4494</v>
      </c>
      <c r="H109" s="166">
        <f t="shared" si="9"/>
        <v>502343.85</v>
      </c>
      <c r="I109" s="162">
        <f t="shared" si="11"/>
        <v>-1410446.1451900015</v>
      </c>
      <c r="J109" s="151"/>
      <c r="K109" s="151"/>
      <c r="L109" s="152"/>
    </row>
    <row r="110" spans="1:12" hidden="1" outlineLevel="1" x14ac:dyDescent="0.25">
      <c r="A110" s="153">
        <f t="shared" si="8"/>
        <v>103</v>
      </c>
      <c r="B110" s="173">
        <f>+B109+31</f>
        <v>881</v>
      </c>
      <c r="D110" s="161">
        <v>499024.91</v>
      </c>
      <c r="E110" s="224"/>
      <c r="F110" s="187">
        <v>3.2500000000000001E-2</v>
      </c>
      <c r="G110" s="168">
        <f t="shared" si="6"/>
        <v>-3144</v>
      </c>
      <c r="H110" s="166">
        <f t="shared" si="9"/>
        <v>495880.91</v>
      </c>
      <c r="I110" s="162">
        <f t="shared" si="11"/>
        <v>-914565.23519000155</v>
      </c>
      <c r="J110" s="151"/>
      <c r="K110" s="151"/>
      <c r="L110" s="152"/>
    </row>
    <row r="111" spans="1:12" hidden="1" outlineLevel="1" x14ac:dyDescent="0.25">
      <c r="A111" s="153">
        <f t="shared" si="8"/>
        <v>104</v>
      </c>
      <c r="B111" s="173">
        <f>+B110+30</f>
        <v>911</v>
      </c>
      <c r="D111" s="161">
        <v>460443.67803799955</v>
      </c>
      <c r="E111" s="224"/>
      <c r="F111" s="187">
        <v>3.2500000000000001E-2</v>
      </c>
      <c r="G111" s="168">
        <f t="shared" si="6"/>
        <v>-1853</v>
      </c>
      <c r="H111" s="166">
        <f t="shared" si="9"/>
        <v>458590.67803799955</v>
      </c>
      <c r="I111" s="162">
        <f t="shared" si="11"/>
        <v>-455974.557152002</v>
      </c>
      <c r="J111" s="151"/>
      <c r="K111" s="151"/>
      <c r="L111" s="152"/>
    </row>
    <row r="112" spans="1:12" hidden="1" outlineLevel="1" x14ac:dyDescent="0.25">
      <c r="A112" s="153">
        <f t="shared" si="8"/>
        <v>105</v>
      </c>
      <c r="B112" s="173">
        <f>+B111+31</f>
        <v>942</v>
      </c>
      <c r="D112" s="161">
        <v>316940.79744399968</v>
      </c>
      <c r="E112" s="224"/>
      <c r="F112" s="187">
        <v>3.2500000000000001E-2</v>
      </c>
      <c r="G112" s="168">
        <f t="shared" si="6"/>
        <v>-806</v>
      </c>
      <c r="H112" s="166">
        <f t="shared" si="9"/>
        <v>316134.79744399968</v>
      </c>
      <c r="I112" s="162">
        <f t="shared" si="11"/>
        <v>-139839.75970800233</v>
      </c>
      <c r="J112" s="151"/>
      <c r="K112" s="151"/>
      <c r="L112" s="152"/>
    </row>
    <row r="113" spans="1:13" hidden="1" outlineLevel="1" x14ac:dyDescent="0.25">
      <c r="A113" s="153">
        <f t="shared" si="8"/>
        <v>106</v>
      </c>
      <c r="B113" s="173">
        <f>+B112+30</f>
        <v>972</v>
      </c>
      <c r="C113" s="176">
        <v>1</v>
      </c>
      <c r="D113" s="161">
        <v>-278465.84999999998</v>
      </c>
      <c r="E113" s="224">
        <v>919526.23519000201</v>
      </c>
      <c r="F113" s="170">
        <v>3.2500000000000001E-2</v>
      </c>
      <c r="G113" s="168">
        <f t="shared" si="6"/>
        <v>1735</v>
      </c>
      <c r="H113" s="166">
        <f t="shared" si="9"/>
        <v>642795.38519000204</v>
      </c>
      <c r="I113" s="162">
        <f>+I112+H113</f>
        <v>502955.62548199971</v>
      </c>
      <c r="J113" s="151"/>
      <c r="K113" s="151"/>
      <c r="L113" s="152"/>
    </row>
    <row r="114" spans="1:13" hidden="1" outlineLevel="1" x14ac:dyDescent="0.25">
      <c r="A114" s="153">
        <f t="shared" si="8"/>
        <v>107</v>
      </c>
      <c r="B114" s="173">
        <f>+B113+31</f>
        <v>1003</v>
      </c>
      <c r="D114" s="161">
        <v>-425694.98</v>
      </c>
      <c r="E114" s="224"/>
      <c r="F114" s="170">
        <v>3.2500000000000001E-2</v>
      </c>
      <c r="G114" s="168">
        <f t="shared" si="6"/>
        <v>786</v>
      </c>
      <c r="H114" s="166">
        <f t="shared" si="9"/>
        <v>-424908.98</v>
      </c>
      <c r="I114" s="162">
        <f>+I113+H114</f>
        <v>78046.645481999731</v>
      </c>
      <c r="J114" s="151"/>
      <c r="K114" s="151"/>
      <c r="L114" s="152"/>
    </row>
    <row r="115" spans="1:13" hidden="1" outlineLevel="1" x14ac:dyDescent="0.25">
      <c r="A115" s="153">
        <f t="shared" si="8"/>
        <v>108</v>
      </c>
      <c r="B115" s="173">
        <f>+B114+31</f>
        <v>1034</v>
      </c>
      <c r="D115" s="161">
        <v>-446439</v>
      </c>
      <c r="E115" s="224"/>
      <c r="F115" s="170">
        <v>3.2500000000000001E-2</v>
      </c>
      <c r="G115" s="168">
        <f t="shared" si="6"/>
        <v>-393</v>
      </c>
      <c r="H115" s="166">
        <f t="shared" si="9"/>
        <v>-446832</v>
      </c>
      <c r="I115" s="162">
        <f t="shared" ref="I115:I121" si="12">+I114+H115</f>
        <v>-368785.35451800027</v>
      </c>
      <c r="J115" s="151"/>
      <c r="K115" s="151"/>
      <c r="L115" s="152"/>
    </row>
    <row r="116" spans="1:13" hidden="1" outlineLevel="1" x14ac:dyDescent="0.25">
      <c r="A116" s="153">
        <f t="shared" si="8"/>
        <v>109</v>
      </c>
      <c r="B116" s="173">
        <f>+B115+28</f>
        <v>1062</v>
      </c>
      <c r="D116" s="161">
        <v>-86937</v>
      </c>
      <c r="E116" s="224"/>
      <c r="F116" s="170">
        <v>3.2500000000000001E-2</v>
      </c>
      <c r="G116" s="168">
        <f t="shared" si="6"/>
        <v>-1117</v>
      </c>
      <c r="H116" s="166">
        <f t="shared" si="9"/>
        <v>-88054</v>
      </c>
      <c r="I116" s="162">
        <f t="shared" si="12"/>
        <v>-456839.35451800027</v>
      </c>
      <c r="J116" s="151"/>
      <c r="K116" s="151"/>
      <c r="L116" s="152"/>
    </row>
    <row r="117" spans="1:13" hidden="1" outlineLevel="1" x14ac:dyDescent="0.25">
      <c r="A117" s="153">
        <f t="shared" si="8"/>
        <v>110</v>
      </c>
      <c r="B117" s="173">
        <f>+B116+31</f>
        <v>1093</v>
      </c>
      <c r="D117" s="161">
        <v>78687</v>
      </c>
      <c r="E117" s="224"/>
      <c r="F117" s="170">
        <v>3.2500000000000001E-2</v>
      </c>
      <c r="G117" s="168">
        <f t="shared" si="6"/>
        <v>-1131</v>
      </c>
      <c r="H117" s="166">
        <f t="shared" si="9"/>
        <v>77556</v>
      </c>
      <c r="I117" s="162">
        <f t="shared" si="12"/>
        <v>-379283.35451800027</v>
      </c>
      <c r="J117" s="151"/>
      <c r="K117" s="151"/>
      <c r="L117" s="152"/>
    </row>
    <row r="118" spans="1:13" hidden="1" outlineLevel="1" x14ac:dyDescent="0.25">
      <c r="A118" s="153">
        <f t="shared" si="8"/>
        <v>111</v>
      </c>
      <c r="B118" s="173">
        <f>+B117+30</f>
        <v>1123</v>
      </c>
      <c r="D118" s="161">
        <v>91316</v>
      </c>
      <c r="E118" s="224"/>
      <c r="F118" s="170">
        <v>3.2500000000000001E-2</v>
      </c>
      <c r="G118" s="168">
        <f t="shared" si="6"/>
        <v>-904</v>
      </c>
      <c r="H118" s="166">
        <f t="shared" si="9"/>
        <v>90412</v>
      </c>
      <c r="I118" s="162">
        <f t="shared" si="12"/>
        <v>-288871.35451800027</v>
      </c>
      <c r="J118" s="151"/>
      <c r="K118" s="151"/>
      <c r="L118" s="152"/>
    </row>
    <row r="119" spans="1:13" hidden="1" outlineLevel="1" x14ac:dyDescent="0.25">
      <c r="A119" s="153">
        <f t="shared" si="8"/>
        <v>112</v>
      </c>
      <c r="B119" s="173">
        <f>+B118+31</f>
        <v>1154</v>
      </c>
      <c r="D119" s="161">
        <v>353386.63</v>
      </c>
      <c r="E119" s="224"/>
      <c r="F119" s="170">
        <v>3.2500000000000001E-2</v>
      </c>
      <c r="G119" s="168">
        <f t="shared" si="6"/>
        <v>-304</v>
      </c>
      <c r="H119" s="166">
        <f t="shared" si="9"/>
        <v>353082.63</v>
      </c>
      <c r="I119" s="162">
        <f t="shared" si="12"/>
        <v>64211.275481999735</v>
      </c>
      <c r="J119" s="151"/>
      <c r="K119" s="151"/>
      <c r="L119" s="152"/>
    </row>
    <row r="120" spans="1:13" hidden="1" outlineLevel="1" x14ac:dyDescent="0.25">
      <c r="A120" s="153">
        <f t="shared" si="8"/>
        <v>113</v>
      </c>
      <c r="B120" s="173">
        <f>+B119+30</f>
        <v>1184</v>
      </c>
      <c r="D120" s="161">
        <v>457277.61</v>
      </c>
      <c r="E120" s="224"/>
      <c r="F120" s="170">
        <v>3.2500000000000001E-2</v>
      </c>
      <c r="G120" s="168">
        <f t="shared" si="6"/>
        <v>793</v>
      </c>
      <c r="H120" s="166">
        <f t="shared" si="9"/>
        <v>458070.61</v>
      </c>
      <c r="I120" s="162">
        <f t="shared" si="12"/>
        <v>522281.88548199972</v>
      </c>
      <c r="J120" s="151"/>
      <c r="K120" s="151"/>
      <c r="L120" s="152"/>
    </row>
    <row r="121" spans="1:13" hidden="1" outlineLevel="1" x14ac:dyDescent="0.25">
      <c r="A121" s="153">
        <f t="shared" si="8"/>
        <v>114</v>
      </c>
      <c r="B121" s="173">
        <f>+B120+31</f>
        <v>1215</v>
      </c>
      <c r="D121" s="161">
        <v>475905</v>
      </c>
      <c r="E121" s="224"/>
      <c r="F121" s="170">
        <v>3.2500000000000001E-2</v>
      </c>
      <c r="G121" s="168">
        <f t="shared" si="6"/>
        <v>2059</v>
      </c>
      <c r="H121" s="166">
        <f t="shared" si="9"/>
        <v>477964</v>
      </c>
      <c r="I121" s="162">
        <f t="shared" si="12"/>
        <v>1000245.8854819997</v>
      </c>
      <c r="J121" s="151"/>
      <c r="K121" s="151"/>
      <c r="L121" s="229"/>
      <c r="M121" s="208"/>
    </row>
    <row r="122" spans="1:13" hidden="1" outlineLevel="1" x14ac:dyDescent="0.25">
      <c r="A122" s="153">
        <f t="shared" si="8"/>
        <v>115</v>
      </c>
      <c r="B122" s="173">
        <f>+B121+31</f>
        <v>1246</v>
      </c>
      <c r="D122" s="161">
        <v>494175.64</v>
      </c>
      <c r="E122" s="224">
        <v>2.11</v>
      </c>
      <c r="F122" s="170">
        <v>3.2500000000000001E-2</v>
      </c>
      <c r="G122" s="168">
        <f t="shared" ref="G122:G160" si="13">ROUND((+I121+E122+(D122/2))*F122/12,2)</f>
        <v>3378.2</v>
      </c>
      <c r="H122" s="166">
        <f t="shared" si="9"/>
        <v>497555.95</v>
      </c>
      <c r="I122" s="162">
        <f>+I121+H122</f>
        <v>1497801.8354819997</v>
      </c>
      <c r="J122" s="151"/>
      <c r="K122" s="151"/>
      <c r="L122" s="162"/>
    </row>
    <row r="123" spans="1:13" hidden="1" outlineLevel="1" x14ac:dyDescent="0.25">
      <c r="A123" s="153">
        <f t="shared" si="8"/>
        <v>116</v>
      </c>
      <c r="B123" s="173">
        <f>+B122+30</f>
        <v>1276</v>
      </c>
      <c r="C123" s="176">
        <v>2</v>
      </c>
      <c r="D123" s="161">
        <v>360081.47177800012</v>
      </c>
      <c r="E123" s="224">
        <f>-318107-5392.05</f>
        <v>-323499.05</v>
      </c>
      <c r="F123" s="170">
        <v>3.2500000000000001E-2</v>
      </c>
      <c r="G123" s="168">
        <f t="shared" si="13"/>
        <v>3668.01</v>
      </c>
      <c r="H123" s="166">
        <f t="shared" si="9"/>
        <v>40250.431778000137</v>
      </c>
      <c r="I123" s="162">
        <f>+I122+H123</f>
        <v>1538052.2672599999</v>
      </c>
      <c r="J123" s="151"/>
      <c r="K123" s="151"/>
      <c r="L123" s="152"/>
    </row>
    <row r="124" spans="1:13" hidden="1" outlineLevel="1" x14ac:dyDescent="0.25">
      <c r="A124" s="153">
        <f t="shared" si="8"/>
        <v>117</v>
      </c>
      <c r="B124" s="174">
        <f>+B123+31</f>
        <v>1307</v>
      </c>
      <c r="C124" s="215"/>
      <c r="D124" s="161">
        <v>304876.87122400012</v>
      </c>
      <c r="E124" s="224"/>
      <c r="F124" s="170">
        <v>3.2500000000000001E-2</v>
      </c>
      <c r="G124" s="168">
        <f t="shared" si="13"/>
        <v>4578.41</v>
      </c>
      <c r="H124" s="166">
        <f t="shared" si="9"/>
        <v>309455.28122400009</v>
      </c>
      <c r="I124" s="162">
        <f>+I123+H124</f>
        <v>1847507.5484839999</v>
      </c>
      <c r="J124" s="151"/>
      <c r="K124" s="151"/>
      <c r="L124" s="152"/>
    </row>
    <row r="125" spans="1:13" hidden="1" outlineLevel="1" x14ac:dyDescent="0.25">
      <c r="A125" s="153">
        <f t="shared" si="8"/>
        <v>118</v>
      </c>
      <c r="B125" s="173">
        <f>B124+30</f>
        <v>1337</v>
      </c>
      <c r="C125" s="176">
        <v>1</v>
      </c>
      <c r="D125" s="161">
        <v>-273627.84000000003</v>
      </c>
      <c r="E125" s="224">
        <f>-1505925.8</f>
        <v>-1505925.8</v>
      </c>
      <c r="F125" s="170">
        <v>3.2500000000000001E-2</v>
      </c>
      <c r="G125" s="168">
        <f t="shared" si="13"/>
        <v>554.58000000000004</v>
      </c>
      <c r="H125" s="166">
        <f t="shared" si="9"/>
        <v>-1778999.06</v>
      </c>
      <c r="I125" s="162">
        <f>+I124+H125</f>
        <v>68508.488483999856</v>
      </c>
      <c r="J125" s="151"/>
      <c r="K125" s="151"/>
      <c r="L125" s="152"/>
    </row>
    <row r="126" spans="1:13" hidden="1" outlineLevel="1" x14ac:dyDescent="0.25">
      <c r="A126" s="153">
        <f t="shared" si="8"/>
        <v>119</v>
      </c>
      <c r="B126" s="173">
        <f>B125+31</f>
        <v>1368</v>
      </c>
      <c r="C126" s="178"/>
      <c r="D126" s="161">
        <v>-517590</v>
      </c>
      <c r="E126" s="224"/>
      <c r="F126" s="170">
        <v>3.2500000000000001E-2</v>
      </c>
      <c r="G126" s="168">
        <f t="shared" si="13"/>
        <v>-515.36</v>
      </c>
      <c r="H126" s="166">
        <f t="shared" si="9"/>
        <v>-518105.36</v>
      </c>
      <c r="I126" s="162">
        <f t="shared" ref="I126:I160" si="14">+I125+H126</f>
        <v>-449596.87151600013</v>
      </c>
      <c r="J126" s="151"/>
      <c r="K126" s="151"/>
      <c r="L126" s="152"/>
    </row>
    <row r="127" spans="1:13" hidden="1" outlineLevel="1" x14ac:dyDescent="0.25">
      <c r="A127" s="153">
        <f t="shared" si="8"/>
        <v>120</v>
      </c>
      <c r="B127" s="173">
        <f>B126+31</f>
        <v>1399</v>
      </c>
      <c r="C127" s="178"/>
      <c r="D127" s="161">
        <v>-573045.11</v>
      </c>
      <c r="E127" s="224"/>
      <c r="F127" s="170">
        <v>3.2500000000000001E-2</v>
      </c>
      <c r="G127" s="168">
        <f t="shared" si="13"/>
        <v>-1993.66</v>
      </c>
      <c r="H127" s="166">
        <f t="shared" si="9"/>
        <v>-575038.77</v>
      </c>
      <c r="I127" s="162">
        <f t="shared" si="14"/>
        <v>-1024635.6415160001</v>
      </c>
      <c r="J127" s="151"/>
      <c r="K127" s="151"/>
      <c r="L127" s="152"/>
    </row>
    <row r="128" spans="1:13" hidden="1" outlineLevel="1" x14ac:dyDescent="0.25">
      <c r="A128" s="153">
        <f t="shared" si="8"/>
        <v>121</v>
      </c>
      <c r="B128" s="173">
        <f>B127+29</f>
        <v>1428</v>
      </c>
      <c r="C128" s="178"/>
      <c r="D128" s="161">
        <v>-218572.97</v>
      </c>
      <c r="E128" s="224"/>
      <c r="F128" s="170">
        <v>3.2500000000000001E-2</v>
      </c>
      <c r="G128" s="168">
        <f t="shared" si="13"/>
        <v>-3071.04</v>
      </c>
      <c r="H128" s="166">
        <f t="shared" si="9"/>
        <v>-221644.01</v>
      </c>
      <c r="I128" s="162">
        <f t="shared" si="14"/>
        <v>-1246279.6515160003</v>
      </c>
      <c r="J128" s="151"/>
      <c r="K128" s="151"/>
      <c r="L128" s="152"/>
    </row>
    <row r="129" spans="1:13" hidden="1" outlineLevel="1" x14ac:dyDescent="0.25">
      <c r="A129" s="153">
        <f t="shared" si="8"/>
        <v>122</v>
      </c>
      <c r="B129" s="173">
        <f>B128+31</f>
        <v>1459</v>
      </c>
      <c r="C129" s="178"/>
      <c r="D129" s="161">
        <v>-103871.33</v>
      </c>
      <c r="E129" s="224"/>
      <c r="F129" s="170">
        <v>3.2500000000000001E-2</v>
      </c>
      <c r="G129" s="168">
        <f t="shared" si="13"/>
        <v>-3516</v>
      </c>
      <c r="H129" s="166">
        <f t="shared" si="9"/>
        <v>-107387.33</v>
      </c>
      <c r="I129" s="162">
        <f t="shared" si="14"/>
        <v>-1353666.9815160003</v>
      </c>
      <c r="J129" s="151"/>
      <c r="K129" s="151"/>
      <c r="L129" s="152"/>
    </row>
    <row r="130" spans="1:13" hidden="1" outlineLevel="1" x14ac:dyDescent="0.25">
      <c r="A130" s="153">
        <f t="shared" si="8"/>
        <v>123</v>
      </c>
      <c r="B130" s="173">
        <f>B129+30</f>
        <v>1489</v>
      </c>
      <c r="C130" s="178"/>
      <c r="D130" s="161">
        <v>212761.91</v>
      </c>
      <c r="E130" s="224"/>
      <c r="F130" s="170">
        <v>3.4599999999999999E-2</v>
      </c>
      <c r="G130" s="168">
        <f t="shared" si="13"/>
        <v>-3596.34</v>
      </c>
      <c r="H130" s="166">
        <f t="shared" si="9"/>
        <v>209165.57</v>
      </c>
      <c r="I130" s="162">
        <f t="shared" si="14"/>
        <v>-1144501.4115160003</v>
      </c>
      <c r="J130" s="151"/>
      <c r="K130" s="151"/>
      <c r="L130" s="152"/>
    </row>
    <row r="131" spans="1:13" hidden="1" outlineLevel="1" x14ac:dyDescent="0.25">
      <c r="A131" s="153">
        <f t="shared" si="8"/>
        <v>124</v>
      </c>
      <c r="B131" s="173">
        <f>B130+31</f>
        <v>1520</v>
      </c>
      <c r="C131" s="178"/>
      <c r="D131" s="161">
        <v>414493.24</v>
      </c>
      <c r="E131" s="224"/>
      <c r="F131" s="170">
        <v>3.4599999999999999E-2</v>
      </c>
      <c r="G131" s="168">
        <f t="shared" si="13"/>
        <v>-2702.42</v>
      </c>
      <c r="H131" s="166">
        <f t="shared" si="9"/>
        <v>411790.82</v>
      </c>
      <c r="I131" s="162">
        <f t="shared" si="14"/>
        <v>-732710.59151600022</v>
      </c>
      <c r="J131" s="151"/>
      <c r="K131" s="151"/>
      <c r="L131" s="152"/>
    </row>
    <row r="132" spans="1:13" hidden="1" outlineLevel="1" x14ac:dyDescent="0.25">
      <c r="A132" s="153">
        <f t="shared" si="8"/>
        <v>125</v>
      </c>
      <c r="B132" s="173">
        <f>B131+30</f>
        <v>1550</v>
      </c>
      <c r="C132" s="178"/>
      <c r="D132" s="161">
        <v>343147.08</v>
      </c>
      <c r="E132" s="224"/>
      <c r="F132" s="170">
        <v>3.4599999999999999E-2</v>
      </c>
      <c r="G132" s="168">
        <f t="shared" si="13"/>
        <v>-1617.95</v>
      </c>
      <c r="H132" s="166">
        <f t="shared" si="9"/>
        <v>341529.13</v>
      </c>
      <c r="I132" s="162">
        <f t="shared" si="14"/>
        <v>-391181.46151600021</v>
      </c>
      <c r="J132" s="151"/>
      <c r="K132" s="151"/>
      <c r="L132" s="152"/>
    </row>
    <row r="133" spans="1:13" hidden="1" outlineLevel="1" x14ac:dyDescent="0.25">
      <c r="A133" s="153">
        <f t="shared" si="8"/>
        <v>126</v>
      </c>
      <c r="B133" s="173">
        <f>B132+31</f>
        <v>1581</v>
      </c>
      <c r="C133" s="178"/>
      <c r="D133" s="161">
        <v>439322.75</v>
      </c>
      <c r="E133" s="224"/>
      <c r="F133" s="170">
        <v>3.5000000000000003E-2</v>
      </c>
      <c r="G133" s="168">
        <f t="shared" si="13"/>
        <v>-500.27</v>
      </c>
      <c r="H133" s="166">
        <f t="shared" si="9"/>
        <v>438822.48</v>
      </c>
      <c r="I133" s="162">
        <f t="shared" si="14"/>
        <v>47641.018483999767</v>
      </c>
      <c r="J133" s="151"/>
      <c r="K133" s="151"/>
      <c r="L133" s="152"/>
    </row>
    <row r="134" spans="1:13" hidden="1" outlineLevel="1" x14ac:dyDescent="0.25">
      <c r="A134" s="153">
        <f t="shared" si="8"/>
        <v>127</v>
      </c>
      <c r="B134" s="173">
        <f>B133+31</f>
        <v>1612</v>
      </c>
      <c r="C134" s="178"/>
      <c r="D134" s="161">
        <v>456951.23739560001</v>
      </c>
      <c r="E134" s="224"/>
      <c r="F134" s="170">
        <v>3.5000000000000003E-2</v>
      </c>
      <c r="G134" s="168">
        <f t="shared" si="13"/>
        <v>805.34</v>
      </c>
      <c r="H134" s="166">
        <f t="shared" si="9"/>
        <v>457756.57739560003</v>
      </c>
      <c r="I134" s="162">
        <f t="shared" si="14"/>
        <v>505397.5958795998</v>
      </c>
      <c r="J134" s="151"/>
      <c r="K134" s="151"/>
      <c r="L134" s="227"/>
      <c r="M134" s="220"/>
    </row>
    <row r="135" spans="1:13" hidden="1" outlineLevel="1" x14ac:dyDescent="0.25">
      <c r="A135" s="153">
        <f t="shared" si="8"/>
        <v>128</v>
      </c>
      <c r="B135" s="173">
        <f>B134+30</f>
        <v>1642</v>
      </c>
      <c r="D135" s="161">
        <v>376258.76</v>
      </c>
      <c r="E135" s="224"/>
      <c r="F135" s="170">
        <v>3.5000000000000003E-2</v>
      </c>
      <c r="G135" s="168">
        <f t="shared" si="13"/>
        <v>2022.79</v>
      </c>
      <c r="H135" s="166">
        <f t="shared" si="9"/>
        <v>378281.55</v>
      </c>
      <c r="I135" s="162">
        <f t="shared" si="14"/>
        <v>883679.14587959973</v>
      </c>
      <c r="J135" s="151"/>
      <c r="K135" s="151"/>
      <c r="L135" s="152"/>
    </row>
    <row r="136" spans="1:13" hidden="1" outlineLevel="1" x14ac:dyDescent="0.25">
      <c r="A136" s="153">
        <f t="shared" si="8"/>
        <v>129</v>
      </c>
      <c r="B136" s="173">
        <f>B135+31</f>
        <v>1673</v>
      </c>
      <c r="D136" s="161">
        <v>173597.52</v>
      </c>
      <c r="E136" s="224"/>
      <c r="F136" s="170">
        <v>3.5000000000000003E-2</v>
      </c>
      <c r="G136" s="168">
        <f t="shared" si="13"/>
        <v>2830.56</v>
      </c>
      <c r="H136" s="166">
        <f t="shared" si="9"/>
        <v>176428.08</v>
      </c>
      <c r="I136" s="162">
        <f t="shared" si="14"/>
        <v>1060107.2258795998</v>
      </c>
      <c r="J136" s="151"/>
      <c r="K136" s="151"/>
      <c r="L136" s="152"/>
    </row>
    <row r="137" spans="1:13" hidden="1" x14ac:dyDescent="0.25">
      <c r="A137" s="153">
        <f t="shared" si="8"/>
        <v>130</v>
      </c>
      <c r="B137" s="184">
        <f>B136+30</f>
        <v>1703</v>
      </c>
      <c r="C137" s="176">
        <v>1</v>
      </c>
      <c r="D137" s="161">
        <v>-34090.792599199689</v>
      </c>
      <c r="E137" s="224">
        <v>-508349.64</v>
      </c>
      <c r="F137" s="170">
        <v>3.5000000000000003E-2</v>
      </c>
      <c r="G137" s="168">
        <f t="shared" si="13"/>
        <v>1559.58</v>
      </c>
      <c r="H137" s="166">
        <f t="shared" si="9"/>
        <v>-540880.85259919974</v>
      </c>
      <c r="I137" s="162">
        <f t="shared" si="14"/>
        <v>519226.37328040006</v>
      </c>
      <c r="J137" s="151"/>
      <c r="K137" s="151"/>
      <c r="L137" s="152"/>
    </row>
    <row r="138" spans="1:13" hidden="1" x14ac:dyDescent="0.25">
      <c r="A138" s="153">
        <f t="shared" si="8"/>
        <v>131</v>
      </c>
      <c r="B138" s="184">
        <f>B137+31</f>
        <v>1734</v>
      </c>
      <c r="C138" s="214"/>
      <c r="D138" s="161">
        <v>-902608.8633995998</v>
      </c>
      <c r="E138" s="224"/>
      <c r="F138" s="170">
        <v>3.5000000000000003E-2</v>
      </c>
      <c r="G138" s="168">
        <f t="shared" si="13"/>
        <v>198.11</v>
      </c>
      <c r="H138" s="166">
        <f t="shared" si="9"/>
        <v>-902410.75339959981</v>
      </c>
      <c r="I138" s="162">
        <f t="shared" si="14"/>
        <v>-383184.38011919975</v>
      </c>
      <c r="J138" s="151"/>
      <c r="K138" s="151"/>
      <c r="L138" s="152"/>
    </row>
    <row r="139" spans="1:13" hidden="1" x14ac:dyDescent="0.25">
      <c r="A139" s="153">
        <f t="shared" si="8"/>
        <v>132</v>
      </c>
      <c r="B139" s="184">
        <f t="shared" ref="B139:B150" si="15">B138+31</f>
        <v>1765</v>
      </c>
      <c r="C139" s="214"/>
      <c r="D139" s="161">
        <v>-1177911.3488843997</v>
      </c>
      <c r="E139" s="224"/>
      <c r="F139" s="170">
        <v>3.5000000000000003E-2</v>
      </c>
      <c r="G139" s="168">
        <f t="shared" si="13"/>
        <v>-2835.41</v>
      </c>
      <c r="H139" s="166">
        <f t="shared" si="9"/>
        <v>-1180746.7588843997</v>
      </c>
      <c r="I139" s="162">
        <f t="shared" si="14"/>
        <v>-1563931.1390035995</v>
      </c>
      <c r="J139" s="151"/>
      <c r="K139" s="151"/>
      <c r="L139" s="152"/>
    </row>
    <row r="140" spans="1:13" hidden="1" x14ac:dyDescent="0.25">
      <c r="A140" s="153">
        <f t="shared" si="8"/>
        <v>133</v>
      </c>
      <c r="B140" s="184">
        <f t="shared" si="15"/>
        <v>1796</v>
      </c>
      <c r="C140" s="214"/>
      <c r="D140" s="161">
        <v>-591296.5696503995</v>
      </c>
      <c r="E140" s="224"/>
      <c r="F140" s="170">
        <v>3.5000000000000003E-2</v>
      </c>
      <c r="G140" s="168">
        <f t="shared" si="13"/>
        <v>-5423.77</v>
      </c>
      <c r="H140" s="166">
        <f t="shared" si="9"/>
        <v>-596720.33965039952</v>
      </c>
      <c r="I140" s="162">
        <f t="shared" si="14"/>
        <v>-2160651.478653999</v>
      </c>
      <c r="J140" s="151"/>
      <c r="K140" s="151"/>
      <c r="L140" s="152"/>
    </row>
    <row r="141" spans="1:13" hidden="1" x14ac:dyDescent="0.25">
      <c r="A141" s="153">
        <f t="shared" ref="A141:A178" si="16">+A140+1</f>
        <v>134</v>
      </c>
      <c r="B141" s="184">
        <f t="shared" si="15"/>
        <v>1827</v>
      </c>
      <c r="C141" s="214"/>
      <c r="D141" s="161">
        <v>-313110.60514879972</v>
      </c>
      <c r="E141" s="224"/>
      <c r="F141" s="170">
        <v>3.5000000000000003E-2</v>
      </c>
      <c r="G141" s="168">
        <f t="shared" si="13"/>
        <v>-6758.52</v>
      </c>
      <c r="H141" s="166">
        <f t="shared" ref="H141:H160" si="17">SUM(D141:E141,G141)</f>
        <v>-319869.12514879974</v>
      </c>
      <c r="I141" s="162">
        <f t="shared" si="14"/>
        <v>-2480520.6038027988</v>
      </c>
      <c r="J141" s="151"/>
      <c r="K141" s="151"/>
      <c r="L141" s="152"/>
    </row>
    <row r="142" spans="1:13" hidden="1" x14ac:dyDescent="0.25">
      <c r="A142" s="153">
        <f t="shared" si="16"/>
        <v>135</v>
      </c>
      <c r="B142" s="184">
        <f t="shared" si="15"/>
        <v>1858</v>
      </c>
      <c r="C142" s="214"/>
      <c r="D142" s="161">
        <v>-38832.131575999781</v>
      </c>
      <c r="E142" s="224"/>
      <c r="F142" s="170">
        <v>3.7100000000000001E-2</v>
      </c>
      <c r="G142" s="168">
        <f t="shared" si="13"/>
        <v>-7728.97</v>
      </c>
      <c r="H142" s="166">
        <f t="shared" si="17"/>
        <v>-46561.101575999783</v>
      </c>
      <c r="I142" s="162">
        <f t="shared" si="14"/>
        <v>-2527081.7053787988</v>
      </c>
      <c r="J142" s="151"/>
      <c r="K142" s="151"/>
      <c r="L142" s="152"/>
    </row>
    <row r="143" spans="1:13" hidden="1" x14ac:dyDescent="0.25">
      <c r="A143" s="153">
        <f t="shared" si="16"/>
        <v>136</v>
      </c>
      <c r="B143" s="184">
        <f t="shared" si="15"/>
        <v>1889</v>
      </c>
      <c r="C143" s="214"/>
      <c r="D143" s="161">
        <v>257065.47580360033</v>
      </c>
      <c r="E143" s="224"/>
      <c r="F143" s="170">
        <v>3.7100000000000001E-2</v>
      </c>
      <c r="G143" s="168">
        <f t="shared" si="13"/>
        <v>-7415.51</v>
      </c>
      <c r="H143" s="166">
        <f t="shared" si="17"/>
        <v>249649.96580360032</v>
      </c>
      <c r="I143" s="162">
        <f t="shared" si="14"/>
        <v>-2277431.7395751984</v>
      </c>
      <c r="J143" s="151"/>
      <c r="K143" s="151"/>
      <c r="L143" s="152"/>
    </row>
    <row r="144" spans="1:13" hidden="1" x14ac:dyDescent="0.25">
      <c r="A144" s="153">
        <f t="shared" si="16"/>
        <v>137</v>
      </c>
      <c r="B144" s="184">
        <f t="shared" si="15"/>
        <v>1920</v>
      </c>
      <c r="C144" s="214"/>
      <c r="D144" s="161">
        <v>355710.73961600038</v>
      </c>
      <c r="E144" s="224"/>
      <c r="F144" s="170">
        <v>3.7100000000000001E-2</v>
      </c>
      <c r="G144" s="168">
        <f t="shared" si="13"/>
        <v>-6491.19</v>
      </c>
      <c r="H144" s="166">
        <f t="shared" si="17"/>
        <v>349219.54961600038</v>
      </c>
      <c r="I144" s="162">
        <f t="shared" si="14"/>
        <v>-1928212.189959198</v>
      </c>
      <c r="J144" s="151"/>
      <c r="K144" s="151"/>
      <c r="L144" s="152"/>
    </row>
    <row r="145" spans="1:12" hidden="1" x14ac:dyDescent="0.25">
      <c r="A145" s="153">
        <f t="shared" si="16"/>
        <v>138</v>
      </c>
      <c r="B145" s="184">
        <f t="shared" si="15"/>
        <v>1951</v>
      </c>
      <c r="C145" s="214"/>
      <c r="D145" s="161">
        <v>419621.6981724003</v>
      </c>
      <c r="E145" s="224"/>
      <c r="F145" s="170">
        <v>3.9600000000000003E-2</v>
      </c>
      <c r="G145" s="168">
        <f t="shared" si="13"/>
        <v>-5670.72</v>
      </c>
      <c r="H145" s="166">
        <f t="shared" si="17"/>
        <v>413950.97817240033</v>
      </c>
      <c r="I145" s="162">
        <f t="shared" si="14"/>
        <v>-1514261.2117867977</v>
      </c>
      <c r="J145" s="151"/>
      <c r="K145" s="151"/>
      <c r="L145" s="152"/>
    </row>
    <row r="146" spans="1:12" hidden="1" x14ac:dyDescent="0.25">
      <c r="A146" s="153">
        <f t="shared" si="16"/>
        <v>139</v>
      </c>
      <c r="B146" s="184">
        <f t="shared" si="15"/>
        <v>1982</v>
      </c>
      <c r="C146" s="214"/>
      <c r="D146" s="161">
        <v>461347.80083680036</v>
      </c>
      <c r="E146" s="224"/>
      <c r="F146" s="170">
        <v>3.9600000000000003E-2</v>
      </c>
      <c r="G146" s="168">
        <f t="shared" si="13"/>
        <v>-4235.84</v>
      </c>
      <c r="H146" s="166">
        <f t="shared" si="17"/>
        <v>457111.96083680034</v>
      </c>
      <c r="I146" s="162">
        <f t="shared" si="14"/>
        <v>-1057149.2509499975</v>
      </c>
      <c r="J146" s="151"/>
      <c r="K146" s="151"/>
      <c r="L146" s="152"/>
    </row>
    <row r="147" spans="1:12" hidden="1" x14ac:dyDescent="0.25">
      <c r="A147" s="153">
        <f t="shared" si="16"/>
        <v>140</v>
      </c>
      <c r="B147" s="184">
        <f t="shared" si="15"/>
        <v>2013</v>
      </c>
      <c r="C147" s="214"/>
      <c r="D147" s="161">
        <v>390949.93206280039</v>
      </c>
      <c r="E147" s="224"/>
      <c r="F147" s="170">
        <v>3.9600000000000003E-2</v>
      </c>
      <c r="G147" s="168">
        <f t="shared" si="13"/>
        <v>-2843.53</v>
      </c>
      <c r="H147" s="166">
        <f t="shared" si="17"/>
        <v>388106.40206280036</v>
      </c>
      <c r="I147" s="162">
        <f t="shared" si="14"/>
        <v>-669042.84888719709</v>
      </c>
      <c r="J147" s="151"/>
      <c r="K147" s="151"/>
      <c r="L147" s="152"/>
    </row>
    <row r="148" spans="1:12" hidden="1" x14ac:dyDescent="0.25">
      <c r="A148" s="153">
        <f t="shared" si="16"/>
        <v>141</v>
      </c>
      <c r="B148" s="184">
        <f t="shared" si="15"/>
        <v>2044</v>
      </c>
      <c r="C148" s="214"/>
      <c r="D148" s="161">
        <v>81093.975094000343</v>
      </c>
      <c r="E148" s="224"/>
      <c r="F148" s="170">
        <v>4.2099999999999999E-2</v>
      </c>
      <c r="G148" s="168">
        <f t="shared" si="13"/>
        <v>-2204.9699999999998</v>
      </c>
      <c r="H148" s="166">
        <f t="shared" si="17"/>
        <v>78889.005094000342</v>
      </c>
      <c r="I148" s="162">
        <f t="shared" si="14"/>
        <v>-590153.84379319672</v>
      </c>
      <c r="J148" s="151"/>
      <c r="K148" s="151"/>
      <c r="L148" s="152"/>
    </row>
    <row r="149" spans="1:12" hidden="1" x14ac:dyDescent="0.25">
      <c r="A149" s="153">
        <f t="shared" si="16"/>
        <v>142</v>
      </c>
      <c r="B149" s="184">
        <f t="shared" si="15"/>
        <v>2075</v>
      </c>
      <c r="C149" s="176">
        <v>1</v>
      </c>
      <c r="D149" s="161">
        <v>-264663.82199020032</v>
      </c>
      <c r="E149" s="224">
        <v>1064137.94</v>
      </c>
      <c r="F149" s="170">
        <v>4.2099999999999999E-2</v>
      </c>
      <c r="G149" s="168">
        <f t="shared" si="13"/>
        <v>1198.6300000000001</v>
      </c>
      <c r="H149" s="166">
        <f t="shared" si="17"/>
        <v>800672.74800979963</v>
      </c>
      <c r="I149" s="162">
        <f t="shared" si="14"/>
        <v>210518.90421660291</v>
      </c>
      <c r="J149" s="151"/>
      <c r="K149" s="151"/>
      <c r="L149" s="152"/>
    </row>
    <row r="150" spans="1:12" hidden="1" x14ac:dyDescent="0.25">
      <c r="A150" s="153">
        <f t="shared" si="16"/>
        <v>143</v>
      </c>
      <c r="B150" s="184">
        <f t="shared" si="15"/>
        <v>2106</v>
      </c>
      <c r="C150" s="214"/>
      <c r="D150" s="161">
        <v>-828194.38106480031</v>
      </c>
      <c r="E150" s="224"/>
      <c r="F150" s="170">
        <v>4.2099999999999999E-2</v>
      </c>
      <c r="G150" s="168">
        <f t="shared" si="13"/>
        <v>-714.22</v>
      </c>
      <c r="H150" s="166">
        <f t="shared" si="17"/>
        <v>-828908.60106480028</v>
      </c>
      <c r="I150" s="162">
        <f t="shared" si="14"/>
        <v>-618389.69684819737</v>
      </c>
      <c r="J150" s="151"/>
      <c r="K150" s="151"/>
      <c r="L150" s="152"/>
    </row>
    <row r="151" spans="1:12" hidden="1" x14ac:dyDescent="0.25">
      <c r="A151" s="153">
        <f t="shared" si="16"/>
        <v>144</v>
      </c>
      <c r="B151" s="184">
        <v>43101</v>
      </c>
      <c r="C151" s="214"/>
      <c r="D151" s="161">
        <v>-526982.84339700022</v>
      </c>
      <c r="E151" s="224"/>
      <c r="F151" s="170">
        <v>4.2500000000000003E-2</v>
      </c>
      <c r="G151" s="168">
        <f t="shared" si="13"/>
        <v>-3123.33</v>
      </c>
      <c r="H151" s="166">
        <f t="shared" si="17"/>
        <v>-530106.17339700018</v>
      </c>
      <c r="I151" s="162">
        <f t="shared" si="14"/>
        <v>-1148495.8702451976</v>
      </c>
      <c r="J151" s="151"/>
      <c r="K151" s="151"/>
      <c r="L151" s="152"/>
    </row>
    <row r="152" spans="1:12" hidden="1" x14ac:dyDescent="0.25">
      <c r="A152" s="153">
        <f t="shared" si="16"/>
        <v>145</v>
      </c>
      <c r="B152" s="184">
        <v>43132</v>
      </c>
      <c r="C152" s="214"/>
      <c r="D152" s="161">
        <v>-568632.19156980002</v>
      </c>
      <c r="E152" s="224"/>
      <c r="F152" s="170">
        <v>4.2500000000000003E-2</v>
      </c>
      <c r="G152" s="168">
        <f t="shared" si="13"/>
        <v>-5074.54</v>
      </c>
      <c r="H152" s="166">
        <f t="shared" si="17"/>
        <v>-573706.73156980006</v>
      </c>
      <c r="I152" s="162">
        <f t="shared" si="14"/>
        <v>-1722202.6018149976</v>
      </c>
      <c r="J152" s="151"/>
      <c r="K152" s="151"/>
      <c r="L152" s="152"/>
    </row>
    <row r="153" spans="1:12" hidden="1" x14ac:dyDescent="0.25">
      <c r="A153" s="153">
        <f t="shared" si="16"/>
        <v>146</v>
      </c>
      <c r="B153" s="184">
        <v>43160</v>
      </c>
      <c r="C153" s="214"/>
      <c r="D153" s="161">
        <v>-317816.13382440025</v>
      </c>
      <c r="E153" s="224"/>
      <c r="F153" s="170">
        <v>4.2500000000000003E-2</v>
      </c>
      <c r="G153" s="168">
        <f t="shared" si="13"/>
        <v>-6662.27</v>
      </c>
      <c r="H153" s="166">
        <f t="shared" si="17"/>
        <v>-324478.40382440027</v>
      </c>
      <c r="I153" s="162">
        <f t="shared" si="14"/>
        <v>-2046681.005639398</v>
      </c>
      <c r="J153" s="151"/>
      <c r="K153" s="151"/>
      <c r="L153" s="152"/>
    </row>
    <row r="154" spans="1:12" hidden="1" x14ac:dyDescent="0.25">
      <c r="A154" s="153">
        <f t="shared" si="16"/>
        <v>147</v>
      </c>
      <c r="B154" s="184">
        <v>43191</v>
      </c>
      <c r="C154" s="214"/>
      <c r="D154" s="161">
        <v>-40734.026942200144</v>
      </c>
      <c r="E154" s="224"/>
      <c r="F154" s="170">
        <v>4.4699999999999997E-2</v>
      </c>
      <c r="G154" s="168">
        <f t="shared" si="13"/>
        <v>-7699.75</v>
      </c>
      <c r="H154" s="166">
        <f t="shared" si="17"/>
        <v>-48433.776942200144</v>
      </c>
      <c r="I154" s="162">
        <f t="shared" si="14"/>
        <v>-2095114.782581598</v>
      </c>
      <c r="J154" s="151"/>
      <c r="K154" s="151"/>
      <c r="L154" s="152"/>
    </row>
    <row r="155" spans="1:12" hidden="1" x14ac:dyDescent="0.25">
      <c r="A155" s="153">
        <f t="shared" si="16"/>
        <v>148</v>
      </c>
      <c r="B155" s="184">
        <v>43221</v>
      </c>
      <c r="C155" s="214"/>
      <c r="D155" s="161">
        <v>403353.94409119978</v>
      </c>
      <c r="E155" s="224"/>
      <c r="F155" s="170">
        <v>4.4699999999999997E-2</v>
      </c>
      <c r="G155" s="168">
        <f t="shared" si="13"/>
        <v>-7053.06</v>
      </c>
      <c r="H155" s="166">
        <f t="shared" si="17"/>
        <v>396300.88409119978</v>
      </c>
      <c r="I155" s="162">
        <f t="shared" si="14"/>
        <v>-1698813.8984903982</v>
      </c>
      <c r="J155" s="151"/>
      <c r="K155" s="151"/>
      <c r="L155" s="152"/>
    </row>
    <row r="156" spans="1:12" hidden="1" x14ac:dyDescent="0.25">
      <c r="A156" s="153">
        <f t="shared" si="16"/>
        <v>149</v>
      </c>
      <c r="B156" s="184">
        <v>43252</v>
      </c>
      <c r="C156" s="214"/>
      <c r="D156" s="161">
        <v>324736.39855339978</v>
      </c>
      <c r="E156" s="224"/>
      <c r="F156" s="170">
        <v>4.4699999999999997E-2</v>
      </c>
      <c r="G156" s="168">
        <f t="shared" si="13"/>
        <v>-5723.26</v>
      </c>
      <c r="H156" s="166">
        <f t="shared" si="17"/>
        <v>319013.13855339977</v>
      </c>
      <c r="I156" s="162">
        <f t="shared" si="14"/>
        <v>-1379800.7599369984</v>
      </c>
      <c r="J156" s="151"/>
      <c r="K156" s="151"/>
      <c r="L156" s="152"/>
    </row>
    <row r="157" spans="1:12" hidden="1" x14ac:dyDescent="0.25">
      <c r="A157" s="153">
        <f t="shared" si="16"/>
        <v>150</v>
      </c>
      <c r="B157" s="184">
        <v>43282</v>
      </c>
      <c r="C157" s="176">
        <v>2</v>
      </c>
      <c r="D157" s="161">
        <v>416261.51387539983</v>
      </c>
      <c r="E157" s="224">
        <v>-0.43</v>
      </c>
      <c r="F157" s="170">
        <v>4.6899999999999997E-2</v>
      </c>
      <c r="G157" s="168">
        <f t="shared" si="13"/>
        <v>-4579.28</v>
      </c>
      <c r="H157" s="166">
        <f t="shared" si="17"/>
        <v>411681.80387539981</v>
      </c>
      <c r="I157" s="162">
        <f t="shared" si="14"/>
        <v>-968118.95606159861</v>
      </c>
      <c r="J157" s="151"/>
      <c r="K157" s="151"/>
      <c r="L157" s="152"/>
    </row>
    <row r="158" spans="1:12" hidden="1" x14ac:dyDescent="0.25">
      <c r="A158" s="153">
        <f t="shared" si="16"/>
        <v>151</v>
      </c>
      <c r="B158" s="184">
        <v>43313</v>
      </c>
      <c r="C158" s="214"/>
      <c r="D158" s="161">
        <v>452595.47167719976</v>
      </c>
      <c r="E158" s="224"/>
      <c r="F158" s="170">
        <v>4.6899999999999997E-2</v>
      </c>
      <c r="G158" s="168">
        <f t="shared" si="13"/>
        <v>-2899.28</v>
      </c>
      <c r="H158" s="166">
        <f t="shared" si="17"/>
        <v>449696.19167719973</v>
      </c>
      <c r="I158" s="162">
        <f t="shared" si="14"/>
        <v>-518422.76438439888</v>
      </c>
      <c r="J158" s="151"/>
      <c r="K158" s="151"/>
      <c r="L158" s="152"/>
    </row>
    <row r="159" spans="1:12" hidden="1" x14ac:dyDescent="0.25">
      <c r="A159" s="153">
        <f t="shared" si="16"/>
        <v>152</v>
      </c>
      <c r="B159" s="184">
        <v>43344</v>
      </c>
      <c r="C159" s="214"/>
      <c r="D159" s="161">
        <v>356736.70818279992</v>
      </c>
      <c r="E159" s="224"/>
      <c r="F159" s="170">
        <v>4.6899999999999997E-2</v>
      </c>
      <c r="G159" s="168">
        <f t="shared" si="13"/>
        <v>-1329.05</v>
      </c>
      <c r="H159" s="166">
        <f t="shared" si="17"/>
        <v>355407.65818279993</v>
      </c>
      <c r="I159" s="162">
        <f t="shared" si="14"/>
        <v>-163015.10620159894</v>
      </c>
      <c r="J159" s="151"/>
      <c r="K159" s="151"/>
      <c r="L159" s="152"/>
    </row>
    <row r="160" spans="1:12" hidden="1" x14ac:dyDescent="0.25">
      <c r="A160" s="153">
        <f t="shared" si="16"/>
        <v>153</v>
      </c>
      <c r="B160" s="184">
        <v>43374</v>
      </c>
      <c r="C160" s="214"/>
      <c r="D160" s="161">
        <v>152859.06498679996</v>
      </c>
      <c r="E160" s="224"/>
      <c r="F160" s="185">
        <v>4.9599999999999998E-2</v>
      </c>
      <c r="G160" s="168">
        <f t="shared" si="13"/>
        <v>-357.89</v>
      </c>
      <c r="H160" s="166">
        <f t="shared" si="17"/>
        <v>152501.17498679995</v>
      </c>
      <c r="I160" s="162">
        <f t="shared" si="14"/>
        <v>-10513.931214798999</v>
      </c>
      <c r="J160" s="151"/>
      <c r="K160" s="151"/>
      <c r="L160" s="152"/>
    </row>
    <row r="161" spans="1:12" x14ac:dyDescent="0.25">
      <c r="A161" s="153">
        <f t="shared" si="16"/>
        <v>154</v>
      </c>
      <c r="B161" s="184">
        <v>43405</v>
      </c>
      <c r="C161" s="230">
        <v>1</v>
      </c>
      <c r="D161" s="151">
        <v>-223556.96882780024</v>
      </c>
      <c r="E161" s="224">
        <v>522600.12438439886</v>
      </c>
      <c r="F161" s="185">
        <v>4.9599999999999998E-2</v>
      </c>
      <c r="G161" s="168">
        <v>1654.61</v>
      </c>
      <c r="H161" s="166">
        <v>300697.76555659861</v>
      </c>
      <c r="I161" s="162">
        <v>290183.83434179961</v>
      </c>
      <c r="J161" s="151"/>
      <c r="K161" s="151"/>
      <c r="L161" s="152"/>
    </row>
    <row r="162" spans="1:12" x14ac:dyDescent="0.25">
      <c r="A162" s="153">
        <f t="shared" si="16"/>
        <v>155</v>
      </c>
      <c r="B162" s="184">
        <v>43435</v>
      </c>
      <c r="C162" s="214"/>
      <c r="D162" s="151">
        <v>-535335.16507560003</v>
      </c>
      <c r="E162" s="224"/>
      <c r="F162" s="185">
        <v>4.9599999999999998E-2</v>
      </c>
      <c r="G162" s="168">
        <v>93.07</v>
      </c>
      <c r="H162" s="166">
        <v>-535242.09507560008</v>
      </c>
      <c r="I162" s="162">
        <v>-245058.26073380047</v>
      </c>
      <c r="J162" s="151"/>
      <c r="K162" s="151"/>
      <c r="L162" s="152"/>
    </row>
    <row r="163" spans="1:12" x14ac:dyDescent="0.25">
      <c r="A163" s="153">
        <f t="shared" si="16"/>
        <v>156</v>
      </c>
      <c r="B163" s="184">
        <v>43466</v>
      </c>
      <c r="C163" s="214"/>
      <c r="D163" s="151">
        <v>-573096.42147960002</v>
      </c>
      <c r="E163" s="224"/>
      <c r="F163" s="185">
        <v>5.1799999999999999E-2</v>
      </c>
      <c r="G163" s="168">
        <v>-2294.77</v>
      </c>
      <c r="H163" s="166">
        <v>-575391.19147960003</v>
      </c>
      <c r="I163" s="162">
        <v>-820449.45221340051</v>
      </c>
      <c r="J163" s="151"/>
      <c r="K163" s="151"/>
      <c r="L163" s="152"/>
    </row>
    <row r="164" spans="1:12" x14ac:dyDescent="0.25">
      <c r="A164" s="153">
        <f t="shared" si="16"/>
        <v>157</v>
      </c>
      <c r="B164" s="184">
        <v>43497</v>
      </c>
      <c r="C164" s="214"/>
      <c r="D164" s="151">
        <v>-755010.22093659989</v>
      </c>
      <c r="E164" s="224"/>
      <c r="F164" s="185">
        <v>5.1799999999999999E-2</v>
      </c>
      <c r="G164" s="168">
        <v>-5171.17</v>
      </c>
      <c r="H164" s="166">
        <v>-760181.39093659993</v>
      </c>
      <c r="I164" s="162">
        <v>-1580630.8431500006</v>
      </c>
      <c r="J164" s="151"/>
      <c r="K164" s="151"/>
      <c r="L164" s="152"/>
    </row>
    <row r="165" spans="1:12" x14ac:dyDescent="0.25">
      <c r="A165" s="153">
        <f t="shared" si="16"/>
        <v>158</v>
      </c>
      <c r="B165" s="184">
        <v>43525</v>
      </c>
      <c r="C165" s="214"/>
      <c r="D165" s="151">
        <v>-332337.90978580015</v>
      </c>
      <c r="E165" s="224"/>
      <c r="F165" s="185">
        <v>5.1799999999999999E-2</v>
      </c>
      <c r="G165" s="168">
        <v>-7540.35</v>
      </c>
      <c r="H165" s="166">
        <v>-339878.25978580012</v>
      </c>
      <c r="I165" s="162">
        <v>-1920509.1029358008</v>
      </c>
      <c r="J165" s="151"/>
      <c r="K165" s="151"/>
      <c r="L165" s="152"/>
    </row>
    <row r="166" spans="1:12" x14ac:dyDescent="0.25">
      <c r="A166" s="153">
        <f t="shared" si="16"/>
        <v>159</v>
      </c>
      <c r="B166" s="184">
        <v>43556</v>
      </c>
      <c r="C166" s="214"/>
      <c r="D166" s="151">
        <v>108325.53863700002</v>
      </c>
      <c r="E166" s="224"/>
      <c r="F166" s="185">
        <v>5.45E-2</v>
      </c>
      <c r="G166" s="168">
        <v>-8476.32</v>
      </c>
      <c r="H166" s="166">
        <v>99849.218637000013</v>
      </c>
      <c r="I166" s="162">
        <v>-1820659.8842988007</v>
      </c>
      <c r="J166" s="151"/>
      <c r="K166" s="151"/>
      <c r="L166" s="152"/>
    </row>
    <row r="167" spans="1:12" x14ac:dyDescent="0.25">
      <c r="A167" s="153">
        <f t="shared" si="16"/>
        <v>160</v>
      </c>
      <c r="B167" s="184">
        <v>43586</v>
      </c>
      <c r="C167" s="214"/>
      <c r="D167" s="151">
        <v>329950.17040079978</v>
      </c>
      <c r="E167" s="224"/>
      <c r="F167" s="185">
        <v>5.45E-2</v>
      </c>
      <c r="G167" s="168">
        <v>-7519.57</v>
      </c>
      <c r="H167" s="166">
        <v>322430.60040079977</v>
      </c>
      <c r="I167" s="162">
        <v>-1498229.2838980011</v>
      </c>
      <c r="J167" s="151"/>
      <c r="K167" s="151"/>
      <c r="L167" s="152"/>
    </row>
    <row r="168" spans="1:12" x14ac:dyDescent="0.25">
      <c r="A168" s="153">
        <f t="shared" si="16"/>
        <v>161</v>
      </c>
      <c r="B168" s="184">
        <v>43617</v>
      </c>
      <c r="C168" s="214"/>
      <c r="D168" s="151">
        <v>393903.7481995998</v>
      </c>
      <c r="E168" s="224"/>
      <c r="F168" s="185">
        <v>5.45E-2</v>
      </c>
      <c r="G168" s="168">
        <v>-5909.97</v>
      </c>
      <c r="H168" s="166">
        <v>387993.77819959982</v>
      </c>
      <c r="I168" s="162">
        <v>-1110235.5056984012</v>
      </c>
      <c r="J168" s="151"/>
      <c r="K168" s="151"/>
      <c r="L168" s="152"/>
    </row>
    <row r="169" spans="1:12" x14ac:dyDescent="0.25">
      <c r="A169" s="153">
        <f t="shared" si="16"/>
        <v>162</v>
      </c>
      <c r="B169" s="184">
        <v>43647</v>
      </c>
      <c r="C169" s="214"/>
      <c r="D169" s="151">
        <v>463678.39685299981</v>
      </c>
      <c r="E169" s="224"/>
      <c r="F169" s="185">
        <v>5.5E-2</v>
      </c>
      <c r="G169" s="168">
        <v>-4025.98</v>
      </c>
      <c r="H169" s="166">
        <v>459652.41685299983</v>
      </c>
      <c r="I169" s="162">
        <v>-650583.08884540142</v>
      </c>
      <c r="J169" s="151"/>
      <c r="K169" s="151"/>
      <c r="L169" s="152"/>
    </row>
    <row r="170" spans="1:12" x14ac:dyDescent="0.25">
      <c r="A170" s="153">
        <f t="shared" si="16"/>
        <v>163</v>
      </c>
      <c r="B170" s="184">
        <v>43678</v>
      </c>
      <c r="C170" s="214"/>
      <c r="D170" s="151">
        <v>443569.73218080006</v>
      </c>
      <c r="E170" s="224"/>
      <c r="F170" s="185">
        <v>5.5E-2</v>
      </c>
      <c r="G170" s="168">
        <v>-1965.33</v>
      </c>
      <c r="H170" s="166">
        <v>441604.40218080004</v>
      </c>
      <c r="I170" s="162">
        <v>-208978.68666460138</v>
      </c>
      <c r="J170" s="151"/>
      <c r="K170" s="151"/>
      <c r="L170" s="152"/>
    </row>
    <row r="171" spans="1:12" x14ac:dyDescent="0.25">
      <c r="A171" s="153">
        <f t="shared" si="16"/>
        <v>164</v>
      </c>
      <c r="B171" s="184">
        <v>43709</v>
      </c>
      <c r="C171" s="214"/>
      <c r="D171" s="151"/>
      <c r="E171" s="224"/>
      <c r="F171" s="185">
        <v>5.5E-2</v>
      </c>
      <c r="G171" s="168">
        <v>-957.82</v>
      </c>
      <c r="H171" s="166">
        <v>-957.82</v>
      </c>
      <c r="I171" s="162">
        <v>-209936.50666460139</v>
      </c>
      <c r="J171" s="151"/>
      <c r="K171" s="151"/>
      <c r="L171" s="152"/>
    </row>
    <row r="172" spans="1:12" x14ac:dyDescent="0.25">
      <c r="A172" s="153">
        <f t="shared" si="16"/>
        <v>165</v>
      </c>
      <c r="B172" s="184">
        <v>43739</v>
      </c>
      <c r="C172" s="214"/>
      <c r="D172" s="151"/>
      <c r="E172" s="224"/>
      <c r="F172" s="186">
        <v>5.4199999999999998E-2</v>
      </c>
      <c r="G172" s="168">
        <v>-948.21</v>
      </c>
      <c r="H172" s="166">
        <v>-948.21</v>
      </c>
      <c r="I172" s="162">
        <v>-210884.71666460138</v>
      </c>
      <c r="J172" s="151"/>
      <c r="K172" s="151"/>
      <c r="L172" s="152"/>
    </row>
    <row r="173" spans="1:12" x14ac:dyDescent="0.25">
      <c r="A173" s="153">
        <f t="shared" si="16"/>
        <v>166</v>
      </c>
      <c r="B173" s="173"/>
      <c r="D173" s="161"/>
      <c r="E173" s="224"/>
      <c r="F173" s="187"/>
      <c r="G173" s="168"/>
      <c r="H173" s="166"/>
      <c r="I173" s="162"/>
      <c r="J173" s="151"/>
      <c r="K173" s="151"/>
      <c r="L173" s="152"/>
    </row>
    <row r="174" spans="1:12" x14ac:dyDescent="0.25">
      <c r="A174" s="153">
        <f t="shared" si="16"/>
        <v>167</v>
      </c>
      <c r="B174" s="188" t="s">
        <v>157</v>
      </c>
      <c r="D174" s="161"/>
      <c r="E174" s="224"/>
      <c r="F174" s="224"/>
      <c r="G174" s="168"/>
      <c r="H174" s="166"/>
      <c r="I174" s="162"/>
      <c r="J174" s="151"/>
      <c r="K174" s="151"/>
      <c r="L174" s="227"/>
    </row>
    <row r="175" spans="1:12" x14ac:dyDescent="0.25">
      <c r="A175" s="153">
        <f t="shared" si="16"/>
        <v>168</v>
      </c>
      <c r="B175" s="189"/>
      <c r="D175" s="161"/>
      <c r="E175" s="224"/>
      <c r="F175" s="224"/>
      <c r="G175" s="168"/>
      <c r="H175" s="168"/>
      <c r="I175" s="166"/>
      <c r="J175" s="162">
        <f>+J174+I175</f>
        <v>0</v>
      </c>
      <c r="K175" s="151"/>
      <c r="L175" s="152"/>
    </row>
    <row r="176" spans="1:12" x14ac:dyDescent="0.25">
      <c r="A176" s="153">
        <f t="shared" si="16"/>
        <v>169</v>
      </c>
      <c r="B176" s="190" t="s">
        <v>131</v>
      </c>
      <c r="E176" s="219"/>
      <c r="F176" s="219"/>
      <c r="G176" s="219"/>
      <c r="H176" s="219"/>
      <c r="I176" s="219"/>
    </row>
    <row r="177" spans="1:9" x14ac:dyDescent="0.25">
      <c r="A177" s="153">
        <f t="shared" si="16"/>
        <v>170</v>
      </c>
      <c r="B177" s="159" t="s">
        <v>172</v>
      </c>
      <c r="E177" s="219"/>
      <c r="F177" s="219"/>
      <c r="G177" s="219"/>
      <c r="H177" s="219"/>
      <c r="I177" s="219"/>
    </row>
    <row r="178" spans="1:9" x14ac:dyDescent="0.25">
      <c r="A178" s="153">
        <f t="shared" si="16"/>
        <v>171</v>
      </c>
      <c r="B178" s="221" t="s">
        <v>173</v>
      </c>
      <c r="E178" s="219"/>
      <c r="F178" s="219"/>
      <c r="G178" s="219"/>
      <c r="H178" s="219"/>
      <c r="I178" s="219"/>
    </row>
    <row r="179" spans="1:9" x14ac:dyDescent="0.25">
      <c r="B179" s="159"/>
      <c r="C179" s="220"/>
      <c r="E179" s="219"/>
      <c r="F179" s="219"/>
      <c r="G179" s="219"/>
      <c r="H179" s="219"/>
      <c r="I179" s="219"/>
    </row>
    <row r="180" spans="1:9" x14ac:dyDescent="0.25">
      <c r="C180" s="220"/>
      <c r="E180" s="219"/>
      <c r="F180" s="219"/>
      <c r="G180" s="219"/>
      <c r="H180" s="219"/>
      <c r="I180" s="219"/>
    </row>
    <row r="181" spans="1:9" x14ac:dyDescent="0.25">
      <c r="E181" s="219"/>
      <c r="F181" s="219"/>
      <c r="G181" s="219"/>
      <c r="H181" s="219"/>
      <c r="I181" s="219"/>
    </row>
  </sheetData>
  <pageMargins left="0.7" right="0.7" top="0.75" bottom="0.75" header="0.3" footer="0.3"/>
  <pageSetup scale="66" orientation="landscape" horizontalDpi="300" verticalDpi="300" r:id="rId1"/>
  <headerFooter>
    <oddHeader>&amp;RNWN's Advice 19-06A
Exhibit A - Supporting Materials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0"/>
  <sheetViews>
    <sheetView showGridLines="0" view="pageLayout" zoomScaleNormal="100" workbookViewId="0">
      <selection activeCell="M10" sqref="M10"/>
    </sheetView>
  </sheetViews>
  <sheetFormatPr defaultColWidth="7.88671875" defaultRowHeight="13.2" x14ac:dyDescent="0.25"/>
  <cols>
    <col min="1" max="1" width="4" style="146" customWidth="1"/>
    <col min="2" max="2" width="13.44140625" style="147" customWidth="1"/>
    <col min="3" max="3" width="12.6640625" style="147" customWidth="1"/>
    <col min="4" max="4" width="13.44140625" style="148" customWidth="1"/>
    <col min="5" max="5" width="14.6640625" style="148" customWidth="1"/>
    <col min="6" max="7" width="13.44140625" style="148" customWidth="1"/>
    <col min="8" max="8" width="14.33203125" style="148" customWidth="1"/>
    <col min="9" max="9" width="18.6640625" style="148" customWidth="1"/>
    <col min="10" max="20" width="13.44140625" style="147" customWidth="1"/>
    <col min="21" max="16384" width="7.88671875" style="147"/>
  </cols>
  <sheetData>
    <row r="1" spans="1:11" x14ac:dyDescent="0.25">
      <c r="B1" s="147" t="s">
        <v>133</v>
      </c>
      <c r="D1" s="148" t="s">
        <v>134</v>
      </c>
    </row>
    <row r="2" spans="1:11" x14ac:dyDescent="0.25">
      <c r="B2" s="147" t="s">
        <v>135</v>
      </c>
      <c r="D2" s="148" t="s">
        <v>68</v>
      </c>
    </row>
    <row r="3" spans="1:11" x14ac:dyDescent="0.25">
      <c r="B3" s="147" t="s">
        <v>136</v>
      </c>
      <c r="D3" s="149" t="s">
        <v>174</v>
      </c>
    </row>
    <row r="4" spans="1:11" x14ac:dyDescent="0.25">
      <c r="B4" s="147" t="s">
        <v>138</v>
      </c>
      <c r="D4" s="231">
        <v>191431</v>
      </c>
    </row>
    <row r="5" spans="1:11" x14ac:dyDescent="0.25">
      <c r="D5" s="152" t="s">
        <v>139</v>
      </c>
      <c r="E5" s="151"/>
      <c r="F5" s="151"/>
      <c r="G5" s="151"/>
      <c r="H5" s="151"/>
      <c r="I5" s="151"/>
      <c r="J5" s="152"/>
      <c r="K5" s="152"/>
    </row>
    <row r="6" spans="1:11" x14ac:dyDescent="0.25">
      <c r="D6" s="152" t="s">
        <v>140</v>
      </c>
      <c r="E6" s="151"/>
      <c r="F6" s="151"/>
      <c r="G6" s="151"/>
      <c r="H6" s="151"/>
      <c r="I6" s="151"/>
      <c r="J6" s="152"/>
      <c r="K6" s="152"/>
    </row>
    <row r="7" spans="1:11" x14ac:dyDescent="0.25">
      <c r="D7" s="151"/>
      <c r="E7" s="151"/>
      <c r="F7" s="151"/>
      <c r="G7" s="151"/>
      <c r="H7" s="151"/>
      <c r="I7" s="151"/>
      <c r="J7" s="152"/>
      <c r="K7" s="152"/>
    </row>
    <row r="8" spans="1:11" x14ac:dyDescent="0.25">
      <c r="A8" s="153">
        <v>1</v>
      </c>
      <c r="B8" s="147" t="s">
        <v>141</v>
      </c>
      <c r="D8" s="151"/>
      <c r="E8" s="151"/>
      <c r="F8" s="151"/>
      <c r="G8" s="154"/>
      <c r="H8" s="151"/>
      <c r="I8" s="151"/>
      <c r="J8" s="152"/>
      <c r="K8" s="152"/>
    </row>
    <row r="9" spans="1:11" x14ac:dyDescent="0.25">
      <c r="A9" s="153">
        <f t="shared" ref="A9:A72" si="0">+A8+1</f>
        <v>2</v>
      </c>
      <c r="D9" s="151"/>
      <c r="E9" s="151"/>
      <c r="F9" s="151"/>
      <c r="G9" s="154"/>
      <c r="H9" s="151"/>
      <c r="I9" s="151"/>
      <c r="J9" s="152"/>
      <c r="K9" s="152"/>
    </row>
    <row r="10" spans="1:11" x14ac:dyDescent="0.25">
      <c r="A10" s="153">
        <f t="shared" si="0"/>
        <v>3</v>
      </c>
      <c r="B10" s="155"/>
      <c r="C10" s="155"/>
      <c r="D10" s="154"/>
      <c r="E10" s="154"/>
      <c r="F10" s="154"/>
      <c r="G10" s="154"/>
      <c r="H10" s="154"/>
      <c r="I10" s="154"/>
      <c r="J10" s="152"/>
      <c r="K10" s="152"/>
    </row>
    <row r="11" spans="1:11" x14ac:dyDescent="0.25">
      <c r="A11" s="153">
        <f t="shared" si="0"/>
        <v>4</v>
      </c>
      <c r="B11" s="156" t="s">
        <v>142</v>
      </c>
      <c r="C11" s="156" t="s">
        <v>143</v>
      </c>
      <c r="D11" s="157" t="s">
        <v>118</v>
      </c>
      <c r="E11" s="157" t="s">
        <v>145</v>
      </c>
      <c r="F11" s="157" t="s">
        <v>146</v>
      </c>
      <c r="G11" s="157" t="s">
        <v>108</v>
      </c>
      <c r="H11" s="157" t="s">
        <v>117</v>
      </c>
      <c r="I11" s="157" t="s">
        <v>111</v>
      </c>
      <c r="J11" s="152"/>
      <c r="K11" s="152"/>
    </row>
    <row r="12" spans="1:11" x14ac:dyDescent="0.25">
      <c r="A12" s="153">
        <f t="shared" si="0"/>
        <v>5</v>
      </c>
      <c r="B12" s="155" t="s">
        <v>147</v>
      </c>
      <c r="C12" s="155" t="s">
        <v>148</v>
      </c>
      <c r="D12" s="154" t="s">
        <v>149</v>
      </c>
      <c r="E12" s="154" t="s">
        <v>150</v>
      </c>
      <c r="F12" s="154" t="s">
        <v>175</v>
      </c>
      <c r="G12" s="154" t="s">
        <v>153</v>
      </c>
      <c r="H12" s="154" t="s">
        <v>154</v>
      </c>
      <c r="I12" s="154" t="s">
        <v>176</v>
      </c>
      <c r="J12" s="194"/>
      <c r="K12" s="152"/>
    </row>
    <row r="13" spans="1:11" x14ac:dyDescent="0.25">
      <c r="A13" s="153">
        <f t="shared" si="0"/>
        <v>6</v>
      </c>
      <c r="D13" s="151"/>
      <c r="E13" s="151"/>
      <c r="F13" s="151"/>
      <c r="G13" s="154"/>
      <c r="H13" s="151"/>
      <c r="I13" s="151"/>
      <c r="J13" s="152"/>
      <c r="K13" s="152"/>
    </row>
    <row r="14" spans="1:11" hidden="1" x14ac:dyDescent="0.25">
      <c r="A14" s="153">
        <f t="shared" si="0"/>
        <v>7</v>
      </c>
      <c r="B14" s="159" t="s">
        <v>155</v>
      </c>
      <c r="D14" s="151"/>
      <c r="E14" s="151"/>
      <c r="F14" s="151"/>
      <c r="G14" s="151"/>
      <c r="H14" s="151"/>
      <c r="I14" s="151"/>
      <c r="J14" s="152"/>
      <c r="K14" s="152"/>
    </row>
    <row r="15" spans="1:11" hidden="1" x14ac:dyDescent="0.25">
      <c r="A15" s="153">
        <f t="shared" si="0"/>
        <v>8</v>
      </c>
      <c r="B15" s="160">
        <v>39021</v>
      </c>
      <c r="D15" s="161"/>
      <c r="E15" s="151"/>
      <c r="F15" s="151"/>
      <c r="G15" s="162"/>
      <c r="H15" s="151"/>
      <c r="I15" s="161">
        <v>-462588.19</v>
      </c>
      <c r="J15" s="152"/>
      <c r="K15" s="152"/>
    </row>
    <row r="16" spans="1:11" hidden="1" x14ac:dyDescent="0.25">
      <c r="A16" s="153">
        <f t="shared" si="0"/>
        <v>9</v>
      </c>
      <c r="B16" s="160">
        <f>+B15+30</f>
        <v>39051</v>
      </c>
      <c r="D16" s="161">
        <f>12716.63+44380.4</f>
        <v>57097.03</v>
      </c>
      <c r="E16" s="151">
        <f>-'[2]191430 Defer Demand'!E16-'[2]191432'!E16</f>
        <v>-73630.66</v>
      </c>
      <c r="F16" s="151"/>
      <c r="G16" s="163">
        <f>-2942.68-3252.44</f>
        <v>-6195.12</v>
      </c>
      <c r="H16" s="151">
        <f t="shared" ref="H16:H47" si="1">SUM(D16:G16)</f>
        <v>-22728.750000000004</v>
      </c>
      <c r="I16" s="162">
        <f t="shared" ref="I16:I79" si="2">+I15+H16</f>
        <v>-485316.94</v>
      </c>
      <c r="J16" s="152"/>
      <c r="K16" s="152"/>
    </row>
    <row r="17" spans="1:11" hidden="1" x14ac:dyDescent="0.25">
      <c r="A17" s="153">
        <f t="shared" si="0"/>
        <v>10</v>
      </c>
      <c r="B17" s="160">
        <f>+B16+31</f>
        <v>39082</v>
      </c>
      <c r="D17" s="161">
        <v>126678.92</v>
      </c>
      <c r="E17" s="151"/>
      <c r="F17" s="151"/>
      <c r="G17" s="163">
        <v>-2721.75</v>
      </c>
      <c r="H17" s="151">
        <f t="shared" si="1"/>
        <v>123957.17</v>
      </c>
      <c r="I17" s="162">
        <f t="shared" si="2"/>
        <v>-361359.77</v>
      </c>
      <c r="J17" s="152"/>
      <c r="K17" s="152"/>
    </row>
    <row r="18" spans="1:11" hidden="1" x14ac:dyDescent="0.25">
      <c r="A18" s="153">
        <f t="shared" si="0"/>
        <v>11</v>
      </c>
      <c r="B18" s="160">
        <f>+B17+31</f>
        <v>39113</v>
      </c>
      <c r="D18" s="161">
        <v>166860.57</v>
      </c>
      <c r="E18" s="151"/>
      <c r="F18" s="151"/>
      <c r="G18" s="163">
        <v>-1792.65</v>
      </c>
      <c r="H18" s="151">
        <f t="shared" si="1"/>
        <v>165067.92000000001</v>
      </c>
      <c r="I18" s="162">
        <f t="shared" si="2"/>
        <v>-196291.85</v>
      </c>
      <c r="J18" s="152"/>
      <c r="K18" s="152"/>
    </row>
    <row r="19" spans="1:11" hidden="1" x14ac:dyDescent="0.25">
      <c r="A19" s="153">
        <f t="shared" si="0"/>
        <v>12</v>
      </c>
      <c r="B19" s="160">
        <f>+B18+28</f>
        <v>39141</v>
      </c>
      <c r="D19" s="161">
        <v>149593.87</v>
      </c>
      <c r="E19" s="151"/>
      <c r="F19" s="151"/>
      <c r="G19" s="163">
        <v>-827.18</v>
      </c>
      <c r="H19" s="151">
        <f t="shared" si="1"/>
        <v>148766.69</v>
      </c>
      <c r="I19" s="162">
        <f t="shared" si="2"/>
        <v>-47525.16</v>
      </c>
      <c r="J19" s="152"/>
      <c r="K19" s="152"/>
    </row>
    <row r="20" spans="1:11" hidden="1" x14ac:dyDescent="0.25">
      <c r="A20" s="153">
        <f t="shared" si="0"/>
        <v>13</v>
      </c>
      <c r="B20" s="160">
        <f>+B19+31</f>
        <v>39172</v>
      </c>
      <c r="D20" s="161">
        <v>109334.88</v>
      </c>
      <c r="E20" s="151">
        <f>-'[2]254302 Storage Sharing'!E20</f>
        <v>-826323.97</v>
      </c>
      <c r="F20" s="151"/>
      <c r="G20" s="163">
        <v>-5577.26</v>
      </c>
      <c r="H20" s="151">
        <f t="shared" si="1"/>
        <v>-722566.35</v>
      </c>
      <c r="I20" s="162">
        <f t="shared" si="2"/>
        <v>-770091.51</v>
      </c>
      <c r="J20" s="152"/>
      <c r="K20" s="152"/>
    </row>
    <row r="21" spans="1:11" hidden="1" x14ac:dyDescent="0.25">
      <c r="A21" s="153">
        <f t="shared" si="0"/>
        <v>14</v>
      </c>
      <c r="B21" s="160">
        <f>+B20+30</f>
        <v>39202</v>
      </c>
      <c r="D21" s="161">
        <v>77021.66</v>
      </c>
      <c r="E21" s="151"/>
      <c r="F21" s="151"/>
      <c r="G21" s="163">
        <v>-4980.8500000000004</v>
      </c>
      <c r="H21" s="151">
        <f t="shared" si="1"/>
        <v>72040.81</v>
      </c>
      <c r="I21" s="162">
        <f t="shared" si="2"/>
        <v>-698050.7</v>
      </c>
      <c r="J21" s="152"/>
      <c r="K21" s="152"/>
    </row>
    <row r="22" spans="1:11" hidden="1" x14ac:dyDescent="0.25">
      <c r="A22" s="153">
        <f t="shared" si="0"/>
        <v>15</v>
      </c>
      <c r="B22" s="160">
        <f>+B21+31</f>
        <v>39233</v>
      </c>
      <c r="D22" s="161">
        <v>58816.21</v>
      </c>
      <c r="E22" s="151"/>
      <c r="F22" s="151"/>
      <c r="G22" s="163">
        <v>-4552.34</v>
      </c>
      <c r="H22" s="151">
        <f t="shared" si="1"/>
        <v>54263.869999999995</v>
      </c>
      <c r="I22" s="162">
        <f t="shared" si="2"/>
        <v>-643786.82999999996</v>
      </c>
      <c r="J22" s="152"/>
      <c r="K22" s="152"/>
    </row>
    <row r="23" spans="1:11" hidden="1" x14ac:dyDescent="0.25">
      <c r="A23" s="153">
        <f t="shared" si="0"/>
        <v>16</v>
      </c>
      <c r="B23" s="160">
        <f>+B22+30</f>
        <v>39263</v>
      </c>
      <c r="D23" s="161">
        <v>39825.46</v>
      </c>
      <c r="E23" s="151"/>
      <c r="F23" s="151"/>
      <c r="G23" s="163">
        <v>-4382.4799999999996</v>
      </c>
      <c r="H23" s="151">
        <f t="shared" si="1"/>
        <v>35442.979999999996</v>
      </c>
      <c r="I23" s="162">
        <f t="shared" si="2"/>
        <v>-608343.85</v>
      </c>
      <c r="J23" s="229"/>
      <c r="K23" s="152"/>
    </row>
    <row r="24" spans="1:11" hidden="1" x14ac:dyDescent="0.25">
      <c r="A24" s="153">
        <f t="shared" si="0"/>
        <v>17</v>
      </c>
      <c r="B24" s="160">
        <f>+B23+31</f>
        <v>39294</v>
      </c>
      <c r="C24" s="164"/>
      <c r="D24" s="161">
        <v>32365.08</v>
      </c>
      <c r="E24" s="151"/>
      <c r="F24" s="151"/>
      <c r="G24" s="162">
        <f>ROUND((+I23+E24+(D24/2))*0.0825/12,2)</f>
        <v>-4071.11</v>
      </c>
      <c r="H24" s="151">
        <f t="shared" si="1"/>
        <v>28293.97</v>
      </c>
      <c r="I24" s="162">
        <f t="shared" si="2"/>
        <v>-580049.88</v>
      </c>
      <c r="J24" s="229"/>
      <c r="K24" s="152"/>
    </row>
    <row r="25" spans="1:11" hidden="1" x14ac:dyDescent="0.25">
      <c r="A25" s="153">
        <f t="shared" si="0"/>
        <v>18</v>
      </c>
      <c r="B25" s="160">
        <f>+B24+30</f>
        <v>39324</v>
      </c>
      <c r="C25" s="164"/>
      <c r="D25" s="161">
        <v>29625.25</v>
      </c>
      <c r="E25" s="151"/>
      <c r="F25" s="151"/>
      <c r="G25" s="162">
        <f>ROUND((+I24+E25+(D25/2))*0.0825/12,2)</f>
        <v>-3886.01</v>
      </c>
      <c r="H25" s="151">
        <f t="shared" si="1"/>
        <v>25739.239999999998</v>
      </c>
      <c r="I25" s="162">
        <f t="shared" si="2"/>
        <v>-554310.64</v>
      </c>
      <c r="J25" s="152"/>
      <c r="K25" s="152"/>
    </row>
    <row r="26" spans="1:11" hidden="1" x14ac:dyDescent="0.25">
      <c r="A26" s="153">
        <f t="shared" si="0"/>
        <v>19</v>
      </c>
      <c r="B26" s="160">
        <f>+B25+30</f>
        <v>39354</v>
      </c>
      <c r="C26" s="164"/>
      <c r="D26" s="161">
        <v>32436.1</v>
      </c>
      <c r="E26" s="151"/>
      <c r="F26" s="151"/>
      <c r="G26" s="162">
        <f>ROUND((+I25+E26+(D26/2))*0.0825/12,2)</f>
        <v>-3699.39</v>
      </c>
      <c r="H26" s="151">
        <f t="shared" si="1"/>
        <v>28736.71</v>
      </c>
      <c r="I26" s="162">
        <f t="shared" si="2"/>
        <v>-525573.93000000005</v>
      </c>
      <c r="J26" s="152"/>
      <c r="K26" s="152"/>
    </row>
    <row r="27" spans="1:11" hidden="1" x14ac:dyDescent="0.25">
      <c r="A27" s="153">
        <f t="shared" si="0"/>
        <v>20</v>
      </c>
      <c r="B27" s="160">
        <f>+B26+31</f>
        <v>39385</v>
      </c>
      <c r="C27" s="164"/>
      <c r="D27" s="165">
        <v>50256.92</v>
      </c>
      <c r="E27" s="166"/>
      <c r="F27" s="166"/>
      <c r="G27" s="168">
        <f>ROUND((+I26+E27+(D27/2))*0.0825/12,2)</f>
        <v>-3440.56</v>
      </c>
      <c r="H27" s="166">
        <f t="shared" si="1"/>
        <v>46816.36</v>
      </c>
      <c r="I27" s="162">
        <f t="shared" si="2"/>
        <v>-478757.57000000007</v>
      </c>
      <c r="J27" s="152"/>
      <c r="K27" s="152"/>
    </row>
    <row r="28" spans="1:11" hidden="1" x14ac:dyDescent="0.25">
      <c r="A28" s="153">
        <f t="shared" si="0"/>
        <v>21</v>
      </c>
      <c r="B28" s="160">
        <f>+B27+30</f>
        <v>39415</v>
      </c>
      <c r="C28" s="147" t="s">
        <v>160</v>
      </c>
      <c r="D28" s="165">
        <v>41604.15</v>
      </c>
      <c r="E28" s="166">
        <f>-'[2]191430 Defer Demand'!E28-'[2]191432'!E28</f>
        <v>111970.47999999998</v>
      </c>
      <c r="F28" s="166"/>
      <c r="G28" s="168">
        <f>ROUND((+I27+E28+(D28/2))*0.0825/12,2)</f>
        <v>-2378.65</v>
      </c>
      <c r="H28" s="166">
        <f t="shared" si="1"/>
        <v>151195.97999999998</v>
      </c>
      <c r="I28" s="162">
        <f t="shared" si="2"/>
        <v>-327561.59000000008</v>
      </c>
      <c r="J28" s="152"/>
      <c r="K28" s="152"/>
    </row>
    <row r="29" spans="1:11" hidden="1" x14ac:dyDescent="0.25">
      <c r="A29" s="153">
        <f t="shared" si="0"/>
        <v>22</v>
      </c>
      <c r="B29" s="160"/>
      <c r="C29" s="147" t="s">
        <v>161</v>
      </c>
      <c r="D29" s="165">
        <v>96535.53</v>
      </c>
      <c r="E29" s="166"/>
      <c r="F29" s="166"/>
      <c r="G29" s="168">
        <f>ROUND((++(D29/2))*0.0825/12,2)</f>
        <v>331.84</v>
      </c>
      <c r="H29" s="166">
        <f t="shared" si="1"/>
        <v>96867.37</v>
      </c>
      <c r="I29" s="162">
        <f t="shared" si="2"/>
        <v>-230694.22000000009</v>
      </c>
      <c r="J29" s="152"/>
      <c r="K29" s="152"/>
    </row>
    <row r="30" spans="1:11" hidden="1" x14ac:dyDescent="0.25">
      <c r="A30" s="153">
        <f t="shared" si="0"/>
        <v>23</v>
      </c>
      <c r="B30" s="160">
        <f>+B28+31</f>
        <v>39446</v>
      </c>
      <c r="D30" s="161">
        <v>309515.02</v>
      </c>
      <c r="E30" s="151"/>
      <c r="F30" s="151"/>
      <c r="G30" s="168">
        <f>ROUND((+I29+E30+(D30/2))*0.0825/12,2)</f>
        <v>-522.05999999999995</v>
      </c>
      <c r="H30" s="166">
        <f t="shared" si="1"/>
        <v>308992.96000000002</v>
      </c>
      <c r="I30" s="162">
        <f t="shared" si="2"/>
        <v>78298.739999999932</v>
      </c>
      <c r="J30" s="152"/>
      <c r="K30" s="152"/>
    </row>
    <row r="31" spans="1:11" hidden="1" x14ac:dyDescent="0.25">
      <c r="A31" s="153">
        <f t="shared" si="0"/>
        <v>24</v>
      </c>
      <c r="B31" s="160">
        <f>+B30+31</f>
        <v>39477</v>
      </c>
      <c r="D31" s="161">
        <v>376578.37</v>
      </c>
      <c r="E31" s="151"/>
      <c r="F31" s="151"/>
      <c r="G31" s="168">
        <f>ROUND((+I30+E31+(D31/2))*0.0776/12,2)</f>
        <v>1723.94</v>
      </c>
      <c r="H31" s="166">
        <f t="shared" si="1"/>
        <v>378302.31</v>
      </c>
      <c r="I31" s="162">
        <f t="shared" si="2"/>
        <v>456601.04999999993</v>
      </c>
      <c r="J31" s="152"/>
      <c r="K31" s="152"/>
    </row>
    <row r="32" spans="1:11" hidden="1" x14ac:dyDescent="0.25">
      <c r="A32" s="153">
        <f t="shared" si="0"/>
        <v>25</v>
      </c>
      <c r="B32" s="160">
        <f>+B31+29</f>
        <v>39506</v>
      </c>
      <c r="D32" s="161">
        <v>358641.65</v>
      </c>
      <c r="E32" s="151"/>
      <c r="F32" s="151"/>
      <c r="G32" s="168">
        <f>ROUND((+I31+E32+(D32/2))*0.0776/12,2)</f>
        <v>4112.29</v>
      </c>
      <c r="H32" s="166">
        <f t="shared" si="1"/>
        <v>362753.94</v>
      </c>
      <c r="I32" s="162">
        <f t="shared" si="2"/>
        <v>819354.99</v>
      </c>
      <c r="J32" s="152"/>
      <c r="K32" s="152"/>
    </row>
    <row r="33" spans="1:11" hidden="1" x14ac:dyDescent="0.25">
      <c r="A33" s="153">
        <f t="shared" si="0"/>
        <v>26</v>
      </c>
      <c r="B33" s="160">
        <f>+B32+31</f>
        <v>39537</v>
      </c>
      <c r="D33" s="161">
        <v>258896.75</v>
      </c>
      <c r="E33" s="166">
        <f>-'[2]254302 Storage Sharing'!E32</f>
        <v>-1219943.5699999998</v>
      </c>
      <c r="F33" s="166"/>
      <c r="G33" s="167">
        <v>-6012.74</v>
      </c>
      <c r="H33" s="166">
        <f t="shared" si="1"/>
        <v>-967059.55999999982</v>
      </c>
      <c r="I33" s="162">
        <f t="shared" si="2"/>
        <v>-147704.56999999983</v>
      </c>
      <c r="J33" s="152"/>
      <c r="K33" s="152"/>
    </row>
    <row r="34" spans="1:11" hidden="1" x14ac:dyDescent="0.25">
      <c r="A34" s="153">
        <f t="shared" si="0"/>
        <v>27</v>
      </c>
      <c r="B34" s="160">
        <f>+B33+30</f>
        <v>39567</v>
      </c>
      <c r="D34" s="161">
        <v>261330.88</v>
      </c>
      <c r="E34" s="151"/>
      <c r="F34" s="151"/>
      <c r="G34" s="167">
        <v>-161.99</v>
      </c>
      <c r="H34" s="166">
        <f t="shared" si="1"/>
        <v>261168.89</v>
      </c>
      <c r="I34" s="162">
        <f t="shared" si="2"/>
        <v>113464.32000000018</v>
      </c>
      <c r="J34" s="152"/>
      <c r="K34" s="152"/>
    </row>
    <row r="35" spans="1:11" hidden="1" x14ac:dyDescent="0.25">
      <c r="A35" s="153">
        <f t="shared" si="0"/>
        <v>28</v>
      </c>
      <c r="B35" s="160">
        <f>+B34+31</f>
        <v>39598</v>
      </c>
      <c r="D35" s="161">
        <v>174280.63</v>
      </c>
      <c r="E35" s="151"/>
      <c r="F35" s="151"/>
      <c r="G35" s="167">
        <v>1065.8900000000001</v>
      </c>
      <c r="H35" s="166">
        <f t="shared" si="1"/>
        <v>175346.52000000002</v>
      </c>
      <c r="I35" s="162">
        <f t="shared" si="2"/>
        <v>288810.8400000002</v>
      </c>
      <c r="J35" s="152"/>
      <c r="K35" s="152"/>
    </row>
    <row r="36" spans="1:11" hidden="1" x14ac:dyDescent="0.25">
      <c r="A36" s="153">
        <f t="shared" si="0"/>
        <v>29</v>
      </c>
      <c r="B36" s="160">
        <f>+B35+30</f>
        <v>39628</v>
      </c>
      <c r="D36" s="161">
        <v>114030.74</v>
      </c>
      <c r="E36" s="151"/>
      <c r="F36" s="151"/>
      <c r="G36" s="167">
        <v>1885.18</v>
      </c>
      <c r="H36" s="166">
        <f t="shared" si="1"/>
        <v>115915.92</v>
      </c>
      <c r="I36" s="162">
        <f t="shared" si="2"/>
        <v>404726.76000000018</v>
      </c>
      <c r="J36" s="152"/>
      <c r="K36" s="152"/>
    </row>
    <row r="37" spans="1:11" hidden="1" x14ac:dyDescent="0.25">
      <c r="A37" s="153">
        <f t="shared" si="0"/>
        <v>30</v>
      </c>
      <c r="B37" s="160">
        <f>+B36+31</f>
        <v>39659</v>
      </c>
      <c r="D37" s="161">
        <v>83527.44</v>
      </c>
      <c r="E37" s="151"/>
      <c r="F37" s="151"/>
      <c r="G37" s="168">
        <f>ROUND((+I36+E37+(D37/2))*0.053/12,2)</f>
        <v>1972</v>
      </c>
      <c r="H37" s="166">
        <f t="shared" si="1"/>
        <v>85499.44</v>
      </c>
      <c r="I37" s="162">
        <f t="shared" si="2"/>
        <v>490226.20000000019</v>
      </c>
      <c r="J37" s="152"/>
      <c r="K37" s="152"/>
    </row>
    <row r="38" spans="1:11" hidden="1" x14ac:dyDescent="0.25">
      <c r="A38" s="153">
        <f t="shared" si="0"/>
        <v>31</v>
      </c>
      <c r="B38" s="160">
        <f>+B37+30</f>
        <v>39689</v>
      </c>
      <c r="D38" s="161">
        <v>70173.45</v>
      </c>
      <c r="E38" s="151"/>
      <c r="F38" s="151"/>
      <c r="G38" s="168">
        <f>ROUND((+I37+E38+(D38/2))*0.053/12,2)</f>
        <v>2320.13</v>
      </c>
      <c r="H38" s="166">
        <f t="shared" si="1"/>
        <v>72493.58</v>
      </c>
      <c r="I38" s="162">
        <f t="shared" si="2"/>
        <v>562719.78000000014</v>
      </c>
      <c r="J38" s="152"/>
      <c r="K38" s="152"/>
    </row>
    <row r="39" spans="1:11" hidden="1" x14ac:dyDescent="0.25">
      <c r="A39" s="153">
        <f t="shared" si="0"/>
        <v>32</v>
      </c>
      <c r="B39" s="160">
        <f>+B38+30</f>
        <v>39719</v>
      </c>
      <c r="D39" s="161">
        <v>73732.47</v>
      </c>
      <c r="E39" s="151"/>
      <c r="F39" s="151"/>
      <c r="G39" s="168">
        <f>ROUND((+I38+E39+(D39/2))*0.053/12,2)</f>
        <v>2648.17</v>
      </c>
      <c r="H39" s="166">
        <f t="shared" si="1"/>
        <v>76380.639999999999</v>
      </c>
      <c r="I39" s="162">
        <f t="shared" si="2"/>
        <v>639100.42000000016</v>
      </c>
      <c r="J39" s="152"/>
      <c r="K39" s="152"/>
    </row>
    <row r="40" spans="1:11" hidden="1" x14ac:dyDescent="0.25">
      <c r="A40" s="153">
        <f t="shared" si="0"/>
        <v>33</v>
      </c>
      <c r="B40" s="160">
        <f>+B39+31</f>
        <v>39750</v>
      </c>
      <c r="D40" s="165">
        <v>101874.03</v>
      </c>
      <c r="E40" s="166"/>
      <c r="F40" s="166"/>
      <c r="G40" s="168">
        <f>ROUND((+I39+E40+(D40/2))*0.05/12,2)</f>
        <v>2875.16</v>
      </c>
      <c r="H40" s="166">
        <f t="shared" si="1"/>
        <v>104749.19</v>
      </c>
      <c r="I40" s="162">
        <f t="shared" si="2"/>
        <v>743849.6100000001</v>
      </c>
      <c r="J40" s="152"/>
      <c r="K40" s="152"/>
    </row>
    <row r="41" spans="1:11" hidden="1" x14ac:dyDescent="0.25">
      <c r="A41" s="153">
        <f t="shared" si="0"/>
        <v>34</v>
      </c>
      <c r="B41" s="160">
        <f>+B40+30</f>
        <v>39780</v>
      </c>
      <c r="D41" s="161">
        <v>120008.16</v>
      </c>
      <c r="E41" s="166">
        <f>-'[2]191430 Defer Demand'!E40-'[2]191432'!E40</f>
        <v>-698110.63000000035</v>
      </c>
      <c r="F41" s="166"/>
      <c r="G41" s="168">
        <f>ROUND((+I40+E41+(D41/2))*0.05/12,2)</f>
        <v>440.6</v>
      </c>
      <c r="H41" s="166">
        <f t="shared" si="1"/>
        <v>-577661.87000000034</v>
      </c>
      <c r="I41" s="162">
        <f t="shared" si="2"/>
        <v>166187.73999999976</v>
      </c>
      <c r="J41" s="152"/>
      <c r="K41" s="152"/>
    </row>
    <row r="42" spans="1:11" hidden="1" x14ac:dyDescent="0.25">
      <c r="A42" s="153">
        <f t="shared" si="0"/>
        <v>35</v>
      </c>
      <c r="B42" s="160">
        <f>+B41+31</f>
        <v>39811</v>
      </c>
      <c r="D42" s="161">
        <v>119493</v>
      </c>
      <c r="E42" s="232"/>
      <c r="F42" s="232"/>
      <c r="G42" s="168">
        <f>ROUND((+I41+E42+(D42/2))*0.05/12,2)</f>
        <v>941.39</v>
      </c>
      <c r="H42" s="166">
        <f t="shared" si="1"/>
        <v>120434.39</v>
      </c>
      <c r="I42" s="162">
        <f t="shared" si="2"/>
        <v>286622.12999999977</v>
      </c>
      <c r="J42" s="152"/>
      <c r="K42" s="152"/>
    </row>
    <row r="43" spans="1:11" hidden="1" x14ac:dyDescent="0.25">
      <c r="A43" s="153">
        <f t="shared" si="0"/>
        <v>36</v>
      </c>
      <c r="B43" s="160">
        <f>+B42+31</f>
        <v>39842</v>
      </c>
      <c r="D43" s="161">
        <v>169859.49</v>
      </c>
      <c r="E43" s="232">
        <f>-'[2]254302 Storage Sharing'!E42</f>
        <v>-1233337.7</v>
      </c>
      <c r="F43" s="232"/>
      <c r="G43" s="168">
        <f>ROUND((+I42+E43+(D43/2))*0.0452/12,2)</f>
        <v>-3246.06</v>
      </c>
      <c r="H43" s="166">
        <f t="shared" si="1"/>
        <v>-1066724.27</v>
      </c>
      <c r="I43" s="162">
        <f t="shared" si="2"/>
        <v>-780102.14000000025</v>
      </c>
      <c r="J43" s="152"/>
      <c r="K43" s="152"/>
    </row>
    <row r="44" spans="1:11" hidden="1" x14ac:dyDescent="0.25">
      <c r="A44" s="153">
        <f t="shared" si="0"/>
        <v>37</v>
      </c>
      <c r="B44" s="160">
        <f>+B43+28</f>
        <v>39870</v>
      </c>
      <c r="D44" s="161">
        <v>148817.25</v>
      </c>
      <c r="E44" s="152"/>
      <c r="F44" s="152"/>
      <c r="G44" s="168">
        <f>ROUND((+I43+E44+(D44/2))*0.0452/12,2)</f>
        <v>-2658.11</v>
      </c>
      <c r="H44" s="166">
        <f t="shared" si="1"/>
        <v>146159.14000000001</v>
      </c>
      <c r="I44" s="162">
        <f t="shared" si="2"/>
        <v>-633943.00000000023</v>
      </c>
      <c r="J44" s="152"/>
      <c r="K44" s="152"/>
    </row>
    <row r="45" spans="1:11" hidden="1" x14ac:dyDescent="0.25">
      <c r="A45" s="153">
        <f t="shared" si="0"/>
        <v>38</v>
      </c>
      <c r="B45" s="160">
        <f>+B44+31</f>
        <v>39901</v>
      </c>
      <c r="D45" s="161">
        <v>132740.76</v>
      </c>
      <c r="E45" s="151"/>
      <c r="F45" s="151"/>
      <c r="G45" s="168">
        <v>-2102.8000000000002</v>
      </c>
      <c r="H45" s="166">
        <f t="shared" si="1"/>
        <v>130637.96</v>
      </c>
      <c r="I45" s="162">
        <f t="shared" si="2"/>
        <v>-503305.04000000021</v>
      </c>
      <c r="J45" s="152"/>
      <c r="K45" s="152"/>
    </row>
    <row r="46" spans="1:11" hidden="1" x14ac:dyDescent="0.25">
      <c r="A46" s="153">
        <f t="shared" si="0"/>
        <v>39</v>
      </c>
      <c r="B46" s="160">
        <f>+B45+30</f>
        <v>39931</v>
      </c>
      <c r="D46" s="161">
        <v>97745</v>
      </c>
      <c r="E46" s="151"/>
      <c r="F46" s="151"/>
      <c r="G46" s="168">
        <f>ROUND((+I45+E46+(D46/2))*0.0337/12,2)</f>
        <v>-1276.2</v>
      </c>
      <c r="H46" s="166">
        <f t="shared" si="1"/>
        <v>96468.800000000003</v>
      </c>
      <c r="I46" s="162">
        <f t="shared" si="2"/>
        <v>-406836.24000000022</v>
      </c>
      <c r="J46" s="152"/>
      <c r="K46" s="152"/>
    </row>
    <row r="47" spans="1:11" hidden="1" x14ac:dyDescent="0.25">
      <c r="A47" s="153">
        <f t="shared" si="0"/>
        <v>40</v>
      </c>
      <c r="B47" s="160">
        <f>+B46+31</f>
        <v>39962</v>
      </c>
      <c r="D47" s="161">
        <v>61019</v>
      </c>
      <c r="E47" s="151"/>
      <c r="F47" s="151"/>
      <c r="G47" s="168">
        <f>ROUND((+I46+E47+(D47/2))*0.0337/12,2)</f>
        <v>-1056.8499999999999</v>
      </c>
      <c r="H47" s="166">
        <f t="shared" si="1"/>
        <v>59962.15</v>
      </c>
      <c r="I47" s="162">
        <f t="shared" si="2"/>
        <v>-346874.0900000002</v>
      </c>
      <c r="J47" s="152"/>
      <c r="K47" s="152"/>
    </row>
    <row r="48" spans="1:11" hidden="1" x14ac:dyDescent="0.25">
      <c r="A48" s="153">
        <f t="shared" si="0"/>
        <v>41</v>
      </c>
      <c r="B48" s="160">
        <f>+B47+30</f>
        <v>39992</v>
      </c>
      <c r="D48" s="161">
        <v>37407.94</v>
      </c>
      <c r="E48" s="151"/>
      <c r="F48" s="151"/>
      <c r="G48" s="168">
        <f>ROUND((+I47+E48+(D48/2))*0.0337/12,2)</f>
        <v>-921.61</v>
      </c>
      <c r="H48" s="166">
        <f t="shared" ref="H48:H78" si="3">SUM(D48:G48)</f>
        <v>36486.33</v>
      </c>
      <c r="I48" s="162">
        <f t="shared" si="2"/>
        <v>-310387.76000000018</v>
      </c>
      <c r="J48" s="152"/>
      <c r="K48" s="152"/>
    </row>
    <row r="49" spans="1:15" hidden="1" x14ac:dyDescent="0.25">
      <c r="A49" s="153">
        <f t="shared" si="0"/>
        <v>42</v>
      </c>
      <c r="B49" s="160">
        <f>+B48+31</f>
        <v>40023</v>
      </c>
      <c r="D49" s="161">
        <v>30607.25</v>
      </c>
      <c r="E49" s="151"/>
      <c r="F49" s="151"/>
      <c r="G49" s="168">
        <f>ROUND((+I48+E49+(D49/2))*0.0325/12,2)</f>
        <v>-799.19</v>
      </c>
      <c r="H49" s="166">
        <f t="shared" si="3"/>
        <v>29808.06</v>
      </c>
      <c r="I49" s="162">
        <f t="shared" si="2"/>
        <v>-280579.70000000019</v>
      </c>
      <c r="J49" s="152"/>
      <c r="K49" s="152"/>
    </row>
    <row r="50" spans="1:15" hidden="1" x14ac:dyDescent="0.25">
      <c r="A50" s="153">
        <f t="shared" si="0"/>
        <v>43</v>
      </c>
      <c r="B50" s="160">
        <f>+B49+30</f>
        <v>40053</v>
      </c>
      <c r="D50" s="161">
        <v>27538.92</v>
      </c>
      <c r="E50" s="151"/>
      <c r="F50" s="151"/>
      <c r="G50" s="168">
        <f>ROUND((+I49+E50+(D50/2))*0.0325/12,2)</f>
        <v>-722.61</v>
      </c>
      <c r="H50" s="166">
        <f t="shared" si="3"/>
        <v>26816.309999999998</v>
      </c>
      <c r="I50" s="162">
        <f t="shared" si="2"/>
        <v>-253763.39000000019</v>
      </c>
      <c r="J50" s="152"/>
      <c r="K50" s="152"/>
    </row>
    <row r="51" spans="1:15" hidden="1" x14ac:dyDescent="0.25">
      <c r="A51" s="153">
        <f t="shared" si="0"/>
        <v>44</v>
      </c>
      <c r="B51" s="160">
        <f>+B50+30</f>
        <v>40083</v>
      </c>
      <c r="D51" s="161">
        <f>29881.14+1281.86</f>
        <v>31163</v>
      </c>
      <c r="E51" s="151"/>
      <c r="F51" s="151"/>
      <c r="G51" s="168">
        <f>ROUND((+I50+E51+(D51/2))*0.0325/12,2)</f>
        <v>-645.08000000000004</v>
      </c>
      <c r="H51" s="166">
        <f t="shared" si="3"/>
        <v>30517.919999999998</v>
      </c>
      <c r="I51" s="162">
        <f t="shared" si="2"/>
        <v>-223245.4700000002</v>
      </c>
      <c r="J51" s="229"/>
      <c r="K51" s="233"/>
    </row>
    <row r="52" spans="1:15" hidden="1" x14ac:dyDescent="0.25">
      <c r="A52" s="153">
        <f t="shared" si="0"/>
        <v>45</v>
      </c>
      <c r="B52" s="160">
        <f>+B51+31</f>
        <v>40114</v>
      </c>
      <c r="D52" s="234">
        <v>43020.28</v>
      </c>
      <c r="E52" s="151"/>
      <c r="F52" s="151"/>
      <c r="G52" s="168">
        <f>ROUND((+I51+E52+(D52/2))*0.0325/12,2)</f>
        <v>-546.37</v>
      </c>
      <c r="H52" s="166">
        <f t="shared" si="3"/>
        <v>42473.909999999996</v>
      </c>
      <c r="I52" s="162">
        <f t="shared" si="2"/>
        <v>-180771.5600000002</v>
      </c>
      <c r="J52" s="152"/>
      <c r="K52" s="152"/>
    </row>
    <row r="53" spans="1:15" hidden="1" x14ac:dyDescent="0.25">
      <c r="A53" s="153">
        <f t="shared" si="0"/>
        <v>46</v>
      </c>
      <c r="B53" s="160">
        <f>+B52+30</f>
        <v>40144</v>
      </c>
      <c r="D53" s="161">
        <v>40281.33</v>
      </c>
      <c r="E53" s="151"/>
      <c r="F53" s="151"/>
      <c r="G53" s="168">
        <f>ROUND((+I52+E53+(D53/2))*0.0325/12,2)</f>
        <v>-435.04</v>
      </c>
      <c r="H53" s="166">
        <f t="shared" si="3"/>
        <v>39846.29</v>
      </c>
      <c r="I53" s="162">
        <f t="shared" si="2"/>
        <v>-140925.27000000019</v>
      </c>
      <c r="J53" s="151"/>
      <c r="K53" s="151"/>
      <c r="L53" s="148"/>
      <c r="M53" s="148"/>
      <c r="N53" s="148"/>
      <c r="O53" s="148"/>
    </row>
    <row r="54" spans="1:15" hidden="1" x14ac:dyDescent="0.25">
      <c r="A54" s="153">
        <f t="shared" si="0"/>
        <v>47</v>
      </c>
      <c r="B54" s="160">
        <f>+B53+30</f>
        <v>40174</v>
      </c>
      <c r="D54" s="161"/>
      <c r="E54" s="151"/>
      <c r="F54" s="151"/>
      <c r="G54" s="168"/>
      <c r="H54" s="166"/>
      <c r="I54" s="162"/>
      <c r="J54" s="151"/>
      <c r="K54" s="151"/>
      <c r="L54" s="148"/>
      <c r="M54" s="148"/>
      <c r="N54" s="148"/>
      <c r="O54" s="148"/>
    </row>
    <row r="55" spans="1:15" hidden="1" x14ac:dyDescent="0.25">
      <c r="A55" s="153">
        <f t="shared" si="0"/>
        <v>48</v>
      </c>
      <c r="B55" s="160"/>
      <c r="C55" s="147" t="s">
        <v>161</v>
      </c>
      <c r="D55" s="161">
        <v>49042.39</v>
      </c>
      <c r="E55" s="151">
        <f>-'[2]191430 Defer Demand'!E52</f>
        <v>-165202.62999999966</v>
      </c>
      <c r="F55" s="151"/>
      <c r="G55" s="168">
        <f>ROUND((+E55+(D55/2))*0.0325/12,2)</f>
        <v>-381.01</v>
      </c>
      <c r="H55" s="166">
        <f t="shared" si="3"/>
        <v>-116541.24999999965</v>
      </c>
      <c r="I55" s="162">
        <f>+I53+H55</f>
        <v>-257466.51999999984</v>
      </c>
      <c r="J55" s="151"/>
      <c r="K55" s="151"/>
      <c r="L55" s="148"/>
      <c r="M55" s="148"/>
      <c r="N55" s="148"/>
      <c r="O55" s="148"/>
    </row>
    <row r="56" spans="1:15" hidden="1" x14ac:dyDescent="0.25">
      <c r="A56" s="153">
        <f t="shared" si="0"/>
        <v>49</v>
      </c>
      <c r="B56" s="160">
        <f>+B53+31</f>
        <v>40175</v>
      </c>
      <c r="D56" s="161">
        <f>172726.54+4000</f>
        <v>176726.54</v>
      </c>
      <c r="E56" s="151">
        <f>-'[2]254302 Storage Sharing'!E54</f>
        <v>-1500827.06</v>
      </c>
      <c r="F56" s="151"/>
      <c r="G56" s="168">
        <f t="shared" ref="G56:G67" si="4">ROUND((+I55+E56+(D56/2))*0.0325/12,2)</f>
        <v>-4522.7299999999996</v>
      </c>
      <c r="H56" s="166">
        <f t="shared" si="3"/>
        <v>-1328623.25</v>
      </c>
      <c r="I56" s="162">
        <f t="shared" si="2"/>
        <v>-1586089.7699999998</v>
      </c>
      <c r="J56" s="151"/>
      <c r="K56" s="151"/>
      <c r="L56" s="148"/>
      <c r="M56" s="148"/>
      <c r="N56" s="148"/>
      <c r="O56" s="148"/>
    </row>
    <row r="57" spans="1:15" hidden="1" x14ac:dyDescent="0.25">
      <c r="A57" s="153">
        <f t="shared" si="0"/>
        <v>50</v>
      </c>
      <c r="B57" s="160">
        <f>+B56+31</f>
        <v>40206</v>
      </c>
      <c r="D57" s="161">
        <f>196159.8855411-364</f>
        <v>195795.8855411</v>
      </c>
      <c r="E57" s="151"/>
      <c r="F57" s="151"/>
      <c r="G57" s="168">
        <f t="shared" si="4"/>
        <v>-4030.52</v>
      </c>
      <c r="H57" s="166">
        <f t="shared" si="3"/>
        <v>191765.36554110001</v>
      </c>
      <c r="I57" s="162">
        <f t="shared" si="2"/>
        <v>-1394324.4044588997</v>
      </c>
      <c r="J57" s="151"/>
      <c r="K57" s="151"/>
      <c r="L57" s="148"/>
      <c r="M57" s="148"/>
      <c r="N57" s="148"/>
      <c r="O57" s="148"/>
    </row>
    <row r="58" spans="1:15" hidden="1" x14ac:dyDescent="0.25">
      <c r="A58" s="153">
        <f t="shared" si="0"/>
        <v>51</v>
      </c>
      <c r="B58" s="160">
        <f>+B57+28</f>
        <v>40234</v>
      </c>
      <c r="D58" s="161">
        <v>134231.97466529999</v>
      </c>
      <c r="E58" s="151"/>
      <c r="F58" s="151"/>
      <c r="G58" s="168">
        <f t="shared" si="4"/>
        <v>-3594.52</v>
      </c>
      <c r="H58" s="166">
        <f t="shared" si="3"/>
        <v>130637.45466529999</v>
      </c>
      <c r="I58" s="162">
        <f t="shared" si="2"/>
        <v>-1263686.9497935998</v>
      </c>
      <c r="J58" s="151"/>
      <c r="K58" s="151"/>
      <c r="L58" s="148"/>
      <c r="M58" s="148"/>
      <c r="N58" s="148"/>
      <c r="O58" s="148"/>
    </row>
    <row r="59" spans="1:15" hidden="1" x14ac:dyDescent="0.25">
      <c r="A59" s="153">
        <f t="shared" si="0"/>
        <v>52</v>
      </c>
      <c r="B59" s="160">
        <f>+B58+31</f>
        <v>40265</v>
      </c>
      <c r="D59" s="161">
        <v>115691.45</v>
      </c>
      <c r="E59" s="151"/>
      <c r="F59" s="151"/>
      <c r="G59" s="168">
        <f t="shared" si="4"/>
        <v>-3265.82</v>
      </c>
      <c r="H59" s="166">
        <f t="shared" si="3"/>
        <v>112425.62999999999</v>
      </c>
      <c r="I59" s="162">
        <f t="shared" si="2"/>
        <v>-1151261.3197935999</v>
      </c>
      <c r="J59" s="151"/>
      <c r="K59" s="151"/>
      <c r="L59" s="148"/>
      <c r="M59" s="148"/>
      <c r="N59" s="148"/>
      <c r="O59" s="148"/>
    </row>
    <row r="60" spans="1:15" hidden="1" x14ac:dyDescent="0.25">
      <c r="A60" s="153">
        <f t="shared" si="0"/>
        <v>53</v>
      </c>
      <c r="B60" s="160">
        <f>+B59+30</f>
        <v>40295</v>
      </c>
      <c r="D60" s="161">
        <v>107425.63</v>
      </c>
      <c r="E60" s="151"/>
      <c r="F60" s="151"/>
      <c r="G60" s="168">
        <f t="shared" si="4"/>
        <v>-2972.53</v>
      </c>
      <c r="H60" s="166">
        <f t="shared" si="3"/>
        <v>104453.1</v>
      </c>
      <c r="I60" s="162">
        <f t="shared" si="2"/>
        <v>-1046808.2197935999</v>
      </c>
      <c r="J60" s="151"/>
      <c r="K60" s="151"/>
      <c r="L60" s="148"/>
      <c r="M60" s="148"/>
      <c r="N60" s="148"/>
      <c r="O60" s="148"/>
    </row>
    <row r="61" spans="1:15" hidden="1" x14ac:dyDescent="0.25">
      <c r="A61" s="153">
        <f t="shared" si="0"/>
        <v>54</v>
      </c>
      <c r="B61" s="160">
        <f>+B60+31</f>
        <v>40326</v>
      </c>
      <c r="D61" s="169">
        <v>82462.66</v>
      </c>
      <c r="E61" s="151"/>
      <c r="F61" s="151"/>
      <c r="G61" s="168">
        <f t="shared" si="4"/>
        <v>-2723.44</v>
      </c>
      <c r="H61" s="166">
        <f t="shared" si="3"/>
        <v>79739.22</v>
      </c>
      <c r="I61" s="162">
        <f t="shared" si="2"/>
        <v>-967068.99979359994</v>
      </c>
      <c r="J61" s="151"/>
      <c r="K61" s="151"/>
      <c r="L61" s="148"/>
      <c r="M61" s="148"/>
      <c r="N61" s="148"/>
      <c r="O61" s="148"/>
    </row>
    <row r="62" spans="1:15" hidden="1" x14ac:dyDescent="0.25">
      <c r="A62" s="153">
        <f t="shared" si="0"/>
        <v>55</v>
      </c>
      <c r="B62" s="160">
        <f>+B61+30</f>
        <v>40356</v>
      </c>
      <c r="D62" s="169">
        <v>63760.959999999999</v>
      </c>
      <c r="E62" s="151"/>
      <c r="F62" s="151"/>
      <c r="G62" s="168">
        <f t="shared" si="4"/>
        <v>-2532.8000000000002</v>
      </c>
      <c r="H62" s="166">
        <f t="shared" si="3"/>
        <v>61228.159999999996</v>
      </c>
      <c r="I62" s="162">
        <f t="shared" si="2"/>
        <v>-905840.83979359991</v>
      </c>
      <c r="J62" s="151"/>
      <c r="K62" s="151"/>
      <c r="L62" s="148"/>
      <c r="M62" s="148"/>
      <c r="N62" s="148"/>
      <c r="O62" s="148"/>
    </row>
    <row r="63" spans="1:15" hidden="1" x14ac:dyDescent="0.25">
      <c r="A63" s="153">
        <f t="shared" si="0"/>
        <v>56</v>
      </c>
      <c r="B63" s="160">
        <f>+B62+31</f>
        <v>40387</v>
      </c>
      <c r="D63" s="169">
        <v>44458.49</v>
      </c>
      <c r="E63" s="151"/>
      <c r="F63" s="151"/>
      <c r="G63" s="168">
        <f t="shared" si="4"/>
        <v>-2393.11</v>
      </c>
      <c r="H63" s="166">
        <f t="shared" si="3"/>
        <v>42065.38</v>
      </c>
      <c r="I63" s="162">
        <f t="shared" si="2"/>
        <v>-863775.4597935999</v>
      </c>
      <c r="J63" s="151"/>
      <c r="K63" s="151"/>
      <c r="L63" s="148"/>
      <c r="M63" s="148"/>
      <c r="N63" s="148"/>
      <c r="O63" s="148"/>
    </row>
    <row r="64" spans="1:15" hidden="1" x14ac:dyDescent="0.25">
      <c r="A64" s="153">
        <f t="shared" si="0"/>
        <v>57</v>
      </c>
      <c r="B64" s="160">
        <f>+B63+30</f>
        <v>40417</v>
      </c>
      <c r="D64" s="169">
        <v>37504.778165299998</v>
      </c>
      <c r="E64" s="151"/>
      <c r="F64" s="151"/>
      <c r="G64" s="168">
        <f t="shared" si="4"/>
        <v>-2288.6</v>
      </c>
      <c r="H64" s="166">
        <f t="shared" si="3"/>
        <v>35216.1781653</v>
      </c>
      <c r="I64" s="162">
        <f t="shared" si="2"/>
        <v>-828559.28162829985</v>
      </c>
      <c r="J64" s="151"/>
      <c r="K64" s="151"/>
      <c r="L64" s="148"/>
      <c r="M64" s="148"/>
      <c r="N64" s="148"/>
      <c r="O64" s="148"/>
    </row>
    <row r="65" spans="1:15" hidden="1" x14ac:dyDescent="0.25">
      <c r="A65" s="153">
        <f t="shared" si="0"/>
        <v>58</v>
      </c>
      <c r="B65" s="160">
        <f>+B64+30</f>
        <v>40447</v>
      </c>
      <c r="D65" s="169">
        <v>39387.321849900021</v>
      </c>
      <c r="E65" s="151"/>
      <c r="F65" s="151"/>
      <c r="G65" s="168">
        <f t="shared" si="4"/>
        <v>-2190.6799999999998</v>
      </c>
      <c r="H65" s="166">
        <f t="shared" si="3"/>
        <v>37196.641849900021</v>
      </c>
      <c r="I65" s="162">
        <f t="shared" si="2"/>
        <v>-791362.63977839984</v>
      </c>
      <c r="J65" s="151"/>
      <c r="K65" s="151"/>
      <c r="L65" s="148"/>
      <c r="M65" s="148"/>
      <c r="N65" s="148"/>
      <c r="O65" s="148"/>
    </row>
    <row r="66" spans="1:15" hidden="1" x14ac:dyDescent="0.25">
      <c r="A66" s="153">
        <f t="shared" si="0"/>
        <v>59</v>
      </c>
      <c r="B66" s="160">
        <f>+B65+31</f>
        <v>40478</v>
      </c>
      <c r="D66" s="169">
        <v>48588.43</v>
      </c>
      <c r="E66" s="151"/>
      <c r="F66" s="151"/>
      <c r="G66" s="168">
        <f t="shared" si="4"/>
        <v>-2077.48</v>
      </c>
      <c r="H66" s="166">
        <f t="shared" si="3"/>
        <v>46510.95</v>
      </c>
      <c r="I66" s="162">
        <f t="shared" si="2"/>
        <v>-744851.68977839989</v>
      </c>
      <c r="J66" s="151"/>
      <c r="K66" s="151"/>
      <c r="L66" s="148"/>
      <c r="M66" s="148"/>
      <c r="N66" s="148"/>
      <c r="O66" s="148"/>
    </row>
    <row r="67" spans="1:15" hidden="1" x14ac:dyDescent="0.25">
      <c r="A67" s="153">
        <f t="shared" si="0"/>
        <v>60</v>
      </c>
      <c r="B67" s="160">
        <f>+B66+30</f>
        <v>40508</v>
      </c>
      <c r="C67" s="147" t="s">
        <v>160</v>
      </c>
      <c r="D67" s="161">
        <v>44311.93</v>
      </c>
      <c r="E67" s="151"/>
      <c r="F67" s="151"/>
      <c r="G67" s="168">
        <f t="shared" si="4"/>
        <v>-1957.3</v>
      </c>
      <c r="H67" s="166">
        <f t="shared" si="3"/>
        <v>42354.63</v>
      </c>
      <c r="I67" s="162">
        <f t="shared" si="2"/>
        <v>-702497.05977839988</v>
      </c>
      <c r="J67" s="151"/>
      <c r="K67" s="151"/>
      <c r="L67" s="148"/>
      <c r="M67" s="148"/>
      <c r="N67" s="148"/>
      <c r="O67" s="148"/>
    </row>
    <row r="68" spans="1:15" hidden="1" x14ac:dyDescent="0.25">
      <c r="A68" s="153">
        <f t="shared" si="0"/>
        <v>61</v>
      </c>
      <c r="B68" s="160"/>
      <c r="C68" s="147" t="s">
        <v>161</v>
      </c>
      <c r="D68" s="161">
        <v>49288.36</v>
      </c>
      <c r="E68" s="151">
        <f>-'[2]191430 Defer Demand'!E65</f>
        <v>679617.74000000011</v>
      </c>
      <c r="F68" s="151"/>
      <c r="G68" s="168">
        <f>ROUND((+E68+(D68/2))*0.0325/12,2)</f>
        <v>1907.38</v>
      </c>
      <c r="H68" s="166">
        <f t="shared" si="3"/>
        <v>730813.4800000001</v>
      </c>
      <c r="I68" s="162">
        <f t="shared" si="2"/>
        <v>28316.420221600216</v>
      </c>
      <c r="J68" s="151"/>
      <c r="K68" s="151"/>
      <c r="L68" s="148"/>
      <c r="M68" s="148"/>
      <c r="N68" s="148"/>
      <c r="O68" s="148"/>
    </row>
    <row r="69" spans="1:15" hidden="1" x14ac:dyDescent="0.25">
      <c r="A69" s="153">
        <f t="shared" si="0"/>
        <v>62</v>
      </c>
      <c r="B69" s="160">
        <f>+B67+31</f>
        <v>40539</v>
      </c>
      <c r="D69" s="161">
        <v>212690.81</v>
      </c>
      <c r="E69" s="151"/>
      <c r="F69" s="151"/>
      <c r="G69" s="168">
        <f>ROUND((+I68+E69+(D69/2))*0.0325/12,2)</f>
        <v>364.71</v>
      </c>
      <c r="H69" s="166">
        <f t="shared" si="3"/>
        <v>213055.52</v>
      </c>
      <c r="I69" s="162">
        <f t="shared" si="2"/>
        <v>241371.94022160021</v>
      </c>
      <c r="J69" s="151"/>
      <c r="K69" s="151"/>
      <c r="L69" s="148"/>
      <c r="M69" s="148"/>
      <c r="N69" s="148"/>
      <c r="O69" s="148"/>
    </row>
    <row r="70" spans="1:15" hidden="1" x14ac:dyDescent="0.25">
      <c r="A70" s="153">
        <f t="shared" si="0"/>
        <v>63</v>
      </c>
      <c r="B70" s="160">
        <f>+B69+31</f>
        <v>40570</v>
      </c>
      <c r="C70" s="171">
        <v>2</v>
      </c>
      <c r="D70" s="161">
        <v>250648.39</v>
      </c>
      <c r="E70" s="161">
        <f>-'[2]254302 Storage Sharing'!E66*1</f>
        <v>-1611884.3800000001</v>
      </c>
      <c r="F70" s="187">
        <v>3.2500000000000001E-2</v>
      </c>
      <c r="G70" s="168">
        <f>ROUND((+I69+E70+(D70/2))*F70/12,2)</f>
        <v>-3372.38</v>
      </c>
      <c r="H70" s="166">
        <f t="shared" si="3"/>
        <v>-1364608.3375000001</v>
      </c>
      <c r="I70" s="162">
        <f t="shared" si="2"/>
        <v>-1123236.3972783999</v>
      </c>
      <c r="J70" s="151"/>
      <c r="K70" s="151"/>
      <c r="L70" s="148"/>
      <c r="M70" s="148"/>
      <c r="N70" s="148"/>
      <c r="O70" s="148"/>
    </row>
    <row r="71" spans="1:15" hidden="1" x14ac:dyDescent="0.25">
      <c r="A71" s="153">
        <f t="shared" si="0"/>
        <v>64</v>
      </c>
      <c r="B71" s="160">
        <f>+B70+28</f>
        <v>40598</v>
      </c>
      <c r="D71" s="161">
        <v>199873.38</v>
      </c>
      <c r="E71" s="151"/>
      <c r="F71" s="187">
        <v>3.2500000000000001E-2</v>
      </c>
      <c r="G71" s="168">
        <f t="shared" ref="G71:G92" si="5">ROUND((+I70+E71+(D71/2))*F71/12,2)</f>
        <v>-2771.44</v>
      </c>
      <c r="H71" s="166">
        <f t="shared" si="3"/>
        <v>197101.9725</v>
      </c>
      <c r="I71" s="162">
        <f t="shared" si="2"/>
        <v>-926134.42477839987</v>
      </c>
      <c r="J71" s="151"/>
      <c r="K71" s="151"/>
      <c r="L71" s="148"/>
      <c r="M71" s="148"/>
      <c r="N71" s="148"/>
      <c r="O71" s="148"/>
    </row>
    <row r="72" spans="1:15" hidden="1" x14ac:dyDescent="0.25">
      <c r="A72" s="153">
        <f t="shared" si="0"/>
        <v>65</v>
      </c>
      <c r="B72" s="160">
        <f>+B71+31</f>
        <v>40629</v>
      </c>
      <c r="D72" s="161">
        <v>209576.7</v>
      </c>
      <c r="E72" s="151"/>
      <c r="F72" s="187">
        <v>3.2500000000000001E-2</v>
      </c>
      <c r="G72" s="168">
        <f t="shared" si="5"/>
        <v>-2224.48</v>
      </c>
      <c r="H72" s="166">
        <f t="shared" si="3"/>
        <v>207352.2525</v>
      </c>
      <c r="I72" s="162">
        <f t="shared" si="2"/>
        <v>-718782.17227839981</v>
      </c>
      <c r="J72" s="151"/>
      <c r="K72" s="151"/>
      <c r="L72" s="148"/>
      <c r="M72" s="148"/>
      <c r="N72" s="148"/>
      <c r="O72" s="148"/>
    </row>
    <row r="73" spans="1:15" hidden="1" x14ac:dyDescent="0.25">
      <c r="A73" s="153">
        <f t="shared" ref="A73:A77" si="6">+A72+1</f>
        <v>66</v>
      </c>
      <c r="B73" s="160">
        <f>+B72+30</f>
        <v>40659</v>
      </c>
      <c r="D73" s="161">
        <v>157190.43</v>
      </c>
      <c r="E73" s="151"/>
      <c r="F73" s="187">
        <v>3.2500000000000001E-2</v>
      </c>
      <c r="G73" s="168">
        <f t="shared" si="5"/>
        <v>-1733.84</v>
      </c>
      <c r="H73" s="166">
        <f t="shared" si="3"/>
        <v>155456.6225</v>
      </c>
      <c r="I73" s="162">
        <f t="shared" si="2"/>
        <v>-563325.54977839976</v>
      </c>
      <c r="J73" s="151"/>
      <c r="K73" s="151"/>
      <c r="L73" s="148"/>
      <c r="M73" s="148"/>
      <c r="N73" s="148"/>
      <c r="O73" s="148"/>
    </row>
    <row r="74" spans="1:15" hidden="1" x14ac:dyDescent="0.25">
      <c r="A74" s="153">
        <f t="shared" si="6"/>
        <v>67</v>
      </c>
      <c r="B74" s="160">
        <f>+B73+31</f>
        <v>40690</v>
      </c>
      <c r="D74" s="161">
        <v>123390</v>
      </c>
      <c r="E74" s="151"/>
      <c r="F74" s="187">
        <v>3.2500000000000001E-2</v>
      </c>
      <c r="G74" s="168">
        <f t="shared" si="5"/>
        <v>-1358.58</v>
      </c>
      <c r="H74" s="166">
        <f t="shared" si="3"/>
        <v>122031.4525</v>
      </c>
      <c r="I74" s="162">
        <f t="shared" si="2"/>
        <v>-441294.09727839974</v>
      </c>
      <c r="J74" s="151"/>
      <c r="K74" s="151"/>
      <c r="L74" s="148"/>
      <c r="M74" s="148"/>
      <c r="N74" s="148"/>
      <c r="O74" s="148"/>
    </row>
    <row r="75" spans="1:15" hidden="1" x14ac:dyDescent="0.25">
      <c r="A75" s="153">
        <f t="shared" si="6"/>
        <v>68</v>
      </c>
      <c r="B75" s="160">
        <f>+B74+30</f>
        <v>40720</v>
      </c>
      <c r="D75" s="161">
        <v>77454.81</v>
      </c>
      <c r="E75" s="151"/>
      <c r="F75" s="187">
        <v>3.2500000000000001E-2</v>
      </c>
      <c r="G75" s="168">
        <f t="shared" si="5"/>
        <v>-1090.28</v>
      </c>
      <c r="H75" s="166">
        <f t="shared" si="3"/>
        <v>76364.5625</v>
      </c>
      <c r="I75" s="162">
        <f t="shared" si="2"/>
        <v>-364929.53477839974</v>
      </c>
      <c r="J75" s="151"/>
      <c r="K75" s="151"/>
      <c r="L75" s="148"/>
      <c r="M75" s="148"/>
      <c r="N75" s="148"/>
      <c r="O75" s="148"/>
    </row>
    <row r="76" spans="1:15" hidden="1" x14ac:dyDescent="0.25">
      <c r="A76" s="153">
        <f t="shared" si="6"/>
        <v>69</v>
      </c>
      <c r="B76" s="160">
        <f>+B75+31</f>
        <v>40751</v>
      </c>
      <c r="D76" s="161">
        <v>52163.06</v>
      </c>
      <c r="E76" s="151"/>
      <c r="F76" s="187">
        <v>3.2500000000000001E-2</v>
      </c>
      <c r="G76" s="168">
        <f t="shared" si="5"/>
        <v>-917.71</v>
      </c>
      <c r="H76" s="166">
        <f t="shared" si="3"/>
        <v>51245.3825</v>
      </c>
      <c r="I76" s="162">
        <f t="shared" si="2"/>
        <v>-313684.15227839974</v>
      </c>
      <c r="J76" s="151"/>
      <c r="K76" s="151"/>
      <c r="L76" s="148"/>
      <c r="M76" s="148"/>
      <c r="N76" s="148"/>
      <c r="O76" s="148"/>
    </row>
    <row r="77" spans="1:15" hidden="1" x14ac:dyDescent="0.25">
      <c r="A77" s="153">
        <f t="shared" si="6"/>
        <v>70</v>
      </c>
      <c r="B77" s="160">
        <f>+B76+30</f>
        <v>40781</v>
      </c>
      <c r="D77" s="161">
        <v>43969.43</v>
      </c>
      <c r="E77" s="151"/>
      <c r="F77" s="187">
        <v>3.2500000000000001E-2</v>
      </c>
      <c r="G77" s="168">
        <f t="shared" si="5"/>
        <v>-790.02</v>
      </c>
      <c r="H77" s="166">
        <f t="shared" si="3"/>
        <v>43179.442500000005</v>
      </c>
      <c r="I77" s="162">
        <f t="shared" si="2"/>
        <v>-270504.70977839973</v>
      </c>
      <c r="J77" s="151"/>
      <c r="K77" s="151"/>
      <c r="L77" s="148"/>
      <c r="M77" s="148"/>
      <c r="N77" s="148"/>
      <c r="O77" s="148"/>
    </row>
    <row r="78" spans="1:15" hidden="1" x14ac:dyDescent="0.25">
      <c r="A78" s="153">
        <f>+A77+1</f>
        <v>71</v>
      </c>
      <c r="B78" s="160">
        <f>+B77+30</f>
        <v>40811</v>
      </c>
      <c r="D78" s="161">
        <v>45031.34</v>
      </c>
      <c r="E78" s="151"/>
      <c r="F78" s="187">
        <v>3.2500000000000001E-2</v>
      </c>
      <c r="G78" s="168">
        <f t="shared" si="5"/>
        <v>-671.64</v>
      </c>
      <c r="H78" s="166">
        <f t="shared" si="3"/>
        <v>44359.732499999998</v>
      </c>
      <c r="I78" s="162">
        <f t="shared" si="2"/>
        <v>-226144.97727839975</v>
      </c>
      <c r="J78" s="151"/>
      <c r="K78" s="151"/>
      <c r="L78" s="148"/>
      <c r="M78" s="148"/>
      <c r="N78" s="148"/>
      <c r="O78" s="148"/>
    </row>
    <row r="79" spans="1:15" hidden="1" x14ac:dyDescent="0.25">
      <c r="A79" s="153">
        <f>+A78+1</f>
        <v>72</v>
      </c>
      <c r="B79" s="160">
        <f>+B78+31</f>
        <v>40842</v>
      </c>
      <c r="D79" s="161">
        <v>59963.660169200019</v>
      </c>
      <c r="E79" s="151"/>
      <c r="F79" s="187">
        <v>3.2500000000000001E-2</v>
      </c>
      <c r="G79" s="168">
        <f t="shared" si="5"/>
        <v>-531.28</v>
      </c>
      <c r="H79" s="166">
        <f>SUM(D79:G79)</f>
        <v>59432.412669200021</v>
      </c>
      <c r="I79" s="162">
        <f t="shared" si="2"/>
        <v>-166712.56460919973</v>
      </c>
      <c r="J79" s="151"/>
      <c r="K79" s="151"/>
      <c r="L79" s="148"/>
      <c r="M79" s="148"/>
      <c r="N79" s="148"/>
      <c r="O79" s="148"/>
    </row>
    <row r="80" spans="1:15" hidden="1" x14ac:dyDescent="0.25">
      <c r="A80" s="153">
        <f>+A79+1</f>
        <v>73</v>
      </c>
      <c r="B80" s="160">
        <f>+B79+30</f>
        <v>40872</v>
      </c>
      <c r="C80" s="147" t="s">
        <v>165</v>
      </c>
      <c r="D80" s="161">
        <v>64053.52</v>
      </c>
      <c r="E80" s="151"/>
      <c r="F80" s="187">
        <v>3.2500000000000001E-2</v>
      </c>
      <c r="G80" s="168">
        <f t="shared" si="5"/>
        <v>-364.77</v>
      </c>
      <c r="H80" s="166">
        <f>SUM(D80:E80,G80)</f>
        <v>63688.75</v>
      </c>
      <c r="I80" s="162">
        <f t="shared" ref="I80:I105" si="7">+I79+H80</f>
        <v>-103023.81460919973</v>
      </c>
      <c r="J80" s="151"/>
      <c r="K80" s="151"/>
      <c r="L80" s="148"/>
      <c r="M80" s="148"/>
      <c r="N80" s="148"/>
      <c r="O80" s="148"/>
    </row>
    <row r="81" spans="1:15" hidden="1" x14ac:dyDescent="0.25">
      <c r="A81" s="153">
        <f t="shared" ref="A81:A144" si="8">+A80+1</f>
        <v>74</v>
      </c>
      <c r="B81" s="476"/>
      <c r="C81" s="147" t="s">
        <v>164</v>
      </c>
      <c r="D81" s="161">
        <v>39486.33</v>
      </c>
      <c r="E81" s="151">
        <f>-'[2]191430 Defer Demand'!E77</f>
        <v>374550.56</v>
      </c>
      <c r="F81" s="187">
        <v>3.2500000000000001E-2</v>
      </c>
      <c r="G81" s="151">
        <f>ROUND((+E81+(D81/2))*F81/12,2)</f>
        <v>1067.8800000000001</v>
      </c>
      <c r="H81" s="166">
        <f t="shared" ref="H81:H120" si="9">SUM(D81:E81,G81)</f>
        <v>415104.77</v>
      </c>
      <c r="I81" s="162">
        <f t="shared" si="7"/>
        <v>312080.95539080026</v>
      </c>
      <c r="J81" s="151"/>
      <c r="K81" s="151"/>
      <c r="L81" s="148"/>
      <c r="M81" s="148"/>
      <c r="N81" s="148"/>
      <c r="O81" s="148"/>
    </row>
    <row r="82" spans="1:15" hidden="1" x14ac:dyDescent="0.25">
      <c r="A82" s="153">
        <f t="shared" si="8"/>
        <v>75</v>
      </c>
      <c r="B82" s="160">
        <f>+B80+31</f>
        <v>40903</v>
      </c>
      <c r="D82" s="161">
        <v>154108.35999999999</v>
      </c>
      <c r="E82" s="151"/>
      <c r="F82" s="187">
        <v>3.2500000000000001E-2</v>
      </c>
      <c r="G82" s="168">
        <f t="shared" si="5"/>
        <v>1053.9100000000001</v>
      </c>
      <c r="H82" s="166">
        <f t="shared" si="9"/>
        <v>155162.26999999999</v>
      </c>
      <c r="I82" s="162">
        <f t="shared" si="7"/>
        <v>467243.22539080027</v>
      </c>
      <c r="J82" s="151"/>
      <c r="K82" s="151"/>
      <c r="L82" s="148"/>
      <c r="M82" s="148"/>
      <c r="N82" s="148"/>
      <c r="O82" s="148"/>
    </row>
    <row r="83" spans="1:15" hidden="1" x14ac:dyDescent="0.25">
      <c r="A83" s="153">
        <f t="shared" si="8"/>
        <v>76</v>
      </c>
      <c r="B83" s="160">
        <f>+B82+31</f>
        <v>40934</v>
      </c>
      <c r="C83" s="171">
        <v>2</v>
      </c>
      <c r="D83" s="161">
        <v>169800.07</v>
      </c>
      <c r="E83" s="151">
        <f>-'[2]254302 Storage Sharing'!E78</f>
        <v>-1222077.5699999998</v>
      </c>
      <c r="F83" s="187">
        <v>3.2500000000000001E-2</v>
      </c>
      <c r="G83" s="168">
        <f t="shared" si="5"/>
        <v>-1814.41</v>
      </c>
      <c r="H83" s="166">
        <f t="shared" si="9"/>
        <v>-1054091.9099999997</v>
      </c>
      <c r="I83" s="162">
        <f t="shared" si="7"/>
        <v>-586848.68460919941</v>
      </c>
      <c r="J83" s="151"/>
      <c r="K83" s="151"/>
      <c r="L83" s="148"/>
      <c r="M83" s="148"/>
      <c r="N83" s="148"/>
      <c r="O83" s="148"/>
    </row>
    <row r="84" spans="1:15" hidden="1" x14ac:dyDescent="0.25">
      <c r="A84" s="153">
        <f t="shared" si="8"/>
        <v>77</v>
      </c>
      <c r="B84" s="160">
        <f>+B83+29</f>
        <v>40963</v>
      </c>
      <c r="D84" s="161">
        <v>142864.41843600004</v>
      </c>
      <c r="E84" s="151"/>
      <c r="F84" s="187">
        <v>3.2500000000000001E-2</v>
      </c>
      <c r="G84" s="168">
        <f t="shared" si="5"/>
        <v>-1395.92</v>
      </c>
      <c r="H84" s="166">
        <f t="shared" si="9"/>
        <v>141468.49843600002</v>
      </c>
      <c r="I84" s="162">
        <f t="shared" si="7"/>
        <v>-445380.18617319938</v>
      </c>
      <c r="J84" s="151"/>
      <c r="K84" s="151"/>
      <c r="L84" s="148"/>
      <c r="M84" s="148"/>
      <c r="N84" s="148"/>
      <c r="O84" s="148"/>
    </row>
    <row r="85" spans="1:15" hidden="1" x14ac:dyDescent="0.25">
      <c r="A85" s="153">
        <f t="shared" si="8"/>
        <v>78</v>
      </c>
      <c r="B85" s="160">
        <f>+B84+31</f>
        <v>40994</v>
      </c>
      <c r="D85" s="161">
        <v>134423.61981120001</v>
      </c>
      <c r="E85" s="151"/>
      <c r="F85" s="187">
        <v>3.2500000000000001E-2</v>
      </c>
      <c r="G85" s="168">
        <f t="shared" si="5"/>
        <v>-1024.21</v>
      </c>
      <c r="H85" s="166">
        <f t="shared" si="9"/>
        <v>133399.40981120002</v>
      </c>
      <c r="I85" s="162">
        <f t="shared" si="7"/>
        <v>-311980.77636199933</v>
      </c>
      <c r="J85" s="151"/>
      <c r="K85" s="151"/>
      <c r="L85" s="148"/>
      <c r="M85" s="148"/>
      <c r="N85" s="148"/>
      <c r="O85" s="148"/>
    </row>
    <row r="86" spans="1:15" hidden="1" x14ac:dyDescent="0.25">
      <c r="A86" s="153">
        <f t="shared" si="8"/>
        <v>79</v>
      </c>
      <c r="B86" s="160">
        <f>+B85+30</f>
        <v>41024</v>
      </c>
      <c r="D86" s="161">
        <v>103954.3888176</v>
      </c>
      <c r="E86" s="151"/>
      <c r="F86" s="187">
        <v>3.2500000000000001E-2</v>
      </c>
      <c r="G86" s="168">
        <f t="shared" si="5"/>
        <v>-704.18</v>
      </c>
      <c r="H86" s="166">
        <f t="shared" si="9"/>
        <v>103250.20881760001</v>
      </c>
      <c r="I86" s="162">
        <f t="shared" si="7"/>
        <v>-208730.56754439932</v>
      </c>
      <c r="J86" s="151"/>
      <c r="K86" s="151"/>
      <c r="L86" s="148"/>
      <c r="M86" s="148"/>
      <c r="N86" s="148"/>
      <c r="O86" s="148"/>
    </row>
    <row r="87" spans="1:15" hidden="1" x14ac:dyDescent="0.25">
      <c r="A87" s="153">
        <f t="shared" si="8"/>
        <v>80</v>
      </c>
      <c r="B87" s="160">
        <f>+B86+31</f>
        <v>41055</v>
      </c>
      <c r="D87" s="161">
        <v>64066.537579999997</v>
      </c>
      <c r="E87" s="151"/>
      <c r="F87" s="187">
        <v>3.2500000000000001E-2</v>
      </c>
      <c r="G87" s="168">
        <f t="shared" si="5"/>
        <v>-478.56</v>
      </c>
      <c r="H87" s="166">
        <f t="shared" si="9"/>
        <v>63587.977579999999</v>
      </c>
      <c r="I87" s="162">
        <f t="shared" si="7"/>
        <v>-145142.58996439932</v>
      </c>
      <c r="J87" s="151"/>
      <c r="K87" s="151"/>
      <c r="L87" s="148"/>
      <c r="M87" s="148"/>
      <c r="N87" s="148"/>
      <c r="O87" s="148"/>
    </row>
    <row r="88" spans="1:15" hidden="1" x14ac:dyDescent="0.25">
      <c r="A88" s="153">
        <f t="shared" si="8"/>
        <v>81</v>
      </c>
      <c r="B88" s="160">
        <f>+B87+30</f>
        <v>41085</v>
      </c>
      <c r="D88" s="161">
        <v>46682.793437200009</v>
      </c>
      <c r="E88" s="151"/>
      <c r="F88" s="187">
        <v>3.2500000000000001E-2</v>
      </c>
      <c r="G88" s="168">
        <f t="shared" si="5"/>
        <v>-329.88</v>
      </c>
      <c r="H88" s="166">
        <f t="shared" si="9"/>
        <v>46352.913437200012</v>
      </c>
      <c r="I88" s="162">
        <f t="shared" si="7"/>
        <v>-98789.676527199306</v>
      </c>
      <c r="J88" s="151"/>
      <c r="K88" s="151"/>
      <c r="L88" s="148"/>
      <c r="M88" s="148"/>
      <c r="N88" s="148"/>
      <c r="O88" s="148"/>
    </row>
    <row r="89" spans="1:15" hidden="1" x14ac:dyDescent="0.25">
      <c r="A89" s="153">
        <f t="shared" si="8"/>
        <v>82</v>
      </c>
      <c r="B89" s="160">
        <f>+B88+31</f>
        <v>41116</v>
      </c>
      <c r="D89" s="161">
        <v>35458.939131599996</v>
      </c>
      <c r="E89" s="151"/>
      <c r="F89" s="187">
        <v>3.2500000000000001E-2</v>
      </c>
      <c r="G89" s="168">
        <f t="shared" si="5"/>
        <v>-219.54</v>
      </c>
      <c r="H89" s="166">
        <f t="shared" si="9"/>
        <v>35239.399131599996</v>
      </c>
      <c r="I89" s="162">
        <f t="shared" si="7"/>
        <v>-63550.277395599311</v>
      </c>
      <c r="J89" s="151"/>
      <c r="K89" s="151"/>
      <c r="L89" s="148"/>
      <c r="M89" s="148"/>
      <c r="N89" s="148"/>
      <c r="O89" s="148"/>
    </row>
    <row r="90" spans="1:15" hidden="1" x14ac:dyDescent="0.25">
      <c r="A90" s="153">
        <f t="shared" si="8"/>
        <v>83</v>
      </c>
      <c r="B90" s="160">
        <f>+B89+30</f>
        <v>41146</v>
      </c>
      <c r="D90" s="161">
        <v>29425.683768800001</v>
      </c>
      <c r="E90" s="151"/>
      <c r="F90" s="187">
        <v>3.2500000000000001E-2</v>
      </c>
      <c r="G90" s="168">
        <f t="shared" si="5"/>
        <v>-132.27000000000001</v>
      </c>
      <c r="H90" s="166">
        <f t="shared" si="9"/>
        <v>29293.413768800001</v>
      </c>
      <c r="I90" s="162">
        <f t="shared" si="7"/>
        <v>-34256.863626799313</v>
      </c>
      <c r="J90" s="151"/>
      <c r="K90" s="151"/>
      <c r="L90" s="148"/>
      <c r="M90" s="148"/>
      <c r="N90" s="148"/>
      <c r="O90" s="148"/>
    </row>
    <row r="91" spans="1:15" hidden="1" x14ac:dyDescent="0.25">
      <c r="A91" s="153">
        <f t="shared" si="8"/>
        <v>84</v>
      </c>
      <c r="B91" s="160">
        <f>+B90+30</f>
        <v>41176</v>
      </c>
      <c r="D91" s="161">
        <v>30701.320623599997</v>
      </c>
      <c r="E91" s="151"/>
      <c r="F91" s="187">
        <v>3.2500000000000001E-2</v>
      </c>
      <c r="G91" s="168">
        <f t="shared" si="5"/>
        <v>-51.2</v>
      </c>
      <c r="H91" s="166">
        <f t="shared" si="9"/>
        <v>30650.120623599996</v>
      </c>
      <c r="I91" s="162">
        <f t="shared" si="7"/>
        <v>-3606.7430031993172</v>
      </c>
      <c r="J91" s="151"/>
      <c r="K91" s="151"/>
      <c r="L91" s="148"/>
      <c r="M91" s="148"/>
      <c r="N91" s="148"/>
      <c r="O91" s="148"/>
    </row>
    <row r="92" spans="1:15" hidden="1" x14ac:dyDescent="0.25">
      <c r="A92" s="153">
        <f t="shared" si="8"/>
        <v>85</v>
      </c>
      <c r="B92" s="160">
        <f>+B91+31</f>
        <v>41207</v>
      </c>
      <c r="D92" s="161">
        <v>40006.591534400002</v>
      </c>
      <c r="E92" s="151"/>
      <c r="F92" s="187">
        <v>3.2500000000000001E-2</v>
      </c>
      <c r="G92" s="168">
        <f t="shared" si="5"/>
        <v>44.41</v>
      </c>
      <c r="H92" s="166">
        <f t="shared" si="9"/>
        <v>40051.001534400006</v>
      </c>
      <c r="I92" s="162">
        <f t="shared" si="7"/>
        <v>36444.258531200685</v>
      </c>
      <c r="J92" s="151"/>
      <c r="K92" s="151"/>
      <c r="L92" s="148"/>
      <c r="M92" s="148"/>
      <c r="N92" s="148"/>
      <c r="O92" s="148"/>
    </row>
    <row r="93" spans="1:15" hidden="1" x14ac:dyDescent="0.25">
      <c r="A93" s="153">
        <f t="shared" si="8"/>
        <v>86</v>
      </c>
      <c r="B93" s="160">
        <f>+B92+30</f>
        <v>41237</v>
      </c>
      <c r="C93" s="147" t="s">
        <v>165</v>
      </c>
      <c r="D93" s="161">
        <v>39656.609161600005</v>
      </c>
      <c r="E93" s="151"/>
      <c r="F93" s="187">
        <v>3.2500000000000001E-2</v>
      </c>
      <c r="G93" s="168">
        <f>ROUND((+I92+E93+(D93/2))*F93/12,2)</f>
        <v>152.4</v>
      </c>
      <c r="H93" s="166">
        <f t="shared" si="9"/>
        <v>39809.009161600006</v>
      </c>
      <c r="I93" s="162">
        <f t="shared" si="7"/>
        <v>76253.267692800699</v>
      </c>
      <c r="J93" s="151"/>
      <c r="K93" s="151"/>
      <c r="L93" s="148"/>
      <c r="M93" s="148"/>
      <c r="N93" s="148"/>
      <c r="O93" s="148"/>
    </row>
    <row r="94" spans="1:15" hidden="1" x14ac:dyDescent="0.25">
      <c r="A94" s="153">
        <f t="shared" si="8"/>
        <v>87</v>
      </c>
      <c r="B94" s="160">
        <f>+B93</f>
        <v>41237</v>
      </c>
      <c r="C94" s="147" t="s">
        <v>164</v>
      </c>
      <c r="D94" s="161">
        <v>29668.339999999997</v>
      </c>
      <c r="E94" s="151">
        <v>110381.2</v>
      </c>
      <c r="F94" s="187">
        <v>3.2500000000000001E-2</v>
      </c>
      <c r="G94" s="151">
        <f>ROUND((+E94+(D94/2))*F94/12,2)</f>
        <v>339.12</v>
      </c>
      <c r="H94" s="166">
        <f t="shared" si="9"/>
        <v>140388.65999999997</v>
      </c>
      <c r="I94" s="162">
        <f t="shared" si="7"/>
        <v>216641.92769280067</v>
      </c>
      <c r="J94" s="151"/>
      <c r="K94" s="151"/>
      <c r="L94" s="148"/>
      <c r="M94" s="148"/>
      <c r="N94" s="148"/>
      <c r="O94" s="148"/>
    </row>
    <row r="95" spans="1:15" hidden="1" x14ac:dyDescent="0.25">
      <c r="A95" s="153">
        <f t="shared" si="8"/>
        <v>88</v>
      </c>
      <c r="B95" s="160">
        <f>+B94+31</f>
        <v>41268</v>
      </c>
      <c r="D95" s="161">
        <v>116882.78397599999</v>
      </c>
      <c r="E95" s="151">
        <v>0.09</v>
      </c>
      <c r="F95" s="187">
        <v>3.2500000000000001E-2</v>
      </c>
      <c r="G95" s="168">
        <f t="shared" ref="G95:G106" si="10">ROUND((+I94+E95+(D95/2))*F95/12,2)</f>
        <v>745.02</v>
      </c>
      <c r="H95" s="166">
        <f t="shared" si="9"/>
        <v>117627.89397599999</v>
      </c>
      <c r="I95" s="162">
        <f t="shared" si="7"/>
        <v>334269.82166880067</v>
      </c>
      <c r="J95" s="151"/>
      <c r="K95" s="151"/>
      <c r="L95" s="148"/>
      <c r="M95" s="148"/>
      <c r="N95" s="148"/>
      <c r="O95" s="148"/>
    </row>
    <row r="96" spans="1:15" s="173" customFormat="1" hidden="1" x14ac:dyDescent="0.25">
      <c r="A96" s="153">
        <f t="shared" si="8"/>
        <v>89</v>
      </c>
      <c r="B96" s="173">
        <f>+B95+31</f>
        <v>41299</v>
      </c>
      <c r="D96" s="161">
        <v>174481.68933799997</v>
      </c>
      <c r="E96" s="151">
        <v>-1199549.8400000001</v>
      </c>
      <c r="F96" s="187">
        <v>3.2500000000000001E-2</v>
      </c>
      <c r="G96" s="168">
        <f t="shared" si="10"/>
        <v>-2107.19</v>
      </c>
      <c r="H96" s="166">
        <f t="shared" si="9"/>
        <v>-1027175.340662</v>
      </c>
      <c r="I96" s="162">
        <f t="shared" si="7"/>
        <v>-692905.51899319934</v>
      </c>
      <c r="J96" s="166"/>
      <c r="K96" s="166"/>
      <c r="L96" s="206"/>
      <c r="M96" s="206"/>
      <c r="N96" s="206"/>
      <c r="O96" s="206"/>
    </row>
    <row r="97" spans="1:15" s="173" customFormat="1" hidden="1" x14ac:dyDescent="0.25">
      <c r="A97" s="153">
        <f t="shared" si="8"/>
        <v>90</v>
      </c>
      <c r="B97" s="160">
        <f>+B96+28</f>
        <v>41327</v>
      </c>
      <c r="D97" s="161">
        <v>141200.44</v>
      </c>
      <c r="E97" s="161"/>
      <c r="F97" s="187">
        <v>3.2500000000000001E-2</v>
      </c>
      <c r="G97" s="168">
        <f t="shared" si="10"/>
        <v>-1685.41</v>
      </c>
      <c r="H97" s="166">
        <f t="shared" si="9"/>
        <v>139515.03</v>
      </c>
      <c r="I97" s="162">
        <f t="shared" si="7"/>
        <v>-553390.48899319931</v>
      </c>
      <c r="J97" s="166"/>
      <c r="K97" s="166"/>
      <c r="L97" s="206"/>
      <c r="M97" s="206"/>
      <c r="N97" s="206"/>
      <c r="O97" s="206"/>
    </row>
    <row r="98" spans="1:15" s="173" customFormat="1" hidden="1" x14ac:dyDescent="0.25">
      <c r="A98" s="153">
        <f t="shared" si="8"/>
        <v>91</v>
      </c>
      <c r="B98" s="160">
        <f>+B97+31</f>
        <v>41358</v>
      </c>
      <c r="D98" s="235">
        <v>111051.98</v>
      </c>
      <c r="E98" s="161"/>
      <c r="F98" s="187">
        <v>3.2500000000000001E-2</v>
      </c>
      <c r="G98" s="168">
        <f t="shared" si="10"/>
        <v>-1348.38</v>
      </c>
      <c r="H98" s="166">
        <f t="shared" si="9"/>
        <v>109703.59999999999</v>
      </c>
      <c r="I98" s="162">
        <f t="shared" si="7"/>
        <v>-443686.88899319933</v>
      </c>
      <c r="J98" s="166"/>
      <c r="K98" s="166"/>
      <c r="L98" s="206"/>
      <c r="M98" s="206"/>
      <c r="N98" s="206"/>
      <c r="O98" s="206"/>
    </row>
    <row r="99" spans="1:15" s="173" customFormat="1" hidden="1" x14ac:dyDescent="0.25">
      <c r="A99" s="153">
        <f t="shared" si="8"/>
        <v>92</v>
      </c>
      <c r="B99" s="147">
        <f>+B98+30</f>
        <v>41388</v>
      </c>
      <c r="D99" s="235">
        <v>79957.56</v>
      </c>
      <c r="E99" s="161"/>
      <c r="F99" s="187">
        <v>3.2500000000000001E-2</v>
      </c>
      <c r="G99" s="168">
        <f t="shared" si="10"/>
        <v>-1093.3800000000001</v>
      </c>
      <c r="H99" s="166">
        <f t="shared" si="9"/>
        <v>78864.179999999993</v>
      </c>
      <c r="I99" s="162">
        <f t="shared" si="7"/>
        <v>-364822.70899319934</v>
      </c>
      <c r="J99" s="166"/>
      <c r="K99" s="166"/>
      <c r="L99" s="206"/>
      <c r="M99" s="206"/>
      <c r="N99" s="206"/>
      <c r="O99" s="206"/>
    </row>
    <row r="100" spans="1:15" s="173" customFormat="1" hidden="1" x14ac:dyDescent="0.25">
      <c r="A100" s="153">
        <f t="shared" si="8"/>
        <v>93</v>
      </c>
      <c r="B100" s="147">
        <f>+B99+31</f>
        <v>41419</v>
      </c>
      <c r="D100" s="235">
        <v>54181.19</v>
      </c>
      <c r="E100" s="161"/>
      <c r="F100" s="187">
        <v>3.2500000000000001E-2</v>
      </c>
      <c r="G100" s="168">
        <f t="shared" si="10"/>
        <v>-914.69</v>
      </c>
      <c r="H100" s="166">
        <f t="shared" si="9"/>
        <v>53266.5</v>
      </c>
      <c r="I100" s="162">
        <f t="shared" si="7"/>
        <v>-311556.20899319934</v>
      </c>
      <c r="J100" s="166"/>
      <c r="K100" s="166"/>
      <c r="L100" s="206"/>
      <c r="M100" s="206"/>
      <c r="N100" s="206"/>
      <c r="O100" s="206"/>
    </row>
    <row r="101" spans="1:15" s="173" customFormat="1" hidden="1" x14ac:dyDescent="0.25">
      <c r="A101" s="153">
        <f t="shared" si="8"/>
        <v>94</v>
      </c>
      <c r="B101" s="147">
        <f>+B100+30</f>
        <v>41449</v>
      </c>
      <c r="D101" s="161">
        <v>42582.89</v>
      </c>
      <c r="E101" s="161"/>
      <c r="F101" s="187">
        <v>3.2500000000000001E-2</v>
      </c>
      <c r="G101" s="168">
        <f t="shared" si="10"/>
        <v>-786.13</v>
      </c>
      <c r="H101" s="166">
        <f t="shared" si="9"/>
        <v>41796.76</v>
      </c>
      <c r="I101" s="162">
        <f t="shared" si="7"/>
        <v>-269759.44899319933</v>
      </c>
      <c r="J101" s="166"/>
      <c r="K101" s="166"/>
      <c r="L101" s="206"/>
      <c r="M101" s="206"/>
      <c r="N101" s="206"/>
      <c r="O101" s="206"/>
    </row>
    <row r="102" spans="1:15" s="173" customFormat="1" hidden="1" x14ac:dyDescent="0.25">
      <c r="A102" s="153">
        <f t="shared" si="8"/>
        <v>95</v>
      </c>
      <c r="B102" s="147">
        <f>+B101+31</f>
        <v>41480</v>
      </c>
      <c r="C102" s="199"/>
      <c r="D102" s="161">
        <v>31608.781048000001</v>
      </c>
      <c r="E102" s="161"/>
      <c r="F102" s="187">
        <v>3.2500000000000001E-2</v>
      </c>
      <c r="G102" s="168">
        <f t="shared" si="10"/>
        <v>-687.79</v>
      </c>
      <c r="H102" s="166">
        <f t="shared" si="9"/>
        <v>30920.991048</v>
      </c>
      <c r="I102" s="162">
        <f t="shared" si="7"/>
        <v>-238838.45794519933</v>
      </c>
      <c r="J102" s="166"/>
      <c r="K102" s="166"/>
      <c r="L102" s="206"/>
      <c r="M102" s="206"/>
      <c r="N102" s="206"/>
      <c r="O102" s="206"/>
    </row>
    <row r="103" spans="1:15" s="173" customFormat="1" hidden="1" x14ac:dyDescent="0.25">
      <c r="A103" s="153">
        <f t="shared" si="8"/>
        <v>96</v>
      </c>
      <c r="B103" s="147">
        <f>+B102+31</f>
        <v>41511</v>
      </c>
      <c r="C103" s="199"/>
      <c r="D103" s="161">
        <v>27844.936365599991</v>
      </c>
      <c r="E103" s="161"/>
      <c r="F103" s="187">
        <v>3.2500000000000001E-2</v>
      </c>
      <c r="G103" s="168">
        <f t="shared" si="10"/>
        <v>-609.15</v>
      </c>
      <c r="H103" s="166">
        <f t="shared" si="9"/>
        <v>27235.78636559999</v>
      </c>
      <c r="I103" s="162">
        <f t="shared" si="7"/>
        <v>-211602.67157959935</v>
      </c>
      <c r="J103" s="166"/>
      <c r="K103" s="166"/>
      <c r="L103" s="206"/>
      <c r="M103" s="206"/>
      <c r="N103" s="206"/>
      <c r="O103" s="206"/>
    </row>
    <row r="104" spans="1:15" s="173" customFormat="1" hidden="1" x14ac:dyDescent="0.25">
      <c r="A104" s="153">
        <f t="shared" si="8"/>
        <v>97</v>
      </c>
      <c r="B104" s="147">
        <f>+B103+30</f>
        <v>41541</v>
      </c>
      <c r="C104" s="199"/>
      <c r="D104" s="161">
        <v>28243.863404399999</v>
      </c>
      <c r="E104" s="161"/>
      <c r="F104" s="187">
        <v>3.2500000000000001E-2</v>
      </c>
      <c r="G104" s="168">
        <f t="shared" si="10"/>
        <v>-534.84</v>
      </c>
      <c r="H104" s="166">
        <f t="shared" si="9"/>
        <v>27709.023404399999</v>
      </c>
      <c r="I104" s="162">
        <f t="shared" si="7"/>
        <v>-183893.64817519934</v>
      </c>
      <c r="J104" s="166"/>
      <c r="K104" s="166"/>
      <c r="L104" s="206"/>
      <c r="M104" s="206"/>
      <c r="N104" s="206"/>
      <c r="O104" s="206"/>
    </row>
    <row r="105" spans="1:15" s="173" customFormat="1" hidden="1" x14ac:dyDescent="0.25">
      <c r="A105" s="153">
        <f t="shared" si="8"/>
        <v>98</v>
      </c>
      <c r="B105" s="147">
        <f>+B104+31</f>
        <v>41572</v>
      </c>
      <c r="C105" s="199"/>
      <c r="D105" s="161">
        <v>50884.719323200006</v>
      </c>
      <c r="E105" s="161"/>
      <c r="F105" s="187">
        <v>3.2500000000000001E-2</v>
      </c>
      <c r="G105" s="168">
        <f t="shared" si="10"/>
        <v>-429.14</v>
      </c>
      <c r="H105" s="166">
        <f t="shared" si="9"/>
        <v>50455.579323200007</v>
      </c>
      <c r="I105" s="162">
        <f t="shared" si="7"/>
        <v>-133438.06885199933</v>
      </c>
      <c r="J105" s="166"/>
      <c r="K105" s="166"/>
      <c r="L105" s="206"/>
      <c r="M105" s="206"/>
      <c r="N105" s="206"/>
      <c r="O105" s="206"/>
    </row>
    <row r="106" spans="1:15" s="173" customFormat="1" hidden="1" x14ac:dyDescent="0.25">
      <c r="A106" s="153">
        <f t="shared" si="8"/>
        <v>99</v>
      </c>
      <c r="B106" s="147">
        <f>+B105+30</f>
        <v>41602</v>
      </c>
      <c r="C106" s="147" t="s">
        <v>165</v>
      </c>
      <c r="D106" s="161">
        <v>42170.873038799989</v>
      </c>
      <c r="E106" s="161"/>
      <c r="F106" s="187">
        <v>3.2500000000000001E-2</v>
      </c>
      <c r="G106" s="168">
        <f t="shared" si="10"/>
        <v>-304.29000000000002</v>
      </c>
      <c r="H106" s="166">
        <f t="shared" si="9"/>
        <v>41866.583038799989</v>
      </c>
      <c r="I106" s="162">
        <f>+I105+H106+0.02</f>
        <v>-91571.465813199335</v>
      </c>
      <c r="J106" s="166"/>
      <c r="K106" s="166"/>
      <c r="L106" s="206"/>
      <c r="M106" s="206"/>
      <c r="N106" s="206"/>
      <c r="O106" s="206"/>
    </row>
    <row r="107" spans="1:15" s="173" customFormat="1" hidden="1" x14ac:dyDescent="0.25">
      <c r="A107" s="153">
        <f t="shared" si="8"/>
        <v>100</v>
      </c>
      <c r="B107" s="147">
        <f>+B106</f>
        <v>41602</v>
      </c>
      <c r="C107" s="147" t="s">
        <v>164</v>
      </c>
      <c r="D107" s="161">
        <v>42321.210000000006</v>
      </c>
      <c r="E107" s="161">
        <f>-'[2]191430 Defer Demand'!E101</f>
        <v>-3932.9151639997581</v>
      </c>
      <c r="F107" s="187">
        <v>3.2500000000000001E-2</v>
      </c>
      <c r="G107" s="168">
        <f>ROUND((E107+(D107/2))*F107/12,2)</f>
        <v>46.66</v>
      </c>
      <c r="H107" s="166">
        <f t="shared" si="9"/>
        <v>38434.954836000252</v>
      </c>
      <c r="I107" s="162">
        <f>+I106+H107</f>
        <v>-53136.510977199083</v>
      </c>
      <c r="J107" s="166"/>
      <c r="K107" s="166"/>
      <c r="L107" s="206"/>
      <c r="M107" s="206"/>
      <c r="N107" s="206"/>
      <c r="O107" s="206"/>
    </row>
    <row r="108" spans="1:15" s="173" customFormat="1" hidden="1" x14ac:dyDescent="0.25">
      <c r="A108" s="153">
        <f t="shared" si="8"/>
        <v>101</v>
      </c>
      <c r="B108" s="200">
        <f>+B107+31</f>
        <v>41633</v>
      </c>
      <c r="C108" s="147"/>
      <c r="D108" s="161">
        <v>206825.53339639996</v>
      </c>
      <c r="E108" s="161"/>
      <c r="F108" s="187">
        <v>3.2500000000000001E-2</v>
      </c>
      <c r="G108" s="168">
        <f t="shared" ref="G108:G119" si="11">ROUND((+I107+E108+(D108/2))*F108/12,2)</f>
        <v>136.16</v>
      </c>
      <c r="H108" s="166">
        <f t="shared" si="9"/>
        <v>206961.69339639996</v>
      </c>
      <c r="I108" s="162">
        <f>+I107+H108</f>
        <v>153825.18241920089</v>
      </c>
      <c r="J108" s="166"/>
      <c r="K108" s="166"/>
      <c r="L108" s="206"/>
      <c r="M108" s="206"/>
      <c r="N108" s="206"/>
      <c r="O108" s="206"/>
    </row>
    <row r="109" spans="1:15" s="173" customFormat="1" hidden="1" x14ac:dyDescent="0.25">
      <c r="A109" s="153">
        <f t="shared" si="8"/>
        <v>102</v>
      </c>
      <c r="B109" s="200">
        <f>+B108+31</f>
        <v>41664</v>
      </c>
      <c r="C109" s="147"/>
      <c r="D109" s="161">
        <v>227367.5928484</v>
      </c>
      <c r="E109" s="161">
        <f>-1378053.37-0.02</f>
        <v>-1378053.3900000001</v>
      </c>
      <c r="F109" s="187">
        <v>3.2500000000000001E-2</v>
      </c>
      <c r="G109" s="168">
        <f t="shared" si="11"/>
        <v>-3007.72</v>
      </c>
      <c r="H109" s="166">
        <f t="shared" si="9"/>
        <v>-1153693.5171516</v>
      </c>
      <c r="I109" s="162">
        <f t="shared" ref="I109:I118" si="12">+I108+H109</f>
        <v>-999868.33473239909</v>
      </c>
      <c r="J109" s="166"/>
      <c r="K109" s="166"/>
      <c r="L109" s="206"/>
      <c r="M109" s="206"/>
      <c r="N109" s="206"/>
      <c r="O109" s="206"/>
    </row>
    <row r="110" spans="1:15" s="173" customFormat="1" hidden="1" x14ac:dyDescent="0.25">
      <c r="A110" s="153">
        <f t="shared" si="8"/>
        <v>103</v>
      </c>
      <c r="B110" s="201">
        <f>+B109+28</f>
        <v>41692</v>
      </c>
      <c r="C110" s="147"/>
      <c r="D110" s="161">
        <v>208971.25481479996</v>
      </c>
      <c r="E110" s="161"/>
      <c r="F110" s="187">
        <v>3.2500000000000001E-2</v>
      </c>
      <c r="G110" s="168">
        <f t="shared" si="11"/>
        <v>-2424.9899999999998</v>
      </c>
      <c r="H110" s="166">
        <f t="shared" si="9"/>
        <v>206546.26481479997</v>
      </c>
      <c r="I110" s="162">
        <f t="shared" si="12"/>
        <v>-793322.06991759909</v>
      </c>
      <c r="J110" s="166"/>
      <c r="K110" s="166"/>
      <c r="L110" s="206"/>
      <c r="M110" s="206"/>
      <c r="N110" s="206"/>
      <c r="O110" s="206"/>
    </row>
    <row r="111" spans="1:15" s="173" customFormat="1" hidden="1" x14ac:dyDescent="0.25">
      <c r="A111" s="153">
        <f t="shared" si="8"/>
        <v>104</v>
      </c>
      <c r="B111" s="201">
        <f>+B110+31</f>
        <v>41723</v>
      </c>
      <c r="C111" s="147"/>
      <c r="D111" s="161">
        <v>150621.04866960004</v>
      </c>
      <c r="E111" s="161"/>
      <c r="F111" s="187">
        <v>3.2500000000000001E-2</v>
      </c>
      <c r="G111" s="168">
        <f t="shared" si="11"/>
        <v>-1944.61</v>
      </c>
      <c r="H111" s="166">
        <f t="shared" si="9"/>
        <v>148676.43866960006</v>
      </c>
      <c r="I111" s="162">
        <f t="shared" si="12"/>
        <v>-644645.63124799903</v>
      </c>
      <c r="J111" s="166"/>
      <c r="K111" s="166"/>
      <c r="L111" s="206"/>
      <c r="M111" s="206"/>
      <c r="N111" s="206"/>
      <c r="O111" s="206"/>
    </row>
    <row r="112" spans="1:15" s="173" customFormat="1" hidden="1" x14ac:dyDescent="0.25">
      <c r="A112" s="153">
        <f t="shared" si="8"/>
        <v>105</v>
      </c>
      <c r="B112" s="201">
        <f>+B111+30</f>
        <v>41753</v>
      </c>
      <c r="C112" s="147"/>
      <c r="D112" s="161">
        <v>105675.31438160001</v>
      </c>
      <c r="E112" s="161"/>
      <c r="F112" s="187">
        <v>3.2500000000000001E-2</v>
      </c>
      <c r="G112" s="168">
        <f t="shared" si="11"/>
        <v>-1602.81</v>
      </c>
      <c r="H112" s="166">
        <f t="shared" si="9"/>
        <v>104072.50438160001</v>
      </c>
      <c r="I112" s="162">
        <f t="shared" si="12"/>
        <v>-540573.12686639908</v>
      </c>
      <c r="J112" s="166"/>
      <c r="K112" s="166"/>
      <c r="L112" s="206"/>
      <c r="M112" s="206"/>
      <c r="N112" s="206"/>
      <c r="O112" s="206"/>
    </row>
    <row r="113" spans="1:15" s="173" customFormat="1" hidden="1" x14ac:dyDescent="0.25">
      <c r="A113" s="153">
        <f t="shared" si="8"/>
        <v>106</v>
      </c>
      <c r="B113" s="147">
        <f>+B112+31</f>
        <v>41784</v>
      </c>
      <c r="C113" s="147"/>
      <c r="D113" s="161">
        <v>70728.81</v>
      </c>
      <c r="E113" s="161"/>
      <c r="F113" s="187">
        <v>3.2500000000000001E-2</v>
      </c>
      <c r="G113" s="168">
        <f t="shared" si="11"/>
        <v>-1368.27</v>
      </c>
      <c r="H113" s="166">
        <f t="shared" si="9"/>
        <v>69360.539999999994</v>
      </c>
      <c r="I113" s="162">
        <f t="shared" si="12"/>
        <v>-471212.5868663991</v>
      </c>
      <c r="J113" s="166"/>
      <c r="K113" s="166"/>
      <c r="L113" s="206"/>
      <c r="M113" s="206"/>
      <c r="N113" s="206"/>
      <c r="O113" s="206"/>
    </row>
    <row r="114" spans="1:15" s="173" customFormat="1" hidden="1" x14ac:dyDescent="0.25">
      <c r="A114" s="153">
        <f t="shared" si="8"/>
        <v>107</v>
      </c>
      <c r="B114" s="147">
        <f>+B113+30</f>
        <v>41814</v>
      </c>
      <c r="C114" s="147"/>
      <c r="D114" s="161">
        <v>47938.33</v>
      </c>
      <c r="E114" s="161"/>
      <c r="F114" s="187">
        <v>3.2500000000000001E-2</v>
      </c>
      <c r="G114" s="168">
        <f t="shared" si="11"/>
        <v>-1211.28</v>
      </c>
      <c r="H114" s="166">
        <f t="shared" si="9"/>
        <v>46727.05</v>
      </c>
      <c r="I114" s="162">
        <f t="shared" si="12"/>
        <v>-424485.53686639911</v>
      </c>
      <c r="J114" s="166"/>
      <c r="K114" s="166"/>
      <c r="L114" s="206"/>
      <c r="M114" s="206"/>
      <c r="N114" s="206"/>
      <c r="O114" s="206"/>
    </row>
    <row r="115" spans="1:15" s="173" customFormat="1" hidden="1" x14ac:dyDescent="0.25">
      <c r="A115" s="153">
        <f t="shared" si="8"/>
        <v>108</v>
      </c>
      <c r="B115" s="147">
        <f>+B114+31</f>
        <v>41845</v>
      </c>
      <c r="C115" s="147"/>
      <c r="D115" s="161">
        <v>41747.286422000005</v>
      </c>
      <c r="E115" s="161"/>
      <c r="F115" s="187">
        <v>3.2500000000000001E-2</v>
      </c>
      <c r="G115" s="168">
        <f t="shared" si="11"/>
        <v>-1093.1199999999999</v>
      </c>
      <c r="H115" s="166">
        <f t="shared" si="9"/>
        <v>40654.166422000002</v>
      </c>
      <c r="I115" s="162">
        <f t="shared" si="12"/>
        <v>-383831.37044439913</v>
      </c>
      <c r="J115" s="166"/>
      <c r="K115" s="166"/>
      <c r="L115" s="206"/>
      <c r="M115" s="206"/>
      <c r="N115" s="206"/>
      <c r="O115" s="206"/>
    </row>
    <row r="116" spans="1:15" s="173" customFormat="1" hidden="1" x14ac:dyDescent="0.25">
      <c r="A116" s="153">
        <f t="shared" si="8"/>
        <v>109</v>
      </c>
      <c r="B116" s="147">
        <f>+B115+31</f>
        <v>41876</v>
      </c>
      <c r="C116" s="147"/>
      <c r="D116" s="161">
        <v>34021.339999999997</v>
      </c>
      <c r="E116" s="161"/>
      <c r="F116" s="187">
        <v>3.2500000000000001E-2</v>
      </c>
      <c r="G116" s="168">
        <f t="shared" si="11"/>
        <v>-993.47</v>
      </c>
      <c r="H116" s="166">
        <f t="shared" si="9"/>
        <v>33027.869999999995</v>
      </c>
      <c r="I116" s="162">
        <f t="shared" si="12"/>
        <v>-350803.50044439913</v>
      </c>
      <c r="J116" s="166"/>
      <c r="K116" s="166"/>
      <c r="L116" s="206"/>
      <c r="M116" s="206"/>
      <c r="N116" s="206"/>
      <c r="O116" s="206"/>
    </row>
    <row r="117" spans="1:15" s="173" customFormat="1" hidden="1" x14ac:dyDescent="0.25">
      <c r="A117" s="153">
        <f t="shared" si="8"/>
        <v>110</v>
      </c>
      <c r="B117" s="147">
        <f>+B116+30</f>
        <v>41906</v>
      </c>
      <c r="C117" s="202"/>
      <c r="D117" s="161">
        <v>35615.938585200005</v>
      </c>
      <c r="E117" s="161"/>
      <c r="F117" s="187">
        <v>3.2500000000000001E-2</v>
      </c>
      <c r="G117" s="168">
        <f t="shared" si="11"/>
        <v>-901.86</v>
      </c>
      <c r="H117" s="166">
        <f t="shared" si="9"/>
        <v>34714.078585200004</v>
      </c>
      <c r="I117" s="162">
        <f t="shared" si="12"/>
        <v>-316089.42185919912</v>
      </c>
      <c r="J117" s="166"/>
      <c r="K117" s="166"/>
      <c r="L117" s="206"/>
      <c r="M117" s="206"/>
      <c r="N117" s="206"/>
      <c r="O117" s="206"/>
    </row>
    <row r="118" spans="1:15" s="173" customFormat="1" hidden="1" x14ac:dyDescent="0.25">
      <c r="A118" s="153">
        <f t="shared" si="8"/>
        <v>111</v>
      </c>
      <c r="B118" s="147">
        <f>+B117+31</f>
        <v>41937</v>
      </c>
      <c r="C118" s="202"/>
      <c r="D118" s="161">
        <v>42013.47</v>
      </c>
      <c r="E118" s="161"/>
      <c r="F118" s="187">
        <v>3.2500000000000001E-2</v>
      </c>
      <c r="G118" s="168">
        <f t="shared" si="11"/>
        <v>-799.18</v>
      </c>
      <c r="H118" s="166">
        <f t="shared" si="9"/>
        <v>41214.29</v>
      </c>
      <c r="I118" s="162">
        <f t="shared" si="12"/>
        <v>-274875.13185919914</v>
      </c>
      <c r="J118" s="166"/>
      <c r="K118" s="166"/>
      <c r="L118" s="206"/>
      <c r="M118" s="206"/>
      <c r="N118" s="206"/>
      <c r="O118" s="206"/>
    </row>
    <row r="119" spans="1:15" s="173" customFormat="1" hidden="1" x14ac:dyDescent="0.25">
      <c r="A119" s="153">
        <f t="shared" si="8"/>
        <v>112</v>
      </c>
      <c r="B119" s="147">
        <f>+B118+30</f>
        <v>41967</v>
      </c>
      <c r="C119" s="147" t="s">
        <v>165</v>
      </c>
      <c r="D119" s="161">
        <v>43975.02</v>
      </c>
      <c r="E119" s="151"/>
      <c r="F119" s="170">
        <v>3.2500000000000001E-2</v>
      </c>
      <c r="G119" s="236">
        <f t="shared" si="11"/>
        <v>-684.9</v>
      </c>
      <c r="H119" s="166">
        <f t="shared" si="9"/>
        <v>43290.119999999995</v>
      </c>
      <c r="I119" s="162">
        <f>+I118+H119+0.02</f>
        <v>-231584.99185919916</v>
      </c>
      <c r="J119" s="166"/>
      <c r="K119" s="166"/>
      <c r="L119" s="206"/>
      <c r="M119" s="206"/>
      <c r="N119" s="206"/>
      <c r="O119" s="206"/>
    </row>
    <row r="120" spans="1:15" s="173" customFormat="1" hidden="1" x14ac:dyDescent="0.25">
      <c r="A120" s="153">
        <f t="shared" si="8"/>
        <v>113</v>
      </c>
      <c r="B120" s="147">
        <f>+B119</f>
        <v>41967</v>
      </c>
      <c r="C120" s="147" t="s">
        <v>164</v>
      </c>
      <c r="D120" s="161">
        <v>69576.300000000017</v>
      </c>
      <c r="E120" s="151">
        <f>-'[2]191430 Defer Demand'!E113</f>
        <v>-919526.23519000201</v>
      </c>
      <c r="F120" s="170">
        <v>3.2500000000000001E-2</v>
      </c>
      <c r="G120" s="168">
        <f>ROUND((E120+(D120/2))*F120/12,2)</f>
        <v>-2396.17</v>
      </c>
      <c r="H120" s="166">
        <f t="shared" si="9"/>
        <v>-852346.10519000201</v>
      </c>
      <c r="I120" s="162">
        <f>+I119+H120</f>
        <v>-1083931.0970492011</v>
      </c>
      <c r="J120" s="166"/>
      <c r="K120" s="166"/>
      <c r="L120" s="206"/>
      <c r="M120" s="206"/>
      <c r="N120" s="206"/>
      <c r="O120" s="206"/>
    </row>
    <row r="121" spans="1:15" s="173" customFormat="1" hidden="1" x14ac:dyDescent="0.25">
      <c r="A121" s="153">
        <f t="shared" si="8"/>
        <v>114</v>
      </c>
      <c r="B121" s="200">
        <f>+B120+31</f>
        <v>41998</v>
      </c>
      <c r="C121" s="147"/>
      <c r="D121" s="161">
        <v>271345.02316320007</v>
      </c>
      <c r="E121" s="151"/>
      <c r="F121" s="170">
        <v>3.2500000000000001E-2</v>
      </c>
      <c r="G121" s="168">
        <f>ROUND((+I120+E121+(D121/2))*F121/12,2)</f>
        <v>-2568.1999999999998</v>
      </c>
      <c r="H121" s="166">
        <f>SUM(D121:E121,G121)</f>
        <v>268776.82316320005</v>
      </c>
      <c r="I121" s="162">
        <f t="shared" ref="I121:I131" si="13">+I120+H121</f>
        <v>-815154.27388600109</v>
      </c>
      <c r="J121" s="166"/>
      <c r="K121" s="166"/>
      <c r="L121" s="206"/>
      <c r="M121" s="206"/>
      <c r="N121" s="206"/>
      <c r="O121" s="206"/>
    </row>
    <row r="122" spans="1:15" s="173" customFormat="1" hidden="1" x14ac:dyDescent="0.25">
      <c r="A122" s="153">
        <f t="shared" si="8"/>
        <v>115</v>
      </c>
      <c r="B122" s="152">
        <f>+B121+31</f>
        <v>42029</v>
      </c>
      <c r="C122" s="237">
        <v>2</v>
      </c>
      <c r="D122" s="161">
        <v>296523.03498399997</v>
      </c>
      <c r="E122" s="151">
        <v>-1223450.71</v>
      </c>
      <c r="F122" s="170">
        <v>3.2500000000000001E-2</v>
      </c>
      <c r="G122" s="168">
        <f t="shared" ref="G122:G128" si="14">ROUND((+I121+E122+(D122/2))*F122/12,2)</f>
        <v>-5119.68</v>
      </c>
      <c r="H122" s="166">
        <f t="shared" ref="H122:H142" si="15">SUM(D122:E122,G122)</f>
        <v>-932047.35501599999</v>
      </c>
      <c r="I122" s="162">
        <f t="shared" si="13"/>
        <v>-1747201.6289020011</v>
      </c>
      <c r="J122" s="166"/>
      <c r="K122" s="166"/>
      <c r="L122" s="206"/>
      <c r="M122" s="206"/>
      <c r="N122" s="206"/>
      <c r="O122" s="206"/>
    </row>
    <row r="123" spans="1:15" s="173" customFormat="1" hidden="1" x14ac:dyDescent="0.25">
      <c r="A123" s="153">
        <f t="shared" si="8"/>
        <v>116</v>
      </c>
      <c r="B123" s="147">
        <f>+B122+28</f>
        <v>42057</v>
      </c>
      <c r="C123" s="202"/>
      <c r="D123" s="161">
        <v>219881.29156680004</v>
      </c>
      <c r="E123" s="151"/>
      <c r="F123" s="170">
        <v>3.2500000000000001E-2</v>
      </c>
      <c r="G123" s="168">
        <f t="shared" si="14"/>
        <v>-4434.25</v>
      </c>
      <c r="H123" s="166">
        <f t="shared" si="15"/>
        <v>215447.04156680004</v>
      </c>
      <c r="I123" s="162">
        <f t="shared" si="13"/>
        <v>-1531754.587335201</v>
      </c>
      <c r="J123" s="166"/>
      <c r="K123" s="166"/>
      <c r="L123" s="206"/>
      <c r="M123" s="206"/>
      <c r="N123" s="206"/>
      <c r="O123" s="206"/>
    </row>
    <row r="124" spans="1:15" s="173" customFormat="1" hidden="1" x14ac:dyDescent="0.25">
      <c r="A124" s="153">
        <f t="shared" si="8"/>
        <v>117</v>
      </c>
      <c r="B124" s="147">
        <f>+B123+31</f>
        <v>42088</v>
      </c>
      <c r="C124" s="202"/>
      <c r="D124" s="161">
        <v>174927.660072</v>
      </c>
      <c r="E124" s="151"/>
      <c r="F124" s="170">
        <v>3.2500000000000001E-2</v>
      </c>
      <c r="G124" s="168">
        <f t="shared" si="14"/>
        <v>-3911.62</v>
      </c>
      <c r="H124" s="166">
        <f t="shared" si="15"/>
        <v>171016.040072</v>
      </c>
      <c r="I124" s="162">
        <f t="shared" si="13"/>
        <v>-1360738.5472632009</v>
      </c>
      <c r="J124" s="166"/>
      <c r="K124" s="166"/>
      <c r="L124" s="206"/>
      <c r="M124" s="206"/>
      <c r="N124" s="206"/>
      <c r="O124" s="206"/>
    </row>
    <row r="125" spans="1:15" s="173" customFormat="1" hidden="1" x14ac:dyDescent="0.25">
      <c r="A125" s="153">
        <f t="shared" si="8"/>
        <v>118</v>
      </c>
      <c r="B125" s="147">
        <f>+B124+30</f>
        <v>42118</v>
      </c>
      <c r="C125" s="202"/>
      <c r="D125" s="161">
        <v>142929.00378279999</v>
      </c>
      <c r="E125" s="151"/>
      <c r="F125" s="170">
        <v>3.2500000000000001E-2</v>
      </c>
      <c r="G125" s="168">
        <f t="shared" si="14"/>
        <v>-3491.78</v>
      </c>
      <c r="H125" s="166">
        <f t="shared" si="15"/>
        <v>139437.22378279999</v>
      </c>
      <c r="I125" s="162">
        <f t="shared" si="13"/>
        <v>-1221301.323480401</v>
      </c>
      <c r="J125" s="166"/>
      <c r="K125" s="166"/>
      <c r="L125" s="206"/>
      <c r="M125" s="206"/>
      <c r="N125" s="206"/>
      <c r="O125" s="206"/>
    </row>
    <row r="126" spans="1:15" s="173" customFormat="1" hidden="1" x14ac:dyDescent="0.25">
      <c r="A126" s="153">
        <f t="shared" si="8"/>
        <v>119</v>
      </c>
      <c r="B126" s="147">
        <f>+B125+31</f>
        <v>42149</v>
      </c>
      <c r="C126" s="202"/>
      <c r="D126" s="161">
        <v>106927.32056559999</v>
      </c>
      <c r="E126" s="151"/>
      <c r="F126" s="170">
        <v>3.2500000000000001E-2</v>
      </c>
      <c r="G126" s="168">
        <f t="shared" si="14"/>
        <v>-3162.89</v>
      </c>
      <c r="H126" s="166">
        <f t="shared" si="15"/>
        <v>103764.43056559999</v>
      </c>
      <c r="I126" s="162">
        <f t="shared" si="13"/>
        <v>-1117536.8929148009</v>
      </c>
      <c r="J126" s="166"/>
      <c r="K126" s="166"/>
      <c r="L126" s="206"/>
      <c r="M126" s="206"/>
      <c r="N126" s="206"/>
      <c r="O126" s="206"/>
    </row>
    <row r="127" spans="1:15" s="173" customFormat="1" hidden="1" x14ac:dyDescent="0.25">
      <c r="A127" s="153">
        <f t="shared" si="8"/>
        <v>120</v>
      </c>
      <c r="B127" s="147">
        <f>+B126+30</f>
        <v>42179</v>
      </c>
      <c r="C127" s="202"/>
      <c r="D127" s="161">
        <v>73276.011610800007</v>
      </c>
      <c r="E127" s="151"/>
      <c r="F127" s="170">
        <v>3.2500000000000001E-2</v>
      </c>
      <c r="G127" s="168">
        <f t="shared" si="14"/>
        <v>-2927.43</v>
      </c>
      <c r="H127" s="166">
        <f t="shared" si="15"/>
        <v>70348.581610800014</v>
      </c>
      <c r="I127" s="162">
        <f t="shared" si="13"/>
        <v>-1047188.3113040009</v>
      </c>
      <c r="J127" s="166"/>
      <c r="K127" s="166"/>
      <c r="L127" s="206"/>
      <c r="M127" s="206"/>
      <c r="N127" s="206"/>
      <c r="O127" s="206"/>
    </row>
    <row r="128" spans="1:15" s="173" customFormat="1" hidden="1" x14ac:dyDescent="0.25">
      <c r="A128" s="153">
        <f t="shared" si="8"/>
        <v>121</v>
      </c>
      <c r="B128" s="147">
        <f>+B127+31</f>
        <v>42210</v>
      </c>
      <c r="C128" s="202"/>
      <c r="D128" s="161">
        <v>55029.960870800009</v>
      </c>
      <c r="E128" s="151"/>
      <c r="F128" s="170">
        <v>3.2500000000000001E-2</v>
      </c>
      <c r="G128" s="168">
        <f t="shared" si="14"/>
        <v>-2761.62</v>
      </c>
      <c r="H128" s="166">
        <f t="shared" si="15"/>
        <v>52268.340870800006</v>
      </c>
      <c r="I128" s="162">
        <f t="shared" si="13"/>
        <v>-994919.97043320094</v>
      </c>
      <c r="J128" s="166"/>
      <c r="K128" s="166"/>
      <c r="L128" s="206"/>
      <c r="M128" s="206"/>
      <c r="N128" s="206"/>
      <c r="O128" s="206"/>
    </row>
    <row r="129" spans="1:15" s="173" customFormat="1" hidden="1" x14ac:dyDescent="0.25">
      <c r="A129" s="153">
        <f t="shared" si="8"/>
        <v>122</v>
      </c>
      <c r="B129" s="152">
        <f>+B128+31</f>
        <v>42241</v>
      </c>
      <c r="C129" s="238"/>
      <c r="D129" s="161">
        <v>52097.98</v>
      </c>
      <c r="E129" s="151">
        <v>-0.06</v>
      </c>
      <c r="F129" s="170">
        <v>3.2500000000000001E-2</v>
      </c>
      <c r="G129" s="168">
        <f>ROUND((+I128+E129+(D129/2))*F129/12,2)</f>
        <v>-2624.03</v>
      </c>
      <c r="H129" s="166">
        <f t="shared" si="15"/>
        <v>49473.890000000007</v>
      </c>
      <c r="I129" s="162">
        <f t="shared" si="13"/>
        <v>-945446.08043320093</v>
      </c>
      <c r="J129" s="206"/>
      <c r="K129" s="206"/>
      <c r="L129" s="206"/>
      <c r="M129" s="206"/>
      <c r="N129" s="206"/>
      <c r="O129" s="206"/>
    </row>
    <row r="130" spans="1:15" s="173" customFormat="1" hidden="1" x14ac:dyDescent="0.25">
      <c r="A130" s="153">
        <f t="shared" si="8"/>
        <v>123</v>
      </c>
      <c r="B130" s="147">
        <f>+B129+30</f>
        <v>42271</v>
      </c>
      <c r="C130" s="178"/>
      <c r="D130" s="203">
        <v>60049.7</v>
      </c>
      <c r="E130" s="151"/>
      <c r="F130" s="204">
        <v>3.2500000000000001E-2</v>
      </c>
      <c r="G130" s="205">
        <f>ROUND((+I129+E130+(D130/2))*F130/12,2)</f>
        <v>-2479.27</v>
      </c>
      <c r="H130" s="206">
        <f t="shared" si="15"/>
        <v>57570.43</v>
      </c>
      <c r="I130" s="207">
        <f t="shared" si="13"/>
        <v>-887875.65043320088</v>
      </c>
      <c r="J130" s="206"/>
      <c r="K130" s="206"/>
      <c r="L130" s="206"/>
      <c r="M130" s="206"/>
      <c r="N130" s="206"/>
      <c r="O130" s="206"/>
    </row>
    <row r="131" spans="1:15" s="173" customFormat="1" hidden="1" x14ac:dyDescent="0.25">
      <c r="A131" s="153">
        <f t="shared" si="8"/>
        <v>124</v>
      </c>
      <c r="B131" s="147">
        <f>+B130+31</f>
        <v>42302</v>
      </c>
      <c r="C131" s="178"/>
      <c r="D131" s="203">
        <v>71429.55</v>
      </c>
      <c r="E131" s="151"/>
      <c r="F131" s="204">
        <v>3.2500000000000001E-2</v>
      </c>
      <c r="G131" s="205">
        <f>ROUND((+I130+E131+(D131/2))*F131/12,2)</f>
        <v>-2307.94</v>
      </c>
      <c r="H131" s="206">
        <f t="shared" si="15"/>
        <v>69121.61</v>
      </c>
      <c r="I131" s="207">
        <f t="shared" si="13"/>
        <v>-818754.04043320089</v>
      </c>
      <c r="J131" s="206"/>
      <c r="K131" s="206"/>
      <c r="L131" s="206"/>
      <c r="M131" s="206"/>
      <c r="N131" s="206"/>
      <c r="O131" s="206"/>
    </row>
    <row r="132" spans="1:15" s="173" customFormat="1" hidden="1" x14ac:dyDescent="0.25">
      <c r="A132" s="153">
        <f t="shared" si="8"/>
        <v>125</v>
      </c>
      <c r="B132" s="147">
        <f>+B131+30</f>
        <v>42332</v>
      </c>
      <c r="C132" s="147" t="s">
        <v>165</v>
      </c>
      <c r="D132" s="203">
        <v>62539.66</v>
      </c>
      <c r="E132" s="151"/>
      <c r="F132" s="170">
        <v>3.2500000000000001E-2</v>
      </c>
      <c r="G132" s="168">
        <f t="shared" ref="G132" si="16">ROUND((+I131+E132+(D132/2))*F132/12,2)</f>
        <v>-2132.77</v>
      </c>
      <c r="H132" s="166">
        <f t="shared" si="15"/>
        <v>60406.890000000007</v>
      </c>
      <c r="I132" s="162">
        <f>+I131+H132+0.02</f>
        <v>-758347.13043320086</v>
      </c>
      <c r="J132" s="206"/>
      <c r="K132" s="206"/>
      <c r="L132" s="206"/>
      <c r="M132" s="206"/>
      <c r="N132" s="206"/>
      <c r="O132" s="206"/>
    </row>
    <row r="133" spans="1:15" s="173" customFormat="1" hidden="1" x14ac:dyDescent="0.25">
      <c r="A133" s="153">
        <f t="shared" si="8"/>
        <v>126</v>
      </c>
      <c r="B133" s="147">
        <f>+B132</f>
        <v>42332</v>
      </c>
      <c r="C133" s="147" t="s">
        <v>164</v>
      </c>
      <c r="D133" s="203">
        <v>912.95</v>
      </c>
      <c r="E133" s="151">
        <v>1505925.8</v>
      </c>
      <c r="F133" s="170">
        <v>3.2500000000000001E-2</v>
      </c>
      <c r="G133" s="168">
        <f>ROUND((E133+(D133/2))*F133/12,2)</f>
        <v>4079.79</v>
      </c>
      <c r="H133" s="166">
        <f t="shared" si="15"/>
        <v>1510918.54</v>
      </c>
      <c r="I133" s="162">
        <f>+I132+H133</f>
        <v>752571.40956679918</v>
      </c>
      <c r="J133" s="206"/>
      <c r="K133" s="206"/>
      <c r="L133" s="206"/>
      <c r="M133" s="206"/>
      <c r="N133" s="206"/>
      <c r="O133" s="206"/>
    </row>
    <row r="134" spans="1:15" s="173" customFormat="1" hidden="1" x14ac:dyDescent="0.25">
      <c r="A134" s="153">
        <f t="shared" si="8"/>
        <v>127</v>
      </c>
      <c r="B134" s="152">
        <f>B132+31</f>
        <v>42363</v>
      </c>
      <c r="C134" s="215"/>
      <c r="D134" s="161">
        <v>4293.7700000000004</v>
      </c>
      <c r="E134" s="151"/>
      <c r="F134" s="170">
        <v>3.2500000000000001E-2</v>
      </c>
      <c r="G134" s="168">
        <f>ROUND((+I133+E134+(D134/2))*F134/12,2)</f>
        <v>2044.03</v>
      </c>
      <c r="H134" s="166">
        <f t="shared" si="15"/>
        <v>6337.8</v>
      </c>
      <c r="I134" s="162">
        <f>+I133+H134</f>
        <v>758909.20956679923</v>
      </c>
      <c r="J134" s="206"/>
      <c r="K134" s="206"/>
      <c r="L134" s="206"/>
      <c r="M134" s="206"/>
      <c r="N134" s="206"/>
      <c r="O134" s="206"/>
    </row>
    <row r="135" spans="1:15" s="173" customFormat="1" hidden="1" x14ac:dyDescent="0.25">
      <c r="A135" s="153">
        <f t="shared" si="8"/>
        <v>128</v>
      </c>
      <c r="B135" s="147">
        <f>B134+30</f>
        <v>42393</v>
      </c>
      <c r="C135" s="237">
        <v>2</v>
      </c>
      <c r="D135" s="203">
        <v>5152.8900000000003</v>
      </c>
      <c r="E135" s="151">
        <v>-1218806.32</v>
      </c>
      <c r="F135" s="204">
        <v>3.2500000000000001E-2</v>
      </c>
      <c r="G135" s="168">
        <f>ROUND((+I134+(D135/2))*F135/12,2)</f>
        <v>2062.36</v>
      </c>
      <c r="H135" s="166">
        <f t="shared" si="15"/>
        <v>-1211591.07</v>
      </c>
      <c r="I135" s="162">
        <f t="shared" ref="I135:I142" si="17">+I134+H135</f>
        <v>-452681.86043320084</v>
      </c>
      <c r="J135" s="206"/>
      <c r="K135" s="206"/>
      <c r="L135" s="206"/>
      <c r="M135" s="206"/>
      <c r="N135" s="206"/>
      <c r="O135" s="206"/>
    </row>
    <row r="136" spans="1:15" s="173" customFormat="1" hidden="1" x14ac:dyDescent="0.25">
      <c r="A136" s="153">
        <f t="shared" si="8"/>
        <v>129</v>
      </c>
      <c r="B136" s="147">
        <f>B135+29</f>
        <v>42422</v>
      </c>
      <c r="C136" s="178"/>
      <c r="D136" s="203">
        <v>136.73000000000002</v>
      </c>
      <c r="E136" s="151">
        <v>-4.46</v>
      </c>
      <c r="F136" s="204">
        <v>3.2500000000000001E-2</v>
      </c>
      <c r="G136" s="205">
        <f>ROUND((+I135+E136+(D136/2))*F136/12,2)</f>
        <v>-1225.8399999999999</v>
      </c>
      <c r="H136" s="206">
        <f t="shared" si="15"/>
        <v>-1093.57</v>
      </c>
      <c r="I136" s="162">
        <f t="shared" si="17"/>
        <v>-453775.43043320085</v>
      </c>
      <c r="J136" s="206"/>
      <c r="K136" s="206"/>
      <c r="L136" s="206"/>
      <c r="M136" s="206"/>
      <c r="N136" s="206"/>
      <c r="O136" s="206"/>
    </row>
    <row r="137" spans="1:15" s="173" customFormat="1" hidden="1" x14ac:dyDescent="0.25">
      <c r="A137" s="153">
        <f t="shared" si="8"/>
        <v>130</v>
      </c>
      <c r="B137" s="147">
        <f>B136+31</f>
        <v>42453</v>
      </c>
      <c r="C137" s="178"/>
      <c r="D137" s="203">
        <v>2933.12</v>
      </c>
      <c r="E137" s="151"/>
      <c r="F137" s="204">
        <v>3.2500000000000001E-2</v>
      </c>
      <c r="G137" s="205">
        <f>ROUND((+I136+E137+(D137/2))*F137/12,2)</f>
        <v>-1225</v>
      </c>
      <c r="H137" s="206">
        <f t="shared" si="15"/>
        <v>1708.12</v>
      </c>
      <c r="I137" s="162">
        <f t="shared" si="17"/>
        <v>-452067.31043320085</v>
      </c>
      <c r="J137" s="206"/>
      <c r="K137" s="206"/>
      <c r="L137" s="206"/>
      <c r="M137" s="206"/>
      <c r="N137" s="206"/>
      <c r="O137" s="206"/>
    </row>
    <row r="138" spans="1:15" s="173" customFormat="1" hidden="1" x14ac:dyDescent="0.25">
      <c r="A138" s="153">
        <f t="shared" si="8"/>
        <v>131</v>
      </c>
      <c r="B138" s="147">
        <f>B137+30</f>
        <v>42483</v>
      </c>
      <c r="C138" s="178"/>
      <c r="D138" s="203">
        <v>2167.46</v>
      </c>
      <c r="E138" s="151"/>
      <c r="F138" s="204">
        <v>3.4599999999999999E-2</v>
      </c>
      <c r="G138" s="205">
        <f>ROUND((+I137+E138+(D138/2))*F138/12,2)</f>
        <v>-1300.3399999999999</v>
      </c>
      <c r="H138" s="206">
        <f t="shared" si="15"/>
        <v>867.12000000000012</v>
      </c>
      <c r="I138" s="162">
        <f t="shared" si="17"/>
        <v>-451200.19043320086</v>
      </c>
      <c r="J138" s="206"/>
      <c r="K138" s="206"/>
      <c r="L138" s="206"/>
      <c r="M138" s="206"/>
      <c r="N138" s="206"/>
      <c r="O138" s="206"/>
    </row>
    <row r="139" spans="1:15" s="173" customFormat="1" hidden="1" x14ac:dyDescent="0.25">
      <c r="A139" s="153">
        <f t="shared" si="8"/>
        <v>132</v>
      </c>
      <c r="B139" s="147">
        <f>B138+31</f>
        <v>42514</v>
      </c>
      <c r="C139" s="178"/>
      <c r="D139" s="203">
        <v>1345.37</v>
      </c>
      <c r="E139" s="151"/>
      <c r="F139" s="204">
        <v>3.4599999999999999E-2</v>
      </c>
      <c r="G139" s="205">
        <f>ROUND((+I138+E139+(D139/2))*F139/12,2)</f>
        <v>-1299.02</v>
      </c>
      <c r="H139" s="206">
        <f t="shared" si="15"/>
        <v>46.349999999999909</v>
      </c>
      <c r="I139" s="162">
        <f t="shared" si="17"/>
        <v>-451153.84043320088</v>
      </c>
      <c r="J139" s="206"/>
      <c r="K139" s="206"/>
      <c r="L139" s="206"/>
      <c r="M139" s="206"/>
      <c r="N139" s="206"/>
      <c r="O139" s="206"/>
    </row>
    <row r="140" spans="1:15" s="173" customFormat="1" hidden="1" x14ac:dyDescent="0.25">
      <c r="A140" s="153">
        <f t="shared" si="8"/>
        <v>133</v>
      </c>
      <c r="B140" s="147">
        <f>B139+30</f>
        <v>42544</v>
      </c>
      <c r="C140" s="178"/>
      <c r="D140" s="203">
        <v>1169.57</v>
      </c>
      <c r="E140" s="151"/>
      <c r="F140" s="204">
        <v>3.4599999999999999E-2</v>
      </c>
      <c r="G140" s="205">
        <f t="shared" ref="G140:G171" si="18">ROUND((+I139+E140+(D140/2))*F140/12,2)</f>
        <v>-1299.1400000000001</v>
      </c>
      <c r="H140" s="206">
        <f t="shared" si="15"/>
        <v>-129.57000000000016</v>
      </c>
      <c r="I140" s="162">
        <f t="shared" si="17"/>
        <v>-451283.41043320089</v>
      </c>
      <c r="J140" s="206"/>
      <c r="K140" s="206"/>
      <c r="L140" s="206"/>
      <c r="M140" s="206"/>
      <c r="N140" s="206"/>
      <c r="O140" s="206"/>
    </row>
    <row r="141" spans="1:15" s="173" customFormat="1" hidden="1" x14ac:dyDescent="0.25">
      <c r="A141" s="153">
        <f t="shared" si="8"/>
        <v>134</v>
      </c>
      <c r="B141" s="147">
        <f>B140+31</f>
        <v>42575</v>
      </c>
      <c r="C141" s="178"/>
      <c r="D141" s="203">
        <v>928.28</v>
      </c>
      <c r="E141" s="151"/>
      <c r="F141" s="204">
        <v>3.5000000000000003E-2</v>
      </c>
      <c r="G141" s="205">
        <f t="shared" si="18"/>
        <v>-1314.89</v>
      </c>
      <c r="H141" s="206">
        <f t="shared" si="15"/>
        <v>-386.61000000000013</v>
      </c>
      <c r="I141" s="162">
        <f t="shared" si="17"/>
        <v>-451670.02043320087</v>
      </c>
      <c r="J141" s="206"/>
      <c r="K141" s="206"/>
      <c r="L141" s="206"/>
      <c r="M141" s="206"/>
      <c r="N141" s="206"/>
      <c r="O141" s="206"/>
    </row>
    <row r="142" spans="1:15" s="173" customFormat="1" hidden="1" x14ac:dyDescent="0.25">
      <c r="A142" s="153">
        <f t="shared" si="8"/>
        <v>135</v>
      </c>
      <c r="B142" s="147">
        <f>B141+31</f>
        <v>42606</v>
      </c>
      <c r="C142" s="178"/>
      <c r="D142" s="203">
        <v>823.14</v>
      </c>
      <c r="E142" s="151"/>
      <c r="F142" s="204">
        <v>3.5000000000000003E-2</v>
      </c>
      <c r="G142" s="205">
        <f t="shared" si="18"/>
        <v>-1316.17</v>
      </c>
      <c r="H142" s="206">
        <f t="shared" si="15"/>
        <v>-493.03000000000009</v>
      </c>
      <c r="I142" s="162">
        <f t="shared" si="17"/>
        <v>-452163.0504332009</v>
      </c>
      <c r="J142" s="206"/>
      <c r="K142" s="206"/>
      <c r="L142" s="206"/>
      <c r="M142" s="206"/>
      <c r="N142" s="206"/>
      <c r="O142" s="206"/>
    </row>
    <row r="143" spans="1:15" s="173" customFormat="1" hidden="1" x14ac:dyDescent="0.25">
      <c r="A143" s="153">
        <f t="shared" si="8"/>
        <v>136</v>
      </c>
      <c r="B143" s="147">
        <f>B142+30</f>
        <v>42636</v>
      </c>
      <c r="C143" s="178"/>
      <c r="D143" s="203">
        <v>896.20672720000005</v>
      </c>
      <c r="E143" s="239"/>
      <c r="F143" s="210">
        <v>3.5000000000000003E-2</v>
      </c>
      <c r="G143" s="239">
        <f t="shared" si="18"/>
        <v>-1317.5</v>
      </c>
      <c r="H143" s="239">
        <f t="shared" ref="H143:H171" si="19">D143+E143+G143</f>
        <v>-421.29327279999995</v>
      </c>
      <c r="I143" s="239">
        <f t="shared" ref="I143:I171" si="20">I142+H143</f>
        <v>-452584.34370600089</v>
      </c>
      <c r="J143" s="206"/>
      <c r="K143" s="206"/>
      <c r="L143" s="206"/>
      <c r="M143" s="206"/>
      <c r="N143" s="206"/>
      <c r="O143" s="206"/>
    </row>
    <row r="144" spans="1:15" s="173" customFormat="1" hidden="1" x14ac:dyDescent="0.25">
      <c r="A144" s="153">
        <f t="shared" si="8"/>
        <v>137</v>
      </c>
      <c r="B144" s="147">
        <f>B143+31</f>
        <v>42667</v>
      </c>
      <c r="C144" s="178"/>
      <c r="D144" s="203">
        <v>1284.1643996</v>
      </c>
      <c r="E144" s="239"/>
      <c r="F144" s="210">
        <v>3.5000000000000003E-2</v>
      </c>
      <c r="G144" s="239">
        <f t="shared" si="18"/>
        <v>-1318.16</v>
      </c>
      <c r="H144" s="239">
        <f t="shared" si="19"/>
        <v>-33.995600400000058</v>
      </c>
      <c r="I144" s="239">
        <f t="shared" si="20"/>
        <v>-452618.33930640091</v>
      </c>
      <c r="J144" s="206"/>
      <c r="K144" s="206"/>
      <c r="L144" s="206"/>
      <c r="M144" s="206"/>
      <c r="N144" s="206"/>
      <c r="O144" s="206"/>
    </row>
    <row r="145" spans="1:15" s="173" customFormat="1" hidden="1" x14ac:dyDescent="0.25">
      <c r="A145" s="153">
        <f t="shared" ref="A145:A190" si="21">+A144+1</f>
        <v>138</v>
      </c>
      <c r="B145" s="184">
        <f>B144+30</f>
        <v>42697</v>
      </c>
      <c r="C145" s="214" t="s">
        <v>165</v>
      </c>
      <c r="D145" s="203">
        <v>1094.1699999999998</v>
      </c>
      <c r="E145" s="239"/>
      <c r="F145" s="210">
        <v>3.5000000000000003E-2</v>
      </c>
      <c r="G145" s="239">
        <f t="shared" si="18"/>
        <v>-1318.54</v>
      </c>
      <c r="H145" s="239">
        <f t="shared" si="19"/>
        <v>-224.37000000000012</v>
      </c>
      <c r="I145" s="239">
        <f t="shared" si="20"/>
        <v>-452842.70930640091</v>
      </c>
      <c r="J145" s="206"/>
      <c r="K145" s="206"/>
      <c r="L145" s="206"/>
      <c r="M145" s="206"/>
      <c r="N145" s="206"/>
      <c r="O145" s="206"/>
    </row>
    <row r="146" spans="1:15" s="173" customFormat="1" hidden="1" x14ac:dyDescent="0.25">
      <c r="A146" s="153">
        <f t="shared" si="21"/>
        <v>139</v>
      </c>
      <c r="B146" s="184">
        <f>B145</f>
        <v>42697</v>
      </c>
      <c r="C146" s="147" t="s">
        <v>164</v>
      </c>
      <c r="D146" s="203">
        <v>25673.450000000004</v>
      </c>
      <c r="E146" s="239">
        <v>508349.64</v>
      </c>
      <c r="F146" s="210">
        <v>3.5000000000000003E-2</v>
      </c>
      <c r="G146" s="239">
        <f>ROUND((+E146+(D146/2))*F146/12,2)</f>
        <v>1520.13</v>
      </c>
      <c r="H146" s="239">
        <f t="shared" si="19"/>
        <v>535543.22</v>
      </c>
      <c r="I146" s="239">
        <f t="shared" si="20"/>
        <v>82700.510693599063</v>
      </c>
      <c r="J146" s="206"/>
      <c r="K146" s="206"/>
      <c r="L146" s="206"/>
      <c r="M146" s="206"/>
      <c r="N146" s="206"/>
      <c r="O146" s="206"/>
    </row>
    <row r="147" spans="1:15" s="173" customFormat="1" hidden="1" x14ac:dyDescent="0.25">
      <c r="A147" s="153">
        <f t="shared" si="21"/>
        <v>140</v>
      </c>
      <c r="B147" s="184">
        <f>B145+31</f>
        <v>42728</v>
      </c>
      <c r="C147" s="214"/>
      <c r="D147" s="203">
        <v>127351.21999999997</v>
      </c>
      <c r="E147" s="239"/>
      <c r="F147" s="210">
        <v>3.5000000000000003E-2</v>
      </c>
      <c r="G147" s="239">
        <f t="shared" si="18"/>
        <v>426.93</v>
      </c>
      <c r="H147" s="239">
        <f t="shared" si="19"/>
        <v>127778.14999999997</v>
      </c>
      <c r="I147" s="239">
        <f t="shared" si="20"/>
        <v>210478.66069359903</v>
      </c>
      <c r="J147" s="206"/>
      <c r="K147" s="206"/>
      <c r="L147" s="206"/>
      <c r="M147" s="206"/>
      <c r="N147" s="206"/>
      <c r="O147" s="206"/>
    </row>
    <row r="148" spans="1:15" s="173" customFormat="1" hidden="1" x14ac:dyDescent="0.25">
      <c r="A148" s="153">
        <f t="shared" si="21"/>
        <v>141</v>
      </c>
      <c r="B148" s="184">
        <f t="shared" ref="B148:B158" si="22">B147+31</f>
        <v>42759</v>
      </c>
      <c r="C148" s="237">
        <v>2</v>
      </c>
      <c r="D148" s="203">
        <v>218988.16999999995</v>
      </c>
      <c r="E148" s="239">
        <v>-1448926.12</v>
      </c>
      <c r="F148" s="210">
        <v>3.5000000000000003E-2</v>
      </c>
      <c r="G148" s="239">
        <f t="shared" si="18"/>
        <v>-3292.78</v>
      </c>
      <c r="H148" s="239">
        <f t="shared" si="19"/>
        <v>-1233230.7300000002</v>
      </c>
      <c r="I148" s="239">
        <f t="shared" si="20"/>
        <v>-1022752.0693064012</v>
      </c>
      <c r="J148" s="206"/>
      <c r="K148" s="206"/>
      <c r="L148" s="206"/>
      <c r="M148" s="206"/>
      <c r="N148" s="206"/>
      <c r="O148" s="206"/>
    </row>
    <row r="149" spans="1:15" s="173" customFormat="1" hidden="1" x14ac:dyDescent="0.25">
      <c r="A149" s="153">
        <f t="shared" si="21"/>
        <v>142</v>
      </c>
      <c r="B149" s="184">
        <f t="shared" si="22"/>
        <v>42790</v>
      </c>
      <c r="C149" s="214"/>
      <c r="D149" s="203">
        <v>164790.45000000001</v>
      </c>
      <c r="E149" s="239"/>
      <c r="F149" s="210">
        <v>3.5000000000000003E-2</v>
      </c>
      <c r="G149" s="239">
        <f t="shared" si="18"/>
        <v>-2742.71</v>
      </c>
      <c r="H149" s="239">
        <f t="shared" si="19"/>
        <v>162047.74000000002</v>
      </c>
      <c r="I149" s="239">
        <f t="shared" si="20"/>
        <v>-860704.3293064012</v>
      </c>
      <c r="J149" s="206"/>
      <c r="K149" s="206"/>
      <c r="L149" s="206"/>
      <c r="M149" s="206"/>
      <c r="N149" s="206"/>
      <c r="O149" s="206"/>
    </row>
    <row r="150" spans="1:15" s="173" customFormat="1" hidden="1" x14ac:dyDescent="0.25">
      <c r="A150" s="153">
        <f t="shared" si="21"/>
        <v>143</v>
      </c>
      <c r="B150" s="184">
        <f t="shared" si="22"/>
        <v>42821</v>
      </c>
      <c r="C150" s="214"/>
      <c r="D150" s="203">
        <v>128463.11</v>
      </c>
      <c r="E150" s="239"/>
      <c r="F150" s="210">
        <v>3.5000000000000003E-2</v>
      </c>
      <c r="G150" s="239">
        <f t="shared" si="18"/>
        <v>-2323.0500000000002</v>
      </c>
      <c r="H150" s="239">
        <f t="shared" si="19"/>
        <v>126140.06</v>
      </c>
      <c r="I150" s="239">
        <f t="shared" si="20"/>
        <v>-734564.26930640126</v>
      </c>
      <c r="J150" s="206"/>
      <c r="K150" s="206"/>
      <c r="L150" s="206"/>
      <c r="M150" s="206"/>
      <c r="N150" s="206"/>
      <c r="O150" s="206"/>
    </row>
    <row r="151" spans="1:15" s="173" customFormat="1" hidden="1" x14ac:dyDescent="0.25">
      <c r="A151" s="153">
        <f t="shared" si="21"/>
        <v>144</v>
      </c>
      <c r="B151" s="184">
        <f t="shared" si="22"/>
        <v>42852</v>
      </c>
      <c r="C151" s="214"/>
      <c r="D151" s="203">
        <v>92234.73</v>
      </c>
      <c r="E151" s="239"/>
      <c r="F151" s="210">
        <v>3.7100000000000001E-2</v>
      </c>
      <c r="G151" s="239">
        <f t="shared" si="18"/>
        <v>-2128.4499999999998</v>
      </c>
      <c r="H151" s="239">
        <f t="shared" si="19"/>
        <v>90106.28</v>
      </c>
      <c r="I151" s="239">
        <f t="shared" si="20"/>
        <v>-644457.98930640123</v>
      </c>
      <c r="J151" s="206"/>
      <c r="K151" s="206"/>
      <c r="L151" s="206"/>
      <c r="M151" s="206"/>
      <c r="N151" s="206"/>
      <c r="O151" s="206"/>
    </row>
    <row r="152" spans="1:15" s="173" customFormat="1" hidden="1" x14ac:dyDescent="0.25">
      <c r="A152" s="153">
        <f t="shared" si="21"/>
        <v>145</v>
      </c>
      <c r="B152" s="184">
        <f t="shared" si="22"/>
        <v>42883</v>
      </c>
      <c r="C152" s="214"/>
      <c r="D152" s="203">
        <v>66290.36</v>
      </c>
      <c r="E152" s="239"/>
      <c r="F152" s="210">
        <v>3.7100000000000001E-2</v>
      </c>
      <c r="G152" s="239">
        <f t="shared" si="18"/>
        <v>-1889.98</v>
      </c>
      <c r="H152" s="239">
        <f t="shared" si="19"/>
        <v>64400.38</v>
      </c>
      <c r="I152" s="239">
        <f t="shared" si="20"/>
        <v>-580057.60930640122</v>
      </c>
      <c r="J152" s="206"/>
      <c r="K152" s="206"/>
      <c r="L152" s="206"/>
      <c r="M152" s="206"/>
      <c r="N152" s="206"/>
      <c r="O152" s="206"/>
    </row>
    <row r="153" spans="1:15" s="173" customFormat="1" hidden="1" x14ac:dyDescent="0.25">
      <c r="A153" s="153">
        <f t="shared" si="21"/>
        <v>146</v>
      </c>
      <c r="B153" s="184">
        <f t="shared" si="22"/>
        <v>42914</v>
      </c>
      <c r="C153" s="214"/>
      <c r="D153" s="203">
        <v>40968.460000000006</v>
      </c>
      <c r="E153" s="239"/>
      <c r="F153" s="210">
        <v>3.7100000000000001E-2</v>
      </c>
      <c r="G153" s="239">
        <f t="shared" si="18"/>
        <v>-1730.01</v>
      </c>
      <c r="H153" s="239">
        <f t="shared" si="19"/>
        <v>39238.450000000004</v>
      </c>
      <c r="I153" s="239">
        <f t="shared" si="20"/>
        <v>-540819.15930640127</v>
      </c>
      <c r="J153" s="206"/>
      <c r="K153" s="206"/>
      <c r="L153" s="206"/>
      <c r="M153" s="206"/>
      <c r="N153" s="206"/>
      <c r="O153" s="206"/>
    </row>
    <row r="154" spans="1:15" s="173" customFormat="1" hidden="1" x14ac:dyDescent="0.25">
      <c r="A154" s="153">
        <f t="shared" si="21"/>
        <v>147</v>
      </c>
      <c r="B154" s="184">
        <f t="shared" si="22"/>
        <v>42945</v>
      </c>
      <c r="C154" s="214"/>
      <c r="D154" s="161">
        <v>30703.47</v>
      </c>
      <c r="E154" s="239"/>
      <c r="F154" s="210">
        <v>3.9600000000000003E-2</v>
      </c>
      <c r="G154" s="239">
        <f t="shared" si="18"/>
        <v>-1734.04</v>
      </c>
      <c r="H154" s="239">
        <f t="shared" si="19"/>
        <v>28969.43</v>
      </c>
      <c r="I154" s="239">
        <f t="shared" si="20"/>
        <v>-511849.72930640128</v>
      </c>
      <c r="J154" s="206"/>
      <c r="K154" s="206"/>
      <c r="L154" s="206"/>
      <c r="M154" s="206"/>
      <c r="N154" s="206"/>
      <c r="O154" s="206"/>
    </row>
    <row r="155" spans="1:15" s="173" customFormat="1" hidden="1" x14ac:dyDescent="0.25">
      <c r="A155" s="153">
        <f t="shared" si="21"/>
        <v>148</v>
      </c>
      <c r="B155" s="184">
        <f t="shared" si="22"/>
        <v>42976</v>
      </c>
      <c r="C155" s="214"/>
      <c r="D155" s="161">
        <v>25793.690000000002</v>
      </c>
      <c r="E155" s="239"/>
      <c r="F155" s="210">
        <v>3.9600000000000003E-2</v>
      </c>
      <c r="G155" s="239">
        <f t="shared" si="18"/>
        <v>-1646.54</v>
      </c>
      <c r="H155" s="239">
        <f t="shared" si="19"/>
        <v>24147.15</v>
      </c>
      <c r="I155" s="239">
        <f t="shared" si="20"/>
        <v>-487702.57930640125</v>
      </c>
      <c r="J155" s="206"/>
      <c r="K155" s="206"/>
      <c r="L155" s="206"/>
      <c r="M155" s="206"/>
      <c r="N155" s="206"/>
      <c r="O155" s="206"/>
    </row>
    <row r="156" spans="1:15" s="173" customFormat="1" hidden="1" x14ac:dyDescent="0.25">
      <c r="A156" s="153">
        <f t="shared" si="21"/>
        <v>149</v>
      </c>
      <c r="B156" s="184">
        <f t="shared" si="22"/>
        <v>43007</v>
      </c>
      <c r="C156" s="214"/>
      <c r="D156" s="203">
        <v>27439.399999999998</v>
      </c>
      <c r="E156" s="239"/>
      <c r="F156" s="210">
        <v>3.9600000000000003E-2</v>
      </c>
      <c r="G156" s="239">
        <f t="shared" si="18"/>
        <v>-1564.14</v>
      </c>
      <c r="H156" s="239">
        <f t="shared" si="19"/>
        <v>25875.26</v>
      </c>
      <c r="I156" s="239">
        <f t="shared" si="20"/>
        <v>-461827.31930640124</v>
      </c>
      <c r="J156" s="206"/>
      <c r="K156" s="206"/>
      <c r="L156" s="206"/>
      <c r="M156" s="206"/>
      <c r="N156" s="206"/>
      <c r="O156" s="206"/>
    </row>
    <row r="157" spans="1:15" s="173" customFormat="1" hidden="1" x14ac:dyDescent="0.25">
      <c r="A157" s="153">
        <f t="shared" si="21"/>
        <v>150</v>
      </c>
      <c r="B157" s="184">
        <f t="shared" si="22"/>
        <v>43038</v>
      </c>
      <c r="C157" s="214"/>
      <c r="D157" s="203">
        <v>44472.5</v>
      </c>
      <c r="E157" s="239"/>
      <c r="F157" s="210">
        <v>4.2099999999999999E-2</v>
      </c>
      <c r="G157" s="239">
        <f t="shared" si="18"/>
        <v>-1542.23</v>
      </c>
      <c r="H157" s="239">
        <f t="shared" si="19"/>
        <v>42930.27</v>
      </c>
      <c r="I157" s="239">
        <f t="shared" si="20"/>
        <v>-418897.04930640123</v>
      </c>
      <c r="J157" s="206"/>
      <c r="K157" s="206"/>
      <c r="L157" s="206"/>
      <c r="M157" s="206"/>
      <c r="N157" s="206"/>
      <c r="O157" s="206"/>
    </row>
    <row r="158" spans="1:15" s="173" customFormat="1" hidden="1" x14ac:dyDescent="0.25">
      <c r="A158" s="153">
        <f t="shared" si="21"/>
        <v>151</v>
      </c>
      <c r="B158" s="184">
        <f t="shared" si="22"/>
        <v>43069</v>
      </c>
      <c r="C158" s="214" t="s">
        <v>165</v>
      </c>
      <c r="D158" s="203">
        <v>47523.23000000001</v>
      </c>
      <c r="E158" s="239"/>
      <c r="F158" s="210">
        <v>4.2099999999999999E-2</v>
      </c>
      <c r="G158" s="239">
        <f t="shared" si="18"/>
        <v>-1386.27</v>
      </c>
      <c r="H158" s="239">
        <f t="shared" si="19"/>
        <v>46136.960000000014</v>
      </c>
      <c r="I158" s="239">
        <f t="shared" si="20"/>
        <v>-372760.08930640121</v>
      </c>
      <c r="J158" s="206"/>
      <c r="K158" s="206"/>
      <c r="L158" s="206"/>
      <c r="M158" s="206"/>
      <c r="N158" s="206"/>
      <c r="O158" s="206"/>
    </row>
    <row r="159" spans="1:15" s="173" customFormat="1" hidden="1" x14ac:dyDescent="0.25">
      <c r="A159" s="153">
        <f t="shared" si="21"/>
        <v>152</v>
      </c>
      <c r="B159" s="184">
        <v>43069</v>
      </c>
      <c r="C159" s="147" t="s">
        <v>164</v>
      </c>
      <c r="D159" s="203">
        <v>89879.390000000029</v>
      </c>
      <c r="E159" s="239">
        <v>-1064137.94</v>
      </c>
      <c r="F159" s="210">
        <v>4.2099999999999999E-2</v>
      </c>
      <c r="G159" s="239">
        <f>ROUND((+E159+(D159/2))*F159/12,2)</f>
        <v>-3575.69</v>
      </c>
      <c r="H159" s="239">
        <f t="shared" si="19"/>
        <v>-977834.23999999987</v>
      </c>
      <c r="I159" s="239">
        <f t="shared" si="20"/>
        <v>-1350594.3293064011</v>
      </c>
      <c r="J159" s="206"/>
      <c r="K159" s="206"/>
      <c r="L159" s="206"/>
      <c r="M159" s="206"/>
      <c r="N159" s="206"/>
      <c r="O159" s="206"/>
    </row>
    <row r="160" spans="1:15" s="173" customFormat="1" hidden="1" x14ac:dyDescent="0.25">
      <c r="A160" s="153">
        <f t="shared" si="21"/>
        <v>153</v>
      </c>
      <c r="B160" s="184">
        <f>B158+31</f>
        <v>43100</v>
      </c>
      <c r="C160" s="214"/>
      <c r="D160" s="203">
        <v>355819.97000000009</v>
      </c>
      <c r="E160" s="239"/>
      <c r="F160" s="210">
        <v>4.2099999999999999E-2</v>
      </c>
      <c r="G160" s="239">
        <f t="shared" si="18"/>
        <v>-4114.17</v>
      </c>
      <c r="H160" s="239">
        <f t="shared" si="19"/>
        <v>351705.8000000001</v>
      </c>
      <c r="I160" s="239">
        <f t="shared" si="20"/>
        <v>-998888.52930640103</v>
      </c>
      <c r="J160" s="206"/>
      <c r="K160" s="206"/>
      <c r="L160" s="206"/>
      <c r="M160" s="206"/>
      <c r="N160" s="206"/>
      <c r="O160" s="206"/>
    </row>
    <row r="161" spans="1:15" s="173" customFormat="1" hidden="1" x14ac:dyDescent="0.25">
      <c r="A161" s="153">
        <f t="shared" si="21"/>
        <v>154</v>
      </c>
      <c r="B161" s="184">
        <v>43101</v>
      </c>
      <c r="C161" s="176">
        <v>2</v>
      </c>
      <c r="D161" s="203">
        <v>462131.81</v>
      </c>
      <c r="E161" s="239">
        <v>-1461710.98</v>
      </c>
      <c r="F161" s="210">
        <v>4.2500000000000003E-2</v>
      </c>
      <c r="G161" s="239">
        <f t="shared" si="18"/>
        <v>-7896.26</v>
      </c>
      <c r="H161" s="239">
        <f t="shared" si="19"/>
        <v>-1007475.4299999999</v>
      </c>
      <c r="I161" s="239">
        <f t="shared" si="20"/>
        <v>-2006363.959306401</v>
      </c>
      <c r="J161" s="206"/>
      <c r="K161" s="206"/>
      <c r="L161" s="206"/>
      <c r="M161" s="206"/>
      <c r="N161" s="206"/>
      <c r="O161" s="206"/>
    </row>
    <row r="162" spans="1:15" s="173" customFormat="1" hidden="1" x14ac:dyDescent="0.25">
      <c r="A162" s="153">
        <f t="shared" si="21"/>
        <v>155</v>
      </c>
      <c r="B162" s="184">
        <v>43132</v>
      </c>
      <c r="C162" s="214"/>
      <c r="D162" s="203">
        <v>331563.43000000005</v>
      </c>
      <c r="E162" s="239"/>
      <c r="F162" s="210">
        <v>4.2500000000000003E-2</v>
      </c>
      <c r="G162" s="239">
        <f t="shared" si="18"/>
        <v>-6518.73</v>
      </c>
      <c r="H162" s="239">
        <f t="shared" si="19"/>
        <v>325044.70000000007</v>
      </c>
      <c r="I162" s="239">
        <f t="shared" si="20"/>
        <v>-1681319.259306401</v>
      </c>
      <c r="J162" s="206"/>
      <c r="K162" s="206"/>
      <c r="L162" s="206"/>
      <c r="M162" s="206"/>
      <c r="N162" s="206"/>
      <c r="O162" s="206"/>
    </row>
    <row r="163" spans="1:15" s="173" customFormat="1" hidden="1" x14ac:dyDescent="0.25">
      <c r="A163" s="153">
        <f t="shared" si="21"/>
        <v>156</v>
      </c>
      <c r="B163" s="184">
        <v>43160</v>
      </c>
      <c r="C163" s="214"/>
      <c r="D163" s="203">
        <v>366857.62999999995</v>
      </c>
      <c r="E163" s="239"/>
      <c r="F163" s="210">
        <v>4.2500000000000003E-2</v>
      </c>
      <c r="G163" s="239">
        <f t="shared" si="18"/>
        <v>-5305.03</v>
      </c>
      <c r="H163" s="239">
        <f t="shared" si="19"/>
        <v>361552.59999999992</v>
      </c>
      <c r="I163" s="239">
        <f t="shared" si="20"/>
        <v>-1319766.6593064012</v>
      </c>
      <c r="J163" s="206"/>
      <c r="K163" s="206"/>
      <c r="L163" s="206"/>
      <c r="M163" s="206"/>
      <c r="N163" s="206"/>
      <c r="O163" s="206"/>
    </row>
    <row r="164" spans="1:15" s="173" customFormat="1" hidden="1" x14ac:dyDescent="0.25">
      <c r="A164" s="153">
        <f t="shared" si="21"/>
        <v>157</v>
      </c>
      <c r="B164" s="184">
        <v>43191</v>
      </c>
      <c r="C164" s="214"/>
      <c r="D164" s="203">
        <v>268036.96999999997</v>
      </c>
      <c r="E164" s="239"/>
      <c r="F164" s="210">
        <v>4.4699999999999997E-2</v>
      </c>
      <c r="G164" s="239">
        <f t="shared" si="18"/>
        <v>-4416.91</v>
      </c>
      <c r="H164" s="239">
        <f t="shared" si="19"/>
        <v>263620.06</v>
      </c>
      <c r="I164" s="239">
        <f t="shared" si="20"/>
        <v>-1056146.5993064011</v>
      </c>
      <c r="J164" s="206"/>
      <c r="K164" s="206"/>
      <c r="L164" s="206"/>
      <c r="M164" s="206"/>
      <c r="N164" s="206"/>
      <c r="O164" s="206"/>
    </row>
    <row r="165" spans="1:15" s="173" customFormat="1" hidden="1" x14ac:dyDescent="0.25">
      <c r="A165" s="153">
        <f t="shared" si="21"/>
        <v>158</v>
      </c>
      <c r="B165" s="184">
        <v>43221</v>
      </c>
      <c r="C165" s="214"/>
      <c r="D165" s="203">
        <v>146130.19</v>
      </c>
      <c r="E165" s="239"/>
      <c r="F165" s="210">
        <v>4.4699999999999997E-2</v>
      </c>
      <c r="G165" s="239">
        <f t="shared" si="18"/>
        <v>-3661.98</v>
      </c>
      <c r="H165" s="239">
        <f t="shared" si="19"/>
        <v>142468.21</v>
      </c>
      <c r="I165" s="239">
        <f t="shared" si="20"/>
        <v>-913678.38930640114</v>
      </c>
      <c r="J165" s="206"/>
      <c r="K165" s="206"/>
      <c r="L165" s="206"/>
      <c r="M165" s="206"/>
      <c r="N165" s="206"/>
      <c r="O165" s="206"/>
    </row>
    <row r="166" spans="1:15" s="173" customFormat="1" hidden="1" x14ac:dyDescent="0.25">
      <c r="A166" s="153">
        <f t="shared" si="21"/>
        <v>159</v>
      </c>
      <c r="B166" s="184">
        <v>43252</v>
      </c>
      <c r="C166" s="214"/>
      <c r="D166" s="203">
        <v>99918.999999999971</v>
      </c>
      <c r="E166" s="239"/>
      <c r="F166" s="210">
        <v>4.4699999999999997E-2</v>
      </c>
      <c r="G166" s="239">
        <f t="shared" si="18"/>
        <v>-3217.35</v>
      </c>
      <c r="H166" s="239">
        <f t="shared" si="19"/>
        <v>96701.649999999965</v>
      </c>
      <c r="I166" s="239">
        <f t="shared" si="20"/>
        <v>-816976.73930640123</v>
      </c>
      <c r="J166" s="206"/>
      <c r="K166" s="206"/>
      <c r="L166" s="206"/>
      <c r="M166" s="206"/>
      <c r="N166" s="206"/>
      <c r="O166" s="206"/>
    </row>
    <row r="167" spans="1:15" s="173" customFormat="1" hidden="1" x14ac:dyDescent="0.25">
      <c r="A167" s="153">
        <f t="shared" si="21"/>
        <v>160</v>
      </c>
      <c r="B167" s="184">
        <v>43282</v>
      </c>
      <c r="C167" s="214"/>
      <c r="D167" s="203">
        <v>83289.190000000017</v>
      </c>
      <c r="E167" s="239"/>
      <c r="F167" s="210">
        <v>4.6899999999999997E-2</v>
      </c>
      <c r="G167" s="239">
        <f t="shared" si="18"/>
        <v>-3030.26</v>
      </c>
      <c r="H167" s="239">
        <f t="shared" si="19"/>
        <v>80258.930000000022</v>
      </c>
      <c r="I167" s="239">
        <f t="shared" si="20"/>
        <v>-736717.80930640118</v>
      </c>
      <c r="J167" s="206"/>
      <c r="K167" s="206"/>
      <c r="L167" s="206"/>
      <c r="M167" s="206"/>
      <c r="N167" s="206"/>
      <c r="O167" s="206"/>
    </row>
    <row r="168" spans="1:15" s="173" customFormat="1" hidden="1" x14ac:dyDescent="0.25">
      <c r="A168" s="153">
        <f t="shared" si="21"/>
        <v>161</v>
      </c>
      <c r="B168" s="184">
        <v>43313</v>
      </c>
      <c r="C168" s="214"/>
      <c r="D168" s="161">
        <v>69999.429999999978</v>
      </c>
      <c r="E168" s="239"/>
      <c r="F168" s="210">
        <v>4.6899999999999997E-2</v>
      </c>
      <c r="G168" s="239">
        <f t="shared" si="18"/>
        <v>-2742.55</v>
      </c>
      <c r="H168" s="239">
        <f t="shared" si="19"/>
        <v>67256.879999999976</v>
      </c>
      <c r="I168" s="239">
        <f t="shared" si="20"/>
        <v>-669460.92930640117</v>
      </c>
      <c r="J168" s="206"/>
      <c r="K168" s="206"/>
      <c r="L168" s="206"/>
      <c r="M168" s="206"/>
      <c r="N168" s="206"/>
      <c r="O168" s="206"/>
    </row>
    <row r="169" spans="1:15" s="173" customFormat="1" hidden="1" x14ac:dyDescent="0.25">
      <c r="A169" s="153">
        <f t="shared" si="21"/>
        <v>162</v>
      </c>
      <c r="B169" s="184">
        <v>43344</v>
      </c>
      <c r="C169" s="214"/>
      <c r="D169" s="161">
        <v>77949.570000000007</v>
      </c>
      <c r="E169" s="239"/>
      <c r="F169" s="210">
        <v>4.6899999999999997E-2</v>
      </c>
      <c r="G169" s="239">
        <f t="shared" si="18"/>
        <v>-2464.15</v>
      </c>
      <c r="H169" s="239">
        <f t="shared" si="19"/>
        <v>75485.420000000013</v>
      </c>
      <c r="I169" s="239">
        <f t="shared" si="20"/>
        <v>-593975.50930640113</v>
      </c>
      <c r="J169" s="206"/>
      <c r="K169" s="206"/>
      <c r="L169" s="206"/>
      <c r="M169" s="206"/>
      <c r="N169" s="206"/>
      <c r="O169" s="206"/>
    </row>
    <row r="170" spans="1:15" s="173" customFormat="1" hidden="1" x14ac:dyDescent="0.25">
      <c r="A170" s="153">
        <f t="shared" si="21"/>
        <v>163</v>
      </c>
      <c r="B170" s="184">
        <v>43374</v>
      </c>
      <c r="C170" s="214"/>
      <c r="D170" s="161">
        <v>111250.53</v>
      </c>
      <c r="E170" s="239"/>
      <c r="F170" s="185">
        <v>4.9599999999999998E-2</v>
      </c>
      <c r="G170" s="239">
        <f t="shared" si="18"/>
        <v>-2225.1799999999998</v>
      </c>
      <c r="H170" s="239">
        <f t="shared" si="19"/>
        <v>109025.35</v>
      </c>
      <c r="I170" s="239">
        <f t="shared" si="20"/>
        <v>-484950.15930640115</v>
      </c>
      <c r="J170" s="206"/>
      <c r="K170" s="206"/>
      <c r="L170" s="206"/>
      <c r="M170" s="206"/>
      <c r="N170" s="206"/>
      <c r="O170" s="206"/>
    </row>
    <row r="171" spans="1:15" s="173" customFormat="1" hidden="1" x14ac:dyDescent="0.25">
      <c r="A171" s="153">
        <f t="shared" si="21"/>
        <v>164</v>
      </c>
      <c r="B171" s="184">
        <v>43405</v>
      </c>
      <c r="C171" s="214" t="s">
        <v>165</v>
      </c>
      <c r="D171" s="161">
        <v>113006.17999999996</v>
      </c>
      <c r="E171" s="239"/>
      <c r="F171" s="185">
        <v>4.9599999999999998E-2</v>
      </c>
      <c r="G171" s="239">
        <f t="shared" si="18"/>
        <v>-1770.91</v>
      </c>
      <c r="H171" s="239">
        <f t="shared" si="19"/>
        <v>111235.26999999996</v>
      </c>
      <c r="I171" s="239">
        <f t="shared" si="20"/>
        <v>-373714.88930640119</v>
      </c>
      <c r="J171" s="206"/>
      <c r="K171" s="206"/>
      <c r="L171" s="206"/>
      <c r="M171" s="206"/>
      <c r="N171" s="206"/>
      <c r="O171" s="206"/>
    </row>
    <row r="172" spans="1:15" s="173" customFormat="1" x14ac:dyDescent="0.25">
      <c r="A172" s="153">
        <f t="shared" si="21"/>
        <v>165</v>
      </c>
      <c r="B172" s="184">
        <v>43405</v>
      </c>
      <c r="C172" s="147" t="s">
        <v>164</v>
      </c>
      <c r="D172" s="151">
        <v>60620.570000000007</v>
      </c>
      <c r="E172" s="239">
        <v>-522600.12438439886</v>
      </c>
      <c r="F172" s="185">
        <v>4.9599999999999998E-2</v>
      </c>
      <c r="G172" s="239">
        <v>-2034.8</v>
      </c>
      <c r="H172" s="239">
        <v>-464014.35438439884</v>
      </c>
      <c r="I172" s="239">
        <v>-837729.24369080004</v>
      </c>
      <c r="J172" s="206"/>
      <c r="K172" s="206"/>
      <c r="L172" s="206"/>
      <c r="M172" s="206"/>
      <c r="N172" s="206"/>
      <c r="O172" s="206"/>
    </row>
    <row r="173" spans="1:15" s="173" customFormat="1" x14ac:dyDescent="0.25">
      <c r="A173" s="153">
        <f t="shared" si="21"/>
        <v>166</v>
      </c>
      <c r="B173" s="184">
        <v>43435</v>
      </c>
      <c r="C173" s="215"/>
      <c r="D173" s="148">
        <v>275157.60000000003</v>
      </c>
      <c r="E173" s="239"/>
      <c r="F173" s="185">
        <v>4.9599999999999998E-2</v>
      </c>
      <c r="G173" s="239">
        <v>-2893.96</v>
      </c>
      <c r="H173" s="239">
        <v>272263.64</v>
      </c>
      <c r="I173" s="239">
        <v>-565465.60369080002</v>
      </c>
      <c r="J173" s="206"/>
      <c r="K173" s="206"/>
      <c r="L173" s="206"/>
      <c r="M173" s="206"/>
      <c r="N173" s="206"/>
      <c r="O173" s="206"/>
    </row>
    <row r="174" spans="1:15" s="173" customFormat="1" x14ac:dyDescent="0.25">
      <c r="A174" s="153">
        <f t="shared" si="21"/>
        <v>167</v>
      </c>
      <c r="B174" s="184">
        <v>43466</v>
      </c>
      <c r="C174" s="176">
        <v>2</v>
      </c>
      <c r="D174" s="148">
        <v>319970.46000000002</v>
      </c>
      <c r="E174" s="239">
        <v>-1864076.8</v>
      </c>
      <c r="F174" s="185">
        <v>5.1799999999999999E-2</v>
      </c>
      <c r="G174" s="239">
        <v>-9796.92</v>
      </c>
      <c r="H174" s="239">
        <v>-1553903.26</v>
      </c>
      <c r="I174" s="239">
        <v>-2119368.8636908</v>
      </c>
      <c r="J174" s="206"/>
      <c r="K174" s="206"/>
      <c r="L174" s="206"/>
      <c r="M174" s="206"/>
      <c r="N174" s="206"/>
      <c r="O174" s="206"/>
    </row>
    <row r="175" spans="1:15" s="173" customFormat="1" x14ac:dyDescent="0.25">
      <c r="A175" s="153">
        <f t="shared" si="21"/>
        <v>168</v>
      </c>
      <c r="B175" s="184">
        <v>43497</v>
      </c>
      <c r="C175" s="215"/>
      <c r="D175" s="148">
        <v>316056.19</v>
      </c>
      <c r="E175" s="239"/>
      <c r="F175" s="185">
        <v>5.1799999999999999E-2</v>
      </c>
      <c r="G175" s="239">
        <v>-8466.4500000000007</v>
      </c>
      <c r="H175" s="239">
        <v>307589.74</v>
      </c>
      <c r="I175" s="239">
        <v>-1811779.1236908</v>
      </c>
      <c r="J175" s="206"/>
      <c r="K175" s="206"/>
      <c r="L175" s="206"/>
      <c r="M175" s="206"/>
      <c r="N175" s="206"/>
      <c r="O175" s="206"/>
    </row>
    <row r="176" spans="1:15" s="173" customFormat="1" x14ac:dyDescent="0.25">
      <c r="A176" s="153">
        <f t="shared" si="21"/>
        <v>169</v>
      </c>
      <c r="B176" s="184">
        <v>43525</v>
      </c>
      <c r="C176" s="215"/>
      <c r="D176" s="148">
        <v>342332.13000000006</v>
      </c>
      <c r="E176" s="239"/>
      <c r="F176" s="185">
        <v>5.1799999999999999E-2</v>
      </c>
      <c r="G176" s="239">
        <v>-7081.98</v>
      </c>
      <c r="H176" s="239">
        <v>335250.15000000008</v>
      </c>
      <c r="I176" s="239">
        <v>-1476528.9736907999</v>
      </c>
      <c r="J176" s="206"/>
      <c r="K176" s="206"/>
      <c r="L176" s="206"/>
      <c r="M176" s="206"/>
      <c r="N176" s="206"/>
      <c r="O176" s="206"/>
    </row>
    <row r="177" spans="1:15" s="173" customFormat="1" x14ac:dyDescent="0.25">
      <c r="A177" s="153">
        <f t="shared" si="21"/>
        <v>170</v>
      </c>
      <c r="B177" s="184">
        <v>43556</v>
      </c>
      <c r="C177" s="215"/>
      <c r="D177" s="148">
        <v>167782.39999999999</v>
      </c>
      <c r="E177" s="239"/>
      <c r="F177" s="185">
        <v>5.45E-2</v>
      </c>
      <c r="G177" s="239">
        <v>-6324.9</v>
      </c>
      <c r="H177" s="239">
        <v>161457.5</v>
      </c>
      <c r="I177" s="239">
        <v>-1315071.4736907999</v>
      </c>
      <c r="J177" s="206"/>
      <c r="K177" s="206"/>
      <c r="L177" s="206"/>
      <c r="M177" s="206"/>
      <c r="N177" s="206"/>
      <c r="O177" s="206"/>
    </row>
    <row r="178" spans="1:15" s="173" customFormat="1" x14ac:dyDescent="0.25">
      <c r="A178" s="153">
        <f t="shared" si="21"/>
        <v>171</v>
      </c>
      <c r="B178" s="184">
        <v>43586</v>
      </c>
      <c r="C178" s="215"/>
      <c r="D178" s="148">
        <v>115806.21</v>
      </c>
      <c r="E178" s="239"/>
      <c r="F178" s="185">
        <v>5.45E-2</v>
      </c>
      <c r="G178" s="239">
        <v>-5709.64</v>
      </c>
      <c r="H178" s="239">
        <v>110096.57</v>
      </c>
      <c r="I178" s="239">
        <v>-1204974.9036907998</v>
      </c>
      <c r="J178" s="206"/>
      <c r="K178" s="206"/>
      <c r="L178" s="206"/>
      <c r="M178" s="206"/>
      <c r="N178" s="206"/>
      <c r="O178" s="206"/>
    </row>
    <row r="179" spans="1:15" s="173" customFormat="1" x14ac:dyDescent="0.25">
      <c r="A179" s="153">
        <f t="shared" si="21"/>
        <v>172</v>
      </c>
      <c r="B179" s="184">
        <v>43617</v>
      </c>
      <c r="C179" s="215"/>
      <c r="D179" s="148">
        <v>77782.98</v>
      </c>
      <c r="E179" s="239"/>
      <c r="F179" s="185">
        <v>5.45E-2</v>
      </c>
      <c r="G179" s="239">
        <v>-5295.96</v>
      </c>
      <c r="H179" s="239">
        <v>72487.01999999999</v>
      </c>
      <c r="I179" s="239">
        <v>-1132487.8836907998</v>
      </c>
      <c r="J179" s="206"/>
      <c r="K179" s="206"/>
      <c r="L179" s="206"/>
      <c r="M179" s="206"/>
      <c r="N179" s="206"/>
      <c r="O179" s="206"/>
    </row>
    <row r="180" spans="1:15" s="173" customFormat="1" x14ac:dyDescent="0.25">
      <c r="A180" s="153">
        <f t="shared" si="21"/>
        <v>173</v>
      </c>
      <c r="B180" s="184">
        <v>43647</v>
      </c>
      <c r="C180" s="215"/>
      <c r="D180" s="148">
        <v>67529.680000000022</v>
      </c>
      <c r="E180" s="239"/>
      <c r="F180" s="185">
        <v>5.5E-2</v>
      </c>
      <c r="G180" s="239">
        <v>-5035.8100000000004</v>
      </c>
      <c r="H180" s="239">
        <v>62493.870000000024</v>
      </c>
      <c r="I180" s="239">
        <v>-1069994.0136907997</v>
      </c>
      <c r="J180" s="206"/>
      <c r="K180" s="206"/>
      <c r="L180" s="206"/>
      <c r="M180" s="206"/>
      <c r="N180" s="206"/>
      <c r="O180" s="206"/>
    </row>
    <row r="181" spans="1:15" s="173" customFormat="1" x14ac:dyDescent="0.25">
      <c r="A181" s="153">
        <f t="shared" si="21"/>
        <v>174</v>
      </c>
      <c r="B181" s="184">
        <v>43678</v>
      </c>
      <c r="C181" s="215"/>
      <c r="D181" s="151">
        <v>55677.109999999993</v>
      </c>
      <c r="E181" s="239"/>
      <c r="F181" s="185">
        <v>5.5E-2</v>
      </c>
      <c r="G181" s="239">
        <v>-4776.55</v>
      </c>
      <c r="H181" s="239">
        <v>50900.55999999999</v>
      </c>
      <c r="I181" s="239">
        <v>-1019093.4536907998</v>
      </c>
      <c r="J181" s="206"/>
      <c r="K181" s="206"/>
      <c r="L181" s="206"/>
      <c r="M181" s="206"/>
      <c r="N181" s="206"/>
      <c r="O181" s="206"/>
    </row>
    <row r="182" spans="1:15" s="173" customFormat="1" x14ac:dyDescent="0.25">
      <c r="A182" s="153">
        <f t="shared" si="21"/>
        <v>175</v>
      </c>
      <c r="B182" s="184">
        <v>43709</v>
      </c>
      <c r="C182" s="215" t="s">
        <v>166</v>
      </c>
      <c r="D182" s="148">
        <v>64673.399999999994</v>
      </c>
      <c r="E182" s="239"/>
      <c r="F182" s="185">
        <v>5.5E-2</v>
      </c>
      <c r="G182" s="239">
        <v>-4522.6400000000003</v>
      </c>
      <c r="H182" s="239">
        <v>60150.759999999995</v>
      </c>
      <c r="I182" s="239">
        <v>-958942.69369079976</v>
      </c>
      <c r="J182" s="206"/>
      <c r="K182" s="206"/>
      <c r="L182" s="206"/>
      <c r="M182" s="206"/>
      <c r="N182" s="206"/>
      <c r="O182" s="206"/>
    </row>
    <row r="183" spans="1:15" s="173" customFormat="1" x14ac:dyDescent="0.25">
      <c r="A183" s="153">
        <f t="shared" si="21"/>
        <v>176</v>
      </c>
      <c r="B183" s="184">
        <v>43739</v>
      </c>
      <c r="C183" s="215" t="s">
        <v>166</v>
      </c>
      <c r="D183" s="148">
        <v>129593.78999999996</v>
      </c>
      <c r="E183" s="239"/>
      <c r="F183" s="186">
        <v>5.4199999999999998E-2</v>
      </c>
      <c r="G183" s="239">
        <v>-4038.56</v>
      </c>
      <c r="H183" s="239">
        <v>125555.22999999997</v>
      </c>
      <c r="I183" s="239">
        <v>-833387.46369079978</v>
      </c>
      <c r="J183" s="206"/>
      <c r="K183" s="206"/>
      <c r="L183" s="206"/>
      <c r="M183" s="206"/>
      <c r="N183" s="206"/>
      <c r="O183" s="206"/>
    </row>
    <row r="184" spans="1:15" s="173" customFormat="1" x14ac:dyDescent="0.25">
      <c r="A184" s="153">
        <f t="shared" si="21"/>
        <v>177</v>
      </c>
      <c r="B184" s="184"/>
      <c r="C184" s="215"/>
      <c r="D184" s="203"/>
      <c r="E184" s="239"/>
      <c r="F184" s="185"/>
      <c r="G184" s="239"/>
      <c r="H184" s="239"/>
      <c r="I184" s="239"/>
      <c r="J184" s="206"/>
      <c r="K184" s="206"/>
      <c r="L184" s="206"/>
      <c r="M184" s="206"/>
      <c r="N184" s="206"/>
      <c r="O184" s="206"/>
    </row>
    <row r="185" spans="1:15" s="173" customFormat="1" x14ac:dyDescent="0.25">
      <c r="A185" s="153">
        <f t="shared" si="21"/>
        <v>178</v>
      </c>
      <c r="B185" s="147"/>
      <c r="C185" s="147"/>
      <c r="D185" s="240"/>
      <c r="E185" s="161"/>
      <c r="F185" s="204"/>
      <c r="G185" s="205"/>
      <c r="H185" s="206"/>
      <c r="I185" s="207"/>
      <c r="J185" s="206"/>
      <c r="K185" s="206"/>
      <c r="L185" s="206"/>
      <c r="M185" s="206"/>
      <c r="N185" s="206"/>
      <c r="O185" s="206"/>
    </row>
    <row r="186" spans="1:15" x14ac:dyDescent="0.25">
      <c r="A186" s="153">
        <f t="shared" si="21"/>
        <v>179</v>
      </c>
      <c r="B186" s="188" t="s">
        <v>157</v>
      </c>
      <c r="D186" s="203"/>
      <c r="F186" s="241"/>
      <c r="G186" s="205"/>
      <c r="H186" s="206"/>
      <c r="I186" s="207"/>
      <c r="J186" s="148"/>
      <c r="K186" s="148"/>
      <c r="L186" s="148"/>
      <c r="M186" s="148"/>
      <c r="N186" s="148"/>
      <c r="O186" s="148"/>
    </row>
    <row r="187" spans="1:15" x14ac:dyDescent="0.25">
      <c r="A187" s="153">
        <f t="shared" si="21"/>
        <v>180</v>
      </c>
      <c r="B187" s="189"/>
      <c r="D187" s="203"/>
      <c r="F187" s="241"/>
      <c r="G187" s="205"/>
      <c r="H187" s="206"/>
      <c r="I187" s="207"/>
      <c r="J187" s="148"/>
      <c r="K187" s="148"/>
      <c r="L187" s="148"/>
      <c r="M187" s="148"/>
      <c r="N187" s="148"/>
      <c r="O187" s="148"/>
    </row>
    <row r="188" spans="1:15" x14ac:dyDescent="0.25">
      <c r="A188" s="153">
        <f t="shared" si="21"/>
        <v>181</v>
      </c>
      <c r="B188" s="190" t="s">
        <v>131</v>
      </c>
      <c r="D188" s="203"/>
      <c r="F188" s="241"/>
      <c r="G188" s="205"/>
      <c r="H188" s="206"/>
      <c r="I188" s="207"/>
      <c r="J188" s="148"/>
      <c r="K188" s="148"/>
      <c r="L188" s="148"/>
      <c r="M188" s="148"/>
      <c r="N188" s="148"/>
      <c r="O188" s="148"/>
    </row>
    <row r="189" spans="1:15" x14ac:dyDescent="0.25">
      <c r="A189" s="153">
        <f t="shared" si="21"/>
        <v>182</v>
      </c>
      <c r="B189" s="147" t="s">
        <v>177</v>
      </c>
      <c r="D189" s="203"/>
      <c r="F189" s="241"/>
      <c r="G189" s="205"/>
      <c r="H189" s="206"/>
      <c r="I189" s="207"/>
      <c r="J189" s="148"/>
      <c r="K189" s="148"/>
      <c r="L189" s="148"/>
      <c r="M189" s="148"/>
      <c r="N189" s="148"/>
      <c r="O189" s="148"/>
    </row>
    <row r="190" spans="1:15" x14ac:dyDescent="0.25">
      <c r="A190" s="153">
        <f t="shared" si="21"/>
        <v>183</v>
      </c>
      <c r="B190" s="2" t="s">
        <v>178</v>
      </c>
      <c r="D190" s="203"/>
      <c r="F190" s="241"/>
      <c r="G190" s="205"/>
      <c r="H190" s="206"/>
      <c r="I190" s="207"/>
      <c r="J190" s="148"/>
      <c r="K190" s="148"/>
      <c r="L190" s="148"/>
      <c r="M190" s="148"/>
      <c r="N190" s="148"/>
      <c r="O190" s="148"/>
    </row>
    <row r="191" spans="1:15" x14ac:dyDescent="0.25">
      <c r="A191" s="153"/>
      <c r="J191" s="148"/>
      <c r="K191" s="148"/>
      <c r="L191" s="148"/>
      <c r="M191" s="148"/>
      <c r="N191" s="148"/>
      <c r="O191" s="148"/>
    </row>
    <row r="192" spans="1:15" x14ac:dyDescent="0.25">
      <c r="B192" s="189"/>
      <c r="J192" s="148"/>
      <c r="K192" s="148"/>
      <c r="L192" s="148"/>
      <c r="M192" s="148"/>
      <c r="N192" s="148"/>
      <c r="O192" s="148"/>
    </row>
    <row r="193" spans="10:15" x14ac:dyDescent="0.25">
      <c r="J193" s="148"/>
      <c r="K193" s="148"/>
      <c r="L193" s="148"/>
      <c r="M193" s="148"/>
      <c r="N193" s="148"/>
      <c r="O193" s="148"/>
    </row>
    <row r="194" spans="10:15" x14ac:dyDescent="0.25">
      <c r="J194" s="148"/>
      <c r="K194" s="148"/>
      <c r="L194" s="148"/>
      <c r="M194" s="148"/>
      <c r="N194" s="148"/>
      <c r="O194" s="148"/>
    </row>
    <row r="195" spans="10:15" x14ac:dyDescent="0.25">
      <c r="J195" s="148"/>
      <c r="K195" s="148"/>
      <c r="L195" s="148"/>
      <c r="M195" s="148"/>
      <c r="N195" s="148"/>
      <c r="O195" s="148"/>
    </row>
    <row r="196" spans="10:15" x14ac:dyDescent="0.25">
      <c r="J196" s="148"/>
      <c r="K196" s="148"/>
      <c r="L196" s="148"/>
      <c r="M196" s="148"/>
      <c r="N196" s="148"/>
      <c r="O196" s="148"/>
    </row>
    <row r="197" spans="10:15" x14ac:dyDescent="0.25">
      <c r="J197" s="148"/>
      <c r="K197" s="148"/>
      <c r="L197" s="148"/>
      <c r="M197" s="148"/>
      <c r="N197" s="148"/>
      <c r="O197" s="148"/>
    </row>
    <row r="198" spans="10:15" x14ac:dyDescent="0.25">
      <c r="J198" s="148"/>
      <c r="K198" s="148"/>
      <c r="L198" s="148"/>
      <c r="M198" s="148"/>
      <c r="N198" s="148"/>
      <c r="O198" s="148"/>
    </row>
    <row r="199" spans="10:15" x14ac:dyDescent="0.25">
      <c r="J199" s="148"/>
      <c r="K199" s="148"/>
      <c r="L199" s="148"/>
      <c r="M199" s="148"/>
      <c r="N199" s="148"/>
      <c r="O199" s="148"/>
    </row>
    <row r="200" spans="10:15" x14ac:dyDescent="0.25">
      <c r="J200" s="148"/>
      <c r="K200" s="148"/>
      <c r="L200" s="148"/>
      <c r="M200" s="148"/>
      <c r="N200" s="148"/>
      <c r="O200" s="148"/>
    </row>
  </sheetData>
  <pageMargins left="0.7" right="0.7" top="0.75" bottom="0.75" header="0.3" footer="0.3"/>
  <pageSetup scale="66" orientation="landscape" horizontalDpi="300" verticalDpi="300" r:id="rId1"/>
  <headerFooter>
    <oddHeader>&amp;RNWN's Advice 19-06A
Exhibit A - Supporting Materials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4"/>
  <sheetViews>
    <sheetView showGridLines="0" view="pageLayout" zoomScaleNormal="100" workbookViewId="0">
      <selection activeCell="M10" sqref="M10"/>
    </sheetView>
  </sheetViews>
  <sheetFormatPr defaultColWidth="7.88671875" defaultRowHeight="13.2" x14ac:dyDescent="0.25"/>
  <cols>
    <col min="1" max="1" width="4" style="146" customWidth="1"/>
    <col min="2" max="2" width="13.44140625" style="147" customWidth="1"/>
    <col min="3" max="3" width="8.88671875" style="147" customWidth="1"/>
    <col min="4" max="5" width="15.44140625" style="148" customWidth="1"/>
    <col min="6" max="7" width="17.88671875" style="148" customWidth="1"/>
    <col min="8" max="11" width="13.44140625" style="147" customWidth="1"/>
    <col min="12" max="12" width="3.6640625" style="147" customWidth="1"/>
    <col min="13" max="18" width="13.44140625" style="147" customWidth="1"/>
    <col min="19" max="16384" width="7.88671875" style="147"/>
  </cols>
  <sheetData>
    <row r="1" spans="1:9" x14ac:dyDescent="0.25">
      <c r="B1" s="147" t="s">
        <v>133</v>
      </c>
      <c r="D1" s="148" t="s">
        <v>134</v>
      </c>
    </row>
    <row r="2" spans="1:9" x14ac:dyDescent="0.25">
      <c r="B2" s="147" t="s">
        <v>135</v>
      </c>
      <c r="D2" s="148" t="s">
        <v>68</v>
      </c>
    </row>
    <row r="3" spans="1:9" x14ac:dyDescent="0.25">
      <c r="B3" s="147" t="s">
        <v>136</v>
      </c>
      <c r="C3" s="152"/>
      <c r="D3" s="242" t="s">
        <v>179</v>
      </c>
      <c r="E3" s="151"/>
      <c r="F3" s="151"/>
      <c r="G3" s="151"/>
      <c r="H3" s="152"/>
      <c r="I3" s="152"/>
    </row>
    <row r="4" spans="1:9" x14ac:dyDescent="0.25">
      <c r="B4" s="147" t="s">
        <v>138</v>
      </c>
      <c r="C4" s="152"/>
      <c r="D4" s="232" t="s">
        <v>180</v>
      </c>
      <c r="E4" s="151"/>
      <c r="F4" s="151"/>
      <c r="G4" s="151"/>
      <c r="H4" s="152"/>
      <c r="I4" s="152"/>
    </row>
    <row r="5" spans="1:9" x14ac:dyDescent="0.25">
      <c r="C5" s="152"/>
      <c r="D5" s="152" t="s">
        <v>181</v>
      </c>
      <c r="E5" s="151"/>
      <c r="F5" s="151"/>
      <c r="G5" s="151"/>
      <c r="H5" s="152"/>
      <c r="I5" s="152"/>
    </row>
    <row r="6" spans="1:9" x14ac:dyDescent="0.25">
      <c r="C6" s="152"/>
      <c r="D6" s="152"/>
      <c r="E6" s="151"/>
      <c r="F6" s="151"/>
      <c r="G6" s="151"/>
      <c r="H6" s="152"/>
      <c r="I6" s="152"/>
    </row>
    <row r="7" spans="1:9" x14ac:dyDescent="0.25">
      <c r="C7" s="152"/>
      <c r="D7" s="151"/>
      <c r="E7" s="151"/>
      <c r="F7" s="151"/>
      <c r="G7" s="151"/>
      <c r="H7" s="152"/>
      <c r="I7" s="152"/>
    </row>
    <row r="8" spans="1:9" x14ac:dyDescent="0.25">
      <c r="A8" s="153">
        <v>1</v>
      </c>
      <c r="B8" s="147" t="s">
        <v>141</v>
      </c>
      <c r="C8" s="152"/>
      <c r="D8" s="151"/>
      <c r="E8" s="151"/>
      <c r="F8" s="151"/>
      <c r="G8" s="151"/>
      <c r="H8" s="152"/>
      <c r="I8" s="152"/>
    </row>
    <row r="9" spans="1:9" x14ac:dyDescent="0.25">
      <c r="A9" s="153">
        <f t="shared" ref="A9:A72" si="0">+A8+1</f>
        <v>2</v>
      </c>
      <c r="C9" s="152"/>
      <c r="D9" s="151"/>
      <c r="E9" s="151"/>
      <c r="F9" s="151"/>
      <c r="G9" s="151"/>
      <c r="H9" s="152"/>
      <c r="I9" s="152"/>
    </row>
    <row r="10" spans="1:9" x14ac:dyDescent="0.25">
      <c r="A10" s="153">
        <f t="shared" si="0"/>
        <v>3</v>
      </c>
      <c r="B10" s="155"/>
      <c r="C10" s="194"/>
      <c r="D10" s="154"/>
      <c r="E10" s="154"/>
      <c r="F10" s="154"/>
      <c r="G10" s="154"/>
      <c r="H10" s="152"/>
      <c r="I10" s="152"/>
    </row>
    <row r="11" spans="1:9" x14ac:dyDescent="0.25">
      <c r="A11" s="153">
        <f t="shared" si="0"/>
        <v>4</v>
      </c>
      <c r="B11" s="156" t="s">
        <v>142</v>
      </c>
      <c r="C11" s="195" t="s">
        <v>143</v>
      </c>
      <c r="D11" s="157" t="s">
        <v>144</v>
      </c>
      <c r="E11" s="157" t="s">
        <v>145</v>
      </c>
      <c r="F11" s="157" t="s">
        <v>117</v>
      </c>
      <c r="G11" s="157" t="s">
        <v>111</v>
      </c>
      <c r="H11" s="152"/>
      <c r="I11" s="152"/>
    </row>
    <row r="12" spans="1:9" x14ac:dyDescent="0.25">
      <c r="A12" s="153">
        <f t="shared" si="0"/>
        <v>5</v>
      </c>
      <c r="B12" s="155" t="s">
        <v>147</v>
      </c>
      <c r="C12" s="194" t="s">
        <v>148</v>
      </c>
      <c r="D12" s="154" t="s">
        <v>149</v>
      </c>
      <c r="E12" s="154" t="s">
        <v>150</v>
      </c>
      <c r="F12" s="154" t="s">
        <v>175</v>
      </c>
      <c r="G12" s="154" t="s">
        <v>153</v>
      </c>
      <c r="H12" s="194"/>
      <c r="I12" s="152"/>
    </row>
    <row r="13" spans="1:9" x14ac:dyDescent="0.25">
      <c r="A13" s="153">
        <f t="shared" si="0"/>
        <v>6</v>
      </c>
      <c r="C13" s="152"/>
      <c r="D13" s="151"/>
      <c r="E13" s="151"/>
      <c r="F13" s="151"/>
      <c r="G13" s="151"/>
      <c r="H13" s="152"/>
      <c r="I13" s="152"/>
    </row>
    <row r="14" spans="1:9" x14ac:dyDescent="0.25">
      <c r="A14" s="153">
        <f t="shared" si="0"/>
        <v>7</v>
      </c>
      <c r="B14" s="159" t="s">
        <v>155</v>
      </c>
      <c r="C14" s="152"/>
      <c r="D14" s="151"/>
      <c r="E14" s="151"/>
      <c r="F14" s="151"/>
      <c r="G14" s="151"/>
      <c r="H14" s="152"/>
      <c r="I14" s="152"/>
    </row>
    <row r="15" spans="1:9" hidden="1" x14ac:dyDescent="0.25">
      <c r="A15" s="153">
        <f t="shared" si="0"/>
        <v>8</v>
      </c>
      <c r="B15" s="160">
        <v>39021</v>
      </c>
      <c r="C15" s="152"/>
      <c r="D15" s="161"/>
      <c r="E15" s="151"/>
      <c r="F15" s="151"/>
      <c r="G15" s="161">
        <v>-708326.92</v>
      </c>
      <c r="H15" s="152"/>
      <c r="I15" s="152"/>
    </row>
    <row r="16" spans="1:9" hidden="1" x14ac:dyDescent="0.25">
      <c r="A16" s="153">
        <f t="shared" si="0"/>
        <v>9</v>
      </c>
      <c r="B16" s="160">
        <f>+B15+30</f>
        <v>39051</v>
      </c>
      <c r="C16" s="152"/>
      <c r="D16" s="161">
        <v>-60637.96</v>
      </c>
      <c r="E16" s="151"/>
      <c r="F16" s="151">
        <f t="shared" ref="F16:F27" si="1">SUM(D16:E16)</f>
        <v>-60637.96</v>
      </c>
      <c r="G16" s="162">
        <f t="shared" ref="G16:G27" si="2">+G15+F16</f>
        <v>-768964.88</v>
      </c>
      <c r="H16" s="152"/>
      <c r="I16" s="152"/>
    </row>
    <row r="17" spans="1:9" hidden="1" x14ac:dyDescent="0.25">
      <c r="A17" s="153">
        <f t="shared" si="0"/>
        <v>10</v>
      </c>
      <c r="B17" s="160">
        <f>+B16+31</f>
        <v>39082</v>
      </c>
      <c r="C17" s="152"/>
      <c r="D17" s="161">
        <v>-57359.09</v>
      </c>
      <c r="E17" s="151"/>
      <c r="F17" s="151">
        <f t="shared" si="1"/>
        <v>-57359.09</v>
      </c>
      <c r="G17" s="162">
        <f t="shared" si="2"/>
        <v>-826323.97</v>
      </c>
      <c r="H17" s="152"/>
      <c r="I17" s="152"/>
    </row>
    <row r="18" spans="1:9" hidden="1" x14ac:dyDescent="0.25">
      <c r="A18" s="153">
        <f t="shared" si="0"/>
        <v>11</v>
      </c>
      <c r="B18" s="160">
        <f>+B17+31</f>
        <v>39113</v>
      </c>
      <c r="C18" s="152"/>
      <c r="D18" s="161">
        <v>0</v>
      </c>
      <c r="E18" s="151"/>
      <c r="F18" s="151">
        <f t="shared" si="1"/>
        <v>0</v>
      </c>
      <c r="G18" s="162">
        <f t="shared" si="2"/>
        <v>-826323.97</v>
      </c>
      <c r="H18" s="152"/>
      <c r="I18" s="152"/>
    </row>
    <row r="19" spans="1:9" hidden="1" x14ac:dyDescent="0.25">
      <c r="A19" s="153">
        <f t="shared" si="0"/>
        <v>12</v>
      </c>
      <c r="B19" s="160">
        <f>+B18+28</f>
        <v>39141</v>
      </c>
      <c r="C19" s="152"/>
      <c r="D19" s="161">
        <v>-16324.81</v>
      </c>
      <c r="E19" s="151"/>
      <c r="F19" s="151">
        <f t="shared" si="1"/>
        <v>-16324.81</v>
      </c>
      <c r="G19" s="162">
        <f t="shared" si="2"/>
        <v>-842648.78</v>
      </c>
      <c r="H19" s="152"/>
      <c r="I19" s="152"/>
    </row>
    <row r="20" spans="1:9" hidden="1" x14ac:dyDescent="0.25">
      <c r="A20" s="153">
        <f t="shared" si="0"/>
        <v>13</v>
      </c>
      <c r="B20" s="160">
        <f>+B19+31</f>
        <v>39172</v>
      </c>
      <c r="C20" s="152"/>
      <c r="D20" s="161">
        <v>-27705.22</v>
      </c>
      <c r="E20" s="161">
        <v>826323.97</v>
      </c>
      <c r="F20" s="151">
        <f t="shared" si="1"/>
        <v>798618.75</v>
      </c>
      <c r="G20" s="162">
        <f t="shared" si="2"/>
        <v>-44030.030000000028</v>
      </c>
      <c r="H20" s="152"/>
      <c r="I20" s="152"/>
    </row>
    <row r="21" spans="1:9" hidden="1" x14ac:dyDescent="0.25">
      <c r="A21" s="153">
        <f t="shared" si="0"/>
        <v>14</v>
      </c>
      <c r="B21" s="160">
        <f>+B20+30</f>
        <v>39202</v>
      </c>
      <c r="C21" s="152"/>
      <c r="D21" s="161">
        <v>-168164</v>
      </c>
      <c r="E21" s="151"/>
      <c r="F21" s="151">
        <f t="shared" si="1"/>
        <v>-168164</v>
      </c>
      <c r="G21" s="162">
        <f t="shared" si="2"/>
        <v>-212194.03000000003</v>
      </c>
      <c r="H21" s="152"/>
      <c r="I21" s="152"/>
    </row>
    <row r="22" spans="1:9" hidden="1" x14ac:dyDescent="0.25">
      <c r="A22" s="153">
        <f t="shared" si="0"/>
        <v>15</v>
      </c>
      <c r="B22" s="160">
        <f>+B21+31</f>
        <v>39233</v>
      </c>
      <c r="C22" s="152"/>
      <c r="D22" s="161">
        <v>-128946.73</v>
      </c>
      <c r="E22" s="151"/>
      <c r="F22" s="151">
        <f t="shared" si="1"/>
        <v>-128946.73</v>
      </c>
      <c r="G22" s="162">
        <f t="shared" si="2"/>
        <v>-341140.76</v>
      </c>
      <c r="H22" s="152"/>
      <c r="I22" s="152"/>
    </row>
    <row r="23" spans="1:9" hidden="1" x14ac:dyDescent="0.25">
      <c r="A23" s="153">
        <f t="shared" si="0"/>
        <v>16</v>
      </c>
      <c r="B23" s="160">
        <f>+B22+30</f>
        <v>39263</v>
      </c>
      <c r="C23" s="152"/>
      <c r="D23" s="161">
        <v>-147753.85</v>
      </c>
      <c r="E23" s="151"/>
      <c r="F23" s="151">
        <f t="shared" si="1"/>
        <v>-147753.85</v>
      </c>
      <c r="G23" s="162">
        <f t="shared" si="2"/>
        <v>-488894.61</v>
      </c>
      <c r="H23" s="152"/>
      <c r="I23" s="152"/>
    </row>
    <row r="24" spans="1:9" hidden="1" x14ac:dyDescent="0.25">
      <c r="A24" s="153">
        <f t="shared" si="0"/>
        <v>17</v>
      </c>
      <c r="B24" s="160">
        <f>+B23+31</f>
        <v>39294</v>
      </c>
      <c r="C24" s="243"/>
      <c r="D24" s="161">
        <v>-140874.92000000001</v>
      </c>
      <c r="E24" s="151"/>
      <c r="F24" s="151">
        <f t="shared" si="1"/>
        <v>-140874.92000000001</v>
      </c>
      <c r="G24" s="162">
        <f t="shared" si="2"/>
        <v>-629769.53</v>
      </c>
      <c r="H24" s="152"/>
      <c r="I24" s="152"/>
    </row>
    <row r="25" spans="1:9" hidden="1" x14ac:dyDescent="0.25">
      <c r="A25" s="153">
        <f t="shared" si="0"/>
        <v>18</v>
      </c>
      <c r="B25" s="160">
        <f>+B24+30</f>
        <v>39324</v>
      </c>
      <c r="C25" s="243"/>
      <c r="D25" s="161">
        <v>-140740.95000000001</v>
      </c>
      <c r="E25" s="151"/>
      <c r="F25" s="151">
        <f t="shared" si="1"/>
        <v>-140740.95000000001</v>
      </c>
      <c r="G25" s="162">
        <f t="shared" si="2"/>
        <v>-770510.48</v>
      </c>
      <c r="H25" s="152"/>
      <c r="I25" s="152"/>
    </row>
    <row r="26" spans="1:9" hidden="1" x14ac:dyDescent="0.25">
      <c r="A26" s="153">
        <f t="shared" si="0"/>
        <v>19</v>
      </c>
      <c r="B26" s="160">
        <f>+B25+30</f>
        <v>39354</v>
      </c>
      <c r="C26" s="243"/>
      <c r="D26" s="161">
        <v>-144958.13</v>
      </c>
      <c r="E26" s="151"/>
      <c r="F26" s="151">
        <f t="shared" si="1"/>
        <v>-144958.13</v>
      </c>
      <c r="G26" s="162">
        <f t="shared" si="2"/>
        <v>-915468.61</v>
      </c>
      <c r="H26" s="152"/>
      <c r="I26" s="152"/>
    </row>
    <row r="27" spans="1:9" hidden="1" x14ac:dyDescent="0.25">
      <c r="A27" s="153">
        <f t="shared" si="0"/>
        <v>20</v>
      </c>
      <c r="B27" s="160">
        <f>+B26+31</f>
        <v>39385</v>
      </c>
      <c r="C27" s="243"/>
      <c r="D27" s="165">
        <v>-120597.2</v>
      </c>
      <c r="E27" s="166"/>
      <c r="F27" s="166">
        <f t="shared" si="1"/>
        <v>-120597.2</v>
      </c>
      <c r="G27" s="162">
        <f t="shared" si="2"/>
        <v>-1036065.8099999999</v>
      </c>
      <c r="H27" s="152"/>
      <c r="I27" s="152"/>
    </row>
    <row r="28" spans="1:9" hidden="1" x14ac:dyDescent="0.25">
      <c r="A28" s="153">
        <f t="shared" si="0"/>
        <v>21</v>
      </c>
      <c r="B28" s="160">
        <f>+B27+30</f>
        <v>39415</v>
      </c>
      <c r="C28" s="152"/>
      <c r="D28" s="165">
        <v>-80829.55</v>
      </c>
      <c r="E28" s="166"/>
      <c r="F28" s="166">
        <f>SUM(D28:E28)</f>
        <v>-80829.55</v>
      </c>
      <c r="G28" s="162">
        <f>+G27+F28</f>
        <v>-1116895.3599999999</v>
      </c>
      <c r="H28" s="152"/>
      <c r="I28" s="152"/>
    </row>
    <row r="29" spans="1:9" hidden="1" x14ac:dyDescent="0.25">
      <c r="A29" s="153">
        <f t="shared" si="0"/>
        <v>22</v>
      </c>
      <c r="B29" s="160">
        <f>+B28+31</f>
        <v>39446</v>
      </c>
      <c r="C29" s="152"/>
      <c r="D29" s="165">
        <v>-103048.21</v>
      </c>
      <c r="E29" s="166"/>
      <c r="F29" s="166">
        <f>SUM(D29:E29)</f>
        <v>-103048.21</v>
      </c>
      <c r="G29" s="162">
        <f>+G28+F29</f>
        <v>-1219943.5699999998</v>
      </c>
      <c r="H29" s="152"/>
      <c r="I29" s="152"/>
    </row>
    <row r="30" spans="1:9" hidden="1" x14ac:dyDescent="0.25">
      <c r="A30" s="153">
        <f t="shared" si="0"/>
        <v>23</v>
      </c>
      <c r="B30" s="160">
        <f>+B29+31</f>
        <v>39477</v>
      </c>
      <c r="C30" s="152"/>
      <c r="D30" s="161">
        <v>-2506.92</v>
      </c>
      <c r="E30" s="151"/>
      <c r="F30" s="166">
        <f t="shared" ref="F30:F35" si="3">SUM(D30:E30)</f>
        <v>-2506.92</v>
      </c>
      <c r="G30" s="162">
        <f t="shared" ref="G30:G35" si="4">+G29+F30</f>
        <v>-1222450.4899999998</v>
      </c>
      <c r="H30" s="152"/>
      <c r="I30" s="152"/>
    </row>
    <row r="31" spans="1:9" hidden="1" x14ac:dyDescent="0.25">
      <c r="A31" s="153">
        <f t="shared" si="0"/>
        <v>24</v>
      </c>
      <c r="B31" s="160">
        <f>+B30+29</f>
        <v>39506</v>
      </c>
      <c r="C31" s="152"/>
      <c r="D31" s="161">
        <v>-30715.03</v>
      </c>
      <c r="E31" s="151"/>
      <c r="F31" s="166">
        <f t="shared" si="3"/>
        <v>-30715.03</v>
      </c>
      <c r="G31" s="162">
        <f t="shared" si="4"/>
        <v>-1253165.5199999998</v>
      </c>
      <c r="H31" s="152"/>
      <c r="I31" s="152"/>
    </row>
    <row r="32" spans="1:9" hidden="1" x14ac:dyDescent="0.25">
      <c r="A32" s="153">
        <f t="shared" si="0"/>
        <v>25</v>
      </c>
      <c r="B32" s="160">
        <f>+B31+31</f>
        <v>39537</v>
      </c>
      <c r="C32" s="152" t="s">
        <v>170</v>
      </c>
      <c r="D32" s="161">
        <v>-153747.93</v>
      </c>
      <c r="E32" s="151">
        <f>-G29</f>
        <v>1219943.5699999998</v>
      </c>
      <c r="F32" s="166">
        <f t="shared" si="3"/>
        <v>1066195.6399999999</v>
      </c>
      <c r="G32" s="162">
        <f t="shared" si="4"/>
        <v>-186969.87999999989</v>
      </c>
      <c r="H32" s="152"/>
      <c r="I32" s="152"/>
    </row>
    <row r="33" spans="1:12" hidden="1" x14ac:dyDescent="0.25">
      <c r="A33" s="153">
        <f t="shared" si="0"/>
        <v>26</v>
      </c>
      <c r="B33" s="160">
        <f>+B32+30</f>
        <v>39567</v>
      </c>
      <c r="C33" s="152"/>
      <c r="D33" s="161">
        <v>-179368.01</v>
      </c>
      <c r="E33" s="151"/>
      <c r="F33" s="166">
        <f t="shared" si="3"/>
        <v>-179368.01</v>
      </c>
      <c r="G33" s="162">
        <f t="shared" si="4"/>
        <v>-366337.8899999999</v>
      </c>
      <c r="H33" s="152"/>
      <c r="I33" s="152"/>
    </row>
    <row r="34" spans="1:12" hidden="1" x14ac:dyDescent="0.25">
      <c r="A34" s="153">
        <f t="shared" si="0"/>
        <v>27</v>
      </c>
      <c r="B34" s="160">
        <f>+B33+31</f>
        <v>39598</v>
      </c>
      <c r="C34" s="152"/>
      <c r="D34" s="161">
        <v>-115484.51</v>
      </c>
      <c r="E34" s="151"/>
      <c r="F34" s="166">
        <f t="shared" si="3"/>
        <v>-115484.51</v>
      </c>
      <c r="G34" s="162">
        <f t="shared" si="4"/>
        <v>-481822.39999999991</v>
      </c>
      <c r="H34" s="152"/>
      <c r="I34" s="152"/>
    </row>
    <row r="35" spans="1:12" hidden="1" x14ac:dyDescent="0.25">
      <c r="A35" s="153">
        <f t="shared" si="0"/>
        <v>28</v>
      </c>
      <c r="B35" s="160">
        <f>+B34+30</f>
        <v>39628</v>
      </c>
      <c r="C35" s="152"/>
      <c r="D35" s="161">
        <v>-116186</v>
      </c>
      <c r="E35" s="151"/>
      <c r="F35" s="166">
        <f t="shared" si="3"/>
        <v>-116186</v>
      </c>
      <c r="G35" s="162">
        <f t="shared" si="4"/>
        <v>-598008.39999999991</v>
      </c>
      <c r="H35" s="152"/>
      <c r="I35" s="152"/>
    </row>
    <row r="36" spans="1:12" hidden="1" x14ac:dyDescent="0.25">
      <c r="A36" s="153">
        <f t="shared" si="0"/>
        <v>29</v>
      </c>
      <c r="B36" s="160">
        <f>+B35+31</f>
        <v>39659</v>
      </c>
      <c r="C36" s="152"/>
      <c r="D36" s="161">
        <v>-112953.9</v>
      </c>
      <c r="E36" s="151"/>
      <c r="F36" s="166">
        <f>SUM(D36:E36)</f>
        <v>-112953.9</v>
      </c>
      <c r="G36" s="162">
        <f>+G35+F36</f>
        <v>-710962.29999999993</v>
      </c>
      <c r="H36" s="152"/>
      <c r="I36" s="152"/>
    </row>
    <row r="37" spans="1:12" hidden="1" x14ac:dyDescent="0.25">
      <c r="A37" s="153">
        <f t="shared" si="0"/>
        <v>30</v>
      </c>
      <c r="B37" s="160">
        <f>+B36+30</f>
        <v>39689</v>
      </c>
      <c r="C37" s="7"/>
      <c r="D37" s="161">
        <v>-116692.32</v>
      </c>
      <c r="E37" s="224"/>
      <c r="F37" s="166">
        <f>SUM(D37:E37)</f>
        <v>-116692.32</v>
      </c>
      <c r="G37" s="162">
        <f>+G36+F37</f>
        <v>-827654.61999999988</v>
      </c>
      <c r="H37" s="7"/>
      <c r="I37" s="7"/>
    </row>
    <row r="38" spans="1:12" hidden="1" x14ac:dyDescent="0.25">
      <c r="A38" s="153">
        <f t="shared" si="0"/>
        <v>31</v>
      </c>
      <c r="B38" s="160">
        <f>+B37+30</f>
        <v>39719</v>
      </c>
      <c r="C38" s="7"/>
      <c r="D38" s="161">
        <v>-114916.47</v>
      </c>
      <c r="E38" s="224"/>
      <c r="F38" s="166">
        <f>SUM(D38:E38)</f>
        <v>-114916.47</v>
      </c>
      <c r="G38" s="162">
        <f>+G37+F38</f>
        <v>-942571.08999999985</v>
      </c>
      <c r="H38" s="7"/>
      <c r="I38" s="7"/>
    </row>
    <row r="39" spans="1:12" hidden="1" x14ac:dyDescent="0.25">
      <c r="A39" s="153">
        <f t="shared" si="0"/>
        <v>32</v>
      </c>
      <c r="B39" s="160">
        <f>+B38+31</f>
        <v>39750</v>
      </c>
      <c r="C39" s="7"/>
      <c r="D39" s="244">
        <v>-110379.74</v>
      </c>
      <c r="E39" s="224"/>
      <c r="F39" s="166">
        <f t="shared" ref="F39:F52" si="5">SUM(D39:E39)</f>
        <v>-110379.74</v>
      </c>
      <c r="G39" s="162">
        <f t="shared" ref="G39:G52" si="6">+G38+F39</f>
        <v>-1052950.8299999998</v>
      </c>
      <c r="H39" s="7"/>
      <c r="I39" s="7"/>
    </row>
    <row r="40" spans="1:12" hidden="1" x14ac:dyDescent="0.25">
      <c r="A40" s="153">
        <f t="shared" si="0"/>
        <v>33</v>
      </c>
      <c r="B40" s="160">
        <f>+B39+30</f>
        <v>39780</v>
      </c>
      <c r="C40" s="7"/>
      <c r="D40" s="244">
        <v>-90739.09</v>
      </c>
      <c r="E40" s="224"/>
      <c r="F40" s="166">
        <f t="shared" si="5"/>
        <v>-90739.09</v>
      </c>
      <c r="G40" s="162">
        <f t="shared" si="6"/>
        <v>-1143689.92</v>
      </c>
      <c r="H40" s="7"/>
      <c r="I40" s="7"/>
    </row>
    <row r="41" spans="1:12" hidden="1" x14ac:dyDescent="0.25">
      <c r="A41" s="153">
        <f t="shared" si="0"/>
        <v>34</v>
      </c>
      <c r="B41" s="160">
        <f>+B40+31</f>
        <v>39811</v>
      </c>
      <c r="C41" s="7"/>
      <c r="D41" s="244">
        <v>-89647.78</v>
      </c>
      <c r="E41" s="224"/>
      <c r="F41" s="166">
        <f t="shared" si="5"/>
        <v>-89647.78</v>
      </c>
      <c r="G41" s="162">
        <f t="shared" si="6"/>
        <v>-1233337.7</v>
      </c>
      <c r="H41" s="7"/>
      <c r="I41" s="7"/>
    </row>
    <row r="42" spans="1:12" hidden="1" x14ac:dyDescent="0.25">
      <c r="A42" s="153">
        <f t="shared" si="0"/>
        <v>35</v>
      </c>
      <c r="B42" s="160">
        <f>+B41+31</f>
        <v>39842</v>
      </c>
      <c r="C42" s="7"/>
      <c r="D42" s="244">
        <v>-1532.26</v>
      </c>
      <c r="E42" s="224">
        <f>-G41</f>
        <v>1233337.7</v>
      </c>
      <c r="F42" s="166">
        <f t="shared" si="5"/>
        <v>1231805.4399999999</v>
      </c>
      <c r="G42" s="162">
        <f t="shared" si="6"/>
        <v>-1532.2600000000093</v>
      </c>
      <c r="H42" s="7"/>
      <c r="I42" s="7"/>
    </row>
    <row r="43" spans="1:12" hidden="1" x14ac:dyDescent="0.25">
      <c r="A43" s="153">
        <f t="shared" si="0"/>
        <v>36</v>
      </c>
      <c r="B43" s="160">
        <f>+B42+28</f>
        <v>39870</v>
      </c>
      <c r="C43" s="7"/>
      <c r="D43" s="244">
        <v>-32881.89</v>
      </c>
      <c r="E43" s="224"/>
      <c r="F43" s="166">
        <f t="shared" si="5"/>
        <v>-32881.89</v>
      </c>
      <c r="G43" s="162">
        <f t="shared" si="6"/>
        <v>-34414.150000000009</v>
      </c>
      <c r="H43" s="7"/>
      <c r="I43" s="7"/>
    </row>
    <row r="44" spans="1:12" hidden="1" x14ac:dyDescent="0.25">
      <c r="A44" s="153">
        <f t="shared" si="0"/>
        <v>37</v>
      </c>
      <c r="B44" s="160">
        <f>+B43+31</f>
        <v>39901</v>
      </c>
      <c r="C44" s="7"/>
      <c r="D44" s="244">
        <v>-116990.39</v>
      </c>
      <c r="E44" s="224"/>
      <c r="F44" s="166">
        <f t="shared" si="5"/>
        <v>-116990.39</v>
      </c>
      <c r="G44" s="162">
        <f t="shared" si="6"/>
        <v>-151404.54</v>
      </c>
      <c r="H44" s="7"/>
      <c r="I44" s="7"/>
    </row>
    <row r="45" spans="1:12" hidden="1" x14ac:dyDescent="0.25">
      <c r="A45" s="153">
        <f t="shared" si="0"/>
        <v>38</v>
      </c>
      <c r="B45" s="160">
        <f>+B44+30</f>
        <v>39931</v>
      </c>
      <c r="C45" s="7"/>
      <c r="D45" s="245">
        <v>-193079.95</v>
      </c>
      <c r="E45" s="224"/>
      <c r="F45" s="166">
        <f t="shared" si="5"/>
        <v>-193079.95</v>
      </c>
      <c r="G45" s="162">
        <f t="shared" si="6"/>
        <v>-344484.49</v>
      </c>
      <c r="H45" s="7"/>
      <c r="I45" s="7"/>
    </row>
    <row r="46" spans="1:12" hidden="1" x14ac:dyDescent="0.25">
      <c r="A46" s="153">
        <f t="shared" si="0"/>
        <v>39</v>
      </c>
      <c r="B46" s="160">
        <f>+B45+31</f>
        <v>39962</v>
      </c>
      <c r="C46" s="7"/>
      <c r="D46" s="245">
        <v>-172362.08</v>
      </c>
      <c r="E46" s="224"/>
      <c r="F46" s="224">
        <f t="shared" si="5"/>
        <v>-172362.08</v>
      </c>
      <c r="G46" s="162">
        <f t="shared" si="6"/>
        <v>-516846.56999999995</v>
      </c>
      <c r="H46" s="7"/>
      <c r="I46" s="7"/>
    </row>
    <row r="47" spans="1:12" hidden="1" x14ac:dyDescent="0.25">
      <c r="A47" s="153">
        <f t="shared" si="0"/>
        <v>40</v>
      </c>
      <c r="B47" s="160">
        <f>+B46+30</f>
        <v>39992</v>
      </c>
      <c r="C47" s="7"/>
      <c r="D47" s="245">
        <v>-154740.95000000001</v>
      </c>
      <c r="E47" s="224"/>
      <c r="F47" s="224">
        <f t="shared" si="5"/>
        <v>-154740.95000000001</v>
      </c>
      <c r="G47" s="162">
        <f t="shared" si="6"/>
        <v>-671587.52</v>
      </c>
      <c r="H47" s="224"/>
      <c r="I47" s="224"/>
      <c r="J47" s="148"/>
      <c r="K47" s="148"/>
      <c r="L47" s="148"/>
    </row>
    <row r="48" spans="1:12" hidden="1" x14ac:dyDescent="0.25">
      <c r="A48" s="153">
        <f t="shared" si="0"/>
        <v>41</v>
      </c>
      <c r="B48" s="160">
        <f>+B47+31</f>
        <v>40023</v>
      </c>
      <c r="C48" s="7"/>
      <c r="D48" s="245">
        <v>-154085.70000000001</v>
      </c>
      <c r="E48" s="224"/>
      <c r="F48" s="224">
        <f t="shared" si="5"/>
        <v>-154085.70000000001</v>
      </c>
      <c r="G48" s="162">
        <f t="shared" si="6"/>
        <v>-825673.22</v>
      </c>
      <c r="H48" s="224"/>
      <c r="I48" s="224"/>
      <c r="J48" s="148"/>
      <c r="K48" s="148"/>
      <c r="L48" s="148"/>
    </row>
    <row r="49" spans="1:12" hidden="1" x14ac:dyDescent="0.25">
      <c r="A49" s="153">
        <f t="shared" si="0"/>
        <v>42</v>
      </c>
      <c r="B49" s="160">
        <f>+B48+30</f>
        <v>40053</v>
      </c>
      <c r="C49" s="7"/>
      <c r="D49" s="245">
        <v>-156512.72</v>
      </c>
      <c r="E49" s="224"/>
      <c r="F49" s="224">
        <f t="shared" si="5"/>
        <v>-156512.72</v>
      </c>
      <c r="G49" s="162">
        <f t="shared" si="6"/>
        <v>-982185.94</v>
      </c>
      <c r="H49" s="224"/>
      <c r="I49" s="224"/>
      <c r="J49" s="148"/>
      <c r="K49" s="148"/>
      <c r="L49" s="148"/>
    </row>
    <row r="50" spans="1:12" hidden="1" x14ac:dyDescent="0.25">
      <c r="A50" s="153">
        <f t="shared" si="0"/>
        <v>43</v>
      </c>
      <c r="B50" s="160">
        <f>+B49+30</f>
        <v>40083</v>
      </c>
      <c r="C50" s="7"/>
      <c r="D50" s="245">
        <v>-157895.51</v>
      </c>
      <c r="E50" s="224"/>
      <c r="F50" s="224">
        <f t="shared" si="5"/>
        <v>-157895.51</v>
      </c>
      <c r="G50" s="162">
        <f t="shared" si="6"/>
        <v>-1140081.45</v>
      </c>
      <c r="H50" s="224"/>
      <c r="I50" s="224"/>
      <c r="J50" s="148"/>
      <c r="K50" s="148"/>
      <c r="L50" s="148"/>
    </row>
    <row r="51" spans="1:12" hidden="1" x14ac:dyDescent="0.25">
      <c r="A51" s="153">
        <f t="shared" si="0"/>
        <v>44</v>
      </c>
      <c r="B51" s="160">
        <f>+B50+31</f>
        <v>40114</v>
      </c>
      <c r="C51" s="7"/>
      <c r="D51" s="245">
        <v>-153009.31</v>
      </c>
      <c r="E51" s="224"/>
      <c r="F51" s="224">
        <f t="shared" si="5"/>
        <v>-153009.31</v>
      </c>
      <c r="G51" s="162">
        <f t="shared" si="6"/>
        <v>-1293090.76</v>
      </c>
      <c r="H51" s="224"/>
      <c r="I51" s="224"/>
      <c r="J51" s="148"/>
      <c r="K51" s="148"/>
      <c r="L51" s="148"/>
    </row>
    <row r="52" spans="1:12" hidden="1" x14ac:dyDescent="0.25">
      <c r="A52" s="153">
        <f t="shared" si="0"/>
        <v>45</v>
      </c>
      <c r="B52" s="160">
        <f>+B51+30</f>
        <v>40144</v>
      </c>
      <c r="C52" s="7"/>
      <c r="D52" s="245">
        <v>-91712.54</v>
      </c>
      <c r="E52" s="224"/>
      <c r="F52" s="224">
        <f t="shared" si="5"/>
        <v>-91712.54</v>
      </c>
      <c r="G52" s="162">
        <f t="shared" si="6"/>
        <v>-1384803.3</v>
      </c>
      <c r="H52" s="224"/>
      <c r="I52" s="224"/>
      <c r="J52" s="148"/>
      <c r="K52" s="148"/>
      <c r="L52" s="148"/>
    </row>
    <row r="53" spans="1:12" hidden="1" x14ac:dyDescent="0.25">
      <c r="A53" s="153">
        <f t="shared" si="0"/>
        <v>46</v>
      </c>
      <c r="B53" s="160">
        <f>+B52+31</f>
        <v>40175</v>
      </c>
      <c r="C53" s="7"/>
      <c r="D53" s="245">
        <v>-116023.76</v>
      </c>
      <c r="E53" s="224"/>
      <c r="F53" s="224">
        <f>SUM(D53:E53)</f>
        <v>-116023.76</v>
      </c>
      <c r="G53" s="162">
        <f>+G52+F53</f>
        <v>-1500827.06</v>
      </c>
      <c r="H53" s="224"/>
      <c r="I53" s="224"/>
      <c r="J53" s="148"/>
      <c r="K53" s="148"/>
      <c r="L53" s="148"/>
    </row>
    <row r="54" spans="1:12" hidden="1" x14ac:dyDescent="0.25">
      <c r="A54" s="153">
        <f t="shared" si="0"/>
        <v>47</v>
      </c>
      <c r="B54" s="160">
        <f>+B53+31</f>
        <v>40206</v>
      </c>
      <c r="C54" s="7"/>
      <c r="D54" s="245">
        <v>-10799.92</v>
      </c>
      <c r="E54" s="224">
        <f>-G53</f>
        <v>1500827.06</v>
      </c>
      <c r="F54" s="224">
        <f>SUM(D54:E54)</f>
        <v>1490027.1400000001</v>
      </c>
      <c r="G54" s="162">
        <f>+G53+F54</f>
        <v>-10799.919999999925</v>
      </c>
      <c r="H54" s="224"/>
      <c r="I54" s="224"/>
      <c r="J54" s="148"/>
      <c r="K54" s="148"/>
      <c r="L54" s="148"/>
    </row>
    <row r="55" spans="1:12" hidden="1" x14ac:dyDescent="0.25">
      <c r="A55" s="153">
        <f t="shared" si="0"/>
        <v>48</v>
      </c>
      <c r="B55" s="160">
        <f>+B54+28</f>
        <v>40234</v>
      </c>
      <c r="C55" s="7"/>
      <c r="D55" s="245">
        <v>-50560.67</v>
      </c>
      <c r="E55" s="224"/>
      <c r="F55" s="224">
        <f>SUM(D55:E55)</f>
        <v>-50560.67</v>
      </c>
      <c r="G55" s="162">
        <f>+G54+F55</f>
        <v>-61360.589999999924</v>
      </c>
      <c r="H55" s="224"/>
      <c r="I55" s="224"/>
      <c r="J55" s="148"/>
      <c r="K55" s="148"/>
      <c r="L55" s="148"/>
    </row>
    <row r="56" spans="1:12" hidden="1" x14ac:dyDescent="0.25">
      <c r="A56" s="153">
        <f t="shared" si="0"/>
        <v>49</v>
      </c>
      <c r="B56" s="160">
        <f>+B55+31</f>
        <v>40265</v>
      </c>
      <c r="C56" s="7"/>
      <c r="D56" s="245">
        <v>-232221.72</v>
      </c>
      <c r="E56" s="224"/>
      <c r="F56" s="224">
        <f>SUM(D56:E56)</f>
        <v>-232221.72</v>
      </c>
      <c r="G56" s="162">
        <f>+G55+F56</f>
        <v>-293582.30999999994</v>
      </c>
      <c r="H56" s="224"/>
      <c r="I56" s="224"/>
      <c r="J56" s="148"/>
      <c r="K56" s="148"/>
      <c r="L56" s="148"/>
    </row>
    <row r="57" spans="1:12" hidden="1" x14ac:dyDescent="0.25">
      <c r="A57" s="153">
        <f t="shared" si="0"/>
        <v>50</v>
      </c>
      <c r="B57" s="160">
        <f>+B56+30</f>
        <v>40295</v>
      </c>
      <c r="C57" s="7"/>
      <c r="D57" s="245">
        <v>-191430.37</v>
      </c>
      <c r="E57" s="224"/>
      <c r="F57" s="224">
        <f t="shared" ref="F57:F87" si="7">SUM(D57:E57)</f>
        <v>-191430.37</v>
      </c>
      <c r="G57" s="162">
        <f t="shared" ref="G57:G120" si="8">+G56+F57</f>
        <v>-485012.67999999993</v>
      </c>
      <c r="H57" s="224"/>
      <c r="I57" s="224"/>
      <c r="J57" s="148"/>
      <c r="K57" s="148"/>
      <c r="L57" s="148"/>
    </row>
    <row r="58" spans="1:12" hidden="1" x14ac:dyDescent="0.25">
      <c r="A58" s="153">
        <f t="shared" si="0"/>
        <v>51</v>
      </c>
      <c r="B58" s="160">
        <f>+B57+31</f>
        <v>40326</v>
      </c>
      <c r="C58" s="7"/>
      <c r="D58" s="245">
        <v>-126222.13000000006</v>
      </c>
      <c r="E58" s="224"/>
      <c r="F58" s="224">
        <f t="shared" si="7"/>
        <v>-126222.13000000006</v>
      </c>
      <c r="G58" s="162">
        <f t="shared" si="8"/>
        <v>-611234.81000000006</v>
      </c>
      <c r="H58" s="224"/>
      <c r="I58" s="224"/>
      <c r="J58" s="148"/>
      <c r="K58" s="148"/>
      <c r="L58" s="148"/>
    </row>
    <row r="59" spans="1:12" hidden="1" x14ac:dyDescent="0.25">
      <c r="A59" s="153">
        <f t="shared" si="0"/>
        <v>52</v>
      </c>
      <c r="B59" s="160">
        <f>+B58+30</f>
        <v>40356</v>
      </c>
      <c r="C59" s="7"/>
      <c r="D59" s="245">
        <v>-133661.92999999993</v>
      </c>
      <c r="E59" s="224"/>
      <c r="F59" s="224">
        <f t="shared" si="7"/>
        <v>-133661.92999999993</v>
      </c>
      <c r="G59" s="162">
        <f t="shared" si="8"/>
        <v>-744896.74</v>
      </c>
      <c r="H59" s="224"/>
      <c r="I59" s="224"/>
      <c r="J59" s="148"/>
      <c r="K59" s="148"/>
      <c r="L59" s="148"/>
    </row>
    <row r="60" spans="1:12" hidden="1" x14ac:dyDescent="0.25">
      <c r="A60" s="153">
        <f t="shared" si="0"/>
        <v>53</v>
      </c>
      <c r="B60" s="160">
        <f>+B59+31</f>
        <v>40387</v>
      </c>
      <c r="C60" s="7"/>
      <c r="D60" s="245">
        <v>-154562.03</v>
      </c>
      <c r="E60" s="224"/>
      <c r="F60" s="224">
        <f t="shared" si="7"/>
        <v>-154562.03</v>
      </c>
      <c r="G60" s="162">
        <f t="shared" si="8"/>
        <v>-899458.77</v>
      </c>
      <c r="H60" s="224"/>
      <c r="I60" s="224"/>
      <c r="J60" s="148"/>
      <c r="K60" s="148"/>
      <c r="L60" s="148"/>
    </row>
    <row r="61" spans="1:12" hidden="1" x14ac:dyDescent="0.25">
      <c r="A61" s="153">
        <f t="shared" si="0"/>
        <v>54</v>
      </c>
      <c r="B61" s="160">
        <f>+B60+30</f>
        <v>40417</v>
      </c>
      <c r="C61" s="7"/>
      <c r="D61" s="245">
        <v>-152963.70000000001</v>
      </c>
      <c r="E61" s="224"/>
      <c r="F61" s="224">
        <f t="shared" si="7"/>
        <v>-152963.70000000001</v>
      </c>
      <c r="G61" s="162">
        <f t="shared" si="8"/>
        <v>-1052422.47</v>
      </c>
      <c r="H61" s="224"/>
      <c r="I61" s="224"/>
      <c r="J61" s="148"/>
      <c r="K61" s="148"/>
      <c r="L61" s="148"/>
    </row>
    <row r="62" spans="1:12" hidden="1" x14ac:dyDescent="0.25">
      <c r="A62" s="153">
        <f t="shared" si="0"/>
        <v>55</v>
      </c>
      <c r="B62" s="160">
        <f>+B61+30</f>
        <v>40447</v>
      </c>
      <c r="C62" s="7"/>
      <c r="D62" s="245">
        <v>-146233.82999999999</v>
      </c>
      <c r="E62" s="224"/>
      <c r="F62" s="224">
        <f t="shared" si="7"/>
        <v>-146233.82999999999</v>
      </c>
      <c r="G62" s="162">
        <f t="shared" si="8"/>
        <v>-1198656.3</v>
      </c>
      <c r="H62" s="224"/>
      <c r="I62" s="224"/>
      <c r="J62" s="148"/>
      <c r="K62" s="148"/>
      <c r="L62" s="148"/>
    </row>
    <row r="63" spans="1:12" hidden="1" x14ac:dyDescent="0.25">
      <c r="A63" s="153">
        <f t="shared" si="0"/>
        <v>56</v>
      </c>
      <c r="B63" s="160">
        <f>+B62+31</f>
        <v>40478</v>
      </c>
      <c r="C63" s="7"/>
      <c r="D63" s="245">
        <v>-143263.57</v>
      </c>
      <c r="E63" s="224"/>
      <c r="F63" s="224">
        <f t="shared" si="7"/>
        <v>-143263.57</v>
      </c>
      <c r="G63" s="162">
        <f t="shared" si="8"/>
        <v>-1341919.8700000001</v>
      </c>
      <c r="H63" s="224"/>
      <c r="I63" s="224"/>
      <c r="J63" s="148"/>
      <c r="K63" s="148"/>
      <c r="L63" s="148"/>
    </row>
    <row r="64" spans="1:12" hidden="1" x14ac:dyDescent="0.25">
      <c r="A64" s="153">
        <f t="shared" si="0"/>
        <v>57</v>
      </c>
      <c r="B64" s="160">
        <f>+B63+30</f>
        <v>40508</v>
      </c>
      <c r="C64" s="7"/>
      <c r="D64" s="225">
        <v>-131269.85</v>
      </c>
      <c r="E64" s="224"/>
      <c r="F64" s="224">
        <f t="shared" si="7"/>
        <v>-131269.85</v>
      </c>
      <c r="G64" s="162">
        <f t="shared" si="8"/>
        <v>-1473189.7200000002</v>
      </c>
      <c r="H64" s="224"/>
      <c r="I64" s="224"/>
      <c r="J64" s="148"/>
      <c r="K64" s="148"/>
      <c r="L64" s="148"/>
    </row>
    <row r="65" spans="1:14" hidden="1" x14ac:dyDescent="0.25">
      <c r="A65" s="153">
        <f t="shared" si="0"/>
        <v>58</v>
      </c>
      <c r="B65" s="160">
        <f>+B64+31</f>
        <v>40539</v>
      </c>
      <c r="C65" s="7"/>
      <c r="D65" s="225">
        <v>-138694.66</v>
      </c>
      <c r="E65" s="224"/>
      <c r="F65" s="224">
        <f t="shared" si="7"/>
        <v>-138694.66</v>
      </c>
      <c r="G65" s="162">
        <f t="shared" si="8"/>
        <v>-1611884.3800000001</v>
      </c>
      <c r="H65" s="224"/>
      <c r="I65" s="224"/>
      <c r="J65" s="148"/>
      <c r="K65" s="148"/>
      <c r="L65" s="148"/>
    </row>
    <row r="66" spans="1:14" hidden="1" x14ac:dyDescent="0.25">
      <c r="A66" s="153">
        <f t="shared" si="0"/>
        <v>59</v>
      </c>
      <c r="B66" s="160">
        <f>+B65+31</f>
        <v>40570</v>
      </c>
      <c r="C66" s="237">
        <v>1</v>
      </c>
      <c r="D66" s="225">
        <v>-20085.68</v>
      </c>
      <c r="E66" s="224">
        <f>-G65</f>
        <v>1611884.3800000001</v>
      </c>
      <c r="F66" s="224">
        <f t="shared" si="7"/>
        <v>1591798.7000000002</v>
      </c>
      <c r="G66" s="162">
        <f t="shared" si="8"/>
        <v>-20085.679999999935</v>
      </c>
      <c r="H66" s="224"/>
      <c r="I66" s="224"/>
      <c r="J66" s="148"/>
      <c r="K66" s="148"/>
      <c r="L66" s="148"/>
    </row>
    <row r="67" spans="1:14" hidden="1" x14ac:dyDescent="0.25">
      <c r="A67" s="153">
        <f t="shared" si="0"/>
        <v>60</v>
      </c>
      <c r="B67" s="160">
        <f>+B66+28</f>
        <v>40598</v>
      </c>
      <c r="C67" s="7"/>
      <c r="D67" s="245">
        <v>-90721</v>
      </c>
      <c r="E67" s="224"/>
      <c r="F67" s="224">
        <f t="shared" si="7"/>
        <v>-90721</v>
      </c>
      <c r="G67" s="162">
        <f t="shared" si="8"/>
        <v>-110806.67999999993</v>
      </c>
      <c r="H67" s="224"/>
      <c r="I67" s="224"/>
      <c r="J67" s="148"/>
      <c r="K67" s="148"/>
      <c r="L67" s="148"/>
    </row>
    <row r="68" spans="1:14" hidden="1" x14ac:dyDescent="0.25">
      <c r="A68" s="153">
        <f t="shared" si="0"/>
        <v>61</v>
      </c>
      <c r="B68" s="160">
        <f>+B67+31</f>
        <v>40629</v>
      </c>
      <c r="C68" s="7"/>
      <c r="D68" s="245">
        <v>-137446.82</v>
      </c>
      <c r="E68" s="224"/>
      <c r="F68" s="224">
        <f t="shared" si="7"/>
        <v>-137446.82</v>
      </c>
      <c r="G68" s="162">
        <f t="shared" si="8"/>
        <v>-248253.49999999994</v>
      </c>
      <c r="H68" s="224"/>
      <c r="I68" s="224"/>
      <c r="J68" s="148"/>
      <c r="K68" s="148"/>
      <c r="L68" s="148"/>
    </row>
    <row r="69" spans="1:14" hidden="1" x14ac:dyDescent="0.25">
      <c r="A69" s="153">
        <f t="shared" si="0"/>
        <v>62</v>
      </c>
      <c r="B69" s="160">
        <f>+B68+30</f>
        <v>40659</v>
      </c>
      <c r="C69" s="7"/>
      <c r="D69" s="245">
        <v>-94993.73</v>
      </c>
      <c r="E69" s="224"/>
      <c r="F69" s="224">
        <f t="shared" si="7"/>
        <v>-94993.73</v>
      </c>
      <c r="G69" s="162">
        <f t="shared" si="8"/>
        <v>-343247.22999999992</v>
      </c>
      <c r="H69" s="224"/>
      <c r="I69" s="224"/>
      <c r="J69" s="148"/>
      <c r="K69" s="148"/>
      <c r="L69" s="148"/>
    </row>
    <row r="70" spans="1:14" hidden="1" x14ac:dyDescent="0.25">
      <c r="A70" s="153">
        <f t="shared" si="0"/>
        <v>63</v>
      </c>
      <c r="B70" s="160">
        <f>+B69+31</f>
        <v>40690</v>
      </c>
      <c r="C70" s="7"/>
      <c r="D70" s="245">
        <v>-101290.28</v>
      </c>
      <c r="E70" s="224"/>
      <c r="F70" s="224">
        <f t="shared" si="7"/>
        <v>-101290.28</v>
      </c>
      <c r="G70" s="162">
        <f t="shared" si="8"/>
        <v>-444537.50999999989</v>
      </c>
      <c r="H70" s="224"/>
      <c r="I70" s="224"/>
      <c r="J70" s="148"/>
      <c r="K70" s="148"/>
      <c r="L70" s="148"/>
    </row>
    <row r="71" spans="1:14" hidden="1" x14ac:dyDescent="0.25">
      <c r="A71" s="153">
        <f t="shared" si="0"/>
        <v>64</v>
      </c>
      <c r="B71" s="160">
        <f>+B70+30</f>
        <v>40720</v>
      </c>
      <c r="C71" s="7"/>
      <c r="D71" s="245">
        <v>-100868.56</v>
      </c>
      <c r="E71" s="224"/>
      <c r="F71" s="224">
        <f t="shared" si="7"/>
        <v>-100868.56</v>
      </c>
      <c r="G71" s="162">
        <f t="shared" si="8"/>
        <v>-545406.06999999983</v>
      </c>
      <c r="H71" s="224"/>
      <c r="I71" s="224"/>
      <c r="J71" s="148"/>
      <c r="K71" s="148"/>
      <c r="L71" s="148"/>
    </row>
    <row r="72" spans="1:14" hidden="1" x14ac:dyDescent="0.25">
      <c r="A72" s="153">
        <f t="shared" si="0"/>
        <v>65</v>
      </c>
      <c r="B72" s="160">
        <f>+B71+31</f>
        <v>40751</v>
      </c>
      <c r="C72" s="7"/>
      <c r="D72" s="245">
        <v>-111706.17</v>
      </c>
      <c r="E72" s="224"/>
      <c r="F72" s="224">
        <f t="shared" si="7"/>
        <v>-111706.17</v>
      </c>
      <c r="G72" s="162">
        <f t="shared" si="8"/>
        <v>-657112.23999999987</v>
      </c>
      <c r="H72" s="224"/>
      <c r="I72" s="224"/>
      <c r="J72" s="246"/>
      <c r="L72" s="148"/>
      <c r="M72" s="247"/>
    </row>
    <row r="73" spans="1:14" hidden="1" x14ac:dyDescent="0.25">
      <c r="A73" s="153">
        <f t="shared" ref="A73:A136" si="9">+A72+1</f>
        <v>66</v>
      </c>
      <c r="B73" s="160">
        <f>+B72+30</f>
        <v>40781</v>
      </c>
      <c r="C73" s="7"/>
      <c r="D73" s="245">
        <v>-114063.55</v>
      </c>
      <c r="E73" s="224"/>
      <c r="F73" s="224">
        <f t="shared" si="7"/>
        <v>-114063.55</v>
      </c>
      <c r="G73" s="162">
        <f t="shared" si="8"/>
        <v>-771175.78999999992</v>
      </c>
      <c r="H73" s="224"/>
      <c r="I73" s="248"/>
    </row>
    <row r="74" spans="1:14" hidden="1" x14ac:dyDescent="0.25">
      <c r="A74" s="153">
        <f t="shared" si="9"/>
        <v>67</v>
      </c>
      <c r="B74" s="160">
        <f>+B73+30</f>
        <v>40811</v>
      </c>
      <c r="C74" s="7"/>
      <c r="D74" s="245">
        <v>-109076.46</v>
      </c>
      <c r="E74" s="224"/>
      <c r="F74" s="224">
        <f t="shared" si="7"/>
        <v>-109076.46</v>
      </c>
      <c r="G74" s="162">
        <f t="shared" si="8"/>
        <v>-880252.24999999988</v>
      </c>
      <c r="H74" s="224"/>
      <c r="I74" s="224"/>
      <c r="J74" s="220"/>
      <c r="K74" s="220"/>
      <c r="L74" s="220"/>
      <c r="M74" s="220"/>
      <c r="N74" s="220"/>
    </row>
    <row r="75" spans="1:14" hidden="1" x14ac:dyDescent="0.25">
      <c r="A75" s="153">
        <f t="shared" si="9"/>
        <v>68</v>
      </c>
      <c r="B75" s="160">
        <f>+B74+31</f>
        <v>40842</v>
      </c>
      <c r="C75" s="7"/>
      <c r="D75" s="245">
        <v>-115942.59</v>
      </c>
      <c r="E75" s="224"/>
      <c r="F75" s="224">
        <f t="shared" si="7"/>
        <v>-115942.59</v>
      </c>
      <c r="G75" s="162">
        <f t="shared" si="8"/>
        <v>-996194.83999999985</v>
      </c>
      <c r="H75" s="224"/>
      <c r="I75" s="224"/>
      <c r="J75" s="220"/>
      <c r="K75" s="220"/>
      <c r="L75" s="220"/>
      <c r="M75" s="220"/>
      <c r="N75" s="220"/>
    </row>
    <row r="76" spans="1:14" hidden="1" x14ac:dyDescent="0.25">
      <c r="A76" s="153">
        <f t="shared" si="9"/>
        <v>69</v>
      </c>
      <c r="B76" s="160">
        <f>+B75+30</f>
        <v>40872</v>
      </c>
      <c r="C76" s="7"/>
      <c r="D76" s="245">
        <v>-115913.65</v>
      </c>
      <c r="E76" s="224"/>
      <c r="F76" s="224">
        <f t="shared" si="7"/>
        <v>-115913.65</v>
      </c>
      <c r="G76" s="162">
        <f t="shared" si="8"/>
        <v>-1112108.4899999998</v>
      </c>
      <c r="H76" s="224"/>
      <c r="I76" s="224"/>
      <c r="J76" s="220"/>
      <c r="K76" s="220"/>
      <c r="L76" s="220"/>
      <c r="M76" s="220"/>
      <c r="N76" s="220"/>
    </row>
    <row r="77" spans="1:14" hidden="1" x14ac:dyDescent="0.25">
      <c r="A77" s="153">
        <f t="shared" si="9"/>
        <v>70</v>
      </c>
      <c r="B77" s="160">
        <f>+B76+31</f>
        <v>40903</v>
      </c>
      <c r="C77" s="237"/>
      <c r="D77" s="245">
        <v>-109969.08</v>
      </c>
      <c r="E77" s="224"/>
      <c r="F77" s="224">
        <f t="shared" si="7"/>
        <v>-109969.08</v>
      </c>
      <c r="G77" s="162">
        <f t="shared" si="8"/>
        <v>-1222077.5699999998</v>
      </c>
      <c r="H77" s="224"/>
      <c r="I77" s="224"/>
      <c r="J77" s="220"/>
      <c r="K77" s="220"/>
      <c r="L77" s="220"/>
      <c r="M77" s="220"/>
      <c r="N77" s="220"/>
    </row>
    <row r="78" spans="1:14" hidden="1" x14ac:dyDescent="0.25">
      <c r="A78" s="153">
        <f t="shared" si="9"/>
        <v>71</v>
      </c>
      <c r="B78" s="160">
        <f>+B77+31</f>
        <v>40934</v>
      </c>
      <c r="C78" s="237">
        <v>1</v>
      </c>
      <c r="D78" s="245">
        <v>-14090.24</v>
      </c>
      <c r="E78" s="224">
        <f>-G77</f>
        <v>1222077.5699999998</v>
      </c>
      <c r="F78" s="224">
        <f t="shared" si="7"/>
        <v>1207987.3299999998</v>
      </c>
      <c r="G78" s="162">
        <f t="shared" si="8"/>
        <v>-14090.239999999991</v>
      </c>
      <c r="H78" s="224"/>
      <c r="I78" s="224"/>
      <c r="J78" s="220"/>
      <c r="K78" s="220"/>
      <c r="L78" s="220"/>
      <c r="M78" s="220"/>
      <c r="N78" s="220"/>
    </row>
    <row r="79" spans="1:14" hidden="1" x14ac:dyDescent="0.25">
      <c r="A79" s="153">
        <f t="shared" si="9"/>
        <v>72</v>
      </c>
      <c r="B79" s="160">
        <f>+B78+29</f>
        <v>40963</v>
      </c>
      <c r="C79" s="7"/>
      <c r="D79" s="245">
        <v>-50280.82</v>
      </c>
      <c r="E79" s="224"/>
      <c r="F79" s="224">
        <f t="shared" si="7"/>
        <v>-50280.82</v>
      </c>
      <c r="G79" s="162">
        <f t="shared" si="8"/>
        <v>-64371.05999999999</v>
      </c>
      <c r="H79" s="224"/>
      <c r="I79" s="224"/>
      <c r="J79" s="220"/>
      <c r="K79" s="220"/>
      <c r="L79" s="220"/>
      <c r="M79" s="220"/>
      <c r="N79" s="220"/>
    </row>
    <row r="80" spans="1:14" hidden="1" x14ac:dyDescent="0.25">
      <c r="A80" s="153">
        <f t="shared" si="9"/>
        <v>73</v>
      </c>
      <c r="B80" s="160">
        <f>+B79+31</f>
        <v>40994</v>
      </c>
      <c r="C80" s="7"/>
      <c r="D80" s="245">
        <v>-97286.399999999994</v>
      </c>
      <c r="E80" s="224"/>
      <c r="F80" s="224">
        <f t="shared" si="7"/>
        <v>-97286.399999999994</v>
      </c>
      <c r="G80" s="162">
        <f t="shared" si="8"/>
        <v>-161657.46</v>
      </c>
      <c r="H80" s="224"/>
      <c r="I80" s="224"/>
      <c r="J80" s="148"/>
      <c r="K80" s="148"/>
      <c r="L80" s="148"/>
    </row>
    <row r="81" spans="1:12" hidden="1" x14ac:dyDescent="0.25">
      <c r="A81" s="153">
        <f t="shared" si="9"/>
        <v>74</v>
      </c>
      <c r="B81" s="476"/>
      <c r="C81" s="7"/>
      <c r="D81" s="245">
        <v>-113375.7</v>
      </c>
      <c r="E81" s="224"/>
      <c r="F81" s="224">
        <f t="shared" si="7"/>
        <v>-113375.7</v>
      </c>
      <c r="G81" s="162">
        <f t="shared" si="8"/>
        <v>-275033.15999999997</v>
      </c>
      <c r="H81" s="224"/>
      <c r="I81" s="224"/>
      <c r="J81" s="148"/>
      <c r="K81" s="148"/>
      <c r="L81" s="148"/>
    </row>
    <row r="82" spans="1:12" hidden="1" x14ac:dyDescent="0.25">
      <c r="A82" s="153">
        <f t="shared" si="9"/>
        <v>75</v>
      </c>
      <c r="B82" s="160">
        <f>+B81+31</f>
        <v>31</v>
      </c>
      <c r="C82" s="7"/>
      <c r="D82" s="245">
        <f>-98741-14882.84</f>
        <v>-113623.84</v>
      </c>
      <c r="E82" s="224"/>
      <c r="F82" s="224">
        <f t="shared" si="7"/>
        <v>-113623.84</v>
      </c>
      <c r="G82" s="162">
        <f t="shared" si="8"/>
        <v>-388657</v>
      </c>
      <c r="H82" s="172"/>
      <c r="I82" s="224"/>
      <c r="J82" s="148"/>
      <c r="K82" s="148"/>
      <c r="L82" s="148"/>
    </row>
    <row r="83" spans="1:12" hidden="1" x14ac:dyDescent="0.25">
      <c r="A83" s="153">
        <f t="shared" si="9"/>
        <v>76</v>
      </c>
      <c r="B83" s="160">
        <f>+B82+30</f>
        <v>61</v>
      </c>
      <c r="C83" s="7"/>
      <c r="D83" s="245">
        <v>-102269.3</v>
      </c>
      <c r="E83" s="224"/>
      <c r="F83" s="224">
        <f t="shared" si="7"/>
        <v>-102269.3</v>
      </c>
      <c r="G83" s="162">
        <f t="shared" si="8"/>
        <v>-490926.3</v>
      </c>
      <c r="H83" s="224"/>
      <c r="I83" s="224"/>
      <c r="J83" s="148"/>
      <c r="K83" s="148"/>
      <c r="L83" s="148"/>
    </row>
    <row r="84" spans="1:12" hidden="1" x14ac:dyDescent="0.25">
      <c r="A84" s="153">
        <f t="shared" si="9"/>
        <v>77</v>
      </c>
      <c r="B84" s="160">
        <f>+B83+31</f>
        <v>92</v>
      </c>
      <c r="C84" s="7"/>
      <c r="D84" s="245">
        <v>-121526.05</v>
      </c>
      <c r="E84" s="224"/>
      <c r="F84" s="224">
        <f t="shared" si="7"/>
        <v>-121526.05</v>
      </c>
      <c r="G84" s="162">
        <f t="shared" si="8"/>
        <v>-612452.35</v>
      </c>
      <c r="H84" s="224"/>
      <c r="I84" s="224"/>
      <c r="J84" s="148"/>
      <c r="K84" s="148"/>
      <c r="L84" s="148"/>
    </row>
    <row r="85" spans="1:12" hidden="1" x14ac:dyDescent="0.25">
      <c r="A85" s="153">
        <f t="shared" si="9"/>
        <v>78</v>
      </c>
      <c r="B85" s="160">
        <f>+B84+30</f>
        <v>122</v>
      </c>
      <c r="C85" s="7"/>
      <c r="D85" s="245">
        <v>-122121.93</v>
      </c>
      <c r="E85" s="224"/>
      <c r="F85" s="224">
        <f t="shared" si="7"/>
        <v>-122121.93</v>
      </c>
      <c r="G85" s="162">
        <f t="shared" si="8"/>
        <v>-734574.28</v>
      </c>
      <c r="H85" s="224"/>
      <c r="I85" s="249"/>
      <c r="J85" s="148"/>
      <c r="K85" s="148"/>
      <c r="L85" s="148"/>
    </row>
    <row r="86" spans="1:12" hidden="1" x14ac:dyDescent="0.25">
      <c r="A86" s="153">
        <f t="shared" si="9"/>
        <v>79</v>
      </c>
      <c r="B86" s="160">
        <f>+B85+30</f>
        <v>152</v>
      </c>
      <c r="C86" s="7"/>
      <c r="D86" s="245">
        <v>-112520.67</v>
      </c>
      <c r="E86" s="224"/>
      <c r="F86" s="224">
        <f t="shared" si="7"/>
        <v>-112520.67</v>
      </c>
      <c r="G86" s="162">
        <f t="shared" si="8"/>
        <v>-847094.95000000007</v>
      </c>
      <c r="H86" s="224"/>
      <c r="I86" s="249"/>
      <c r="J86" s="148"/>
      <c r="K86" s="148"/>
      <c r="L86" s="148"/>
    </row>
    <row r="87" spans="1:12" hidden="1" x14ac:dyDescent="0.25">
      <c r="A87" s="153">
        <f t="shared" si="9"/>
        <v>80</v>
      </c>
      <c r="B87" s="160">
        <f>+B86+31</f>
        <v>183</v>
      </c>
      <c r="C87" s="7"/>
      <c r="D87" s="245">
        <v>-106341.86</v>
      </c>
      <c r="E87" s="224"/>
      <c r="F87" s="224">
        <f t="shared" si="7"/>
        <v>-106341.86</v>
      </c>
      <c r="G87" s="162">
        <f t="shared" si="8"/>
        <v>-953436.81</v>
      </c>
      <c r="H87" s="224"/>
      <c r="I87" s="249"/>
      <c r="J87" s="148"/>
      <c r="K87" s="148"/>
      <c r="L87" s="148"/>
    </row>
    <row r="88" spans="1:12" hidden="1" x14ac:dyDescent="0.25">
      <c r="A88" s="153">
        <f t="shared" si="9"/>
        <v>81</v>
      </c>
      <c r="B88" s="160">
        <f>+B87+30</f>
        <v>213</v>
      </c>
      <c r="C88" s="7"/>
      <c r="D88" s="245">
        <v>-118921.4</v>
      </c>
      <c r="E88" s="224"/>
      <c r="F88" s="224">
        <f t="shared" ref="F88:F99" si="10">SUM(D88:E88)</f>
        <v>-118921.4</v>
      </c>
      <c r="G88" s="162">
        <f t="shared" si="8"/>
        <v>-1072358.21</v>
      </c>
      <c r="H88" s="224"/>
      <c r="I88" s="249"/>
      <c r="J88" s="148"/>
      <c r="K88" s="148"/>
      <c r="L88" s="148"/>
    </row>
    <row r="89" spans="1:12" hidden="1" x14ac:dyDescent="0.25">
      <c r="A89" s="153">
        <f t="shared" si="9"/>
        <v>82</v>
      </c>
      <c r="B89" s="160">
        <f>+B88+31</f>
        <v>244</v>
      </c>
      <c r="C89" s="7"/>
      <c r="D89" s="245">
        <v>-127191.63</v>
      </c>
      <c r="E89" s="224"/>
      <c r="F89" s="224">
        <f t="shared" si="10"/>
        <v>-127191.63</v>
      </c>
      <c r="G89" s="162">
        <f t="shared" si="8"/>
        <v>-1199549.8399999999</v>
      </c>
      <c r="H89" s="224"/>
      <c r="I89" s="249"/>
      <c r="J89" s="148"/>
      <c r="K89" s="148"/>
      <c r="L89" s="148"/>
    </row>
    <row r="90" spans="1:12" hidden="1" x14ac:dyDescent="0.25">
      <c r="A90" s="153">
        <f t="shared" si="9"/>
        <v>83</v>
      </c>
      <c r="B90" s="173">
        <f>+B89+31</f>
        <v>275</v>
      </c>
      <c r="C90" s="237">
        <v>1</v>
      </c>
      <c r="D90" s="245">
        <v>-24381.279999999999</v>
      </c>
      <c r="E90" s="224">
        <f>-G89</f>
        <v>1199549.8399999999</v>
      </c>
      <c r="F90" s="224">
        <f t="shared" si="10"/>
        <v>1175168.5599999998</v>
      </c>
      <c r="G90" s="162">
        <f t="shared" si="8"/>
        <v>-24381.280000000028</v>
      </c>
      <c r="H90" s="224"/>
      <c r="I90" s="249"/>
      <c r="J90" s="148"/>
      <c r="K90" s="148"/>
      <c r="L90" s="148"/>
    </row>
    <row r="91" spans="1:12" hidden="1" x14ac:dyDescent="0.25">
      <c r="A91" s="153">
        <f t="shared" si="9"/>
        <v>84</v>
      </c>
      <c r="B91" s="160">
        <f>+B90+28</f>
        <v>303</v>
      </c>
      <c r="C91" s="7"/>
      <c r="D91" s="245">
        <v>-83537.95</v>
      </c>
      <c r="E91" s="224"/>
      <c r="F91" s="224">
        <f t="shared" si="10"/>
        <v>-83537.95</v>
      </c>
      <c r="G91" s="162">
        <f t="shared" si="8"/>
        <v>-107919.23000000003</v>
      </c>
      <c r="H91" s="224"/>
      <c r="I91" s="249"/>
      <c r="J91" s="148"/>
      <c r="K91" s="148"/>
      <c r="L91" s="148"/>
    </row>
    <row r="92" spans="1:12" hidden="1" x14ac:dyDescent="0.25">
      <c r="A92" s="153">
        <f t="shared" si="9"/>
        <v>85</v>
      </c>
      <c r="B92" s="160">
        <f>+B91+31</f>
        <v>334</v>
      </c>
      <c r="C92" s="7"/>
      <c r="D92" s="245">
        <v>-127523.72</v>
      </c>
      <c r="E92" s="224"/>
      <c r="F92" s="224">
        <f t="shared" si="10"/>
        <v>-127523.72</v>
      </c>
      <c r="G92" s="162">
        <f t="shared" si="8"/>
        <v>-235442.95</v>
      </c>
      <c r="H92" s="224"/>
      <c r="I92" s="249"/>
      <c r="J92" s="148"/>
      <c r="K92" s="148"/>
      <c r="L92" s="148"/>
    </row>
    <row r="93" spans="1:12" hidden="1" x14ac:dyDescent="0.25">
      <c r="A93" s="153">
        <f t="shared" si="9"/>
        <v>86</v>
      </c>
      <c r="B93" s="147">
        <f>+B92+30</f>
        <v>364</v>
      </c>
      <c r="C93" s="7"/>
      <c r="D93" s="245">
        <v>-107817.05</v>
      </c>
      <c r="E93" s="224"/>
      <c r="F93" s="224">
        <f t="shared" si="10"/>
        <v>-107817.05</v>
      </c>
      <c r="G93" s="162">
        <f t="shared" si="8"/>
        <v>-343260</v>
      </c>
      <c r="H93" s="224"/>
      <c r="I93" s="249"/>
      <c r="J93" s="148"/>
      <c r="K93" s="148"/>
      <c r="L93" s="148"/>
    </row>
    <row r="94" spans="1:12" hidden="1" x14ac:dyDescent="0.25">
      <c r="A94" s="153">
        <f t="shared" si="9"/>
        <v>87</v>
      </c>
      <c r="B94" s="147">
        <f>+B93+31</f>
        <v>395</v>
      </c>
      <c r="C94" s="7"/>
      <c r="D94" s="245">
        <v>-127189.64</v>
      </c>
      <c r="E94" s="224"/>
      <c r="F94" s="224">
        <f t="shared" si="10"/>
        <v>-127189.64</v>
      </c>
      <c r="G94" s="162">
        <f t="shared" si="8"/>
        <v>-470449.64</v>
      </c>
      <c r="H94" s="224"/>
      <c r="I94" s="249"/>
      <c r="J94" s="148"/>
      <c r="K94" s="148"/>
      <c r="L94" s="148"/>
    </row>
    <row r="95" spans="1:12" hidden="1" x14ac:dyDescent="0.25">
      <c r="A95" s="153">
        <f t="shared" si="9"/>
        <v>88</v>
      </c>
      <c r="B95" s="147">
        <f>+B94+30</f>
        <v>425</v>
      </c>
      <c r="C95" s="7"/>
      <c r="D95" s="245">
        <v>-127041.69</v>
      </c>
      <c r="E95" s="224"/>
      <c r="F95" s="224">
        <f t="shared" si="10"/>
        <v>-127041.69</v>
      </c>
      <c r="G95" s="162">
        <f t="shared" si="8"/>
        <v>-597491.33000000007</v>
      </c>
      <c r="H95" s="224"/>
      <c r="I95" s="249"/>
      <c r="J95" s="148"/>
      <c r="K95" s="148"/>
      <c r="L95" s="148"/>
    </row>
    <row r="96" spans="1:12" hidden="1" x14ac:dyDescent="0.25">
      <c r="A96" s="153">
        <f t="shared" si="9"/>
        <v>89</v>
      </c>
      <c r="B96" s="160">
        <f>+B95+31</f>
        <v>456</v>
      </c>
      <c r="C96" s="7"/>
      <c r="D96" s="245">
        <v>-130600.41</v>
      </c>
      <c r="E96" s="224"/>
      <c r="F96" s="224">
        <f t="shared" si="10"/>
        <v>-130600.41</v>
      </c>
      <c r="G96" s="162">
        <f t="shared" si="8"/>
        <v>-728091.74000000011</v>
      </c>
      <c r="H96" s="224"/>
      <c r="I96" s="249"/>
      <c r="J96" s="148"/>
      <c r="K96" s="148"/>
      <c r="L96" s="148"/>
    </row>
    <row r="97" spans="1:12" hidden="1" x14ac:dyDescent="0.25">
      <c r="A97" s="153">
        <f t="shared" si="9"/>
        <v>90</v>
      </c>
      <c r="B97" s="160">
        <f>+B96+30</f>
        <v>486</v>
      </c>
      <c r="C97" s="7"/>
      <c r="D97" s="245">
        <v>-117623.85</v>
      </c>
      <c r="E97" s="224"/>
      <c r="F97" s="224">
        <f t="shared" si="10"/>
        <v>-117623.85</v>
      </c>
      <c r="G97" s="162">
        <f t="shared" si="8"/>
        <v>-845715.59000000008</v>
      </c>
      <c r="H97" s="224"/>
      <c r="I97" s="249"/>
      <c r="J97" s="148"/>
      <c r="K97" s="148"/>
      <c r="L97" s="148"/>
    </row>
    <row r="98" spans="1:12" hidden="1" x14ac:dyDescent="0.25">
      <c r="A98" s="153">
        <f t="shared" si="9"/>
        <v>91</v>
      </c>
      <c r="B98" s="160">
        <f>+B97+30</f>
        <v>516</v>
      </c>
      <c r="C98" s="7"/>
      <c r="D98" s="245">
        <v>-141304.70000000001</v>
      </c>
      <c r="E98" s="224"/>
      <c r="F98" s="224">
        <f t="shared" si="10"/>
        <v>-141304.70000000001</v>
      </c>
      <c r="G98" s="162">
        <f t="shared" si="8"/>
        <v>-987020.29</v>
      </c>
      <c r="H98" s="224"/>
      <c r="I98" s="249"/>
      <c r="J98" s="148"/>
      <c r="K98" s="148"/>
      <c r="L98" s="148"/>
    </row>
    <row r="99" spans="1:12" hidden="1" x14ac:dyDescent="0.25">
      <c r="A99" s="153">
        <f t="shared" si="9"/>
        <v>92</v>
      </c>
      <c r="B99" s="160">
        <f>+B98+31</f>
        <v>547</v>
      </c>
      <c r="C99" s="7"/>
      <c r="D99" s="245">
        <v>-130857.36</v>
      </c>
      <c r="E99" s="224"/>
      <c r="F99" s="224">
        <f t="shared" si="10"/>
        <v>-130857.36</v>
      </c>
      <c r="G99" s="162">
        <f t="shared" si="8"/>
        <v>-1117877.6500000001</v>
      </c>
      <c r="H99" s="224"/>
      <c r="I99" s="249"/>
      <c r="J99" s="148"/>
      <c r="K99" s="148"/>
      <c r="L99" s="148"/>
    </row>
    <row r="100" spans="1:12" hidden="1" x14ac:dyDescent="0.25">
      <c r="A100" s="153">
        <f t="shared" si="9"/>
        <v>93</v>
      </c>
      <c r="B100" s="160">
        <f>+B99+30</f>
        <v>577</v>
      </c>
      <c r="C100" s="7"/>
      <c r="D100" s="245">
        <v>-120145.27</v>
      </c>
      <c r="E100" s="224"/>
      <c r="F100" s="224">
        <f t="shared" ref="F100:F147" si="11">SUM(D100:E100)</f>
        <v>-120145.27</v>
      </c>
      <c r="G100" s="162">
        <f t="shared" si="8"/>
        <v>-1238022.9200000002</v>
      </c>
      <c r="H100" s="224"/>
      <c r="I100" s="249"/>
      <c r="J100" s="148"/>
      <c r="K100" s="148"/>
      <c r="L100" s="148"/>
    </row>
    <row r="101" spans="1:12" hidden="1" x14ac:dyDescent="0.25">
      <c r="A101" s="153">
        <f t="shared" si="9"/>
        <v>94</v>
      </c>
      <c r="B101" s="160">
        <f>+B100+31</f>
        <v>608</v>
      </c>
      <c r="C101" s="7"/>
      <c r="D101" s="245">
        <v>-140030.45000000001</v>
      </c>
      <c r="E101" s="224"/>
      <c r="F101" s="224">
        <f t="shared" si="11"/>
        <v>-140030.45000000001</v>
      </c>
      <c r="G101" s="162">
        <f t="shared" si="8"/>
        <v>-1378053.37</v>
      </c>
      <c r="H101" s="224"/>
      <c r="I101" s="249"/>
      <c r="J101" s="148"/>
      <c r="K101" s="148"/>
      <c r="L101" s="148"/>
    </row>
    <row r="102" spans="1:12" hidden="1" x14ac:dyDescent="0.25">
      <c r="A102" s="153">
        <f t="shared" si="9"/>
        <v>95</v>
      </c>
      <c r="B102" s="160">
        <f>+B101+31</f>
        <v>639</v>
      </c>
      <c r="C102" s="237">
        <v>1</v>
      </c>
      <c r="D102" s="245">
        <v>-19544.39</v>
      </c>
      <c r="E102" s="224">
        <v>1378053.37</v>
      </c>
      <c r="F102" s="224">
        <f t="shared" si="11"/>
        <v>1358508.9800000002</v>
      </c>
      <c r="G102" s="162">
        <f t="shared" si="8"/>
        <v>-19544.389999999898</v>
      </c>
      <c r="H102" s="224"/>
      <c r="I102" s="249"/>
      <c r="J102" s="148"/>
      <c r="K102" s="148"/>
      <c r="L102" s="148"/>
    </row>
    <row r="103" spans="1:12" hidden="1" x14ac:dyDescent="0.25">
      <c r="A103" s="153">
        <f t="shared" si="9"/>
        <v>96</v>
      </c>
      <c r="B103" s="160">
        <f>+B102+28</f>
        <v>667</v>
      </c>
      <c r="C103" s="7"/>
      <c r="D103" s="245">
        <v>-79292.61</v>
      </c>
      <c r="E103" s="224"/>
      <c r="F103" s="224">
        <f t="shared" si="11"/>
        <v>-79292.61</v>
      </c>
      <c r="G103" s="162">
        <f t="shared" si="8"/>
        <v>-98836.999999999898</v>
      </c>
      <c r="H103" s="224"/>
      <c r="I103" s="249"/>
      <c r="J103" s="148"/>
      <c r="K103" s="148"/>
      <c r="L103" s="148"/>
    </row>
    <row r="104" spans="1:12" hidden="1" x14ac:dyDescent="0.25">
      <c r="A104" s="153">
        <f t="shared" si="9"/>
        <v>97</v>
      </c>
      <c r="B104" s="160">
        <f>+B103+31</f>
        <v>698</v>
      </c>
      <c r="C104" s="7"/>
      <c r="D104" s="245">
        <v>-121738.85</v>
      </c>
      <c r="E104" s="224"/>
      <c r="F104" s="224">
        <f t="shared" si="11"/>
        <v>-121738.85</v>
      </c>
      <c r="G104" s="162">
        <f t="shared" si="8"/>
        <v>-220575.84999999992</v>
      </c>
      <c r="H104" s="224"/>
      <c r="I104" s="249"/>
      <c r="J104" s="148"/>
      <c r="K104" s="148"/>
      <c r="L104" s="148"/>
    </row>
    <row r="105" spans="1:12" hidden="1" x14ac:dyDescent="0.25">
      <c r="A105" s="153">
        <f t="shared" si="9"/>
        <v>98</v>
      </c>
      <c r="B105" s="160">
        <f>+B104+30</f>
        <v>728</v>
      </c>
      <c r="C105" s="7"/>
      <c r="D105" s="245">
        <v>-98582.62</v>
      </c>
      <c r="E105" s="224"/>
      <c r="F105" s="224">
        <f t="shared" si="11"/>
        <v>-98582.62</v>
      </c>
      <c r="G105" s="162">
        <f t="shared" si="8"/>
        <v>-319158.46999999991</v>
      </c>
      <c r="H105" s="224"/>
      <c r="I105" s="249"/>
      <c r="J105" s="148"/>
      <c r="K105" s="148"/>
      <c r="L105" s="148"/>
    </row>
    <row r="106" spans="1:12" hidden="1" x14ac:dyDescent="0.25">
      <c r="A106" s="153">
        <f t="shared" si="9"/>
        <v>99</v>
      </c>
      <c r="B106" s="160">
        <f>+B105+31</f>
        <v>759</v>
      </c>
      <c r="C106" s="7"/>
      <c r="D106" s="245">
        <v>-108876.86</v>
      </c>
      <c r="E106" s="224"/>
      <c r="F106" s="224">
        <f t="shared" si="11"/>
        <v>-108876.86</v>
      </c>
      <c r="G106" s="162">
        <f t="shared" si="8"/>
        <v>-428035.3299999999</v>
      </c>
      <c r="H106" s="224"/>
      <c r="I106" s="249"/>
      <c r="J106" s="148"/>
      <c r="K106" s="148"/>
      <c r="L106" s="148"/>
    </row>
    <row r="107" spans="1:12" hidden="1" x14ac:dyDescent="0.25">
      <c r="A107" s="153">
        <f t="shared" si="9"/>
        <v>100</v>
      </c>
      <c r="B107" s="160">
        <f>+B106+30</f>
        <v>789</v>
      </c>
      <c r="C107" s="7"/>
      <c r="D107" s="245">
        <v>-121459.66</v>
      </c>
      <c r="E107" s="224"/>
      <c r="F107" s="224">
        <f t="shared" si="11"/>
        <v>-121459.66</v>
      </c>
      <c r="G107" s="162">
        <f t="shared" si="8"/>
        <v>-549494.98999999987</v>
      </c>
      <c r="H107" s="224"/>
      <c r="I107" s="249"/>
      <c r="J107" s="148"/>
      <c r="K107" s="148"/>
      <c r="L107" s="148"/>
    </row>
    <row r="108" spans="1:12" hidden="1" x14ac:dyDescent="0.25">
      <c r="A108" s="153">
        <f t="shared" si="9"/>
        <v>101</v>
      </c>
      <c r="B108" s="160">
        <f>+B107+31</f>
        <v>820</v>
      </c>
      <c r="C108" s="7"/>
      <c r="D108" s="245">
        <v>-120145.04</v>
      </c>
      <c r="E108" s="224"/>
      <c r="F108" s="224">
        <f t="shared" si="11"/>
        <v>-120145.04</v>
      </c>
      <c r="G108" s="162">
        <f t="shared" si="8"/>
        <v>-669640.02999999991</v>
      </c>
      <c r="H108" s="224"/>
      <c r="I108" s="249"/>
      <c r="J108" s="148"/>
      <c r="K108" s="148"/>
      <c r="L108" s="148"/>
    </row>
    <row r="109" spans="1:12" hidden="1" x14ac:dyDescent="0.25">
      <c r="A109" s="153">
        <f t="shared" si="9"/>
        <v>102</v>
      </c>
      <c r="B109" s="160">
        <f>+B108+31</f>
        <v>851</v>
      </c>
      <c r="C109" s="7"/>
      <c r="D109" s="245">
        <v>-118748.83</v>
      </c>
      <c r="E109" s="224"/>
      <c r="F109" s="224">
        <f t="shared" si="11"/>
        <v>-118748.83</v>
      </c>
      <c r="G109" s="162">
        <f t="shared" si="8"/>
        <v>-788388.85999999987</v>
      </c>
      <c r="H109" s="224"/>
      <c r="I109" s="249"/>
      <c r="J109" s="148"/>
      <c r="K109" s="148"/>
      <c r="L109" s="148"/>
    </row>
    <row r="110" spans="1:12" hidden="1" x14ac:dyDescent="0.25">
      <c r="A110" s="153">
        <f t="shared" si="9"/>
        <v>103</v>
      </c>
      <c r="B110" s="160">
        <f>+B109+30</f>
        <v>881</v>
      </c>
      <c r="C110" s="7"/>
      <c r="D110" s="245">
        <v>-119041.05</v>
      </c>
      <c r="E110" s="224"/>
      <c r="F110" s="224">
        <f t="shared" si="11"/>
        <v>-119041.05</v>
      </c>
      <c r="G110" s="162">
        <f t="shared" si="8"/>
        <v>-907429.90999999992</v>
      </c>
      <c r="H110" s="224"/>
      <c r="I110" s="249"/>
      <c r="J110" s="148"/>
      <c r="K110" s="148"/>
      <c r="L110" s="148"/>
    </row>
    <row r="111" spans="1:12" hidden="1" x14ac:dyDescent="0.25">
      <c r="A111" s="153">
        <f t="shared" si="9"/>
        <v>104</v>
      </c>
      <c r="B111" s="160">
        <f>+B110+31</f>
        <v>912</v>
      </c>
      <c r="C111" s="7"/>
      <c r="D111" s="245">
        <v>-108666.14</v>
      </c>
      <c r="E111" s="224"/>
      <c r="F111" s="224">
        <f t="shared" si="11"/>
        <v>-108666.14</v>
      </c>
      <c r="G111" s="162">
        <f t="shared" si="8"/>
        <v>-1016096.0499999999</v>
      </c>
      <c r="H111" s="224"/>
      <c r="I111" s="249"/>
      <c r="J111" s="148"/>
      <c r="K111" s="148"/>
      <c r="L111" s="148"/>
    </row>
    <row r="112" spans="1:12" hidden="1" x14ac:dyDescent="0.25">
      <c r="A112" s="153">
        <f t="shared" si="9"/>
        <v>105</v>
      </c>
      <c r="B112" s="160">
        <f>+B111+31</f>
        <v>943</v>
      </c>
      <c r="C112" s="7"/>
      <c r="D112" s="245">
        <v>-107433.34</v>
      </c>
      <c r="E112" s="224"/>
      <c r="F112" s="224">
        <f t="shared" si="11"/>
        <v>-107433.34</v>
      </c>
      <c r="G112" s="162">
        <f t="shared" si="8"/>
        <v>-1123529.3899999999</v>
      </c>
      <c r="H112" s="224"/>
      <c r="I112" s="249"/>
      <c r="J112" s="148"/>
      <c r="K112" s="148"/>
      <c r="L112" s="148"/>
    </row>
    <row r="113" spans="1:12" hidden="1" x14ac:dyDescent="0.25">
      <c r="A113" s="153">
        <f t="shared" si="9"/>
        <v>106</v>
      </c>
      <c r="B113" s="160">
        <f>+B112+30</f>
        <v>973</v>
      </c>
      <c r="C113" s="7"/>
      <c r="D113" s="245">
        <v>-99921.32</v>
      </c>
      <c r="E113" s="224"/>
      <c r="F113" s="224">
        <f t="shared" si="11"/>
        <v>-99921.32</v>
      </c>
      <c r="G113" s="162">
        <f t="shared" si="8"/>
        <v>-1223450.71</v>
      </c>
      <c r="H113" s="224"/>
      <c r="I113" s="249"/>
      <c r="J113" s="148"/>
      <c r="K113" s="148"/>
      <c r="L113" s="148"/>
    </row>
    <row r="114" spans="1:12" hidden="1" x14ac:dyDescent="0.25">
      <c r="A114" s="153">
        <f t="shared" si="9"/>
        <v>107</v>
      </c>
      <c r="B114" s="160">
        <f>+B113+31</f>
        <v>1004</v>
      </c>
      <c r="C114" s="237">
        <v>1</v>
      </c>
      <c r="D114" s="245">
        <v>-11470.88</v>
      </c>
      <c r="E114" s="224">
        <v>1223450.71</v>
      </c>
      <c r="F114" s="224">
        <f t="shared" si="11"/>
        <v>1211979.83</v>
      </c>
      <c r="G114" s="162">
        <f t="shared" si="8"/>
        <v>-11470.879999999888</v>
      </c>
      <c r="H114" s="224"/>
      <c r="I114" s="249"/>
      <c r="J114" s="148"/>
      <c r="K114" s="148"/>
      <c r="L114" s="148"/>
    </row>
    <row r="115" spans="1:12" hidden="1" x14ac:dyDescent="0.25">
      <c r="A115" s="153">
        <f t="shared" si="9"/>
        <v>108</v>
      </c>
      <c r="B115" s="160">
        <f>+B114+29</f>
        <v>1033</v>
      </c>
      <c r="C115" s="7"/>
      <c r="D115" s="245">
        <v>-48599.01</v>
      </c>
      <c r="E115" s="224"/>
      <c r="F115" s="224">
        <f t="shared" si="11"/>
        <v>-48599.01</v>
      </c>
      <c r="G115" s="162">
        <f t="shared" si="8"/>
        <v>-60069.88999999989</v>
      </c>
      <c r="H115" s="224"/>
      <c r="I115" s="249"/>
      <c r="J115" s="148"/>
      <c r="K115" s="148"/>
      <c r="L115" s="148"/>
    </row>
    <row r="116" spans="1:12" hidden="1" x14ac:dyDescent="0.25">
      <c r="A116" s="153">
        <f t="shared" si="9"/>
        <v>109</v>
      </c>
      <c r="B116" s="160">
        <f>+B115+31</f>
        <v>1064</v>
      </c>
      <c r="C116" s="7"/>
      <c r="D116" s="245">
        <v>-122965.61</v>
      </c>
      <c r="E116" s="224"/>
      <c r="F116" s="224">
        <f t="shared" si="11"/>
        <v>-122965.61</v>
      </c>
      <c r="G116" s="162">
        <f t="shared" si="8"/>
        <v>-183035.49999999988</v>
      </c>
      <c r="H116" s="224"/>
      <c r="I116" s="249"/>
      <c r="J116" s="148"/>
      <c r="K116" s="148"/>
      <c r="L116" s="148"/>
    </row>
    <row r="117" spans="1:12" hidden="1" x14ac:dyDescent="0.25">
      <c r="A117" s="153">
        <f t="shared" si="9"/>
        <v>110</v>
      </c>
      <c r="B117" s="160">
        <f>+B116+30</f>
        <v>1094</v>
      </c>
      <c r="C117" s="7"/>
      <c r="D117" s="245">
        <v>-96042.06</v>
      </c>
      <c r="E117" s="224"/>
      <c r="F117" s="224">
        <f t="shared" si="11"/>
        <v>-96042.06</v>
      </c>
      <c r="G117" s="162">
        <f t="shared" si="8"/>
        <v>-279077.55999999988</v>
      </c>
      <c r="H117" s="224"/>
      <c r="I117" s="249"/>
      <c r="J117" s="148"/>
      <c r="K117" s="148"/>
      <c r="L117" s="148"/>
    </row>
    <row r="118" spans="1:12" hidden="1" x14ac:dyDescent="0.25">
      <c r="A118" s="153">
        <f t="shared" si="9"/>
        <v>111</v>
      </c>
      <c r="B118" s="160">
        <f>+B117+31</f>
        <v>1125</v>
      </c>
      <c r="C118" s="7"/>
      <c r="D118" s="245">
        <v>-111739.55</v>
      </c>
      <c r="E118" s="224"/>
      <c r="F118" s="224">
        <f t="shared" si="11"/>
        <v>-111739.55</v>
      </c>
      <c r="G118" s="162">
        <f t="shared" si="8"/>
        <v>-390817.10999999987</v>
      </c>
      <c r="H118" s="224"/>
      <c r="I118" s="249"/>
      <c r="J118" s="148"/>
      <c r="K118" s="148"/>
      <c r="L118" s="148"/>
    </row>
    <row r="119" spans="1:12" hidden="1" x14ac:dyDescent="0.25">
      <c r="A119" s="153">
        <f t="shared" si="9"/>
        <v>112</v>
      </c>
      <c r="B119" s="160">
        <f>+B118+30</f>
        <v>1155</v>
      </c>
      <c r="C119" s="7"/>
      <c r="D119" s="245">
        <v>-119912.74</v>
      </c>
      <c r="E119" s="224"/>
      <c r="F119" s="224">
        <f t="shared" si="11"/>
        <v>-119912.74</v>
      </c>
      <c r="G119" s="162">
        <f t="shared" si="8"/>
        <v>-510729.84999999986</v>
      </c>
      <c r="H119" s="224"/>
      <c r="I119" s="249"/>
      <c r="J119" s="148"/>
      <c r="K119" s="148"/>
      <c r="L119" s="148"/>
    </row>
    <row r="120" spans="1:12" hidden="1" x14ac:dyDescent="0.25">
      <c r="A120" s="153">
        <f t="shared" si="9"/>
        <v>113</v>
      </c>
      <c r="B120" s="160">
        <f>+B119+31</f>
        <v>1186</v>
      </c>
      <c r="C120" s="7"/>
      <c r="D120" s="245">
        <v>-129628.83</v>
      </c>
      <c r="E120" s="224"/>
      <c r="F120" s="224">
        <f t="shared" si="11"/>
        <v>-129628.83</v>
      </c>
      <c r="G120" s="162">
        <f t="shared" si="8"/>
        <v>-640358.67999999982</v>
      </c>
      <c r="H120" s="224"/>
      <c r="I120" s="229"/>
      <c r="J120" s="148"/>
      <c r="K120" s="148"/>
      <c r="L120" s="148"/>
    </row>
    <row r="121" spans="1:12" hidden="1" x14ac:dyDescent="0.25">
      <c r="A121" s="153">
        <f t="shared" si="9"/>
        <v>114</v>
      </c>
      <c r="B121" s="182">
        <f>+B120+31</f>
        <v>1217</v>
      </c>
      <c r="C121" s="7"/>
      <c r="D121" s="245">
        <v>-137708.62</v>
      </c>
      <c r="E121" s="224"/>
      <c r="F121" s="224">
        <f t="shared" si="11"/>
        <v>-137708.62</v>
      </c>
      <c r="G121" s="162">
        <f t="shared" ref="G121:G130" si="12">+G120+F121</f>
        <v>-778067.29999999981</v>
      </c>
      <c r="H121" s="224"/>
      <c r="I121" s="249"/>
      <c r="J121" s="148"/>
      <c r="K121" s="148"/>
      <c r="L121" s="148"/>
    </row>
    <row r="122" spans="1:12" hidden="1" x14ac:dyDescent="0.25">
      <c r="A122" s="153">
        <f t="shared" si="9"/>
        <v>115</v>
      </c>
      <c r="B122" s="160">
        <f>+B121+30</f>
        <v>1247</v>
      </c>
      <c r="C122" s="215"/>
      <c r="D122" s="245">
        <v>-122425.77</v>
      </c>
      <c r="E122" s="224"/>
      <c r="F122" s="224">
        <f t="shared" si="11"/>
        <v>-122425.77</v>
      </c>
      <c r="G122" s="162">
        <f t="shared" si="12"/>
        <v>-900493.06999999983</v>
      </c>
      <c r="H122" s="224"/>
      <c r="I122" s="249"/>
      <c r="J122" s="148"/>
      <c r="K122" s="148"/>
      <c r="L122" s="148"/>
    </row>
    <row r="123" spans="1:12" hidden="1" x14ac:dyDescent="0.25">
      <c r="A123" s="153">
        <f t="shared" si="9"/>
        <v>116</v>
      </c>
      <c r="B123" s="160">
        <f>+B122+31</f>
        <v>1278</v>
      </c>
      <c r="C123" s="215"/>
      <c r="D123" s="245">
        <v>-116739.69</v>
      </c>
      <c r="E123" s="224"/>
      <c r="F123" s="224">
        <f t="shared" si="11"/>
        <v>-116739.69</v>
      </c>
      <c r="G123" s="162">
        <f t="shared" si="12"/>
        <v>-1017232.7599999998</v>
      </c>
      <c r="H123" s="224"/>
      <c r="I123" s="249"/>
      <c r="J123" s="148"/>
      <c r="K123" s="148"/>
      <c r="L123" s="148"/>
    </row>
    <row r="124" spans="1:12" hidden="1" x14ac:dyDescent="0.25">
      <c r="A124" s="153">
        <f t="shared" si="9"/>
        <v>117</v>
      </c>
      <c r="B124" s="160">
        <f>B123+30</f>
        <v>1308</v>
      </c>
      <c r="C124" s="215"/>
      <c r="D124" s="245">
        <v>-97111.23</v>
      </c>
      <c r="E124" s="224"/>
      <c r="F124" s="224">
        <f t="shared" si="11"/>
        <v>-97111.23</v>
      </c>
      <c r="G124" s="162">
        <f t="shared" si="12"/>
        <v>-1114343.9899999998</v>
      </c>
      <c r="H124" s="224"/>
      <c r="I124" s="249"/>
      <c r="J124" s="148"/>
      <c r="K124" s="148"/>
      <c r="L124" s="148"/>
    </row>
    <row r="125" spans="1:12" hidden="1" x14ac:dyDescent="0.25">
      <c r="A125" s="153">
        <f t="shared" si="9"/>
        <v>118</v>
      </c>
      <c r="B125" s="160">
        <f>B124+31</f>
        <v>1339</v>
      </c>
      <c r="C125" s="215"/>
      <c r="D125" s="245">
        <f>-104462.33</f>
        <v>-104462.33</v>
      </c>
      <c r="E125" s="224"/>
      <c r="F125" s="224">
        <f t="shared" si="11"/>
        <v>-104462.33</v>
      </c>
      <c r="G125" s="162">
        <f t="shared" si="12"/>
        <v>-1218806.3199999998</v>
      </c>
      <c r="H125" s="224"/>
      <c r="I125" s="249"/>
      <c r="J125" s="148"/>
      <c r="K125" s="148"/>
      <c r="L125" s="148"/>
    </row>
    <row r="126" spans="1:12" hidden="1" x14ac:dyDescent="0.25">
      <c r="A126" s="153">
        <f t="shared" si="9"/>
        <v>119</v>
      </c>
      <c r="B126" s="160">
        <f>B125+31</f>
        <v>1370</v>
      </c>
      <c r="C126" s="237">
        <v>1</v>
      </c>
      <c r="D126" s="245">
        <v>-7449.15</v>
      </c>
      <c r="E126" s="224">
        <v>1218806.32</v>
      </c>
      <c r="F126" s="224">
        <f t="shared" si="11"/>
        <v>1211357.1700000002</v>
      </c>
      <c r="G126" s="162">
        <f t="shared" si="12"/>
        <v>-7449.149999999674</v>
      </c>
      <c r="H126" s="224"/>
      <c r="I126" s="249"/>
      <c r="J126" s="148"/>
      <c r="K126" s="148"/>
      <c r="L126" s="148"/>
    </row>
    <row r="127" spans="1:12" hidden="1" x14ac:dyDescent="0.25">
      <c r="A127" s="153">
        <f t="shared" si="9"/>
        <v>120</v>
      </c>
      <c r="B127" s="160">
        <f>B126+29</f>
        <v>1399</v>
      </c>
      <c r="C127" s="215"/>
      <c r="D127" s="245">
        <v>-42848.68</v>
      </c>
      <c r="E127" s="224"/>
      <c r="F127" s="224">
        <f t="shared" si="11"/>
        <v>-42848.68</v>
      </c>
      <c r="G127" s="162">
        <f t="shared" si="12"/>
        <v>-50297.829999999674</v>
      </c>
      <c r="H127" s="224"/>
      <c r="I127" s="249"/>
      <c r="J127" s="148"/>
      <c r="K127" s="148"/>
      <c r="L127" s="148"/>
    </row>
    <row r="128" spans="1:12" hidden="1" x14ac:dyDescent="0.25">
      <c r="A128" s="153">
        <f t="shared" si="9"/>
        <v>121</v>
      </c>
      <c r="B128" s="160">
        <f>B127+31</f>
        <v>1430</v>
      </c>
      <c r="C128" s="215"/>
      <c r="D128" s="245">
        <v>-109518.66</v>
      </c>
      <c r="E128" s="224"/>
      <c r="F128" s="224">
        <f t="shared" si="11"/>
        <v>-109518.66</v>
      </c>
      <c r="G128" s="162">
        <f t="shared" si="12"/>
        <v>-159816.48999999967</v>
      </c>
      <c r="H128" s="224"/>
      <c r="I128" s="249"/>
      <c r="J128" s="148"/>
      <c r="K128" s="148"/>
      <c r="L128" s="148"/>
    </row>
    <row r="129" spans="1:12" hidden="1" x14ac:dyDescent="0.25">
      <c r="A129" s="153">
        <f t="shared" si="9"/>
        <v>122</v>
      </c>
      <c r="B129" s="160">
        <f>B128+30</f>
        <v>1460</v>
      </c>
      <c r="C129" s="215"/>
      <c r="D129" s="245">
        <v>-140623.31</v>
      </c>
      <c r="E129" s="224"/>
      <c r="F129" s="224">
        <f t="shared" si="11"/>
        <v>-140623.31</v>
      </c>
      <c r="G129" s="162">
        <f t="shared" si="12"/>
        <v>-300439.7999999997</v>
      </c>
      <c r="H129" s="224"/>
      <c r="I129" s="249"/>
      <c r="J129" s="148"/>
      <c r="K129" s="148"/>
      <c r="L129" s="148"/>
    </row>
    <row r="130" spans="1:12" hidden="1" x14ac:dyDescent="0.25">
      <c r="A130" s="153">
        <f t="shared" si="9"/>
        <v>123</v>
      </c>
      <c r="B130" s="160">
        <f>B129+31</f>
        <v>1491</v>
      </c>
      <c r="C130" s="215"/>
      <c r="D130" s="245">
        <v>-174781.63</v>
      </c>
      <c r="E130" s="224"/>
      <c r="F130" s="224">
        <f t="shared" si="11"/>
        <v>-174781.63</v>
      </c>
      <c r="G130" s="162">
        <f t="shared" si="12"/>
        <v>-475221.4299999997</v>
      </c>
      <c r="H130" s="224"/>
      <c r="I130" s="249"/>
      <c r="J130" s="148"/>
      <c r="K130" s="148"/>
      <c r="L130" s="148"/>
    </row>
    <row r="131" spans="1:12" hidden="1" x14ac:dyDescent="0.25">
      <c r="A131" s="153">
        <f t="shared" si="9"/>
        <v>124</v>
      </c>
      <c r="B131" s="160">
        <f>B130+30</f>
        <v>1521</v>
      </c>
      <c r="C131" s="215"/>
      <c r="D131" s="245">
        <v>-179254.96</v>
      </c>
      <c r="E131" s="224"/>
      <c r="F131" s="224">
        <f t="shared" si="11"/>
        <v>-179254.96</v>
      </c>
      <c r="G131" s="162">
        <f>+G130+F131</f>
        <v>-654476.38999999966</v>
      </c>
      <c r="H131" s="224"/>
      <c r="I131" s="249"/>
      <c r="J131" s="148"/>
      <c r="K131" s="148"/>
      <c r="L131" s="148"/>
    </row>
    <row r="132" spans="1:12" hidden="1" x14ac:dyDescent="0.25">
      <c r="A132" s="153">
        <f t="shared" si="9"/>
        <v>125</v>
      </c>
      <c r="B132" s="160">
        <f>B131+31</f>
        <v>1552</v>
      </c>
      <c r="C132" s="215"/>
      <c r="D132" s="245">
        <v>-163068.18</v>
      </c>
      <c r="E132" s="224"/>
      <c r="F132" s="224">
        <f t="shared" si="11"/>
        <v>-163068.18</v>
      </c>
      <c r="G132" s="162">
        <f t="shared" ref="G132:G147" si="13">+G131+F132</f>
        <v>-817544.5699999996</v>
      </c>
      <c r="H132" s="224"/>
      <c r="I132" s="249"/>
      <c r="J132" s="148"/>
      <c r="K132" s="148"/>
      <c r="L132" s="148"/>
    </row>
    <row r="133" spans="1:12" hidden="1" x14ac:dyDescent="0.25">
      <c r="A133" s="153">
        <f t="shared" si="9"/>
        <v>126</v>
      </c>
      <c r="B133" s="160">
        <f>B132+31</f>
        <v>1583</v>
      </c>
      <c r="C133" s="215"/>
      <c r="D133" s="245">
        <v>-129621.45</v>
      </c>
      <c r="E133" s="224"/>
      <c r="F133" s="224">
        <f t="shared" si="11"/>
        <v>-129621.45</v>
      </c>
      <c r="G133" s="162">
        <f t="shared" si="13"/>
        <v>-947166.01999999955</v>
      </c>
      <c r="H133" s="224"/>
      <c r="I133" s="249"/>
      <c r="J133" s="148"/>
      <c r="K133" s="148"/>
      <c r="L133" s="148"/>
    </row>
    <row r="134" spans="1:12" hidden="1" x14ac:dyDescent="0.25">
      <c r="A134" s="153">
        <f t="shared" si="9"/>
        <v>127</v>
      </c>
      <c r="B134" s="160">
        <f>B133+30</f>
        <v>1613</v>
      </c>
      <c r="C134" s="215"/>
      <c r="D134" s="245">
        <v>-154719.19</v>
      </c>
      <c r="E134" s="224"/>
      <c r="F134" s="224">
        <f t="shared" si="11"/>
        <v>-154719.19</v>
      </c>
      <c r="G134" s="162">
        <f t="shared" si="13"/>
        <v>-1101885.2099999995</v>
      </c>
      <c r="H134" s="224"/>
      <c r="I134" s="249"/>
      <c r="J134" s="148"/>
      <c r="K134" s="148"/>
      <c r="L134" s="148"/>
    </row>
    <row r="135" spans="1:12" hidden="1" x14ac:dyDescent="0.25">
      <c r="A135" s="153">
        <f t="shared" si="9"/>
        <v>128</v>
      </c>
      <c r="B135" s="160">
        <f>B134+31</f>
        <v>1644</v>
      </c>
      <c r="C135" s="215"/>
      <c r="D135" s="245">
        <v>-129136.34</v>
      </c>
      <c r="E135" s="224"/>
      <c r="F135" s="224">
        <f t="shared" si="11"/>
        <v>-129136.34</v>
      </c>
      <c r="G135" s="162">
        <f t="shared" si="13"/>
        <v>-1231021.5499999996</v>
      </c>
      <c r="H135" s="224"/>
      <c r="I135" s="249"/>
      <c r="J135" s="148"/>
      <c r="K135" s="148"/>
      <c r="L135" s="148"/>
    </row>
    <row r="136" spans="1:12" hidden="1" x14ac:dyDescent="0.25">
      <c r="A136" s="153">
        <f t="shared" si="9"/>
        <v>129</v>
      </c>
      <c r="B136" s="160">
        <f>B135+30</f>
        <v>1674</v>
      </c>
      <c r="C136" s="215"/>
      <c r="D136" s="245">
        <v>-90004.41</v>
      </c>
      <c r="E136" s="224"/>
      <c r="F136" s="224">
        <f t="shared" si="11"/>
        <v>-90004.41</v>
      </c>
      <c r="G136" s="162">
        <f t="shared" si="13"/>
        <v>-1321025.9599999995</v>
      </c>
      <c r="H136" s="224"/>
      <c r="I136" s="249"/>
      <c r="J136" s="148"/>
      <c r="K136" s="148"/>
      <c r="L136" s="148"/>
    </row>
    <row r="137" spans="1:12" hidden="1" x14ac:dyDescent="0.25">
      <c r="A137" s="153">
        <f t="shared" ref="A137:A177" si="14">+A136+1</f>
        <v>130</v>
      </c>
      <c r="B137" s="160">
        <f>B136+31</f>
        <v>1705</v>
      </c>
      <c r="C137" s="7"/>
      <c r="D137" s="245">
        <v>-109930.55</v>
      </c>
      <c r="E137" s="224"/>
      <c r="F137" s="224">
        <f t="shared" si="11"/>
        <v>-109930.55</v>
      </c>
      <c r="G137" s="162">
        <f t="shared" si="13"/>
        <v>-1430956.5099999995</v>
      </c>
      <c r="H137" s="224"/>
      <c r="I137" s="249"/>
      <c r="J137" s="148"/>
      <c r="K137" s="148"/>
      <c r="L137" s="148"/>
    </row>
    <row r="138" spans="1:12" hidden="1" x14ac:dyDescent="0.25">
      <c r="A138" s="153">
        <f t="shared" si="14"/>
        <v>131</v>
      </c>
      <c r="B138" s="160">
        <f t="shared" ref="B138:B157" si="15">B137+31</f>
        <v>1736</v>
      </c>
      <c r="C138" s="237">
        <v>1</v>
      </c>
      <c r="D138" s="245">
        <v>0</v>
      </c>
      <c r="E138" s="224">
        <v>1430956.51</v>
      </c>
      <c r="F138" s="224">
        <f t="shared" si="11"/>
        <v>1430956.51</v>
      </c>
      <c r="G138" s="162">
        <f t="shared" si="13"/>
        <v>0</v>
      </c>
      <c r="H138" s="224"/>
      <c r="I138" s="249"/>
      <c r="J138" s="148"/>
      <c r="K138" s="148"/>
      <c r="L138" s="148"/>
    </row>
    <row r="139" spans="1:12" hidden="1" x14ac:dyDescent="0.25">
      <c r="A139" s="153">
        <f t="shared" si="14"/>
        <v>132</v>
      </c>
      <c r="B139" s="160">
        <f t="shared" si="15"/>
        <v>1767</v>
      </c>
      <c r="C139" s="7"/>
      <c r="D139" s="245">
        <v>-41988.9</v>
      </c>
      <c r="E139" s="224"/>
      <c r="F139" s="224">
        <f t="shared" si="11"/>
        <v>-41988.9</v>
      </c>
      <c r="G139" s="162">
        <f t="shared" si="13"/>
        <v>-41988.9</v>
      </c>
      <c r="H139" s="224"/>
      <c r="I139" s="249"/>
      <c r="J139" s="148"/>
      <c r="K139" s="148"/>
      <c r="L139" s="148"/>
    </row>
    <row r="140" spans="1:12" hidden="1" x14ac:dyDescent="0.25">
      <c r="A140" s="153">
        <f t="shared" si="14"/>
        <v>133</v>
      </c>
      <c r="B140" s="160">
        <f t="shared" si="15"/>
        <v>1798</v>
      </c>
      <c r="C140" s="7"/>
      <c r="D140" s="245">
        <v>-79377.490000000005</v>
      </c>
      <c r="E140" s="224"/>
      <c r="F140" s="224">
        <f t="shared" si="11"/>
        <v>-79377.490000000005</v>
      </c>
      <c r="G140" s="162">
        <f t="shared" si="13"/>
        <v>-121366.39000000001</v>
      </c>
      <c r="H140" s="224"/>
      <c r="I140" s="249"/>
      <c r="J140" s="148"/>
      <c r="K140" s="148"/>
      <c r="L140" s="148"/>
    </row>
    <row r="141" spans="1:12" hidden="1" x14ac:dyDescent="0.25">
      <c r="A141" s="153">
        <f t="shared" si="14"/>
        <v>134</v>
      </c>
      <c r="B141" s="160">
        <f t="shared" si="15"/>
        <v>1829</v>
      </c>
      <c r="C141" s="7"/>
      <c r="D141" s="245">
        <v>-132510.79</v>
      </c>
      <c r="E141" s="224"/>
      <c r="F141" s="224">
        <f t="shared" si="11"/>
        <v>-132510.79</v>
      </c>
      <c r="G141" s="162">
        <f t="shared" si="13"/>
        <v>-253877.18000000002</v>
      </c>
      <c r="H141" s="224"/>
      <c r="I141" s="249"/>
      <c r="J141" s="148"/>
      <c r="K141" s="148"/>
      <c r="L141" s="148"/>
    </row>
    <row r="142" spans="1:12" hidden="1" x14ac:dyDescent="0.25">
      <c r="A142" s="153">
        <f t="shared" si="14"/>
        <v>135</v>
      </c>
      <c r="B142" s="160">
        <f t="shared" si="15"/>
        <v>1860</v>
      </c>
      <c r="C142" s="7"/>
      <c r="D142" s="245">
        <v>-145262.17000000001</v>
      </c>
      <c r="E142" s="224"/>
      <c r="F142" s="224">
        <f t="shared" si="11"/>
        <v>-145262.17000000001</v>
      </c>
      <c r="G142" s="162">
        <f t="shared" si="13"/>
        <v>-399139.35000000003</v>
      </c>
      <c r="H142" s="224"/>
      <c r="I142" s="249"/>
      <c r="J142" s="148"/>
      <c r="K142" s="148"/>
      <c r="L142" s="148"/>
    </row>
    <row r="143" spans="1:12" hidden="1" x14ac:dyDescent="0.25">
      <c r="A143" s="153">
        <f t="shared" si="14"/>
        <v>136</v>
      </c>
      <c r="B143" s="160">
        <f t="shared" si="15"/>
        <v>1891</v>
      </c>
      <c r="C143" s="7"/>
      <c r="D143" s="245">
        <v>-154709.62</v>
      </c>
      <c r="E143" s="224"/>
      <c r="F143" s="224">
        <f t="shared" si="11"/>
        <v>-154709.62</v>
      </c>
      <c r="G143" s="162">
        <f t="shared" si="13"/>
        <v>-553848.97</v>
      </c>
      <c r="H143" s="224"/>
      <c r="I143" s="249"/>
      <c r="J143" s="148"/>
      <c r="K143" s="148"/>
      <c r="L143" s="148"/>
    </row>
    <row r="144" spans="1:12" hidden="1" x14ac:dyDescent="0.25">
      <c r="A144" s="153">
        <f t="shared" si="14"/>
        <v>137</v>
      </c>
      <c r="B144" s="160">
        <f t="shared" si="15"/>
        <v>1922</v>
      </c>
      <c r="C144" s="7"/>
      <c r="D144" s="245">
        <v>-203656.9</v>
      </c>
      <c r="E144" s="224"/>
      <c r="F144" s="224">
        <f t="shared" si="11"/>
        <v>-203656.9</v>
      </c>
      <c r="G144" s="162">
        <f t="shared" si="13"/>
        <v>-757505.87</v>
      </c>
      <c r="H144" s="224"/>
      <c r="I144" s="249"/>
      <c r="J144" s="148"/>
      <c r="K144" s="148"/>
      <c r="L144" s="148"/>
    </row>
    <row r="145" spans="1:12" hidden="1" x14ac:dyDescent="0.25">
      <c r="A145" s="153">
        <f t="shared" si="14"/>
        <v>138</v>
      </c>
      <c r="B145" s="160">
        <f t="shared" si="15"/>
        <v>1953</v>
      </c>
      <c r="C145" s="7"/>
      <c r="D145" s="245">
        <v>-201865.84</v>
      </c>
      <c r="E145" s="224"/>
      <c r="F145" s="224">
        <f t="shared" si="11"/>
        <v>-201865.84</v>
      </c>
      <c r="G145" s="162">
        <f t="shared" si="13"/>
        <v>-959371.71</v>
      </c>
      <c r="H145" s="224"/>
      <c r="I145" s="249"/>
      <c r="J145" s="148"/>
      <c r="K145" s="148"/>
      <c r="L145" s="148"/>
    </row>
    <row r="146" spans="1:12" hidden="1" x14ac:dyDescent="0.25">
      <c r="A146" s="153">
        <f t="shared" si="14"/>
        <v>139</v>
      </c>
      <c r="B146" s="160">
        <f t="shared" si="15"/>
        <v>1984</v>
      </c>
      <c r="C146" s="7"/>
      <c r="D146" s="245">
        <v>-149386.67000000001</v>
      </c>
      <c r="E146" s="224"/>
      <c r="F146" s="224">
        <f t="shared" si="11"/>
        <v>-149386.67000000001</v>
      </c>
      <c r="G146" s="162">
        <f t="shared" si="13"/>
        <v>-1108758.3799999999</v>
      </c>
      <c r="H146" s="224"/>
      <c r="I146" s="249"/>
      <c r="J146" s="148"/>
      <c r="K146" s="148"/>
      <c r="L146" s="148"/>
    </row>
    <row r="147" spans="1:12" hidden="1" x14ac:dyDescent="0.25">
      <c r="A147" s="153">
        <f t="shared" si="14"/>
        <v>140</v>
      </c>
      <c r="B147" s="160">
        <f t="shared" si="15"/>
        <v>2015</v>
      </c>
      <c r="C147" s="7"/>
      <c r="D147" s="245">
        <v>-155966.21</v>
      </c>
      <c r="E147" s="224"/>
      <c r="F147" s="224">
        <f t="shared" si="11"/>
        <v>-155966.21</v>
      </c>
      <c r="G147" s="162">
        <f t="shared" si="13"/>
        <v>-1264724.5899999999</v>
      </c>
      <c r="H147" s="224"/>
      <c r="I147" s="249"/>
      <c r="J147" s="148"/>
      <c r="K147" s="148"/>
      <c r="L147" s="148"/>
    </row>
    <row r="148" spans="1:12" x14ac:dyDescent="0.25">
      <c r="A148" s="153">
        <f t="shared" si="14"/>
        <v>141</v>
      </c>
      <c r="B148" s="160">
        <f>B147+30</f>
        <v>2045</v>
      </c>
      <c r="C148" s="7"/>
      <c r="D148" s="224">
        <v>-95615.84</v>
      </c>
      <c r="E148" s="224"/>
      <c r="F148" s="224">
        <v>-95615.84</v>
      </c>
      <c r="G148" s="162">
        <v>-1360340.43</v>
      </c>
      <c r="H148" s="224"/>
      <c r="I148" s="249"/>
      <c r="J148" s="148"/>
      <c r="K148" s="148"/>
      <c r="L148" s="148"/>
    </row>
    <row r="149" spans="1:12" x14ac:dyDescent="0.25">
      <c r="A149" s="153">
        <f t="shared" si="14"/>
        <v>142</v>
      </c>
      <c r="B149" s="160">
        <f t="shared" si="15"/>
        <v>2076</v>
      </c>
      <c r="C149" s="7"/>
      <c r="D149" s="224">
        <v>-101370.55</v>
      </c>
      <c r="E149" s="224"/>
      <c r="F149" s="224">
        <v>-101370.55</v>
      </c>
      <c r="G149" s="162">
        <v>-1461710.98</v>
      </c>
      <c r="H149" s="224"/>
      <c r="I149" s="249"/>
      <c r="J149" s="148"/>
      <c r="K149" s="148"/>
      <c r="L149" s="148"/>
    </row>
    <row r="150" spans="1:12" x14ac:dyDescent="0.25">
      <c r="A150" s="153">
        <f t="shared" si="14"/>
        <v>143</v>
      </c>
      <c r="B150" s="160">
        <f t="shared" si="15"/>
        <v>2107</v>
      </c>
      <c r="C150" s="237">
        <v>1</v>
      </c>
      <c r="D150" s="224">
        <v>-14681.84</v>
      </c>
      <c r="E150" s="224">
        <v>1461710.98</v>
      </c>
      <c r="F150" s="224">
        <v>1447029.14</v>
      </c>
      <c r="G150" s="162">
        <v>-14681.840000000084</v>
      </c>
      <c r="H150" s="224"/>
      <c r="I150" s="249"/>
      <c r="J150" s="148"/>
      <c r="K150" s="148"/>
      <c r="L150" s="148"/>
    </row>
    <row r="151" spans="1:12" x14ac:dyDescent="0.25">
      <c r="A151" s="153">
        <f t="shared" si="14"/>
        <v>144</v>
      </c>
      <c r="B151" s="160">
        <f>B150+28</f>
        <v>2135</v>
      </c>
      <c r="C151" s="7"/>
      <c r="D151" s="224">
        <v>-53128.97</v>
      </c>
      <c r="E151" s="224"/>
      <c r="F151" s="224">
        <v>-53128.97</v>
      </c>
      <c r="G151" s="162">
        <v>-67810.810000000085</v>
      </c>
      <c r="H151" s="224"/>
      <c r="I151" s="249"/>
      <c r="J151" s="148"/>
      <c r="K151" s="148"/>
      <c r="L151" s="148"/>
    </row>
    <row r="152" spans="1:12" x14ac:dyDescent="0.25">
      <c r="A152" s="153">
        <f t="shared" si="14"/>
        <v>145</v>
      </c>
      <c r="B152" s="160">
        <f t="shared" si="15"/>
        <v>2166</v>
      </c>
      <c r="C152" s="7"/>
      <c r="D152" s="224">
        <v>-126286.12</v>
      </c>
      <c r="E152" s="224"/>
      <c r="F152" s="224">
        <v>-126286.12</v>
      </c>
      <c r="G152" s="162">
        <v>-194096.93000000008</v>
      </c>
      <c r="H152" s="224"/>
      <c r="I152" s="249"/>
      <c r="J152" s="148"/>
      <c r="K152" s="148"/>
      <c r="L152" s="148"/>
    </row>
    <row r="153" spans="1:12" x14ac:dyDescent="0.25">
      <c r="A153" s="153">
        <f t="shared" si="14"/>
        <v>146</v>
      </c>
      <c r="B153" s="160">
        <f>B152+30</f>
        <v>2196</v>
      </c>
      <c r="C153" s="7"/>
      <c r="D153" s="224">
        <v>-127937.31</v>
      </c>
      <c r="E153" s="224"/>
      <c r="F153" s="224">
        <v>-127937.31</v>
      </c>
      <c r="G153" s="162">
        <v>-322034.24000000011</v>
      </c>
      <c r="H153" s="224"/>
      <c r="I153" s="249"/>
      <c r="J153" s="148"/>
      <c r="K153" s="148"/>
      <c r="L153" s="148"/>
    </row>
    <row r="154" spans="1:12" x14ac:dyDescent="0.25">
      <c r="A154" s="153">
        <f t="shared" si="14"/>
        <v>147</v>
      </c>
      <c r="B154" s="160">
        <f t="shared" si="15"/>
        <v>2227</v>
      </c>
      <c r="C154" s="7"/>
      <c r="D154" s="224">
        <v>-162656.76999999999</v>
      </c>
      <c r="E154" s="224"/>
      <c r="F154" s="224">
        <v>-162656.76999999999</v>
      </c>
      <c r="G154" s="162">
        <v>-484691.01000000013</v>
      </c>
      <c r="H154" s="224"/>
      <c r="I154" s="249"/>
      <c r="J154" s="148"/>
      <c r="K154" s="148"/>
      <c r="L154" s="148"/>
    </row>
    <row r="155" spans="1:12" x14ac:dyDescent="0.25">
      <c r="A155" s="153">
        <f t="shared" si="14"/>
        <v>148</v>
      </c>
      <c r="B155" s="160">
        <f>B154+30</f>
        <v>2257</v>
      </c>
      <c r="C155" s="7"/>
      <c r="D155" s="224">
        <v>-173423.23</v>
      </c>
      <c r="E155" s="224"/>
      <c r="F155" s="224">
        <v>-173423.23</v>
      </c>
      <c r="G155" s="162">
        <v>-658114.24000000011</v>
      </c>
      <c r="H155" s="224"/>
      <c r="I155" s="249"/>
      <c r="J155" s="148"/>
      <c r="K155" s="148"/>
      <c r="L155" s="148"/>
    </row>
    <row r="156" spans="1:12" x14ac:dyDescent="0.25">
      <c r="A156" s="153">
        <f t="shared" si="14"/>
        <v>149</v>
      </c>
      <c r="B156" s="160">
        <f t="shared" si="15"/>
        <v>2288</v>
      </c>
      <c r="C156" s="7"/>
      <c r="D156" s="224">
        <v>-190293.18</v>
      </c>
      <c r="E156" s="224"/>
      <c r="F156" s="224">
        <v>-190293.18</v>
      </c>
      <c r="G156" s="162">
        <v>-848407.42000000016</v>
      </c>
      <c r="H156" s="224"/>
      <c r="I156" s="249"/>
      <c r="J156" s="148"/>
      <c r="K156" s="148"/>
      <c r="L156" s="148"/>
    </row>
    <row r="157" spans="1:12" x14ac:dyDescent="0.25">
      <c r="A157" s="153">
        <f t="shared" si="14"/>
        <v>150</v>
      </c>
      <c r="B157" s="160">
        <f t="shared" si="15"/>
        <v>2319</v>
      </c>
      <c r="C157" s="7"/>
      <c r="D157" s="224">
        <v>-185700.67</v>
      </c>
      <c r="E157" s="224"/>
      <c r="F157" s="224">
        <v>-185700.67</v>
      </c>
      <c r="G157" s="162">
        <v>-1034108.0900000002</v>
      </c>
      <c r="H157" s="224"/>
      <c r="I157" s="249"/>
      <c r="J157" s="148"/>
      <c r="K157" s="148"/>
      <c r="L157" s="148"/>
    </row>
    <row r="158" spans="1:12" x14ac:dyDescent="0.25">
      <c r="A158" s="153">
        <f t="shared" si="14"/>
        <v>151</v>
      </c>
      <c r="B158" s="160">
        <v>43344</v>
      </c>
      <c r="C158" s="7"/>
      <c r="D158" s="224">
        <v>-169584.61</v>
      </c>
      <c r="E158" s="224"/>
      <c r="F158" s="224">
        <v>-169584.61</v>
      </c>
      <c r="G158" s="162">
        <v>-1203692.7000000002</v>
      </c>
      <c r="H158" s="224"/>
      <c r="I158" s="249"/>
      <c r="J158" s="148"/>
      <c r="K158" s="148"/>
      <c r="L158" s="148"/>
    </row>
    <row r="159" spans="1:12" x14ac:dyDescent="0.25">
      <c r="A159" s="153">
        <f t="shared" si="14"/>
        <v>152</v>
      </c>
      <c r="B159" s="160">
        <v>43374</v>
      </c>
      <c r="C159" s="7"/>
      <c r="D159" s="224">
        <v>-243304.19</v>
      </c>
      <c r="E159" s="224"/>
      <c r="F159" s="224">
        <v>-243304.19</v>
      </c>
      <c r="G159" s="162">
        <v>-1446996.8900000001</v>
      </c>
      <c r="H159" s="224"/>
      <c r="I159" s="249"/>
      <c r="J159" s="148"/>
      <c r="K159" s="148"/>
      <c r="L159" s="148"/>
    </row>
    <row r="160" spans="1:12" x14ac:dyDescent="0.25">
      <c r="A160" s="153">
        <f t="shared" si="14"/>
        <v>153</v>
      </c>
      <c r="B160" s="160">
        <v>43405</v>
      </c>
      <c r="C160" s="7"/>
      <c r="D160" s="224">
        <v>-269853.25</v>
      </c>
      <c r="E160" s="224"/>
      <c r="F160" s="224">
        <v>-269853.25</v>
      </c>
      <c r="G160" s="162">
        <v>-1716850.1400000001</v>
      </c>
      <c r="H160" s="224"/>
      <c r="I160" s="249"/>
      <c r="J160" s="148"/>
      <c r="K160" s="148"/>
      <c r="L160" s="148"/>
    </row>
    <row r="161" spans="1:12" x14ac:dyDescent="0.25">
      <c r="A161" s="153">
        <f t="shared" si="14"/>
        <v>154</v>
      </c>
      <c r="B161" s="160">
        <v>43435</v>
      </c>
      <c r="C161" s="7"/>
      <c r="D161" s="224">
        <v>-147226.66</v>
      </c>
      <c r="E161" s="224"/>
      <c r="F161" s="224">
        <v>-147226.66</v>
      </c>
      <c r="G161" s="162">
        <v>-1864076.8</v>
      </c>
      <c r="H161" s="224"/>
      <c r="I161" s="249"/>
      <c r="J161" s="148"/>
      <c r="K161" s="148"/>
      <c r="L161" s="148"/>
    </row>
    <row r="162" spans="1:12" x14ac:dyDescent="0.25">
      <c r="A162" s="153">
        <f t="shared" si="14"/>
        <v>155</v>
      </c>
      <c r="B162" s="160">
        <v>43466</v>
      </c>
      <c r="C162" s="237">
        <v>1</v>
      </c>
      <c r="D162" s="224">
        <v>0</v>
      </c>
      <c r="E162" s="224">
        <v>1864076.8</v>
      </c>
      <c r="F162" s="224">
        <v>1864076.8</v>
      </c>
      <c r="G162" s="162">
        <v>0</v>
      </c>
      <c r="H162" s="224"/>
      <c r="I162" s="249"/>
      <c r="J162" s="148"/>
      <c r="K162" s="148"/>
      <c r="L162" s="148"/>
    </row>
    <row r="163" spans="1:12" x14ac:dyDescent="0.25">
      <c r="A163" s="153">
        <f t="shared" si="14"/>
        <v>156</v>
      </c>
      <c r="B163" s="160">
        <v>43497</v>
      </c>
      <c r="C163" s="7"/>
      <c r="D163" s="224">
        <v>-111838.75</v>
      </c>
      <c r="E163" s="224"/>
      <c r="F163" s="224">
        <v>-111838.75</v>
      </c>
      <c r="G163" s="162">
        <v>-111838.75</v>
      </c>
      <c r="H163" s="224"/>
      <c r="I163" s="249"/>
      <c r="J163" s="148"/>
      <c r="K163" s="148"/>
      <c r="L163" s="148"/>
    </row>
    <row r="164" spans="1:12" x14ac:dyDescent="0.25">
      <c r="A164" s="153">
        <f t="shared" si="14"/>
        <v>157</v>
      </c>
      <c r="B164" s="160">
        <v>43525</v>
      </c>
      <c r="D164" s="224">
        <v>-238085.76000000001</v>
      </c>
      <c r="E164" s="147"/>
      <c r="F164" s="224">
        <v>-238085.76000000001</v>
      </c>
      <c r="G164" s="162">
        <v>-349924.51</v>
      </c>
      <c r="H164" s="224"/>
      <c r="I164" s="249"/>
      <c r="J164" s="148"/>
      <c r="K164" s="148"/>
      <c r="L164" s="148"/>
    </row>
    <row r="165" spans="1:12" x14ac:dyDescent="0.25">
      <c r="A165" s="153">
        <f t="shared" si="14"/>
        <v>158</v>
      </c>
      <c r="B165" s="160">
        <v>43556</v>
      </c>
      <c r="C165" s="7"/>
      <c r="D165" s="224">
        <v>-171982.36</v>
      </c>
      <c r="E165" s="224"/>
      <c r="F165" s="224">
        <v>-171982.36</v>
      </c>
      <c r="G165" s="162">
        <v>-521906.87</v>
      </c>
      <c r="H165" s="224"/>
      <c r="I165" s="249"/>
      <c r="J165" s="148"/>
      <c r="K165" s="148"/>
      <c r="L165" s="148"/>
    </row>
    <row r="166" spans="1:12" x14ac:dyDescent="0.25">
      <c r="A166" s="153">
        <f t="shared" si="14"/>
        <v>159</v>
      </c>
      <c r="B166" s="160">
        <v>43586</v>
      </c>
      <c r="C166" s="7"/>
      <c r="D166" s="224">
        <v>-186244.52</v>
      </c>
      <c r="E166" s="224"/>
      <c r="F166" s="224">
        <v>-186244.52</v>
      </c>
      <c r="G166" s="162">
        <v>-708151.39</v>
      </c>
      <c r="H166" s="224"/>
      <c r="I166" s="249"/>
      <c r="J166" s="148"/>
      <c r="K166" s="148"/>
      <c r="L166" s="148"/>
    </row>
    <row r="167" spans="1:12" x14ac:dyDescent="0.25">
      <c r="A167" s="153">
        <f t="shared" si="14"/>
        <v>160</v>
      </c>
      <c r="B167" s="160">
        <v>43617</v>
      </c>
      <c r="C167" s="7"/>
      <c r="D167" s="224">
        <v>-161919.73000000001</v>
      </c>
      <c r="E167" s="224"/>
      <c r="F167" s="224">
        <v>-161919.73000000001</v>
      </c>
      <c r="G167" s="162">
        <v>-870071.12</v>
      </c>
      <c r="H167" s="224"/>
      <c r="I167" s="249"/>
      <c r="J167" s="148"/>
      <c r="K167" s="148"/>
      <c r="L167" s="148"/>
    </row>
    <row r="168" spans="1:12" x14ac:dyDescent="0.25">
      <c r="A168" s="153">
        <f t="shared" si="14"/>
        <v>161</v>
      </c>
      <c r="B168" s="160">
        <v>43647</v>
      </c>
      <c r="C168" s="7"/>
      <c r="D168" s="224">
        <v>-153500.01</v>
      </c>
      <c r="E168" s="224"/>
      <c r="F168" s="224">
        <v>-153500.01</v>
      </c>
      <c r="G168" s="162">
        <v>-1023571.13</v>
      </c>
      <c r="H168" s="224"/>
      <c r="I168" s="249"/>
      <c r="J168" s="148"/>
      <c r="K168" s="148"/>
      <c r="L168" s="148"/>
    </row>
    <row r="169" spans="1:12" x14ac:dyDescent="0.25">
      <c r="A169" s="153">
        <f t="shared" si="14"/>
        <v>162</v>
      </c>
      <c r="B169" s="160">
        <v>43678</v>
      </c>
      <c r="C169" s="7"/>
      <c r="D169" s="224">
        <v>-141134.82</v>
      </c>
      <c r="E169" s="224"/>
      <c r="F169" s="224">
        <v>-141134.82</v>
      </c>
      <c r="G169" s="162">
        <v>-1164705.95</v>
      </c>
      <c r="H169" s="224"/>
      <c r="I169" s="249"/>
      <c r="J169" s="148"/>
      <c r="K169" s="148"/>
      <c r="L169" s="148"/>
    </row>
    <row r="170" spans="1:12" x14ac:dyDescent="0.25">
      <c r="A170" s="153">
        <f t="shared" si="14"/>
        <v>163</v>
      </c>
      <c r="B170" s="160">
        <v>43709</v>
      </c>
      <c r="C170" s="7"/>
      <c r="D170" s="224"/>
      <c r="E170" s="224"/>
      <c r="F170" s="224">
        <v>0</v>
      </c>
      <c r="G170" s="162">
        <v>-1164705.95</v>
      </c>
      <c r="H170" s="224"/>
      <c r="I170" s="249"/>
      <c r="J170" s="148"/>
      <c r="K170" s="148"/>
      <c r="L170" s="148"/>
    </row>
    <row r="171" spans="1:12" x14ac:dyDescent="0.25">
      <c r="A171" s="153">
        <f t="shared" si="14"/>
        <v>164</v>
      </c>
      <c r="B171" s="160">
        <v>43739</v>
      </c>
      <c r="C171" s="7"/>
      <c r="D171" s="224"/>
      <c r="E171" s="224"/>
      <c r="F171" s="224">
        <v>0</v>
      </c>
      <c r="G171" s="162">
        <v>-1164705.95</v>
      </c>
      <c r="H171" s="224"/>
      <c r="I171" s="249"/>
      <c r="J171" s="148"/>
      <c r="K171" s="148"/>
      <c r="L171" s="148"/>
    </row>
    <row r="172" spans="1:12" x14ac:dyDescent="0.25">
      <c r="A172" s="153">
        <f t="shared" si="14"/>
        <v>165</v>
      </c>
      <c r="B172" s="160"/>
      <c r="C172" s="7"/>
      <c r="D172" s="224"/>
      <c r="E172" s="224"/>
      <c r="F172" s="224"/>
      <c r="G172" s="224"/>
      <c r="H172" s="224"/>
      <c r="I172" s="249"/>
      <c r="J172" s="148"/>
      <c r="K172" s="148"/>
      <c r="L172" s="148"/>
    </row>
    <row r="173" spans="1:12" x14ac:dyDescent="0.25">
      <c r="A173" s="153">
        <f t="shared" si="14"/>
        <v>166</v>
      </c>
      <c r="B173" s="188" t="s">
        <v>157</v>
      </c>
      <c r="C173" s="7"/>
      <c r="D173" s="245"/>
      <c r="E173" s="224"/>
      <c r="F173" s="224"/>
      <c r="G173" s="224"/>
      <c r="H173" s="224"/>
      <c r="I173" s="249"/>
      <c r="J173" s="148"/>
      <c r="K173" s="148"/>
      <c r="L173" s="148"/>
    </row>
    <row r="174" spans="1:12" x14ac:dyDescent="0.25">
      <c r="A174" s="153">
        <f t="shared" si="14"/>
        <v>167</v>
      </c>
      <c r="B174" s="189"/>
      <c r="C174" s="2"/>
      <c r="D174" s="219"/>
      <c r="E174" s="219"/>
      <c r="F174" s="219"/>
      <c r="G174" s="219"/>
      <c r="H174" s="219"/>
      <c r="I174" s="52"/>
      <c r="J174" s="148"/>
      <c r="K174" s="148"/>
      <c r="L174" s="148"/>
    </row>
    <row r="175" spans="1:12" x14ac:dyDescent="0.25">
      <c r="A175" s="153">
        <f t="shared" si="14"/>
        <v>168</v>
      </c>
      <c r="B175" s="190" t="s">
        <v>131</v>
      </c>
      <c r="C175" s="2"/>
      <c r="D175" s="219"/>
      <c r="E175" s="219"/>
      <c r="F175" s="219"/>
      <c r="G175" s="219"/>
      <c r="H175" s="219"/>
      <c r="I175" s="52"/>
      <c r="J175" s="148"/>
      <c r="K175" s="148"/>
      <c r="L175" s="148"/>
    </row>
    <row r="176" spans="1:12" x14ac:dyDescent="0.25">
      <c r="A176" s="153">
        <f t="shared" si="14"/>
        <v>169</v>
      </c>
      <c r="B176" s="2" t="s">
        <v>182</v>
      </c>
      <c r="C176" s="2"/>
      <c r="D176" s="219"/>
      <c r="E176" s="219"/>
      <c r="F176" s="219"/>
      <c r="G176" s="219"/>
      <c r="H176" s="219"/>
      <c r="I176" s="52"/>
      <c r="J176" s="148"/>
      <c r="K176" s="148"/>
      <c r="L176" s="148"/>
    </row>
    <row r="177" spans="1:12" x14ac:dyDescent="0.25">
      <c r="A177" s="153">
        <f t="shared" si="14"/>
        <v>170</v>
      </c>
      <c r="C177" s="2"/>
      <c r="D177" s="219"/>
      <c r="E177" s="219"/>
      <c r="F177" s="219"/>
      <c r="G177" s="219"/>
      <c r="H177" s="219"/>
      <c r="I177" s="52"/>
      <c r="J177" s="148"/>
      <c r="K177" s="148"/>
      <c r="L177" s="148"/>
    </row>
    <row r="178" spans="1:12" x14ac:dyDescent="0.25">
      <c r="A178" s="153"/>
      <c r="C178" s="2"/>
      <c r="D178" s="219"/>
      <c r="E178" s="219"/>
      <c r="F178" s="219"/>
      <c r="G178" s="219"/>
      <c r="H178" s="219"/>
      <c r="I178" s="219"/>
      <c r="J178" s="148"/>
      <c r="K178" s="148"/>
      <c r="L178" s="148"/>
    </row>
    <row r="179" spans="1:12" x14ac:dyDescent="0.25">
      <c r="A179" s="153"/>
      <c r="H179" s="148"/>
      <c r="I179" s="148"/>
      <c r="J179" s="148"/>
      <c r="K179" s="148"/>
      <c r="L179" s="148"/>
    </row>
    <row r="180" spans="1:12" x14ac:dyDescent="0.25">
      <c r="A180" s="153"/>
      <c r="H180" s="148"/>
      <c r="I180" s="148"/>
      <c r="J180" s="148"/>
      <c r="K180" s="148"/>
      <c r="L180" s="148"/>
    </row>
    <row r="181" spans="1:12" x14ac:dyDescent="0.25">
      <c r="A181" s="153"/>
    </row>
    <row r="182" spans="1:12" x14ac:dyDescent="0.25">
      <c r="A182" s="153"/>
    </row>
    <row r="183" spans="1:12" x14ac:dyDescent="0.25">
      <c r="A183" s="153"/>
      <c r="B183" s="189"/>
    </row>
    <row r="184" spans="1:12" x14ac:dyDescent="0.25">
      <c r="A184" s="153"/>
    </row>
  </sheetData>
  <pageMargins left="0.7" right="0.7" top="0.75" bottom="0.75" header="0.3" footer="0.3"/>
  <pageSetup scale="66" orientation="landscape" horizontalDpi="300" verticalDpi="300" r:id="rId1"/>
  <headerFooter>
    <oddHeader>&amp;RNWN's Advice 19-06A
Exhibit A - Supporting Materials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2019-09-12T07:00:00+00:00</OpenedDate>
    <SignificantOrder xmlns="dc463f71-b30c-4ab2-9473-d307f9d35888">false</SignificantOrder>
    <Date1 xmlns="dc463f71-b30c-4ab2-9473-d307f9d35888">2019-09-27T07:00:00+00:00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190765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82BF0A1ABD27645AE62F9B905CACE01" ma:contentTypeVersion="56" ma:contentTypeDescription="" ma:contentTypeScope="" ma:versionID="63a71747fb9be7b90b2d28f05d2c9a2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7109DF-69BB-4DE0-9C82-1BE88DA965D5}"/>
</file>

<file path=customXml/itemProps2.xml><?xml version="1.0" encoding="utf-8"?>
<ds:datastoreItem xmlns:ds="http://schemas.openxmlformats.org/officeDocument/2006/customXml" ds:itemID="{D4DF66ED-BC64-40BA-B85D-8797F45AA237}"/>
</file>

<file path=customXml/itemProps3.xml><?xml version="1.0" encoding="utf-8"?>
<ds:datastoreItem xmlns:ds="http://schemas.openxmlformats.org/officeDocument/2006/customXml" ds:itemID="{ED8EA7D6-8A0E-41C6-9C04-84594715620D}"/>
</file>

<file path=customXml/itemProps4.xml><?xml version="1.0" encoding="utf-8"?>
<ds:datastoreItem xmlns:ds="http://schemas.openxmlformats.org/officeDocument/2006/customXml" ds:itemID="{25F715F3-715F-4F94-AB15-95DFE2F294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Temp. Increments</vt:lpstr>
      <vt:lpstr>Calc of Increments</vt:lpstr>
      <vt:lpstr>Effcts of Avg. Bill</vt:lpstr>
      <vt:lpstr>Summary of Def. Accts. </vt:lpstr>
      <vt:lpstr>191420</vt:lpstr>
      <vt:lpstr>191421</vt:lpstr>
      <vt:lpstr>191430</vt:lpstr>
      <vt:lpstr>191431</vt:lpstr>
      <vt:lpstr>254302</vt:lpstr>
      <vt:lpstr>Total Comm. Cost</vt:lpstr>
      <vt:lpstr>WACOG Calc.</vt:lpstr>
      <vt:lpstr>Demand Charges</vt:lpstr>
      <vt:lpstr>Deriviation of Demand</vt:lpstr>
      <vt:lpstr>Calc. of Winter WACOG</vt:lpstr>
      <vt:lpstr>Effects on Revenue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Bourdo, Lora</dc:creator>
  <cp:lastModifiedBy>Lee, Erica N</cp:lastModifiedBy>
  <cp:lastPrinted>2019-09-27T17:38:54Z</cp:lastPrinted>
  <dcterms:created xsi:type="dcterms:W3CDTF">2019-09-11T21:16:28Z</dcterms:created>
  <dcterms:modified xsi:type="dcterms:W3CDTF">2019-09-27T17:39:00Z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0x0101006E56B4D1795A2E4DB2F0B01679ED314A00A82BF0A1ABD27645AE62F9B905CACE01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