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firstSheet="3" activeTab="1"/>
  </bookViews>
  <sheets>
    <sheet name="5 15 17 Forecast Usage by Sched" sheetId="13" r:id="rId1"/>
    <sheet name="Nat Gas 2016 Rate Calc" sheetId="7" r:id="rId2"/>
    <sheet name="Electric 2015 Rate Calc" sheetId="4" state="hidden" r:id="rId3"/>
    <sheet name="Prior Year Amortization" sheetId="14" r:id="rId4"/>
    <sheet name="Earnings Test and 3% Test" sheetId="6" r:id="rId5"/>
    <sheet name="Conversion Factors" sheetId="2" r:id="rId6"/>
    <sheet name="Bill Impact" sheetId="15" r:id="rId7"/>
    <sheet name="Nat Gas 2015carryover Rate Calc" sheetId="8" state="hidden" r:id="rId8"/>
  </sheets>
  <definedNames>
    <definedName name="_xlnm.Print_Area" localSheetId="5">'Conversion Factors'!$A$1:$F$116</definedName>
    <definedName name="_xlnm.Print_Area" localSheetId="4">'Earnings Test and 3% Test'!$A$1:$G$66</definedName>
    <definedName name="_xlnm.Print_Area" localSheetId="2">'Electric 2015 Rate Calc'!$A$1:$L$81</definedName>
    <definedName name="_xlnm.Print_Area" localSheetId="7">'Nat Gas 2015carryover Rate Calc'!$A$1:$J$60</definedName>
    <definedName name="_xlnm.Print_Area" localSheetId="1">'Nat Gas 2016 Rate Calc'!$A$1:$L$91</definedName>
    <definedName name="_xlnm.Print_Titles" localSheetId="4">'Earnings Test and 3% Test'!$1:$4</definedName>
    <definedName name="_xlnm.Print_Titles" localSheetId="2">'Electric 2015 Rate Calc'!$1:$3</definedName>
    <definedName name="Z_5C6B1FA1_B621_4699_B8F7_5011E8FF1BCD_.wvu.PrintArea" localSheetId="5" hidden="1">'Conversion Factors'!$A$1:$F$114</definedName>
    <definedName name="Z_5C6B1FA1_B621_4699_B8F7_5011E8FF1BCD_.wvu.PrintArea" localSheetId="4" hidden="1">'Earnings Test and 3% Test'!$B$1:$G$65</definedName>
    <definedName name="Z_5C6B1FA1_B621_4699_B8F7_5011E8FF1BCD_.wvu.PrintArea" localSheetId="2" hidden="1">'Electric 2015 Rate Calc'!$B$1:$K$70</definedName>
    <definedName name="Z_5C6B1FA1_B621_4699_B8F7_5011E8FF1BCD_.wvu.PrintArea" localSheetId="7" hidden="1">'Nat Gas 2015carryover Rate Calc'!$A$1:$J$60</definedName>
    <definedName name="Z_5C6B1FA1_B621_4699_B8F7_5011E8FF1BCD_.wvu.PrintArea" localSheetId="1" hidden="1">'Nat Gas 2016 Rate Calc'!$B$1:$K$71</definedName>
    <definedName name="Z_5C6B1FA1_B621_4699_B8F7_5011E8FF1BCD_.wvu.PrintTitles" localSheetId="4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5" hidden="1">'Conversion Factors'!$1:$88</definedName>
    <definedName name="Z_6A207E9B_31ED_4215_AD4F_ABB2957B65E4_.wvu.PrintArea" localSheetId="5" hidden="1">'Conversion Factors'!$A$1:$F$114</definedName>
    <definedName name="Z_6A207E9B_31ED_4215_AD4F_ABB2957B65E4_.wvu.PrintArea" localSheetId="4" hidden="1">'Earnings Test and 3% Test'!$I$6:$S$48</definedName>
    <definedName name="Z_6A207E9B_31ED_4215_AD4F_ABB2957B65E4_.wvu.PrintArea" localSheetId="2" hidden="1">'Electric 2015 Rate Calc'!$B$1:$K$70</definedName>
    <definedName name="Z_6A207E9B_31ED_4215_AD4F_ABB2957B65E4_.wvu.PrintArea" localSheetId="7" hidden="1">'Nat Gas 2015carryover Rate Calc'!$A$1:$J$60</definedName>
    <definedName name="Z_6A207E9B_31ED_4215_AD4F_ABB2957B65E4_.wvu.PrintArea" localSheetId="1" hidden="1">'Nat Gas 2016 Rate Calc'!$B$1:$K$71</definedName>
    <definedName name="Z_6A207E9B_31ED_4215_AD4F_ABB2957B65E4_.wvu.PrintTitles" localSheetId="4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5" hidden="1">'Conversion Factors'!$1:$88</definedName>
  </definedNames>
  <calcPr calcId="152511" calcMode="manual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C33" i="15" l="1"/>
  <c r="E32" i="15"/>
  <c r="E31" i="15"/>
  <c r="E30" i="15"/>
  <c r="J29" i="15"/>
  <c r="E29" i="15"/>
  <c r="J28" i="15"/>
  <c r="E28" i="15"/>
  <c r="J27" i="15"/>
  <c r="J30" i="15" s="1"/>
  <c r="E27" i="15"/>
  <c r="E33" i="15" s="1"/>
  <c r="D24" i="15"/>
  <c r="D22" i="15"/>
  <c r="M19" i="15"/>
  <c r="M18" i="15"/>
  <c r="J17" i="15"/>
  <c r="H17" i="15"/>
  <c r="G17" i="15" s="1"/>
  <c r="F17" i="15"/>
  <c r="L15" i="15"/>
  <c r="L24" i="15" s="1"/>
  <c r="J15" i="15"/>
  <c r="H15" i="15"/>
  <c r="F15" i="15"/>
  <c r="G15" i="15" s="1"/>
  <c r="M15" i="15" s="1"/>
  <c r="D15" i="15"/>
  <c r="J13" i="15"/>
  <c r="H13" i="15"/>
  <c r="G13" i="15" s="1"/>
  <c r="F13" i="15"/>
  <c r="F24" i="15" s="1"/>
  <c r="J11" i="15"/>
  <c r="I31" i="15" s="1"/>
  <c r="J31" i="15" s="1"/>
  <c r="J33" i="15" s="1"/>
  <c r="H11" i="15"/>
  <c r="H22" i="15" s="1"/>
  <c r="F11" i="15"/>
  <c r="G11" i="15" s="1"/>
  <c r="G22" i="15" l="1"/>
  <c r="M11" i="15"/>
  <c r="M13" i="15"/>
  <c r="G24" i="15"/>
  <c r="M24" i="15" s="1"/>
  <c r="J32" i="15"/>
  <c r="L22" i="15"/>
  <c r="F22" i="15"/>
  <c r="H24" i="15"/>
  <c r="M22" i="15" l="1"/>
  <c r="F35" i="6" l="1"/>
  <c r="F34" i="6"/>
  <c r="D9" i="14" l="1"/>
  <c r="J7" i="7" l="1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46" i="7"/>
  <c r="E38" i="14"/>
  <c r="E39" i="14"/>
  <c r="E37" i="14"/>
  <c r="E19" i="14"/>
  <c r="E20" i="14"/>
  <c r="E18" i="14"/>
  <c r="H43" i="7" l="1"/>
  <c r="H37" i="14"/>
  <c r="H38" i="14"/>
  <c r="H39" i="14"/>
  <c r="H18" i="14"/>
  <c r="H19" i="14"/>
  <c r="H20" i="14"/>
  <c r="G38" i="14" l="1"/>
  <c r="G39" i="14" s="1"/>
  <c r="G37" i="14"/>
  <c r="G34" i="14"/>
  <c r="G35" i="14" s="1"/>
  <c r="G31" i="14"/>
  <c r="G32" i="14" s="1"/>
  <c r="G29" i="14"/>
  <c r="D28" i="14"/>
  <c r="F28" i="14" s="1"/>
  <c r="C29" i="14" s="1"/>
  <c r="G19" i="14"/>
  <c r="G20" i="14" s="1"/>
  <c r="G18" i="14"/>
  <c r="G15" i="14"/>
  <c r="G16" i="14" s="1"/>
  <c r="G12" i="14"/>
  <c r="G13" i="14" s="1"/>
  <c r="G10" i="14"/>
  <c r="F9" i="14"/>
  <c r="C10" i="14" s="1"/>
  <c r="D10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H3" i="7"/>
  <c r="K10" i="7"/>
  <c r="K11" i="7"/>
  <c r="K12" i="7"/>
  <c r="K13" i="7"/>
  <c r="K14" i="7"/>
  <c r="K15" i="7"/>
  <c r="K16" i="7"/>
  <c r="K17" i="7"/>
  <c r="K18" i="7"/>
  <c r="K19" i="7"/>
  <c r="K20" i="7"/>
  <c r="K9" i="7"/>
  <c r="E17" i="7"/>
  <c r="E18" i="7"/>
  <c r="E19" i="7"/>
  <c r="E20" i="7"/>
  <c r="E10" i="7"/>
  <c r="E11" i="7"/>
  <c r="E12" i="7"/>
  <c r="E13" i="7"/>
  <c r="E14" i="7"/>
  <c r="E15" i="7"/>
  <c r="E16" i="7"/>
  <c r="E9" i="7"/>
  <c r="L11" i="13"/>
  <c r="M11" i="13"/>
  <c r="F10" i="14" l="1"/>
  <c r="C11" i="14" s="1"/>
  <c r="D29" i="14"/>
  <c r="F29" i="14" s="1"/>
  <c r="C30" i="14" s="1"/>
  <c r="L59" i="13"/>
  <c r="M59" i="13"/>
  <c r="L60" i="13"/>
  <c r="M60" i="13"/>
  <c r="L61" i="13"/>
  <c r="M61" i="13"/>
  <c r="L62" i="13"/>
  <c r="M62" i="13"/>
  <c r="L63" i="13"/>
  <c r="M63" i="13"/>
  <c r="L64" i="13"/>
  <c r="M64" i="13"/>
  <c r="L65" i="13"/>
  <c r="M65" i="13"/>
  <c r="L66" i="13"/>
  <c r="M66" i="13"/>
  <c r="L67" i="13"/>
  <c r="M67" i="13"/>
  <c r="L68" i="13"/>
  <c r="M68" i="13"/>
  <c r="L69" i="13"/>
  <c r="M69" i="13"/>
  <c r="L70" i="13"/>
  <c r="M70" i="13"/>
  <c r="D30" i="14" l="1"/>
  <c r="F30" i="14" s="1"/>
  <c r="C31" i="14" s="1"/>
  <c r="D11" i="14"/>
  <c r="F11" i="14" s="1"/>
  <c r="C12" i="14" s="1"/>
  <c r="D12" i="14" l="1"/>
  <c r="F12" i="14" s="1"/>
  <c r="C13" i="14" s="1"/>
  <c r="D31" i="14"/>
  <c r="F31" i="14" s="1"/>
  <c r="C32" i="14" s="1"/>
  <c r="D32" i="14" l="1"/>
  <c r="F32" i="14" s="1"/>
  <c r="C33" i="14" s="1"/>
  <c r="D13" i="14"/>
  <c r="F13" i="14" s="1"/>
  <c r="C14" i="14" s="1"/>
  <c r="D14" i="14" l="1"/>
  <c r="F14" i="14" s="1"/>
  <c r="C15" i="14" s="1"/>
  <c r="D33" i="14"/>
  <c r="F33" i="14" s="1"/>
  <c r="C34" i="14" s="1"/>
  <c r="D34" i="14" l="1"/>
  <c r="F34" i="14" s="1"/>
  <c r="C35" i="14" s="1"/>
  <c r="D15" i="14"/>
  <c r="F15" i="14" s="1"/>
  <c r="C16" i="14" s="1"/>
  <c r="D16" i="14" l="1"/>
  <c r="F16" i="14" s="1"/>
  <c r="C17" i="14" s="1"/>
  <c r="D35" i="14"/>
  <c r="F35" i="14" s="1"/>
  <c r="C36" i="14" s="1"/>
  <c r="D36" i="14" l="1"/>
  <c r="F36" i="14" s="1"/>
  <c r="C37" i="14" s="1"/>
  <c r="D17" i="14"/>
  <c r="F17" i="14" s="1"/>
  <c r="C18" i="14" s="1"/>
  <c r="D18" i="14" l="1"/>
  <c r="F18" i="14" s="1"/>
  <c r="C19" i="14" s="1"/>
  <c r="D37" i="14"/>
  <c r="F37" i="14" s="1"/>
  <c r="C38" i="14" s="1"/>
  <c r="D38" i="14" l="1"/>
  <c r="F38" i="14" s="1"/>
  <c r="C39" i="14" s="1"/>
  <c r="D19" i="14"/>
  <c r="F19" i="14" s="1"/>
  <c r="C20" i="14" s="1"/>
  <c r="D39" i="14" l="1"/>
  <c r="F39" i="14" s="1"/>
  <c r="I59" i="7" s="1"/>
  <c r="I78" i="7" s="1"/>
  <c r="D20" i="14"/>
  <c r="F20" i="14" s="1"/>
  <c r="C59" i="7" s="1"/>
  <c r="C78" i="7" s="1"/>
  <c r="F40" i="6" l="1"/>
  <c r="E40" i="6"/>
  <c r="E14" i="6" l="1"/>
  <c r="I76" i="7" l="1"/>
  <c r="C76" i="7"/>
  <c r="I75" i="4" l="1"/>
  <c r="C75" i="4"/>
  <c r="J45" i="4" l="1"/>
  <c r="K11" i="4" l="1"/>
  <c r="K13" i="4"/>
  <c r="K15" i="4"/>
  <c r="K17" i="4"/>
  <c r="K19" i="4"/>
  <c r="K9" i="4"/>
  <c r="E13" i="4"/>
  <c r="E17" i="4"/>
  <c r="E9" i="4"/>
  <c r="M58" i="13"/>
  <c r="L58" i="13"/>
  <c r="M57" i="13"/>
  <c r="L57" i="13"/>
  <c r="M56" i="13"/>
  <c r="L56" i="13"/>
  <c r="M55" i="13"/>
  <c r="L55" i="13"/>
  <c r="M54" i="13"/>
  <c r="L54" i="13"/>
  <c r="M53" i="13"/>
  <c r="L53" i="13"/>
  <c r="M52" i="13"/>
  <c r="L52" i="13"/>
  <c r="M51" i="13"/>
  <c r="L51" i="13"/>
  <c r="M50" i="13"/>
  <c r="L50" i="13"/>
  <c r="M49" i="13"/>
  <c r="L49" i="13"/>
  <c r="M48" i="13"/>
  <c r="L48" i="13"/>
  <c r="M47" i="13"/>
  <c r="L47" i="13"/>
  <c r="M46" i="13"/>
  <c r="L46" i="13"/>
  <c r="M45" i="13"/>
  <c r="L45" i="13"/>
  <c r="M44" i="13"/>
  <c r="L44" i="13"/>
  <c r="M43" i="13"/>
  <c r="L43" i="13"/>
  <c r="M42" i="13"/>
  <c r="L42" i="13"/>
  <c r="M41" i="13"/>
  <c r="L41" i="13"/>
  <c r="M40" i="13"/>
  <c r="L40" i="13"/>
  <c r="M39" i="13"/>
  <c r="L39" i="13"/>
  <c r="M38" i="13"/>
  <c r="L38" i="13"/>
  <c r="M37" i="13"/>
  <c r="L37" i="13"/>
  <c r="M36" i="13"/>
  <c r="L36" i="13"/>
  <c r="M35" i="13"/>
  <c r="L35" i="13"/>
  <c r="M34" i="13"/>
  <c r="L34" i="13"/>
  <c r="M33" i="13"/>
  <c r="L33" i="13"/>
  <c r="M32" i="13"/>
  <c r="L32" i="13"/>
  <c r="M31" i="13"/>
  <c r="L31" i="13"/>
  <c r="M30" i="13"/>
  <c r="L30" i="13"/>
  <c r="M29" i="13"/>
  <c r="L29" i="13"/>
  <c r="M28" i="13"/>
  <c r="L28" i="13"/>
  <c r="M27" i="13"/>
  <c r="L27" i="13"/>
  <c r="M26" i="13"/>
  <c r="L26" i="13"/>
  <c r="M25" i="13"/>
  <c r="L25" i="13"/>
  <c r="M24" i="13"/>
  <c r="L24" i="13"/>
  <c r="M23" i="13"/>
  <c r="L23" i="13"/>
  <c r="M22" i="13"/>
  <c r="L22" i="13"/>
  <c r="M21" i="13"/>
  <c r="L21" i="13"/>
  <c r="M20" i="13"/>
  <c r="J20" i="8" s="1"/>
  <c r="L20" i="13"/>
  <c r="D20" i="8" s="1"/>
  <c r="M19" i="13"/>
  <c r="J19" i="8" s="1"/>
  <c r="L19" i="13"/>
  <c r="D19" i="8" s="1"/>
  <c r="M18" i="13"/>
  <c r="J18" i="8" s="1"/>
  <c r="L18" i="13"/>
  <c r="D18" i="8" s="1"/>
  <c r="M17" i="13"/>
  <c r="J17" i="8" s="1"/>
  <c r="L17" i="13"/>
  <c r="D17" i="8" s="1"/>
  <c r="M16" i="13"/>
  <c r="J16" i="8" s="1"/>
  <c r="L16" i="13"/>
  <c r="D16" i="8" s="1"/>
  <c r="M15" i="13"/>
  <c r="J15" i="8" s="1"/>
  <c r="L15" i="13"/>
  <c r="D15" i="8" s="1"/>
  <c r="M14" i="13"/>
  <c r="J14" i="8" s="1"/>
  <c r="L14" i="13"/>
  <c r="D14" i="8" s="1"/>
  <c r="M13" i="13"/>
  <c r="J13" i="8" s="1"/>
  <c r="L13" i="13"/>
  <c r="D13" i="8" s="1"/>
  <c r="M12" i="13"/>
  <c r="J12" i="8" s="1"/>
  <c r="L12" i="13"/>
  <c r="D12" i="8" s="1"/>
  <c r="J11" i="8"/>
  <c r="D11" i="8"/>
  <c r="M10" i="13"/>
  <c r="J10" i="8" s="1"/>
  <c r="L10" i="13"/>
  <c r="D10" i="8" s="1"/>
  <c r="M9" i="13"/>
  <c r="J9" i="8" s="1"/>
  <c r="L9" i="13"/>
  <c r="D9" i="8" s="1"/>
  <c r="K20" i="4"/>
  <c r="E20" i="4"/>
  <c r="M8" i="13"/>
  <c r="L8" i="13"/>
  <c r="E19" i="4"/>
  <c r="M7" i="13"/>
  <c r="L7" i="13"/>
  <c r="K18" i="4"/>
  <c r="E18" i="4"/>
  <c r="M6" i="13"/>
  <c r="L6" i="13"/>
  <c r="M5" i="13"/>
  <c r="L5" i="13"/>
  <c r="K16" i="4"/>
  <c r="E16" i="4"/>
  <c r="E15" i="4"/>
  <c r="K14" i="4"/>
  <c r="E14" i="4"/>
  <c r="K12" i="4"/>
  <c r="E12" i="4"/>
  <c r="E11" i="4"/>
  <c r="K10" i="4"/>
  <c r="E10" i="4"/>
  <c r="R11" i="8" l="1"/>
  <c r="R9" i="8"/>
  <c r="T11" i="8"/>
  <c r="T9" i="8"/>
  <c r="R23" i="8" l="1"/>
  <c r="R22" i="8"/>
  <c r="I46" i="8"/>
  <c r="G43" i="8"/>
  <c r="A43" i="8"/>
  <c r="D22" i="8"/>
  <c r="T22" i="8" s="1"/>
  <c r="T13" i="8" l="1"/>
  <c r="U9" i="8" s="1"/>
  <c r="R13" i="8"/>
  <c r="S9" i="8" s="1"/>
  <c r="J22" i="8"/>
  <c r="T23" i="8" s="1"/>
  <c r="R18" i="8" l="1"/>
  <c r="U11" i="8"/>
  <c r="U13" i="8" s="1"/>
  <c r="T18" i="8"/>
  <c r="S11" i="8"/>
  <c r="S13" i="8" s="1"/>
  <c r="J7" i="4" l="1"/>
  <c r="J45" i="7" l="1"/>
  <c r="H42" i="7"/>
  <c r="B42" i="7"/>
  <c r="E22" i="7"/>
  <c r="E42" i="6" s="1"/>
  <c r="E30" i="6"/>
  <c r="K22" i="7" l="1"/>
  <c r="F42" i="6" s="1"/>
  <c r="F28" i="6"/>
  <c r="F26" i="6"/>
  <c r="F30" i="6" l="1"/>
  <c r="E13" i="6" l="1"/>
  <c r="E15" i="6" s="1"/>
  <c r="E17" i="6" l="1"/>
  <c r="C47" i="4" l="1"/>
  <c r="I47" i="4"/>
  <c r="I48" i="4" l="1"/>
  <c r="J49" i="4" s="1"/>
  <c r="I76" i="4"/>
  <c r="C48" i="4"/>
  <c r="D49" i="4" s="1"/>
  <c r="C76" i="4"/>
  <c r="I49" i="4" l="1"/>
  <c r="J50" i="4" s="1"/>
  <c r="C49" i="4"/>
  <c r="D50" i="4" s="1"/>
  <c r="H42" i="4"/>
  <c r="B42" i="4"/>
  <c r="E22" i="4"/>
  <c r="I50" i="4" l="1"/>
  <c r="J51" i="4" s="1"/>
  <c r="C50" i="4"/>
  <c r="D51" i="4" s="1"/>
  <c r="K22" i="4"/>
  <c r="E106" i="2"/>
  <c r="E108" i="2" s="1"/>
  <c r="E114" i="2" l="1"/>
  <c r="C51" i="4"/>
  <c r="D52" i="4" s="1"/>
  <c r="C52" i="4" s="1"/>
  <c r="I51" i="4"/>
  <c r="J52" i="4" s="1"/>
  <c r="E110" i="2"/>
  <c r="E112" i="2" s="1"/>
  <c r="E18" i="6" s="1"/>
  <c r="E19" i="6" s="1"/>
  <c r="E21" i="6" s="1"/>
  <c r="E34" i="6" l="1"/>
  <c r="E35" i="6"/>
  <c r="I47" i="7" s="1"/>
  <c r="I77" i="7" s="1"/>
  <c r="D27" i="7"/>
  <c r="J27" i="7" s="1"/>
  <c r="C27" i="8"/>
  <c r="I27" i="8" s="1"/>
  <c r="D53" i="4"/>
  <c r="C53" i="4" s="1"/>
  <c r="I52" i="4"/>
  <c r="J53" i="4" s="1"/>
  <c r="I48" i="7" l="1"/>
  <c r="F36" i="6"/>
  <c r="E36" i="6"/>
  <c r="D54" i="4"/>
  <c r="I53" i="4"/>
  <c r="J54" i="4" s="1"/>
  <c r="J49" i="7" l="1"/>
  <c r="I49" i="7" s="1"/>
  <c r="C47" i="7"/>
  <c r="C54" i="4"/>
  <c r="I54" i="4"/>
  <c r="J55" i="4" s="1"/>
  <c r="J50" i="7" l="1"/>
  <c r="I50" i="7" s="1"/>
  <c r="C77" i="7"/>
  <c r="C48" i="7"/>
  <c r="D55" i="4"/>
  <c r="C55" i="4" s="1"/>
  <c r="I55" i="4"/>
  <c r="J56" i="4" s="1"/>
  <c r="J51" i="7" l="1"/>
  <c r="I51" i="7" s="1"/>
  <c r="D49" i="7"/>
  <c r="C49" i="7" s="1"/>
  <c r="D56" i="4"/>
  <c r="C56" i="4" s="1"/>
  <c r="I56" i="4"/>
  <c r="J57" i="4" s="1"/>
  <c r="J52" i="7" l="1"/>
  <c r="I52" i="7" s="1"/>
  <c r="D50" i="7"/>
  <c r="C50" i="7" s="1"/>
  <c r="D51" i="7" s="1"/>
  <c r="C51" i="7" s="1"/>
  <c r="D57" i="4"/>
  <c r="C57" i="4" s="1"/>
  <c r="I57" i="4"/>
  <c r="J58" i="4" s="1"/>
  <c r="J53" i="7" l="1"/>
  <c r="I53" i="7" s="1"/>
  <c r="D52" i="7"/>
  <c r="C52" i="7" s="1"/>
  <c r="D58" i="4"/>
  <c r="C58" i="4" s="1"/>
  <c r="C8" i="4" s="1"/>
  <c r="C7" i="4" s="1"/>
  <c r="I58" i="4"/>
  <c r="J54" i="7" l="1"/>
  <c r="I54" i="7" s="1"/>
  <c r="D53" i="7"/>
  <c r="C53" i="7" s="1"/>
  <c r="D54" i="7" s="1"/>
  <c r="C54" i="7" s="1"/>
  <c r="I8" i="4"/>
  <c r="J55" i="7" l="1"/>
  <c r="I55" i="7" s="1"/>
  <c r="D55" i="7"/>
  <c r="C55" i="7" s="1"/>
  <c r="J56" i="7" l="1"/>
  <c r="I56" i="7" s="1"/>
  <c r="D56" i="7"/>
  <c r="C56" i="7" s="1"/>
  <c r="D25" i="4"/>
  <c r="B35" i="4" s="1"/>
  <c r="J57" i="7" l="1"/>
  <c r="I57" i="7" s="1"/>
  <c r="D57" i="7"/>
  <c r="C57" i="7"/>
  <c r="C9" i="4"/>
  <c r="J58" i="7" l="1"/>
  <c r="I58" i="7" s="1"/>
  <c r="I8" i="7" s="1"/>
  <c r="I7" i="7" s="1"/>
  <c r="J25" i="7" s="1"/>
  <c r="H35" i="7" s="1"/>
  <c r="D58" i="7"/>
  <c r="C58" i="7" s="1"/>
  <c r="C8" i="7" s="1"/>
  <c r="C10" i="4"/>
  <c r="C11" i="4" s="1"/>
  <c r="D9" i="4"/>
  <c r="J9" i="7" l="1"/>
  <c r="D10" i="4"/>
  <c r="C12" i="4"/>
  <c r="D11" i="4"/>
  <c r="C7" i="7" l="1"/>
  <c r="D25" i="7" s="1"/>
  <c r="B35" i="7" s="1"/>
  <c r="I9" i="7"/>
  <c r="J10" i="7" s="1"/>
  <c r="I10" i="7" s="1"/>
  <c r="J11" i="7" s="1"/>
  <c r="I11" i="7" s="1"/>
  <c r="J12" i="7" s="1"/>
  <c r="I12" i="7" s="1"/>
  <c r="J13" i="7" s="1"/>
  <c r="I13" i="7" s="1"/>
  <c r="J14" i="7" s="1"/>
  <c r="I14" i="7" s="1"/>
  <c r="J15" i="7" s="1"/>
  <c r="I15" i="7" s="1"/>
  <c r="J16" i="7" s="1"/>
  <c r="I16" i="7" s="1"/>
  <c r="J17" i="7" s="1"/>
  <c r="I17" i="7" s="1"/>
  <c r="J18" i="7" s="1"/>
  <c r="I18" i="7" s="1"/>
  <c r="J19" i="7" s="1"/>
  <c r="I19" i="7" s="1"/>
  <c r="J20" i="7" s="1"/>
  <c r="I20" i="7" s="1"/>
  <c r="C13" i="4"/>
  <c r="D13" i="4" s="1"/>
  <c r="D12" i="4"/>
  <c r="D9" i="7" l="1"/>
  <c r="C9" i="7" s="1"/>
  <c r="D10" i="7" s="1"/>
  <c r="C10" i="7" s="1"/>
  <c r="D11" i="7" s="1"/>
  <c r="C11" i="7" s="1"/>
  <c r="D12" i="7" s="1"/>
  <c r="C12" i="7" s="1"/>
  <c r="D13" i="7" s="1"/>
  <c r="C13" i="7" s="1"/>
  <c r="D14" i="7" s="1"/>
  <c r="C14" i="7" s="1"/>
  <c r="D15" i="7" s="1"/>
  <c r="C15" i="7" s="1"/>
  <c r="D16" i="7" s="1"/>
  <c r="C16" i="7" s="1"/>
  <c r="D17" i="7" s="1"/>
  <c r="C17" i="7" s="1"/>
  <c r="D18" i="7" s="1"/>
  <c r="C18" i="7" s="1"/>
  <c r="D19" i="7" s="1"/>
  <c r="C19" i="7" s="1"/>
  <c r="D20" i="7" s="1"/>
  <c r="C20" i="7" s="1"/>
  <c r="J22" i="7"/>
  <c r="J24" i="7" s="1"/>
  <c r="J26" i="7" s="1"/>
  <c r="J28" i="7" s="1"/>
  <c r="F44" i="6" s="1"/>
  <c r="F48" i="6" s="1"/>
  <c r="C14" i="4"/>
  <c r="D14" i="4" s="1"/>
  <c r="D22" i="7" l="1"/>
  <c r="D24" i="7" s="1"/>
  <c r="D26" i="7" s="1"/>
  <c r="D28" i="7" s="1"/>
  <c r="E44" i="6" s="1"/>
  <c r="F50" i="6"/>
  <c r="F52" i="6" s="1"/>
  <c r="F54" i="6" s="1"/>
  <c r="C15" i="4"/>
  <c r="E48" i="6" l="1"/>
  <c r="E50" i="6" s="1"/>
  <c r="E52" i="6" s="1"/>
  <c r="E54" i="6" s="1"/>
  <c r="E56" i="6" s="1"/>
  <c r="D29" i="7" s="1"/>
  <c r="F56" i="6"/>
  <c r="C16" i="4"/>
  <c r="D16" i="4" s="1"/>
  <c r="D15" i="4"/>
  <c r="D30" i="7" l="1"/>
  <c r="D31" i="7" s="1"/>
  <c r="E58" i="6"/>
  <c r="E60" i="6" s="1"/>
  <c r="E62" i="6" s="1"/>
  <c r="J29" i="7"/>
  <c r="F58" i="6"/>
  <c r="F60" i="6" s="1"/>
  <c r="F62" i="6" s="1"/>
  <c r="C17" i="4"/>
  <c r="D17" i="4" s="1"/>
  <c r="C82" i="7" l="1"/>
  <c r="T30" i="8"/>
  <c r="J30" i="7"/>
  <c r="I82" i="7" s="1"/>
  <c r="C80" i="7"/>
  <c r="E65" i="7"/>
  <c r="E67" i="7"/>
  <c r="E68" i="7"/>
  <c r="E66" i="7"/>
  <c r="E71" i="7"/>
  <c r="E69" i="7"/>
  <c r="E64" i="7"/>
  <c r="E62" i="7"/>
  <c r="E63" i="7"/>
  <c r="E61" i="7"/>
  <c r="E70" i="7"/>
  <c r="E60" i="7"/>
  <c r="D60" i="7" s="1"/>
  <c r="C60" i="7" s="1"/>
  <c r="C18" i="4"/>
  <c r="D18" i="4" s="1"/>
  <c r="T31" i="8" l="1"/>
  <c r="J31" i="7"/>
  <c r="K66" i="7" s="1"/>
  <c r="E73" i="7"/>
  <c r="C19" i="4"/>
  <c r="K68" i="7" l="1"/>
  <c r="K62" i="7"/>
  <c r="K65" i="7"/>
  <c r="K71" i="7"/>
  <c r="K67" i="7"/>
  <c r="K69" i="7"/>
  <c r="K63" i="7"/>
  <c r="K70" i="7"/>
  <c r="K60" i="7"/>
  <c r="J60" i="7" s="1"/>
  <c r="I60" i="7" s="1"/>
  <c r="K64" i="7"/>
  <c r="K61" i="7"/>
  <c r="D61" i="7"/>
  <c r="C61" i="7" s="1"/>
  <c r="C20" i="4"/>
  <c r="D20" i="4" s="1"/>
  <c r="D19" i="4"/>
  <c r="K73" i="7" l="1"/>
  <c r="J61" i="7"/>
  <c r="I61" i="7" s="1"/>
  <c r="J62" i="7" s="1"/>
  <c r="D62" i="7"/>
  <c r="C62" i="7" s="1"/>
  <c r="D22" i="4"/>
  <c r="D63" i="7" l="1"/>
  <c r="C63" i="7" s="1"/>
  <c r="I62" i="7"/>
  <c r="D24" i="4"/>
  <c r="D26" i="4" s="1"/>
  <c r="D27" i="4"/>
  <c r="J27" i="4" s="1"/>
  <c r="J63" i="7" l="1"/>
  <c r="I63" i="7" s="1"/>
  <c r="D64" i="7"/>
  <c r="C64" i="7" s="1"/>
  <c r="D28" i="4"/>
  <c r="J64" i="7" l="1"/>
  <c r="I64" i="7" s="1"/>
  <c r="J65" i="7" s="1"/>
  <c r="D65" i="7"/>
  <c r="C65" i="7" s="1"/>
  <c r="I65" i="7" l="1"/>
  <c r="J66" i="7" s="1"/>
  <c r="D66" i="7"/>
  <c r="C66" i="7" s="1"/>
  <c r="I66" i="7" l="1"/>
  <c r="J67" i="7" s="1"/>
  <c r="I67" i="7" s="1"/>
  <c r="D67" i="7"/>
  <c r="C67" i="7" s="1"/>
  <c r="E77" i="2"/>
  <c r="E79" i="2" s="1"/>
  <c r="E87" i="2" s="1"/>
  <c r="J68" i="7" l="1"/>
  <c r="I68" i="7" s="1"/>
  <c r="D68" i="7"/>
  <c r="C68" i="7" s="1"/>
  <c r="E81" i="2"/>
  <c r="E83" i="2" s="1"/>
  <c r="J69" i="7" l="1"/>
  <c r="I69" i="7" s="1"/>
  <c r="D69" i="7"/>
  <c r="C69" i="7" s="1"/>
  <c r="E49" i="2"/>
  <c r="E51" i="2" s="1"/>
  <c r="E59" i="2" s="1"/>
  <c r="J70" i="7" l="1"/>
  <c r="I70" i="7" s="1"/>
  <c r="J71" i="7" s="1"/>
  <c r="D70" i="7"/>
  <c r="C70" i="7" s="1"/>
  <c r="D71" i="7" s="1"/>
  <c r="C71" i="7" s="1"/>
  <c r="D32" i="7" s="1"/>
  <c r="E53" i="2"/>
  <c r="E55" i="2" s="1"/>
  <c r="I71" i="7" l="1"/>
  <c r="J73" i="7"/>
  <c r="I79" i="7" s="1"/>
  <c r="B8" i="8"/>
  <c r="B48" i="8"/>
  <c r="D73" i="7"/>
  <c r="C79" i="7" s="1"/>
  <c r="C81" i="7" s="1"/>
  <c r="C83" i="7" s="1"/>
  <c r="I80" i="7" l="1"/>
  <c r="I81" i="7" s="1"/>
  <c r="I83" i="7" s="1"/>
  <c r="J32" i="7"/>
  <c r="H8" i="8"/>
  <c r="H7" i="8" s="1"/>
  <c r="I25" i="8" s="1"/>
  <c r="G35" i="8" s="1"/>
  <c r="H48" i="8"/>
  <c r="H9" i="8" l="1"/>
  <c r="I9" i="8" s="1"/>
  <c r="E18" i="2"/>
  <c r="E20" i="2" s="1"/>
  <c r="E28" i="2" s="1"/>
  <c r="H10" i="8" l="1"/>
  <c r="I10" i="8" s="1"/>
  <c r="E22" i="2"/>
  <c r="E24" i="2" s="1"/>
  <c r="H11" i="8" l="1"/>
  <c r="I11" i="8" s="1"/>
  <c r="H12" i="8" l="1"/>
  <c r="I12" i="8" s="1"/>
  <c r="H13" i="8" l="1"/>
  <c r="H14" i="8" s="1"/>
  <c r="H15" i="8" s="1"/>
  <c r="H16" i="8" s="1"/>
  <c r="H17" i="8" s="1"/>
  <c r="I7" i="4"/>
  <c r="I9" i="4" s="1"/>
  <c r="I13" i="8" l="1"/>
  <c r="I15" i="8"/>
  <c r="I14" i="8"/>
  <c r="I16" i="8"/>
  <c r="I17" i="8"/>
  <c r="H18" i="8"/>
  <c r="J25" i="4"/>
  <c r="H35" i="4" s="1"/>
  <c r="J9" i="4"/>
  <c r="I10" i="4"/>
  <c r="I18" i="8" l="1"/>
  <c r="H19" i="8"/>
  <c r="H20" i="8" s="1"/>
  <c r="I20" i="8" s="1"/>
  <c r="I11" i="4"/>
  <c r="J10" i="4"/>
  <c r="I19" i="8" l="1"/>
  <c r="I22" i="8" s="1"/>
  <c r="I24" i="8" s="1"/>
  <c r="I26" i="8" s="1"/>
  <c r="I28" i="8" s="1"/>
  <c r="T27" i="8" s="1"/>
  <c r="T35" i="8" s="1"/>
  <c r="I12" i="4"/>
  <c r="J12" i="4" s="1"/>
  <c r="J11" i="4"/>
  <c r="T39" i="8" l="1"/>
  <c r="T43" i="8" s="1"/>
  <c r="T47" i="8"/>
  <c r="T51" i="8" s="1"/>
  <c r="I13" i="4"/>
  <c r="J13" i="4" s="1"/>
  <c r="I29" i="8" l="1"/>
  <c r="I30" i="8" s="1"/>
  <c r="I31" i="8" s="1"/>
  <c r="T55" i="8"/>
  <c r="T59" i="8" s="1"/>
  <c r="T63" i="8" s="1"/>
  <c r="I14" i="4"/>
  <c r="J55" i="8" l="1"/>
  <c r="J53" i="8"/>
  <c r="J59" i="8"/>
  <c r="J54" i="8"/>
  <c r="J56" i="8"/>
  <c r="J52" i="8"/>
  <c r="J50" i="8"/>
  <c r="J57" i="8"/>
  <c r="J60" i="8"/>
  <c r="J58" i="8"/>
  <c r="J51" i="8"/>
  <c r="J49" i="8"/>
  <c r="I15" i="4"/>
  <c r="J15" i="4" s="1"/>
  <c r="J14" i="4"/>
  <c r="J62" i="8" l="1"/>
  <c r="I49" i="8"/>
  <c r="H49" i="8" s="1"/>
  <c r="I50" i="8" s="1"/>
  <c r="H50" i="8" s="1"/>
  <c r="I51" i="8" s="1"/>
  <c r="H51" i="8" s="1"/>
  <c r="I52" i="8" s="1"/>
  <c r="H52" i="8" s="1"/>
  <c r="I53" i="8" s="1"/>
  <c r="H53" i="8" s="1"/>
  <c r="I54" i="8" s="1"/>
  <c r="H54" i="8" s="1"/>
  <c r="I55" i="8" s="1"/>
  <c r="H55" i="8" s="1"/>
  <c r="I56" i="8" s="1"/>
  <c r="H56" i="8" s="1"/>
  <c r="I57" i="8" s="1"/>
  <c r="H57" i="8" s="1"/>
  <c r="I58" i="8" s="1"/>
  <c r="H58" i="8" s="1"/>
  <c r="I59" i="8" s="1"/>
  <c r="H59" i="8" s="1"/>
  <c r="I60" i="8" s="1"/>
  <c r="H60" i="8" s="1"/>
  <c r="I32" i="8" s="1"/>
  <c r="I16" i="4"/>
  <c r="J16" i="4" s="1"/>
  <c r="I17" i="4" l="1"/>
  <c r="J17" i="4" s="1"/>
  <c r="I18" i="4" l="1"/>
  <c r="I19" i="4" l="1"/>
  <c r="J18" i="4"/>
  <c r="I20" i="4" l="1"/>
  <c r="J20" i="4" s="1"/>
  <c r="J19" i="4"/>
  <c r="J22" i="4" l="1"/>
  <c r="J24" i="4" s="1"/>
  <c r="J26" i="4" s="1"/>
  <c r="J28" i="4" s="1"/>
  <c r="D29" i="4" l="1"/>
  <c r="J29" i="4"/>
  <c r="J30" i="4" l="1"/>
  <c r="D30" i="4"/>
  <c r="D31" i="4" l="1"/>
  <c r="C78" i="4" s="1"/>
  <c r="C80" i="4"/>
  <c r="J31" i="4"/>
  <c r="K66" i="4" s="1"/>
  <c r="I80" i="4"/>
  <c r="E63" i="4" l="1"/>
  <c r="E66" i="4"/>
  <c r="K68" i="4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I60" i="4" s="1"/>
  <c r="K72" i="4"/>
  <c r="E72" i="4"/>
  <c r="D60" i="4"/>
  <c r="C60" i="4" s="1"/>
  <c r="D61" i="4" s="1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B7" i="8"/>
  <c r="B9" i="8" s="1"/>
  <c r="J32" i="4" l="1"/>
  <c r="I78" i="4"/>
  <c r="I79" i="4" s="1"/>
  <c r="I81" i="4" s="1"/>
  <c r="C25" i="8"/>
  <c r="A35" i="8" s="1"/>
  <c r="B10" i="8"/>
  <c r="C10" i="8" s="1"/>
  <c r="C9" i="8"/>
  <c r="B11" i="8" l="1"/>
  <c r="B12" i="8" l="1"/>
  <c r="C11" i="8"/>
  <c r="B13" i="8" l="1"/>
  <c r="C13" i="8" s="1"/>
  <c r="C12" i="8"/>
  <c r="B14" i="8" l="1"/>
  <c r="B15" i="8" l="1"/>
  <c r="C14" i="8"/>
  <c r="B16" i="8" l="1"/>
  <c r="C15" i="8"/>
  <c r="B17" i="8" l="1"/>
  <c r="C16" i="8"/>
  <c r="B18" i="8" l="1"/>
  <c r="C17" i="8"/>
  <c r="B19" i="8" l="1"/>
  <c r="C19" i="8" s="1"/>
  <c r="C18" i="8"/>
  <c r="B20" i="8" l="1"/>
  <c r="C20" i="8" s="1"/>
  <c r="C22" i="8" s="1"/>
  <c r="C24" i="8" s="1"/>
  <c r="C26" i="8" s="1"/>
  <c r="C28" i="8" s="1"/>
  <c r="T26" i="8" l="1"/>
  <c r="T34" i="8" s="1"/>
  <c r="T38" i="8" s="1"/>
  <c r="T42" i="8" l="1"/>
  <c r="T46" i="8" s="1"/>
  <c r="T50" i="8" s="1"/>
  <c r="T37" i="8"/>
  <c r="T54" i="8" l="1"/>
  <c r="T58" i="8" s="1"/>
  <c r="C29" i="8"/>
  <c r="C30" i="8" s="1"/>
  <c r="C31" i="8" s="1"/>
  <c r="D50" i="8" l="1"/>
  <c r="D49" i="8"/>
  <c r="D59" i="8"/>
  <c r="D57" i="8"/>
  <c r="D53" i="8"/>
  <c r="D52" i="8"/>
  <c r="D55" i="8"/>
  <c r="D51" i="8"/>
  <c r="D56" i="8"/>
  <c r="D54" i="8"/>
  <c r="D60" i="8"/>
  <c r="D58" i="8"/>
  <c r="T62" i="8"/>
  <c r="T57" i="8"/>
  <c r="C49" i="8" l="1"/>
  <c r="B49" i="8" s="1"/>
  <c r="C50" i="8" s="1"/>
  <c r="B50" i="8" s="1"/>
  <c r="C51" i="8" s="1"/>
  <c r="B51" i="8" s="1"/>
  <c r="C52" i="8" s="1"/>
  <c r="B52" i="8" s="1"/>
  <c r="C53" i="8" s="1"/>
  <c r="B53" i="8" s="1"/>
  <c r="D62" i="8"/>
  <c r="C54" i="8" l="1"/>
  <c r="B54" i="8" s="1"/>
  <c r="C55" i="8" l="1"/>
  <c r="B55" i="8" s="1"/>
  <c r="C56" i="8" l="1"/>
  <c r="B56" i="8" s="1"/>
  <c r="C57" i="8" l="1"/>
  <c r="B57" i="8" s="1"/>
  <c r="C58" i="8" l="1"/>
  <c r="B58" i="8" s="1"/>
  <c r="C59" i="8" l="1"/>
  <c r="B59" i="8" s="1"/>
  <c r="C60" i="8" l="1"/>
  <c r="B60" i="8" s="1"/>
  <c r="C32" i="8" s="1"/>
</calcChain>
</file>

<file path=xl/comments1.xml><?xml version="1.0" encoding="utf-8"?>
<comments xmlns="http://schemas.openxmlformats.org/spreadsheetml/2006/main">
  <authors>
    <author>Author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2016 actual 122 billed usage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10/31/2018 balance remaining due to rounding error.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10/31/2017 balance remaining due to rounding error.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2016 normalized billing determinants (agrees to UG-170486) at present billing rates effective 6/1/2017</t>
        </r>
      </text>
    </comment>
  </commentList>
</comments>
</file>

<file path=xl/sharedStrings.xml><?xml version="1.0" encoding="utf-8"?>
<sst xmlns="http://schemas.openxmlformats.org/spreadsheetml/2006/main" count="536" uniqueCount="224">
  <si>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</si>
  <si>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</si>
  <si>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</si>
  <si>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</si>
  <si>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</si>
  <si>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</si>
  <si>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</si>
  <si>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</si>
  <si>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</si>
  <si>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</si>
  <si>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</si>
  <si>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</si>
  <si>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</si>
  <si>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</si>
  <si>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</si>
  <si>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</si>
  <si>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</si>
  <si>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</si>
  <si>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</si>
  <si>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</si>
  <si>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</si>
  <si>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</si>
  <si>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</si>
  <si>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</si>
  <si>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</si>
  <si>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</si>
  <si>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</si>
  <si>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</si>
  <si>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</si>
  <si>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</si>
  <si>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</si>
  <si>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</si>
  <si>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</si>
  <si>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</si>
  <si>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</si>
  <si>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</si>
  <si>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</si>
  <si>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</si>
  <si>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</si>
  <si>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</si>
  <si>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</si>
  <si>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</si>
  <si>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</si>
  <si>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</si>
  <si>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</si>
  <si>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</si>
  <si>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</si>
  <si>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</si>
  <si>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</si>
  <si>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</si>
  <si>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</si>
  <si>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</si>
  <si>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</si>
  <si>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</si>
  <si>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</si>
  <si>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</si>
  <si>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</si>
  <si>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</si>
  <si>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</si>
  <si>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</si>
  <si>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</si>
  <si>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</si>
  <si>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</si>
  <si>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</si>
  <si>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</si>
  <si>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</si>
  <si>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</si>
  <si>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</si>
  <si>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</si>
  <si>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</si>
  <si>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</si>
  <si>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</si>
  <si>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</si>
  <si>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</si>
  <si>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</si>
  <si>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</si>
  <si>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</si>
  <si>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</si>
  <si>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</si>
  <si>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</si>
  <si>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</si>
  <si>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(2)  Interest computed on average balance between beginning and end of month at the
      present FERC rate.  The FERC interest rate is updated quarterly.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</si>
  <si>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</si>
  <si>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</si>
  <si>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</si>
  <si>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</si>
  <si>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</si>
  <si>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3.25% / 3.46%</t>
  </si>
  <si>
    <t>Estimated Carryover Balance due to 3% test (5)</t>
  </si>
  <si>
    <t>Preliminary Proposed Decoupling Rate</t>
  </si>
  <si>
    <t>(3)  2015 Commission Basis conversion factor, see page ? of  Attachment ?.</t>
  </si>
  <si>
    <t>(4)  See pages ? and ? of Attachment ? for earnings test and 3% test adjustment calculations.</t>
  </si>
  <si>
    <t>(5)  See page ? of Attachment ? for estimated carryover balance calculations.</t>
  </si>
  <si>
    <t>Earnings Sharing Adjustment</t>
  </si>
  <si>
    <t>Adjusted December Balance</t>
  </si>
  <si>
    <t>3% Test Adjustment (1)</t>
  </si>
  <si>
    <t>(1)  The carryover balances will differ from the 3% adjustment amounts due to the revenue related expense
      gross up partially offset by additional interest on the outstanding balance during the amortization period.</t>
  </si>
  <si>
    <t xml:space="preserve">  Non-Residential</t>
  </si>
  <si>
    <t>Effective November 1, 2017 - October 31, 2018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</si>
  <si>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</si>
  <si>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</si>
  <si>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</si>
  <si>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</si>
  <si>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</si>
  <si>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</si>
  <si>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</si>
  <si>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</si>
  <si>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Revenue From 2016 Normalized Loads and Customers at Present (2017 summer) Billing Rates</t>
  </si>
  <si>
    <t>RES</t>
  </si>
  <si>
    <t>Non-RES</t>
  </si>
  <si>
    <t>Sch 122 Exclusion</t>
  </si>
  <si>
    <t>Washington Natural Gas</t>
  </si>
  <si>
    <t>3.25% Q1 2016 3.46% Q2 2016  3.50% Q3 2016</t>
  </si>
  <si>
    <t>New Load Forecast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</si>
  <si>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</si>
  <si>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</si>
  <si>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</si>
  <si>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</si>
  <si>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</si>
  <si>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</si>
  <si>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</si>
  <si>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</si>
  <si>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</si>
  <si>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</si>
  <si>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</si>
  <si>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</si>
  <si>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</si>
  <si>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</si>
  <si>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</si>
  <si>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</si>
  <si>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</si>
  <si>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</si>
  <si>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</si>
  <si>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</si>
  <si>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</si>
  <si>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</si>
  <si>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</si>
  <si>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 xml:space="preserve"> Forecast Usage</t>
  </si>
  <si>
    <t>November 2017 - October 2018 Usage</t>
  </si>
  <si>
    <t>See page 4 of Attachment A for estimated carryover balance calculations.</t>
  </si>
  <si>
    <t>Gross Revenue Adjustment</t>
  </si>
  <si>
    <t>Net of Revenue Related Expenses</t>
  </si>
  <si>
    <t>TWELVE MONTHS ENDED December 31, 2016</t>
  </si>
  <si>
    <t>2016 Commission Basis Conversion Factor with Uncollectible Service Correction</t>
  </si>
  <si>
    <t>2016 Deferrals</t>
  </si>
  <si>
    <t>2016 Commission Basis Earnings Test for Decoupling</t>
  </si>
  <si>
    <t>2016 Total Earnings Test Sharing</t>
  </si>
  <si>
    <t>Revenue From 2016 Normalized Loads and Customers at Present Billing Rates</t>
  </si>
  <si>
    <t>Residential</t>
  </si>
  <si>
    <t>Non-Residential</t>
  </si>
  <si>
    <t>Revenue From 2016 Normalized Loads and Customers at Present Billing Rates (Note 1)</t>
  </si>
  <si>
    <t>Present Decoupling Surcharge Recovery Rates</t>
  </si>
  <si>
    <t>(2)  The carryover balances will differ from the 3% adjustment amounts due to the revenue related expense gross up partially offset by additional interest on the outstanding balance during the amortization period.</t>
  </si>
  <si>
    <t>GSFM May Mid-month (5 15 17 pricing)_loadupdate.xlsm</t>
  </si>
  <si>
    <t>2016 Commission Basis conversion factor, see page 8 of  Attachment A.</t>
  </si>
  <si>
    <t>See pages 6 and 7 of Attachment A for earnings test and 3% test adjustment calculations.</t>
  </si>
  <si>
    <t>Decoupling Mechanism Prior Surcharge or Rebate Amortization</t>
  </si>
  <si>
    <t>Regulatory Asset Beginning Balance</t>
  </si>
  <si>
    <t>Regulatory Asset Ending Balance</t>
  </si>
  <si>
    <t>Interest Rate</t>
  </si>
  <si>
    <t>Aug - Oct Forecast Usage</t>
  </si>
  <si>
    <t>Residential Natural Gas Surcharge</t>
  </si>
  <si>
    <t>Non-Residential Natural Gas Surcharge</t>
  </si>
  <si>
    <t>Calculate Estimated Monthly Balances through October 2018</t>
  </si>
  <si>
    <t>3.50% Q1 2016 3.71% Q2 2016  3.96% Q3 2016</t>
  </si>
  <si>
    <t>2016 Deferred Revenue</t>
  </si>
  <si>
    <t>Add Prior Year Carryover Balance</t>
  </si>
  <si>
    <t>Add Interest through 10/31/2018</t>
  </si>
  <si>
    <t>Prior Year Carryover Balance</t>
  </si>
  <si>
    <t>(1)  2016 Normalized Revenue derived from UG-170486 Revenue Model with billed rates adjusted to reflect August 1, 2017 present rates.</t>
  </si>
  <si>
    <t>Washington Jurisdiction</t>
  </si>
  <si>
    <t>2017 Decoupling Schedule 175 Filing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</si>
  <si>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</si>
  <si>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</si>
  <si>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</si>
  <si>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</si>
  <si>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</si>
  <si>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</si>
  <si>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</si>
  <si>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</si>
  <si>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</si>
  <si>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</si>
  <si>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</si>
  <si>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</si>
  <si>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</si>
  <si>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</si>
  <si>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</si>
  <si>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Increase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</si>
  <si>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</si>
  <si>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</si>
  <si>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</si>
  <si>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</si>
  <si>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</si>
  <si>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</si>
  <si>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</si>
  <si>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</si>
  <si>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</si>
  <si>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</si>
  <si>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</si>
  <si>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</si>
  <si>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</si>
  <si>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</si>
  <si>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High Annual Load Factor Large General Service</t>
  </si>
  <si>
    <t>Interruptible Service</t>
  </si>
  <si>
    <t>Transportation Service</t>
  </si>
  <si>
    <t>Special Contract Transportation Service</t>
  </si>
  <si>
    <t>Non-Residential Group Subtotal</t>
  </si>
  <si>
    <t>Schedule 122 Exclusion from 2016 Normalized 121/122 Revenue</t>
  </si>
  <si>
    <t xml:space="preserve">Average Residential Bill </t>
  </si>
  <si>
    <t xml:space="preserve"> @65 therms</t>
  </si>
  <si>
    <t>Basic Charge</t>
  </si>
  <si>
    <t>Block 1</t>
  </si>
  <si>
    <t>First 70 therms</t>
  </si>
  <si>
    <t>Block 2</t>
  </si>
  <si>
    <t>Next 70 therms</t>
  </si>
  <si>
    <t>Block 3</t>
  </si>
  <si>
    <t>Residential Bill at 8/1/2017 rates</t>
  </si>
  <si>
    <t>Block 4</t>
  </si>
  <si>
    <t>Proposed rate change</t>
  </si>
  <si>
    <t>Block 5</t>
  </si>
  <si>
    <t>Residential Bill at Proposed rates</t>
  </si>
  <si>
    <t>Proposed Percent Increase</t>
  </si>
  <si>
    <t>Customer Bills</t>
  </si>
  <si>
    <t>June 1, 2017 Effective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</si>
</sst>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&quot;$&quot;#,##0.00"/>
    <numFmt numFmtId="175" formatCode="_(&quot;$&quot;* #,##0.000000_);_(&quot;$&quot;* \(#,##0.00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4" fillId="0" borderId="0" xfId="4" applyNumberFormat="1" applyFont="1"/>
    <xf numFmtId="166" fontId="9" fillId="0" borderId="0" xfId="0" applyNumberFormat="1" applyFont="1"/>
    <xf numFmtId="166" fontId="4" fillId="0" borderId="2" xfId="0" applyNumberFormat="1" applyFont="1" applyBorder="1"/>
    <xf numFmtId="166" fontId="4" fillId="0" borderId="5" xfId="0" applyNumberFormat="1" applyFont="1" applyBorder="1"/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1" fillId="0" borderId="0" xfId="2" applyNumberFormat="1" applyFont="1" applyBorder="1"/>
    <xf numFmtId="9" fontId="0" fillId="0" borderId="0" xfId="0" applyNumberFormat="1"/>
    <xf numFmtId="169" fontId="10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0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0" fillId="0" borderId="0" xfId="2" applyNumberFormat="1" applyFont="1"/>
    <xf numFmtId="169" fontId="10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0" fillId="0" borderId="0" xfId="0" applyNumberFormat="1" applyFont="1" applyBorder="1"/>
    <xf numFmtId="5" fontId="10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2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3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5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10" fontId="15" fillId="0" borderId="0" xfId="0" applyNumberFormat="1" applyFont="1"/>
    <xf numFmtId="44" fontId="0" fillId="0" borderId="0" xfId="5" applyNumberFormat="1" applyFont="1" applyFill="1"/>
    <xf numFmtId="44" fontId="10" fillId="0" borderId="0" xfId="0" applyNumberFormat="1" applyFont="1"/>
    <xf numFmtId="17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justify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3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quotePrefix="1" applyFont="1" applyAlignment="1">
      <alignment horizontal="center" vertical="center"/>
    </xf>
    <xf numFmtId="37" fontId="0" fillId="0" borderId="0" xfId="0" applyNumberFormat="1" applyAlignment="1">
      <alignment vertical="center"/>
    </xf>
    <xf numFmtId="172" fontId="0" fillId="0" borderId="0" xfId="5" applyNumberFormat="1" applyFont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2" fontId="13" fillId="0" borderId="0" xfId="5" applyNumberFormat="1" applyFont="1" applyAlignment="1">
      <alignment vertical="center"/>
    </xf>
    <xf numFmtId="17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0" applyNumberFormat="1"/>
    <xf numFmtId="175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174" fontId="0" fillId="0" borderId="7" xfId="0" applyNumberFormat="1" applyBorder="1"/>
    <xf numFmtId="44" fontId="0" fillId="0" borderId="0" xfId="5" applyFont="1"/>
    <xf numFmtId="164" fontId="0" fillId="0" borderId="7" xfId="1" applyNumberFormat="1" applyFont="1" applyBorder="1"/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70"/>
  <sheetViews>
    <sheetView workbookViewId="0">
      <selection activeCell="J9" sqref="J9:J20"/>
    </sheetView>
  </sheetViews>
  <sheetFormatPr defaultRowHeight="14.4" outlineLevelCol="1" x14ac:dyDescent="0.3"/>
  <cols>
    <col min="2" max="2" width="3.6640625" customWidth="1"/>
    <col min="3" max="3" width="13.6640625" customWidth="1" outlineLevel="1"/>
    <col min="4" max="4" width="12.5546875" customWidth="1" outlineLevel="1"/>
    <col min="5" max="6" width="11.109375" customWidth="1" outlineLevel="1"/>
    <col min="7" max="8" width="12.5546875" customWidth="1" outlineLevel="1"/>
    <col min="9" max="9" width="2.109375" customWidth="1"/>
    <col min="11" max="11" width="2.109375" customWidth="1"/>
    <col min="12" max="12" width="11" bestFit="1" customWidth="1"/>
    <col min="13" max="13" width="11.44140625" customWidth="1"/>
  </cols>
  <sheetData>
    <row r="1" spans="1:15" x14ac:dyDescent="0.3">
      <c r="A1" s="129"/>
      <c r="B1" s="83" t="s">
        <v>153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3">
      <c r="A2" s="129"/>
      <c r="B2" t="s">
        <v>105</v>
      </c>
    </row>
    <row r="3" spans="1:15" x14ac:dyDescent="0.3">
      <c r="A3" s="81"/>
      <c r="B3" s="81"/>
      <c r="C3" s="81" t="s">
        <v>106</v>
      </c>
      <c r="J3" s="130" t="s">
        <v>110</v>
      </c>
      <c r="K3" s="88"/>
      <c r="L3" s="131" t="s">
        <v>111</v>
      </c>
      <c r="M3" s="132"/>
    </row>
    <row r="4" spans="1:15" x14ac:dyDescent="0.3">
      <c r="C4" s="86" t="s">
        <v>99</v>
      </c>
      <c r="D4" s="86" t="s">
        <v>100</v>
      </c>
      <c r="E4" s="86" t="s">
        <v>101</v>
      </c>
      <c r="F4" s="86" t="s">
        <v>102</v>
      </c>
      <c r="G4" s="86" t="s">
        <v>103</v>
      </c>
      <c r="H4" s="86" t="s">
        <v>104</v>
      </c>
      <c r="J4" s="130"/>
      <c r="K4" s="88"/>
      <c r="L4" s="84" t="s">
        <v>108</v>
      </c>
      <c r="M4" s="85" t="s">
        <v>109</v>
      </c>
    </row>
    <row r="5" spans="1:15" x14ac:dyDescent="0.3">
      <c r="A5" s="80">
        <v>42917</v>
      </c>
      <c r="C5" s="56">
        <v>2365832.3080186541</v>
      </c>
      <c r="D5" s="56">
        <v>1636017.7349065023</v>
      </c>
      <c r="E5" s="56">
        <v>209765.90117087532</v>
      </c>
      <c r="F5" s="56">
        <v>32930.844387813326</v>
      </c>
      <c r="G5" s="56">
        <v>2211539</v>
      </c>
      <c r="H5" s="56">
        <v>3415655</v>
      </c>
      <c r="J5" s="89">
        <v>27604.510999999999</v>
      </c>
      <c r="K5" s="56"/>
      <c r="L5" s="61">
        <f t="shared" ref="L5:L58" si="0">C5</f>
        <v>2365832.3080186541</v>
      </c>
      <c r="M5" s="61">
        <f t="shared" ref="M5:M58" si="1">D5+E5-J5</f>
        <v>1818179.1250773778</v>
      </c>
    </row>
    <row r="6" spans="1:15" x14ac:dyDescent="0.3">
      <c r="A6" s="80">
        <v>42948</v>
      </c>
      <c r="C6" s="56">
        <v>2152562.6099662925</v>
      </c>
      <c r="D6" s="56">
        <v>1754440.8971749546</v>
      </c>
      <c r="E6" s="56">
        <v>252896.00655597364</v>
      </c>
      <c r="F6" s="56">
        <v>28676.807425891642</v>
      </c>
      <c r="G6" s="56">
        <v>2001686</v>
      </c>
      <c r="H6" s="56">
        <v>3247739</v>
      </c>
      <c r="J6" s="89">
        <v>25524.168000000001</v>
      </c>
      <c r="K6" s="56"/>
      <c r="L6" s="61">
        <f t="shared" si="0"/>
        <v>2152562.6099662925</v>
      </c>
      <c r="M6" s="61">
        <f t="shared" si="1"/>
        <v>1981812.7357309281</v>
      </c>
    </row>
    <row r="7" spans="1:15" x14ac:dyDescent="0.3">
      <c r="A7" s="80">
        <v>42979</v>
      </c>
      <c r="C7" s="56">
        <v>2606869.017329284</v>
      </c>
      <c r="D7" s="56">
        <v>2012701.2108141137</v>
      </c>
      <c r="E7" s="56">
        <v>276878.28342749522</v>
      </c>
      <c r="F7" s="56">
        <v>36121.393286162245</v>
      </c>
      <c r="G7" s="56">
        <v>2051074</v>
      </c>
      <c r="H7" s="56">
        <v>3400271</v>
      </c>
      <c r="J7" s="89">
        <v>26762.534</v>
      </c>
      <c r="K7" s="56"/>
      <c r="L7" s="61">
        <f t="shared" si="0"/>
        <v>2606869.017329284</v>
      </c>
      <c r="M7" s="61">
        <f t="shared" si="1"/>
        <v>2262816.9602416088</v>
      </c>
    </row>
    <row r="8" spans="1:15" x14ac:dyDescent="0.3">
      <c r="A8" s="80">
        <v>43009</v>
      </c>
      <c r="C8" s="56">
        <v>7299345.1137861935</v>
      </c>
      <c r="D8" s="56">
        <v>4249418.2761738179</v>
      </c>
      <c r="E8" s="56">
        <v>448636.0086530156</v>
      </c>
      <c r="F8" s="56">
        <v>73038.485062302774</v>
      </c>
      <c r="G8" s="56">
        <v>2175831</v>
      </c>
      <c r="H8" s="56">
        <v>3483818</v>
      </c>
      <c r="J8" s="89">
        <v>37230.75</v>
      </c>
      <c r="K8" s="56"/>
      <c r="L8" s="61">
        <f t="shared" si="0"/>
        <v>7299345.1137861935</v>
      </c>
      <c r="M8" s="61">
        <f t="shared" si="1"/>
        <v>4660823.5348268338</v>
      </c>
    </row>
    <row r="9" spans="1:15" x14ac:dyDescent="0.3">
      <c r="A9" s="80">
        <v>43040</v>
      </c>
      <c r="C9" s="56">
        <v>15592583.725541875</v>
      </c>
      <c r="D9" s="56">
        <v>7058672.5333838966</v>
      </c>
      <c r="E9" s="56">
        <v>600836.29115375283</v>
      </c>
      <c r="F9" s="56">
        <v>122606.35504219359</v>
      </c>
      <c r="G9" s="56">
        <v>2914237</v>
      </c>
      <c r="H9" s="56">
        <v>4007883</v>
      </c>
      <c r="J9" s="89">
        <v>51431.063000000002</v>
      </c>
      <c r="K9" s="56"/>
      <c r="L9" s="61">
        <f t="shared" si="0"/>
        <v>15592583.725541875</v>
      </c>
      <c r="M9" s="61">
        <f t="shared" si="1"/>
        <v>7608077.7615376497</v>
      </c>
    </row>
    <row r="10" spans="1:15" x14ac:dyDescent="0.3">
      <c r="A10" s="80">
        <v>43070</v>
      </c>
      <c r="C10" s="56">
        <v>22863759.926111203</v>
      </c>
      <c r="D10" s="56">
        <v>8505567.0078217182</v>
      </c>
      <c r="E10" s="56">
        <v>551980.26543618122</v>
      </c>
      <c r="F10" s="56">
        <v>137409.33599749132</v>
      </c>
      <c r="G10" s="56">
        <v>3245653</v>
      </c>
      <c r="H10" s="56">
        <v>4396652</v>
      </c>
      <c r="J10" s="89">
        <v>69957.975000000006</v>
      </c>
      <c r="K10" s="56"/>
      <c r="L10" s="61">
        <f t="shared" si="0"/>
        <v>22863759.926111203</v>
      </c>
      <c r="M10" s="61">
        <f t="shared" si="1"/>
        <v>8987589.2982579004</v>
      </c>
    </row>
    <row r="11" spans="1:15" x14ac:dyDescent="0.3">
      <c r="A11" s="80">
        <v>43101</v>
      </c>
      <c r="C11" s="56">
        <v>22259359.784387771</v>
      </c>
      <c r="D11" s="56">
        <v>8156678.9415757209</v>
      </c>
      <c r="E11" s="56">
        <v>519727.73859013437</v>
      </c>
      <c r="F11" s="56">
        <v>139115.44453587584</v>
      </c>
      <c r="G11" s="56">
        <v>3768507</v>
      </c>
      <c r="H11" s="56">
        <v>4744657</v>
      </c>
      <c r="J11" s="89">
        <v>83852.634999999995</v>
      </c>
      <c r="K11" s="56"/>
      <c r="L11" s="61">
        <f t="shared" si="0"/>
        <v>22259359.784387771</v>
      </c>
      <c r="M11" s="61">
        <f t="shared" si="1"/>
        <v>8592554.0451658554</v>
      </c>
    </row>
    <row r="12" spans="1:15" x14ac:dyDescent="0.3">
      <c r="A12" s="80">
        <v>43132</v>
      </c>
      <c r="C12" s="56">
        <v>17730048.644797206</v>
      </c>
      <c r="D12" s="56">
        <v>6452480.7768498259</v>
      </c>
      <c r="E12" s="56">
        <v>481781.3386272582</v>
      </c>
      <c r="F12" s="56">
        <v>117360.6111497867</v>
      </c>
      <c r="G12" s="56">
        <v>4014667</v>
      </c>
      <c r="H12" s="56">
        <v>4855318</v>
      </c>
      <c r="J12" s="89">
        <v>67179.426999999996</v>
      </c>
      <c r="K12" s="56"/>
      <c r="L12" s="61">
        <f t="shared" si="0"/>
        <v>17730048.644797206</v>
      </c>
      <c r="M12" s="61">
        <f t="shared" si="1"/>
        <v>6867082.688477084</v>
      </c>
    </row>
    <row r="13" spans="1:15" x14ac:dyDescent="0.3">
      <c r="A13" s="80">
        <v>43160</v>
      </c>
      <c r="C13" s="56">
        <v>15093057.210189164</v>
      </c>
      <c r="D13" s="56">
        <v>5578170.404466101</v>
      </c>
      <c r="E13" s="56">
        <v>386209.59376304195</v>
      </c>
      <c r="F13" s="56">
        <v>103242.98744800191</v>
      </c>
      <c r="G13" s="56">
        <v>3335227</v>
      </c>
      <c r="H13" s="56">
        <v>4327876</v>
      </c>
      <c r="J13" s="89">
        <v>59583.224999999999</v>
      </c>
      <c r="K13" s="56"/>
      <c r="L13" s="61">
        <f t="shared" si="0"/>
        <v>15093057.210189164</v>
      </c>
      <c r="M13" s="61">
        <f t="shared" si="1"/>
        <v>5904796.7732291436</v>
      </c>
    </row>
    <row r="14" spans="1:15" x14ac:dyDescent="0.3">
      <c r="A14" s="80">
        <v>43191</v>
      </c>
      <c r="C14" s="56">
        <v>9139987.4900691621</v>
      </c>
      <c r="D14" s="56">
        <v>3589018.9187041274</v>
      </c>
      <c r="E14" s="56">
        <v>286809.09172351839</v>
      </c>
      <c r="F14" s="56">
        <v>71885.50604078843</v>
      </c>
      <c r="G14" s="56">
        <v>3363026</v>
      </c>
      <c r="H14" s="56">
        <v>4349512</v>
      </c>
      <c r="J14" s="89">
        <v>54523.025000000001</v>
      </c>
      <c r="K14" s="56"/>
      <c r="L14" s="61">
        <f t="shared" si="0"/>
        <v>9139987.4900691621</v>
      </c>
      <c r="M14" s="61">
        <f t="shared" si="1"/>
        <v>3821304.985427646</v>
      </c>
    </row>
    <row r="15" spans="1:15" x14ac:dyDescent="0.3">
      <c r="A15" s="80">
        <v>43221</v>
      </c>
      <c r="C15" s="56">
        <v>4933991.2844133256</v>
      </c>
      <c r="D15" s="56">
        <v>2132626.0718039582</v>
      </c>
      <c r="E15" s="56">
        <v>217201.1505908721</v>
      </c>
      <c r="F15" s="56">
        <v>52160.687655705784</v>
      </c>
      <c r="G15" s="56">
        <v>2788406</v>
      </c>
      <c r="H15" s="56">
        <v>3935607</v>
      </c>
      <c r="J15" s="89">
        <v>42598.400999999998</v>
      </c>
      <c r="K15" s="56"/>
      <c r="L15" s="61">
        <f t="shared" si="0"/>
        <v>4933991.2844133256</v>
      </c>
      <c r="M15" s="61">
        <f t="shared" si="1"/>
        <v>2307228.82139483</v>
      </c>
    </row>
    <row r="16" spans="1:15" x14ac:dyDescent="0.3">
      <c r="A16" s="80">
        <v>43252</v>
      </c>
      <c r="C16" s="56">
        <v>2947345.4485411197</v>
      </c>
      <c r="D16" s="56">
        <v>1603324.9567756448</v>
      </c>
      <c r="E16" s="56">
        <v>191022.45945606695</v>
      </c>
      <c r="F16" s="56">
        <v>40631.400111988856</v>
      </c>
      <c r="G16" s="56">
        <v>2366298</v>
      </c>
      <c r="H16" s="56">
        <v>3619411</v>
      </c>
      <c r="J16" s="89">
        <v>35139.243999999999</v>
      </c>
      <c r="K16" s="56"/>
      <c r="L16" s="61">
        <f t="shared" si="0"/>
        <v>2947345.4485411197</v>
      </c>
      <c r="M16" s="61">
        <f t="shared" si="1"/>
        <v>1759208.1722317119</v>
      </c>
    </row>
    <row r="17" spans="1:13" x14ac:dyDescent="0.3">
      <c r="A17" s="80">
        <v>43282</v>
      </c>
      <c r="C17" s="56">
        <v>2341775.4052680354</v>
      </c>
      <c r="D17" s="56">
        <v>1603390.1499723494</v>
      </c>
      <c r="E17" s="56">
        <v>218783.46810150461</v>
      </c>
      <c r="F17" s="56">
        <v>36891.356126621657</v>
      </c>
      <c r="G17" s="56">
        <v>2124081</v>
      </c>
      <c r="H17" s="56">
        <v>3485178</v>
      </c>
      <c r="J17" s="89">
        <v>27604.510999999999</v>
      </c>
      <c r="K17" s="56"/>
      <c r="L17" s="61">
        <f t="shared" si="0"/>
        <v>2341775.4052680354</v>
      </c>
      <c r="M17" s="61">
        <f t="shared" si="1"/>
        <v>1794569.1070738542</v>
      </c>
    </row>
    <row r="18" spans="1:13" x14ac:dyDescent="0.3">
      <c r="A18" s="80">
        <v>43313</v>
      </c>
      <c r="C18" s="56">
        <v>2171370.1317786262</v>
      </c>
      <c r="D18" s="56">
        <v>1721494.0399613078</v>
      </c>
      <c r="E18" s="56">
        <v>246374.06281260759</v>
      </c>
      <c r="F18" s="56">
        <v>27985.967619872506</v>
      </c>
      <c r="G18" s="56">
        <v>1983520</v>
      </c>
      <c r="H18" s="56">
        <v>3311152</v>
      </c>
      <c r="J18" s="89">
        <v>25524.168000000001</v>
      </c>
      <c r="K18" s="56"/>
      <c r="L18" s="61">
        <f t="shared" si="0"/>
        <v>2171370.1317786262</v>
      </c>
      <c r="M18" s="61">
        <f t="shared" si="1"/>
        <v>1942343.9347739152</v>
      </c>
    </row>
    <row r="19" spans="1:13" x14ac:dyDescent="0.3">
      <c r="A19" s="80">
        <v>43344</v>
      </c>
      <c r="C19" s="56">
        <v>2572701.7552712322</v>
      </c>
      <c r="D19" s="56">
        <v>2085011.0604412418</v>
      </c>
      <c r="E19" s="56">
        <v>257982.81870442594</v>
      </c>
      <c r="F19" s="56">
        <v>30815.301618903115</v>
      </c>
      <c r="G19" s="56">
        <v>2031865</v>
      </c>
      <c r="H19" s="56">
        <v>3444386</v>
      </c>
      <c r="J19" s="89">
        <v>26762.534</v>
      </c>
      <c r="K19" s="56"/>
      <c r="L19" s="61">
        <f t="shared" si="0"/>
        <v>2572701.7552712322</v>
      </c>
      <c r="M19" s="61">
        <f t="shared" si="1"/>
        <v>2316231.3451456679</v>
      </c>
    </row>
    <row r="20" spans="1:13" x14ac:dyDescent="0.3">
      <c r="A20" s="80">
        <v>43374</v>
      </c>
      <c r="C20" s="56">
        <v>6931638.448010237</v>
      </c>
      <c r="D20" s="56">
        <v>4354135.6140492326</v>
      </c>
      <c r="E20" s="56">
        <v>464518.78411370626</v>
      </c>
      <c r="F20" s="56">
        <v>68525.577480805616</v>
      </c>
      <c r="G20" s="56">
        <v>2202293</v>
      </c>
      <c r="H20" s="56">
        <v>3535930</v>
      </c>
      <c r="J20" s="89">
        <v>37230.75</v>
      </c>
      <c r="K20" s="56"/>
      <c r="L20" s="61">
        <f t="shared" si="0"/>
        <v>6931638.448010237</v>
      </c>
      <c r="M20" s="61">
        <f t="shared" si="1"/>
        <v>4781423.6481629387</v>
      </c>
    </row>
    <row r="21" spans="1:13" x14ac:dyDescent="0.3">
      <c r="A21" s="80">
        <v>43405</v>
      </c>
      <c r="C21" s="56">
        <v>15496470.643818373</v>
      </c>
      <c r="D21" s="56">
        <v>7082138.0108760577</v>
      </c>
      <c r="E21" s="56">
        <v>583937.75158835808</v>
      </c>
      <c r="F21" s="56">
        <v>114466.484231661</v>
      </c>
      <c r="G21" s="56">
        <v>2912935</v>
      </c>
      <c r="H21" s="56">
        <v>4053454</v>
      </c>
      <c r="J21" s="89">
        <v>51431.063000000002</v>
      </c>
      <c r="K21" s="56"/>
      <c r="L21" s="61">
        <f t="shared" si="0"/>
        <v>15496470.643818373</v>
      </c>
      <c r="M21" s="61">
        <f t="shared" si="1"/>
        <v>7614644.6994644152</v>
      </c>
    </row>
    <row r="22" spans="1:13" x14ac:dyDescent="0.3">
      <c r="A22" s="80">
        <v>43435</v>
      </c>
      <c r="C22" s="56">
        <v>22498767.115636773</v>
      </c>
      <c r="D22" s="56">
        <v>8708553.3699688092</v>
      </c>
      <c r="E22" s="56">
        <v>549249.18784502312</v>
      </c>
      <c r="F22" s="56">
        <v>133269.06733269885</v>
      </c>
      <c r="G22" s="56">
        <v>3241516</v>
      </c>
      <c r="H22" s="56">
        <v>4439028</v>
      </c>
      <c r="J22" s="89">
        <v>69957.975000000006</v>
      </c>
      <c r="K22" s="56"/>
      <c r="L22" s="61">
        <f t="shared" si="0"/>
        <v>22498767.115636773</v>
      </c>
      <c r="M22" s="61">
        <f t="shared" si="1"/>
        <v>9187844.5828138329</v>
      </c>
    </row>
    <row r="23" spans="1:13" x14ac:dyDescent="0.3">
      <c r="A23" s="80">
        <v>43466</v>
      </c>
      <c r="C23" s="56">
        <v>22531428.823769566</v>
      </c>
      <c r="D23" s="56">
        <v>8315588.6943758074</v>
      </c>
      <c r="E23" s="56">
        <v>546922.29956838908</v>
      </c>
      <c r="F23" s="56">
        <v>137012.37655986092</v>
      </c>
      <c r="G23" s="56">
        <v>3707334</v>
      </c>
      <c r="H23" s="56">
        <v>4784684</v>
      </c>
      <c r="J23" s="89">
        <v>83852.634999999995</v>
      </c>
      <c r="K23" s="56"/>
      <c r="L23" s="61">
        <f t="shared" si="0"/>
        <v>22531428.823769566</v>
      </c>
      <c r="M23" s="61">
        <f t="shared" si="1"/>
        <v>8778658.3589441963</v>
      </c>
    </row>
    <row r="24" spans="1:13" x14ac:dyDescent="0.3">
      <c r="A24" s="80">
        <v>43497</v>
      </c>
      <c r="C24" s="56">
        <v>17964194.473520312</v>
      </c>
      <c r="D24" s="56">
        <v>6634088.44007299</v>
      </c>
      <c r="E24" s="56">
        <v>488814.41236202006</v>
      </c>
      <c r="F24" s="56">
        <v>117727.77080752153</v>
      </c>
      <c r="G24" s="56">
        <v>3995641</v>
      </c>
      <c r="H24" s="56">
        <v>4902463</v>
      </c>
      <c r="J24" s="89">
        <v>67179.426999999996</v>
      </c>
      <c r="K24" s="56"/>
      <c r="L24" s="61">
        <f t="shared" si="0"/>
        <v>17964194.473520312</v>
      </c>
      <c r="M24" s="61">
        <f t="shared" si="1"/>
        <v>7055723.4254350103</v>
      </c>
    </row>
    <row r="25" spans="1:13" x14ac:dyDescent="0.3">
      <c r="A25" s="80">
        <v>43525</v>
      </c>
      <c r="C25" s="56">
        <v>15363243.721406652</v>
      </c>
      <c r="D25" s="56">
        <v>5684569.1001992989</v>
      </c>
      <c r="E25" s="56">
        <v>413105.62657724234</v>
      </c>
      <c r="F25" s="56">
        <v>105014.51798388493</v>
      </c>
      <c r="G25" s="56">
        <v>3358243</v>
      </c>
      <c r="H25" s="56">
        <v>4375317</v>
      </c>
      <c r="J25" s="89">
        <v>59583.224999999999</v>
      </c>
      <c r="K25" s="56"/>
      <c r="L25" s="61">
        <f t="shared" si="0"/>
        <v>15363243.721406652</v>
      </c>
      <c r="M25" s="61">
        <f t="shared" si="1"/>
        <v>6038091.5017765416</v>
      </c>
    </row>
    <row r="26" spans="1:13" x14ac:dyDescent="0.3">
      <c r="A26" s="80">
        <v>43556</v>
      </c>
      <c r="C26" s="56">
        <v>9326373.2832147945</v>
      </c>
      <c r="D26" s="56">
        <v>3584642.6538123116</v>
      </c>
      <c r="E26" s="56">
        <v>300574.13267517823</v>
      </c>
      <c r="F26" s="56">
        <v>72951.376457375125</v>
      </c>
      <c r="G26" s="56">
        <v>3370313</v>
      </c>
      <c r="H26" s="56">
        <v>4397724</v>
      </c>
      <c r="J26" s="89">
        <v>54523.025000000001</v>
      </c>
      <c r="K26" s="56"/>
      <c r="L26" s="61">
        <f t="shared" si="0"/>
        <v>9326373.2832147945</v>
      </c>
      <c r="M26" s="61">
        <f t="shared" si="1"/>
        <v>3830693.76148749</v>
      </c>
    </row>
    <row r="27" spans="1:13" x14ac:dyDescent="0.3">
      <c r="A27" s="80">
        <v>43586</v>
      </c>
      <c r="C27" s="56">
        <v>5062409.4388516303</v>
      </c>
      <c r="D27" s="56">
        <v>2146619.2015138511</v>
      </c>
      <c r="E27" s="56">
        <v>225398.08416540752</v>
      </c>
      <c r="F27" s="56">
        <v>53416.636923369602</v>
      </c>
      <c r="G27" s="56">
        <v>2823329</v>
      </c>
      <c r="H27" s="56">
        <v>3986541</v>
      </c>
      <c r="J27" s="89">
        <v>42598.400999999998</v>
      </c>
      <c r="K27" s="56"/>
      <c r="L27" s="61">
        <f t="shared" si="0"/>
        <v>5062409.4388516303</v>
      </c>
      <c r="M27" s="61">
        <f t="shared" si="1"/>
        <v>2329418.8846792583</v>
      </c>
    </row>
    <row r="28" spans="1:13" x14ac:dyDescent="0.3">
      <c r="A28" s="80">
        <v>43617</v>
      </c>
      <c r="C28" s="56">
        <v>3035236.7570467559</v>
      </c>
      <c r="D28" s="56">
        <v>1558586.128879451</v>
      </c>
      <c r="E28" s="56">
        <v>206827.31718914807</v>
      </c>
      <c r="F28" s="56">
        <v>41417.851370939439</v>
      </c>
      <c r="G28" s="56">
        <v>2430936</v>
      </c>
      <c r="H28" s="56">
        <v>3669394</v>
      </c>
      <c r="J28" s="89">
        <v>35139.243999999999</v>
      </c>
      <c r="K28" s="56"/>
      <c r="L28" s="61">
        <f t="shared" si="0"/>
        <v>3035236.7570467559</v>
      </c>
      <c r="M28" s="61">
        <f t="shared" si="1"/>
        <v>1730274.2020685992</v>
      </c>
    </row>
    <row r="29" spans="1:13" x14ac:dyDescent="0.3">
      <c r="A29" s="80">
        <v>43647</v>
      </c>
      <c r="C29" s="56">
        <v>2459933.2793937563</v>
      </c>
      <c r="D29" s="56">
        <v>1536490.363954436</v>
      </c>
      <c r="E29" s="56">
        <v>224149.57383970739</v>
      </c>
      <c r="F29" s="56">
        <v>38015.096888428925</v>
      </c>
      <c r="G29" s="56">
        <v>2176014</v>
      </c>
      <c r="H29" s="56">
        <v>3532375</v>
      </c>
      <c r="J29" s="89">
        <v>27604.510999999999</v>
      </c>
      <c r="K29" s="56"/>
      <c r="L29" s="61">
        <f t="shared" si="0"/>
        <v>2459933.2793937563</v>
      </c>
      <c r="M29" s="61">
        <f t="shared" si="1"/>
        <v>1733035.4267941434</v>
      </c>
    </row>
    <row r="30" spans="1:13" x14ac:dyDescent="0.3">
      <c r="A30" s="80">
        <v>43678</v>
      </c>
      <c r="C30" s="56">
        <v>2282350.3517480902</v>
      </c>
      <c r="D30" s="56">
        <v>1701965.3043586272</v>
      </c>
      <c r="E30" s="56">
        <v>249789.18787409566</v>
      </c>
      <c r="F30" s="56">
        <v>27846.430907332233</v>
      </c>
      <c r="G30" s="56">
        <v>2033122</v>
      </c>
      <c r="H30" s="56">
        <v>3355617</v>
      </c>
      <c r="J30" s="89">
        <v>25524.168000000001</v>
      </c>
      <c r="K30" s="56"/>
      <c r="L30" s="61">
        <f t="shared" si="0"/>
        <v>2282350.3517480902</v>
      </c>
      <c r="M30" s="61">
        <f t="shared" si="1"/>
        <v>1926230.3242327229</v>
      </c>
    </row>
    <row r="31" spans="1:13" x14ac:dyDescent="0.3">
      <c r="A31" s="80">
        <v>43709</v>
      </c>
      <c r="C31" s="56">
        <v>2603627.5529349442</v>
      </c>
      <c r="D31" s="56">
        <v>2068759.3880452751</v>
      </c>
      <c r="E31" s="56">
        <v>268162.43497531099</v>
      </c>
      <c r="F31" s="56">
        <v>30557.357756327907</v>
      </c>
      <c r="G31" s="56">
        <v>2077351</v>
      </c>
      <c r="H31" s="56">
        <v>3487041</v>
      </c>
      <c r="J31" s="89">
        <v>26762.534</v>
      </c>
      <c r="K31" s="56"/>
      <c r="L31" s="61">
        <f t="shared" si="0"/>
        <v>2603627.5529349442</v>
      </c>
      <c r="M31" s="61">
        <f t="shared" si="1"/>
        <v>2310159.2890205863</v>
      </c>
    </row>
    <row r="32" spans="1:13" x14ac:dyDescent="0.3">
      <c r="A32" s="80">
        <v>43739</v>
      </c>
      <c r="C32" s="56">
        <v>7088808.1079627275</v>
      </c>
      <c r="D32" s="56">
        <v>4451362.4739246592</v>
      </c>
      <c r="E32" s="56">
        <v>459704.70355835895</v>
      </c>
      <c r="F32" s="56">
        <v>67339.690772554561</v>
      </c>
      <c r="G32" s="56">
        <v>2231609</v>
      </c>
      <c r="H32" s="56">
        <v>3576009</v>
      </c>
      <c r="J32" s="89">
        <v>37230.75</v>
      </c>
      <c r="K32" s="56"/>
      <c r="L32" s="61">
        <f t="shared" si="0"/>
        <v>7088808.1079627275</v>
      </c>
      <c r="M32" s="61">
        <f t="shared" si="1"/>
        <v>4873836.4274830185</v>
      </c>
    </row>
    <row r="33" spans="1:13" x14ac:dyDescent="0.3">
      <c r="A33" s="80">
        <v>43770</v>
      </c>
      <c r="C33" s="56">
        <v>15589507.650355218</v>
      </c>
      <c r="D33" s="56">
        <v>7322463.023987934</v>
      </c>
      <c r="E33" s="56">
        <v>587956.18015747494</v>
      </c>
      <c r="F33" s="56">
        <v>113167.55656861261</v>
      </c>
      <c r="G33" s="56">
        <v>2937694</v>
      </c>
      <c r="H33" s="56">
        <v>4092546</v>
      </c>
      <c r="J33" s="89">
        <v>51431.063000000002</v>
      </c>
      <c r="K33" s="56"/>
      <c r="L33" s="61">
        <f t="shared" si="0"/>
        <v>15589507.650355218</v>
      </c>
      <c r="M33" s="61">
        <f t="shared" si="1"/>
        <v>7858988.1411454091</v>
      </c>
    </row>
    <row r="34" spans="1:13" x14ac:dyDescent="0.3">
      <c r="A34" s="80">
        <v>43800</v>
      </c>
      <c r="C34" s="56">
        <v>22745738.372293532</v>
      </c>
      <c r="D34" s="56">
        <v>8895026.8612526134</v>
      </c>
      <c r="E34" s="56">
        <v>552807.58858778037</v>
      </c>
      <c r="F34" s="56">
        <v>132163.12330436494</v>
      </c>
      <c r="G34" s="56">
        <v>3288535</v>
      </c>
      <c r="H34" s="56">
        <v>4478220</v>
      </c>
      <c r="J34" s="89">
        <v>69957.975000000006</v>
      </c>
      <c r="K34" s="56"/>
      <c r="L34" s="61">
        <f t="shared" si="0"/>
        <v>22745738.372293532</v>
      </c>
      <c r="M34" s="61">
        <f t="shared" si="1"/>
        <v>9377876.4748403933</v>
      </c>
    </row>
    <row r="35" spans="1:13" x14ac:dyDescent="0.3">
      <c r="A35" s="80">
        <v>43831</v>
      </c>
      <c r="C35" s="56">
        <v>22647091.314483784</v>
      </c>
      <c r="D35" s="56">
        <v>8490307.9216872677</v>
      </c>
      <c r="E35" s="56">
        <v>544814.3828496174</v>
      </c>
      <c r="F35" s="56">
        <v>135628.84743904602</v>
      </c>
      <c r="G35" s="56">
        <v>3764853</v>
      </c>
      <c r="H35" s="56">
        <v>4824490</v>
      </c>
      <c r="J35" s="89">
        <v>83852.634999999995</v>
      </c>
      <c r="K35" s="56"/>
      <c r="L35" s="61">
        <f t="shared" si="0"/>
        <v>22647091.314483784</v>
      </c>
      <c r="M35" s="61">
        <f t="shared" si="1"/>
        <v>8951269.6695368849</v>
      </c>
    </row>
    <row r="36" spans="1:13" x14ac:dyDescent="0.3">
      <c r="A36" s="80">
        <v>43862</v>
      </c>
      <c r="C36" s="56">
        <v>18636273.366297405</v>
      </c>
      <c r="D36" s="56">
        <v>6963927.9722233303</v>
      </c>
      <c r="E36" s="56">
        <v>511002.59807208122</v>
      </c>
      <c r="F36" s="56">
        <v>120799.24802319512</v>
      </c>
      <c r="G36" s="56">
        <v>4030690</v>
      </c>
      <c r="H36" s="56">
        <v>4942839</v>
      </c>
      <c r="J36" s="89">
        <v>67179.426999999996</v>
      </c>
      <c r="K36" s="56"/>
      <c r="L36" s="61">
        <f t="shared" si="0"/>
        <v>18636273.366297405</v>
      </c>
      <c r="M36" s="61">
        <f t="shared" si="1"/>
        <v>7407751.143295411</v>
      </c>
    </row>
    <row r="37" spans="1:13" x14ac:dyDescent="0.3">
      <c r="A37" s="80">
        <v>43891</v>
      </c>
      <c r="C37" s="56">
        <v>15472345.686357632</v>
      </c>
      <c r="D37" s="56">
        <v>5752765.3134498298</v>
      </c>
      <c r="E37" s="56">
        <v>415839.71343915351</v>
      </c>
      <c r="F37" s="56">
        <v>104417.59758415322</v>
      </c>
      <c r="G37" s="56">
        <v>3423700</v>
      </c>
      <c r="H37" s="56">
        <v>4416222</v>
      </c>
      <c r="J37" s="89">
        <v>59583.224999999999</v>
      </c>
      <c r="K37" s="56"/>
      <c r="L37" s="61">
        <f t="shared" si="0"/>
        <v>15472345.686357632</v>
      </c>
      <c r="M37" s="61">
        <f t="shared" si="1"/>
        <v>6109021.8018889837</v>
      </c>
    </row>
    <row r="38" spans="1:13" x14ac:dyDescent="0.3">
      <c r="A38" s="80">
        <v>43922</v>
      </c>
      <c r="C38" s="56">
        <v>9398746.5289214738</v>
      </c>
      <c r="D38" s="56">
        <v>3635846.9090526495</v>
      </c>
      <c r="E38" s="56">
        <v>305411.22582161392</v>
      </c>
      <c r="F38" s="56">
        <v>72933.478456902958</v>
      </c>
      <c r="G38" s="56">
        <v>3409415</v>
      </c>
      <c r="H38" s="56">
        <v>4438686</v>
      </c>
      <c r="J38" s="89">
        <v>54523.025000000001</v>
      </c>
      <c r="K38" s="56"/>
      <c r="L38" s="61">
        <f t="shared" si="0"/>
        <v>9398746.5289214738</v>
      </c>
      <c r="M38" s="61">
        <f t="shared" si="1"/>
        <v>3886735.1098742634</v>
      </c>
    </row>
    <row r="39" spans="1:13" x14ac:dyDescent="0.3">
      <c r="A39" s="80">
        <v>43952</v>
      </c>
      <c r="C39" s="56">
        <v>5126667.1602702839</v>
      </c>
      <c r="D39" s="56">
        <v>2135477.5805854853</v>
      </c>
      <c r="E39" s="56">
        <v>232727.6297555542</v>
      </c>
      <c r="F39" s="56">
        <v>53603.409021838699</v>
      </c>
      <c r="G39" s="56">
        <v>2885762</v>
      </c>
      <c r="H39" s="56">
        <v>4026798</v>
      </c>
      <c r="J39" s="89">
        <v>42598.400999999998</v>
      </c>
      <c r="K39" s="56"/>
      <c r="L39" s="61">
        <f t="shared" si="0"/>
        <v>5126667.1602702839</v>
      </c>
      <c r="M39" s="61">
        <f t="shared" si="1"/>
        <v>2325606.8093410395</v>
      </c>
    </row>
    <row r="40" spans="1:13" x14ac:dyDescent="0.3">
      <c r="A40" s="80">
        <v>43983</v>
      </c>
      <c r="C40" s="56">
        <v>3091595.1827602424</v>
      </c>
      <c r="D40" s="56">
        <v>1534337.2185538299</v>
      </c>
      <c r="E40" s="56">
        <v>213075.66844558981</v>
      </c>
      <c r="F40" s="56">
        <v>42072.430710819768</v>
      </c>
      <c r="G40" s="56">
        <v>2512017</v>
      </c>
      <c r="H40" s="56">
        <v>3708685</v>
      </c>
      <c r="J40" s="89">
        <v>35139.243999999999</v>
      </c>
      <c r="K40" s="56"/>
      <c r="L40" s="61">
        <f t="shared" si="0"/>
        <v>3091595.1827602424</v>
      </c>
      <c r="M40" s="61">
        <f t="shared" si="1"/>
        <v>1712273.6429994197</v>
      </c>
    </row>
    <row r="41" spans="1:13" x14ac:dyDescent="0.3">
      <c r="A41" s="80">
        <v>44013</v>
      </c>
      <c r="C41" s="56">
        <v>2541619.1624725526</v>
      </c>
      <c r="D41" s="56">
        <v>1489788.0115577348</v>
      </c>
      <c r="E41" s="56">
        <v>232286.46608376867</v>
      </c>
      <c r="F41" s="56">
        <v>38515.64292125748</v>
      </c>
      <c r="G41" s="56">
        <v>2244285</v>
      </c>
      <c r="H41" s="56">
        <v>3570615</v>
      </c>
      <c r="J41" s="89">
        <v>27604.510999999999</v>
      </c>
      <c r="K41" s="56"/>
      <c r="L41" s="61">
        <f t="shared" si="0"/>
        <v>2541619.1624725526</v>
      </c>
      <c r="M41" s="61">
        <f t="shared" si="1"/>
        <v>1694469.9666415036</v>
      </c>
    </row>
    <row r="42" spans="1:13" x14ac:dyDescent="0.3">
      <c r="A42" s="80">
        <v>44044</v>
      </c>
      <c r="C42" s="56">
        <v>2327451.4414958558</v>
      </c>
      <c r="D42" s="56">
        <v>1653674.3767398733</v>
      </c>
      <c r="E42" s="56">
        <v>260384.13193127245</v>
      </c>
      <c r="F42" s="56">
        <v>28392.73133526745</v>
      </c>
      <c r="G42" s="56">
        <v>2078209</v>
      </c>
      <c r="H42" s="56">
        <v>3392837</v>
      </c>
      <c r="J42" s="89">
        <v>25524.168000000001</v>
      </c>
      <c r="K42" s="56"/>
      <c r="L42" s="61">
        <f t="shared" si="0"/>
        <v>2327451.4414958558</v>
      </c>
      <c r="M42" s="61">
        <f t="shared" si="1"/>
        <v>1888534.3406711458</v>
      </c>
    </row>
    <row r="43" spans="1:13" x14ac:dyDescent="0.3">
      <c r="A43" s="80">
        <v>44075</v>
      </c>
      <c r="C43" s="56">
        <v>2673792.2279367805</v>
      </c>
      <c r="D43" s="56">
        <v>2065485.0674144838</v>
      </c>
      <c r="E43" s="56">
        <v>271489.6931320802</v>
      </c>
      <c r="F43" s="56">
        <v>30621.716027239789</v>
      </c>
      <c r="G43" s="56">
        <v>2121430</v>
      </c>
      <c r="H43" s="56">
        <v>3523497</v>
      </c>
      <c r="J43" s="89">
        <v>26762.534</v>
      </c>
      <c r="K43" s="56"/>
      <c r="L43" s="61">
        <f t="shared" si="0"/>
        <v>2673792.2279367805</v>
      </c>
      <c r="M43" s="61">
        <f t="shared" si="1"/>
        <v>2310212.2265465641</v>
      </c>
    </row>
    <row r="44" spans="1:13" x14ac:dyDescent="0.3">
      <c r="A44" s="80">
        <v>44105</v>
      </c>
      <c r="C44" s="56">
        <v>7132086.857479915</v>
      </c>
      <c r="D44" s="56">
        <v>4507321.9931421103</v>
      </c>
      <c r="E44" s="56">
        <v>465349.57140999328</v>
      </c>
      <c r="F44" s="56">
        <v>67066.62245870239</v>
      </c>
      <c r="G44" s="56">
        <v>2255843</v>
      </c>
      <c r="H44" s="56">
        <v>3612254</v>
      </c>
      <c r="J44" s="89">
        <v>37230.75</v>
      </c>
      <c r="K44" s="56"/>
      <c r="L44" s="61">
        <f t="shared" si="0"/>
        <v>7132086.857479915</v>
      </c>
      <c r="M44" s="61">
        <f t="shared" si="1"/>
        <v>4935440.8145521032</v>
      </c>
    </row>
    <row r="45" spans="1:13" x14ac:dyDescent="0.3">
      <c r="A45" s="80">
        <v>44136</v>
      </c>
      <c r="C45" s="56">
        <v>15713172.630506596</v>
      </c>
      <c r="D45" s="56">
        <v>7430021.1051572775</v>
      </c>
      <c r="E45" s="56">
        <v>586011.77439237724</v>
      </c>
      <c r="F45" s="56">
        <v>112058.05379946352</v>
      </c>
      <c r="G45" s="56">
        <v>2969362</v>
      </c>
      <c r="H45" s="56">
        <v>4128661</v>
      </c>
      <c r="J45" s="89">
        <v>51431.063000000002</v>
      </c>
      <c r="K45" s="56"/>
      <c r="L45" s="61">
        <f t="shared" si="0"/>
        <v>15713172.630506596</v>
      </c>
      <c r="M45" s="61">
        <f t="shared" si="1"/>
        <v>7964601.8165496551</v>
      </c>
    </row>
    <row r="46" spans="1:13" x14ac:dyDescent="0.3">
      <c r="A46" s="80">
        <v>44166</v>
      </c>
      <c r="C46" s="56">
        <v>22895218.190561753</v>
      </c>
      <c r="D46" s="56">
        <v>9058570.7469284832</v>
      </c>
      <c r="E46" s="56">
        <v>550339.467155469</v>
      </c>
      <c r="F46" s="56">
        <v>131057.37713844198</v>
      </c>
      <c r="G46" s="56">
        <v>3328183</v>
      </c>
      <c r="H46" s="56">
        <v>4514303</v>
      </c>
      <c r="J46" s="89">
        <v>69957.975000000006</v>
      </c>
      <c r="K46" s="56"/>
      <c r="L46" s="61">
        <f t="shared" si="0"/>
        <v>22895218.190561753</v>
      </c>
      <c r="M46" s="61">
        <f t="shared" si="1"/>
        <v>9538952.2390839532</v>
      </c>
    </row>
    <row r="47" spans="1:13" x14ac:dyDescent="0.3">
      <c r="A47" s="80">
        <v>44197</v>
      </c>
      <c r="C47" s="56">
        <v>23028452.795422528</v>
      </c>
      <c r="D47" s="56">
        <v>8734220.0436998308</v>
      </c>
      <c r="E47" s="56">
        <v>551314.99616704381</v>
      </c>
      <c r="F47" s="56">
        <v>136132.23042790059</v>
      </c>
      <c r="G47" s="56">
        <v>3826152</v>
      </c>
      <c r="H47" s="56">
        <v>4860724</v>
      </c>
      <c r="J47" s="89">
        <v>83852.634999999995</v>
      </c>
      <c r="L47" s="61">
        <f t="shared" si="0"/>
        <v>23028452.795422528</v>
      </c>
      <c r="M47" s="61">
        <f t="shared" si="1"/>
        <v>9201682.4048668742</v>
      </c>
    </row>
    <row r="48" spans="1:13" x14ac:dyDescent="0.3">
      <c r="A48" s="80">
        <v>44228</v>
      </c>
      <c r="C48" s="56">
        <v>18353014.142075915</v>
      </c>
      <c r="D48" s="56">
        <v>6935221.4309837455</v>
      </c>
      <c r="E48" s="56">
        <v>498000.74070305715</v>
      </c>
      <c r="F48" s="56">
        <v>117274.17471727803</v>
      </c>
      <c r="G48" s="56">
        <v>4070653</v>
      </c>
      <c r="H48" s="56">
        <v>4978923</v>
      </c>
      <c r="J48" s="89">
        <v>67179.426999999996</v>
      </c>
      <c r="L48" s="61">
        <f t="shared" si="0"/>
        <v>18353014.142075915</v>
      </c>
      <c r="M48" s="61">
        <f t="shared" si="1"/>
        <v>7366042.7446868028</v>
      </c>
    </row>
    <row r="49" spans="1:13" x14ac:dyDescent="0.3">
      <c r="A49" s="80">
        <v>44256</v>
      </c>
      <c r="C49" s="56">
        <v>15722484.865525544</v>
      </c>
      <c r="D49" s="56">
        <v>5915453.8020272376</v>
      </c>
      <c r="E49" s="56">
        <v>420498.55874721269</v>
      </c>
      <c r="F49" s="56">
        <v>104766.57248109195</v>
      </c>
      <c r="G49" s="56">
        <v>3459421</v>
      </c>
      <c r="H49" s="56">
        <v>4452126</v>
      </c>
      <c r="J49" s="89">
        <v>59583.224999999999</v>
      </c>
      <c r="L49" s="61">
        <f t="shared" si="0"/>
        <v>15722484.865525544</v>
      </c>
      <c r="M49" s="61">
        <f t="shared" si="1"/>
        <v>6276369.1357744504</v>
      </c>
    </row>
    <row r="50" spans="1:13" x14ac:dyDescent="0.3">
      <c r="A50" s="80">
        <v>44287</v>
      </c>
      <c r="C50" s="56">
        <v>9550694.1506883595</v>
      </c>
      <c r="D50" s="56">
        <v>3706486.7373888697</v>
      </c>
      <c r="E50" s="56">
        <v>309695.9570797006</v>
      </c>
      <c r="F50" s="56">
        <v>73156.658076006133</v>
      </c>
      <c r="G50" s="56">
        <v>3441587</v>
      </c>
      <c r="H50" s="56">
        <v>4474238</v>
      </c>
      <c r="J50" s="89">
        <v>54523.025000000001</v>
      </c>
      <c r="L50" s="61">
        <f t="shared" si="0"/>
        <v>9550694.1506883595</v>
      </c>
      <c r="M50" s="61">
        <f t="shared" si="1"/>
        <v>3961659.6694685705</v>
      </c>
    </row>
    <row r="51" spans="1:13" x14ac:dyDescent="0.3">
      <c r="A51" s="80">
        <v>44317</v>
      </c>
      <c r="C51" s="56">
        <v>5201705.635675732</v>
      </c>
      <c r="D51" s="56">
        <v>2156603.2369900406</v>
      </c>
      <c r="E51" s="56">
        <v>235810.60144385017</v>
      </c>
      <c r="F51" s="56">
        <v>53845.786796444823</v>
      </c>
      <c r="G51" s="56">
        <v>2916086</v>
      </c>
      <c r="H51" s="56">
        <v>4061902</v>
      </c>
      <c r="J51" s="89">
        <v>42598.400999999998</v>
      </c>
      <c r="L51" s="61">
        <f t="shared" si="0"/>
        <v>5201705.635675732</v>
      </c>
      <c r="M51" s="61">
        <f t="shared" si="1"/>
        <v>2349815.4374338905</v>
      </c>
    </row>
    <row r="52" spans="1:13" x14ac:dyDescent="0.3">
      <c r="A52" s="80">
        <v>44348</v>
      </c>
      <c r="C52" s="56">
        <v>3156899.044780619</v>
      </c>
      <c r="D52" s="56">
        <v>1517373.2032836804</v>
      </c>
      <c r="E52" s="56">
        <v>217484.58209137886</v>
      </c>
      <c r="F52" s="56">
        <v>42342.036007849063</v>
      </c>
      <c r="G52" s="56">
        <v>2538288</v>
      </c>
      <c r="H52" s="56">
        <v>3743318</v>
      </c>
      <c r="J52" s="89">
        <v>35139.243999999999</v>
      </c>
      <c r="L52" s="61">
        <f t="shared" si="0"/>
        <v>3156899.044780619</v>
      </c>
      <c r="M52" s="61">
        <f t="shared" si="1"/>
        <v>1699718.5413750592</v>
      </c>
    </row>
    <row r="53" spans="1:13" x14ac:dyDescent="0.3">
      <c r="A53" s="80">
        <v>44378</v>
      </c>
      <c r="C53" s="56">
        <v>2585410.6860437216</v>
      </c>
      <c r="D53" s="56">
        <v>1444631.8838346605</v>
      </c>
      <c r="E53" s="56">
        <v>238198.64512609554</v>
      </c>
      <c r="F53" s="56">
        <v>38994.026022565733</v>
      </c>
      <c r="G53" s="56">
        <v>2270325</v>
      </c>
      <c r="H53" s="56">
        <v>3604832</v>
      </c>
      <c r="J53" s="89">
        <v>27604.510999999999</v>
      </c>
      <c r="L53" s="61">
        <f t="shared" si="0"/>
        <v>2585410.6860437216</v>
      </c>
      <c r="M53" s="61">
        <f t="shared" si="1"/>
        <v>1655226.0179607561</v>
      </c>
    </row>
    <row r="54" spans="1:13" x14ac:dyDescent="0.3">
      <c r="A54" s="80">
        <v>44409</v>
      </c>
      <c r="C54" s="56">
        <v>2390630.521692751</v>
      </c>
      <c r="D54" s="56">
        <v>1616099.7877460378</v>
      </c>
      <c r="E54" s="56">
        <v>267097.6558699889</v>
      </c>
      <c r="F54" s="56">
        <v>28828.860196765851</v>
      </c>
      <c r="G54" s="56">
        <v>2097361</v>
      </c>
      <c r="H54" s="56">
        <v>3426751</v>
      </c>
      <c r="J54" s="89">
        <v>25524.168000000001</v>
      </c>
      <c r="L54" s="61">
        <f t="shared" si="0"/>
        <v>2390630.521692751</v>
      </c>
      <c r="M54" s="61">
        <f t="shared" si="1"/>
        <v>1857673.2756160267</v>
      </c>
    </row>
    <row r="55" spans="1:13" x14ac:dyDescent="0.3">
      <c r="A55" s="80">
        <v>44440</v>
      </c>
      <c r="C55" s="56">
        <v>2710274.327916123</v>
      </c>
      <c r="D55" s="56">
        <v>2046438.6309930703</v>
      </c>
      <c r="E55" s="56">
        <v>277727.05953967321</v>
      </c>
      <c r="F55" s="56">
        <v>30925.416327970848</v>
      </c>
      <c r="G55" s="56">
        <v>2141149</v>
      </c>
      <c r="H55" s="56">
        <v>3557043</v>
      </c>
      <c r="J55" s="89">
        <v>26762.534</v>
      </c>
      <c r="L55" s="61">
        <f t="shared" si="0"/>
        <v>2710274.327916123</v>
      </c>
      <c r="M55" s="61">
        <f t="shared" si="1"/>
        <v>2297403.1565327435</v>
      </c>
    </row>
    <row r="56" spans="1:13" x14ac:dyDescent="0.3">
      <c r="A56" s="80">
        <v>44470</v>
      </c>
      <c r="C56" s="56">
        <v>7254053.0141292969</v>
      </c>
      <c r="D56" s="56">
        <v>4553452.9116599588</v>
      </c>
      <c r="E56" s="56">
        <v>470590.51996476366</v>
      </c>
      <c r="F56" s="56">
        <v>67391.344491972195</v>
      </c>
      <c r="G56" s="56">
        <v>2274008</v>
      </c>
      <c r="H56" s="56">
        <v>3645509</v>
      </c>
      <c r="J56" s="89">
        <v>37230.75</v>
      </c>
      <c r="L56" s="61">
        <f t="shared" si="0"/>
        <v>7254053.0141292969</v>
      </c>
      <c r="M56" s="61">
        <f t="shared" si="1"/>
        <v>4986812.6816247227</v>
      </c>
    </row>
    <row r="57" spans="1:13" x14ac:dyDescent="0.3">
      <c r="A57" s="80">
        <v>44501</v>
      </c>
      <c r="C57" s="56">
        <v>15976172.145523692</v>
      </c>
      <c r="D57" s="56">
        <v>7586399.9254637081</v>
      </c>
      <c r="E57" s="56">
        <v>590482.93259176193</v>
      </c>
      <c r="F57" s="56">
        <v>112366.83653286679</v>
      </c>
      <c r="G57" s="56">
        <v>2991139</v>
      </c>
      <c r="H57" s="56">
        <v>4161826</v>
      </c>
      <c r="J57" s="89">
        <v>51431.063000000002</v>
      </c>
      <c r="L57" s="61">
        <f t="shared" si="0"/>
        <v>15976172.145523692</v>
      </c>
      <c r="M57" s="61">
        <f t="shared" si="1"/>
        <v>8125451.7950554704</v>
      </c>
    </row>
    <row r="58" spans="1:13" x14ac:dyDescent="0.3">
      <c r="A58" s="80">
        <v>44531</v>
      </c>
      <c r="C58" s="56">
        <v>23269302.057710558</v>
      </c>
      <c r="D58" s="56">
        <v>9286468.3578166906</v>
      </c>
      <c r="E58" s="56">
        <v>555189.51677163772</v>
      </c>
      <c r="F58" s="56">
        <v>131614.11228699284</v>
      </c>
      <c r="G58" s="56">
        <v>3344962</v>
      </c>
      <c r="H58" s="56">
        <v>4547359</v>
      </c>
      <c r="J58" s="89">
        <v>69957.975000000006</v>
      </c>
      <c r="L58" s="61">
        <f t="shared" si="0"/>
        <v>23269302.057710558</v>
      </c>
      <c r="M58" s="61">
        <f t="shared" si="1"/>
        <v>9771699.8995883279</v>
      </c>
    </row>
    <row r="59" spans="1:13" x14ac:dyDescent="0.3">
      <c r="A59" s="80">
        <v>44562</v>
      </c>
      <c r="C59" s="56">
        <v>23282019.217057265</v>
      </c>
      <c r="D59" s="56">
        <v>8925898.5820885804</v>
      </c>
      <c r="E59" s="56">
        <v>551524.07898109173</v>
      </c>
      <c r="F59" s="56">
        <v>135858.11880564041</v>
      </c>
      <c r="G59" s="56">
        <v>3845997</v>
      </c>
      <c r="H59" s="56">
        <v>4893442</v>
      </c>
      <c r="J59" s="89">
        <v>83852.634999999995</v>
      </c>
      <c r="L59" s="61">
        <f t="shared" ref="L59:L70" si="2">C59</f>
        <v>23282019.217057265</v>
      </c>
      <c r="M59" s="61">
        <f t="shared" ref="M59:M70" si="3">D59+E59-J59</f>
        <v>9393570.0260696728</v>
      </c>
    </row>
    <row r="60" spans="1:13" x14ac:dyDescent="0.3">
      <c r="A60" s="80">
        <v>44593</v>
      </c>
      <c r="C60" s="56">
        <v>18548506.340833325</v>
      </c>
      <c r="D60" s="56">
        <v>7096653.7804239606</v>
      </c>
      <c r="E60" s="56">
        <v>498781.41122949368</v>
      </c>
      <c r="F60" s="56">
        <v>117056.86917774161</v>
      </c>
      <c r="G60" s="56">
        <v>4090687</v>
      </c>
      <c r="H60" s="56">
        <v>5011236</v>
      </c>
      <c r="J60" s="89">
        <v>67179.426999999996</v>
      </c>
      <c r="L60" s="61">
        <f t="shared" si="2"/>
        <v>18548506.340833325</v>
      </c>
      <c r="M60" s="61">
        <f t="shared" si="3"/>
        <v>7528255.7646534545</v>
      </c>
    </row>
    <row r="61" spans="1:13" x14ac:dyDescent="0.3">
      <c r="A61" s="80">
        <v>44621</v>
      </c>
      <c r="C61" s="56">
        <v>15895513.779868091</v>
      </c>
      <c r="D61" s="56">
        <v>6050679.2069956269</v>
      </c>
      <c r="E61" s="56">
        <v>421410.33654747624</v>
      </c>
      <c r="F61" s="56">
        <v>104575.74996981284</v>
      </c>
      <c r="G61" s="56">
        <v>3467800</v>
      </c>
      <c r="H61" s="56">
        <v>4483980</v>
      </c>
      <c r="J61" s="89">
        <v>59583.224999999999</v>
      </c>
      <c r="L61" s="61">
        <f t="shared" si="2"/>
        <v>15895513.779868091</v>
      </c>
      <c r="M61" s="61">
        <f t="shared" si="3"/>
        <v>6412506.3185431035</v>
      </c>
    </row>
    <row r="62" spans="1:13" x14ac:dyDescent="0.3">
      <c r="A62" s="80">
        <v>44652</v>
      </c>
      <c r="C62" s="56">
        <v>9647822.0520103369</v>
      </c>
      <c r="D62" s="56">
        <v>3780925.8898034031</v>
      </c>
      <c r="E62" s="56">
        <v>310484.85867693578</v>
      </c>
      <c r="F62" s="56">
        <v>73040.951543081668</v>
      </c>
      <c r="G62" s="56">
        <v>3456854</v>
      </c>
      <c r="H62" s="56">
        <v>4505434</v>
      </c>
      <c r="J62" s="89">
        <v>54523.025000000001</v>
      </c>
      <c r="L62" s="61">
        <f t="shared" si="2"/>
        <v>9647822.0520103369</v>
      </c>
      <c r="M62" s="61">
        <f t="shared" si="3"/>
        <v>4036887.7234803387</v>
      </c>
    </row>
    <row r="63" spans="1:13" x14ac:dyDescent="0.3">
      <c r="A63" s="80">
        <v>44682</v>
      </c>
      <c r="C63" s="56">
        <v>5271542.0555033358</v>
      </c>
      <c r="D63" s="56">
        <v>2184713.6502941023</v>
      </c>
      <c r="E63" s="56">
        <v>237270.85636358114</v>
      </c>
      <c r="F63" s="56">
        <v>53837.510045410985</v>
      </c>
      <c r="G63" s="56">
        <v>2922596</v>
      </c>
      <c r="H63" s="56">
        <v>4092443</v>
      </c>
      <c r="J63" s="89">
        <v>42598.400999999998</v>
      </c>
      <c r="L63" s="61">
        <f t="shared" si="2"/>
        <v>5271542.0555033358</v>
      </c>
      <c r="M63" s="61">
        <f t="shared" si="3"/>
        <v>2379386.1056576832</v>
      </c>
    </row>
    <row r="64" spans="1:13" x14ac:dyDescent="0.3">
      <c r="A64" s="80">
        <v>44713</v>
      </c>
      <c r="C64" s="56">
        <v>3199264.4596777475</v>
      </c>
      <c r="D64" s="56">
        <v>1511575.705489428</v>
      </c>
      <c r="E64" s="56">
        <v>219360.84024952128</v>
      </c>
      <c r="F64" s="56">
        <v>42452.294081349086</v>
      </c>
      <c r="G64" s="56">
        <v>2537070</v>
      </c>
      <c r="H64" s="56">
        <v>3773406</v>
      </c>
      <c r="J64" s="89">
        <v>35139.243999999999</v>
      </c>
      <c r="L64" s="61">
        <f t="shared" si="2"/>
        <v>3199264.4596777475</v>
      </c>
      <c r="M64" s="61">
        <f t="shared" si="3"/>
        <v>1695797.3017389493</v>
      </c>
    </row>
    <row r="65" spans="1:13" x14ac:dyDescent="0.3">
      <c r="A65" s="80">
        <v>44743</v>
      </c>
      <c r="C65" s="56">
        <v>2644844.355233734</v>
      </c>
      <c r="D65" s="56">
        <v>1417105.4863185971</v>
      </c>
      <c r="E65" s="56">
        <v>242402.95017940467</v>
      </c>
      <c r="F65" s="56">
        <v>39403.75600013246</v>
      </c>
      <c r="G65" s="56">
        <v>2272614</v>
      </c>
      <c r="H65" s="56">
        <v>3634334</v>
      </c>
      <c r="J65" s="89">
        <v>27604.510999999999</v>
      </c>
      <c r="L65" s="61">
        <f t="shared" si="2"/>
        <v>2644844.355233734</v>
      </c>
      <c r="M65" s="61">
        <f t="shared" si="3"/>
        <v>1631903.9254980017</v>
      </c>
    </row>
    <row r="66" spans="1:13" x14ac:dyDescent="0.3">
      <c r="A66" s="80">
        <v>44774</v>
      </c>
      <c r="C66" s="56">
        <v>2440954.4588662558</v>
      </c>
      <c r="D66" s="56">
        <v>1574400.649145317</v>
      </c>
      <c r="E66" s="56">
        <v>273049.83459847717</v>
      </c>
      <c r="F66" s="56">
        <v>29241.691831021424</v>
      </c>
      <c r="G66" s="56">
        <v>2104627</v>
      </c>
      <c r="H66" s="56">
        <v>3455874</v>
      </c>
      <c r="J66" s="89">
        <v>25524.168000000001</v>
      </c>
      <c r="L66" s="61">
        <f t="shared" si="2"/>
        <v>2440954.4588662558</v>
      </c>
      <c r="M66" s="61">
        <f t="shared" si="3"/>
        <v>1821926.3157437942</v>
      </c>
    </row>
    <row r="67" spans="1:13" x14ac:dyDescent="0.3">
      <c r="A67" s="80">
        <v>44805</v>
      </c>
      <c r="C67" s="56">
        <v>2758546.2296363129</v>
      </c>
      <c r="D67" s="56">
        <v>2020877.8071233945</v>
      </c>
      <c r="E67" s="56">
        <v>281949.14267262182</v>
      </c>
      <c r="F67" s="56">
        <v>31225.010142294599</v>
      </c>
      <c r="G67" s="56">
        <v>2148583</v>
      </c>
      <c r="H67" s="56">
        <v>3585810</v>
      </c>
      <c r="J67" s="89">
        <v>26762.534</v>
      </c>
      <c r="L67" s="61">
        <f t="shared" si="2"/>
        <v>2758546.2296363129</v>
      </c>
      <c r="M67" s="61">
        <f t="shared" si="3"/>
        <v>2276064.4157960163</v>
      </c>
    </row>
    <row r="68" spans="1:13" x14ac:dyDescent="0.3">
      <c r="A68" s="80">
        <v>44835</v>
      </c>
      <c r="C68" s="56">
        <v>7370083.4880594322</v>
      </c>
      <c r="D68" s="56">
        <v>4564856.2863167273</v>
      </c>
      <c r="E68" s="56">
        <v>474447.53986303782</v>
      </c>
      <c r="F68" s="56">
        <v>67611.17471050992</v>
      </c>
      <c r="G68" s="56">
        <v>2287112</v>
      </c>
      <c r="H68" s="56">
        <v>3673924</v>
      </c>
      <c r="J68" s="89">
        <v>37230.75</v>
      </c>
      <c r="L68" s="61">
        <f t="shared" si="2"/>
        <v>7370083.4880594322</v>
      </c>
      <c r="M68" s="61">
        <f t="shared" si="3"/>
        <v>5002073.0761797652</v>
      </c>
    </row>
    <row r="69" spans="1:13" x14ac:dyDescent="0.3">
      <c r="A69" s="80">
        <v>44866</v>
      </c>
      <c r="C69" s="56">
        <v>16160398.320779108</v>
      </c>
      <c r="D69" s="56">
        <v>7691227.3027798394</v>
      </c>
      <c r="E69" s="56">
        <v>592989.58624528279</v>
      </c>
      <c r="F69" s="56">
        <v>112449.72465820148</v>
      </c>
      <c r="G69" s="56">
        <v>3002416</v>
      </c>
      <c r="H69" s="56">
        <v>4189705</v>
      </c>
      <c r="J69" s="89">
        <v>51431.063000000002</v>
      </c>
      <c r="L69" s="61">
        <f t="shared" si="2"/>
        <v>16160398.320779108</v>
      </c>
      <c r="M69" s="61">
        <f t="shared" si="3"/>
        <v>8232785.8260251218</v>
      </c>
    </row>
    <row r="70" spans="1:13" x14ac:dyDescent="0.3">
      <c r="A70" s="80">
        <v>44896</v>
      </c>
      <c r="C70" s="56">
        <v>23534682.049776196</v>
      </c>
      <c r="D70" s="56">
        <v>9454280.5169355646</v>
      </c>
      <c r="E70" s="56">
        <v>555948.17443788087</v>
      </c>
      <c r="F70" s="56">
        <v>131531.40436519423</v>
      </c>
      <c r="G70" s="56">
        <v>3351640</v>
      </c>
      <c r="H70" s="56">
        <v>4574854</v>
      </c>
      <c r="J70" s="89">
        <v>69957.975000000006</v>
      </c>
      <c r="L70" s="61">
        <f t="shared" si="2"/>
        <v>23534682.049776196</v>
      </c>
      <c r="M70" s="61">
        <f t="shared" si="3"/>
        <v>9940270.7163734455</v>
      </c>
    </row>
  </sheetData>
  <mergeCells count="3">
    <mergeCell ref="A1:A2"/>
    <mergeCell ref="J3:J4"/>
    <mergeCell ref="L3:M3"/>
  </mergeCells>
  <pageMargins left="0.7" right="0.7" top="0.75" bottom="0.75" header="0.3" footer="0.3"/>
  <pageSetup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83"/>
  <sheetViews>
    <sheetView tabSelected="1" topLeftCell="A36" zoomScaleNormal="100" workbookViewId="0">
      <selection activeCell="B42" sqref="B42:E42"/>
    </sheetView>
  </sheetViews>
  <sheetFormatPr defaultRowHeight="14.4" x14ac:dyDescent="0.3"/>
  <cols>
    <col min="1" max="1" width="5.21875" customWidth="1"/>
    <col min="2" max="2" width="29.21875" customWidth="1"/>
    <col min="3" max="3" width="15" customWidth="1"/>
    <col min="4" max="4" width="14.21875" customWidth="1"/>
    <col min="5" max="5" width="19.88671875" customWidth="1"/>
    <col min="6" max="6" width="2.21875" customWidth="1"/>
    <col min="7" max="7" width="5.21875" customWidth="1"/>
    <col min="8" max="8" width="28.77734375" customWidth="1"/>
    <col min="9" max="9" width="14" customWidth="1"/>
    <col min="10" max="10" width="15.21875" customWidth="1"/>
    <col min="11" max="11" width="19.109375" customWidth="1"/>
    <col min="12" max="12" width="2.21875" customWidth="1"/>
    <col min="13" max="13" width="12.5546875" bestFit="1" customWidth="1"/>
    <col min="14" max="14" width="11.109375" bestFit="1" customWidth="1"/>
    <col min="15" max="15" width="10" customWidth="1"/>
  </cols>
  <sheetData>
    <row r="1" spans="1:15" x14ac:dyDescent="0.3">
      <c r="B1" s="133" t="s">
        <v>0</v>
      </c>
      <c r="C1" s="133"/>
      <c r="D1" s="133"/>
      <c r="E1" s="133"/>
      <c r="F1" s="62"/>
      <c r="G1" s="63"/>
      <c r="H1" s="133" t="s">
        <v>0</v>
      </c>
      <c r="I1" s="133"/>
      <c r="J1" s="133"/>
      <c r="K1" s="133"/>
    </row>
    <row r="2" spans="1:15" x14ac:dyDescent="0.3">
      <c r="B2" s="133" t="s">
        <v>1</v>
      </c>
      <c r="C2" s="133"/>
      <c r="D2" s="133"/>
      <c r="E2" s="133"/>
      <c r="F2" s="62"/>
      <c r="G2" s="63"/>
      <c r="H2" s="133" t="s">
        <v>1</v>
      </c>
      <c r="I2" s="133"/>
      <c r="J2" s="133"/>
      <c r="K2" s="133"/>
    </row>
    <row r="3" spans="1:15" x14ac:dyDescent="0.3">
      <c r="B3" s="133" t="s">
        <v>98</v>
      </c>
      <c r="C3" s="133"/>
      <c r="D3" s="133"/>
      <c r="E3" s="133"/>
      <c r="F3" s="62"/>
      <c r="G3" s="63"/>
      <c r="H3" s="133" t="str">
        <f>B3</f>
        <v>Effective November 1, 2017 - October 31, 2018</v>
      </c>
      <c r="I3" s="133"/>
      <c r="J3" s="133"/>
      <c r="K3" s="133"/>
    </row>
    <row r="4" spans="1:15" x14ac:dyDescent="0.3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5" ht="18" x14ac:dyDescent="0.35">
      <c r="B5" s="134" t="s">
        <v>5</v>
      </c>
      <c r="C5" s="134"/>
      <c r="D5" s="134"/>
      <c r="E5" s="134"/>
      <c r="F5" s="41"/>
      <c r="G5" s="35"/>
      <c r="H5" s="134" t="s">
        <v>16</v>
      </c>
      <c r="I5" s="134"/>
      <c r="J5" s="134"/>
      <c r="K5" s="134"/>
    </row>
    <row r="6" spans="1:15" ht="30" customHeight="1" x14ac:dyDescent="0.3">
      <c r="A6" s="103" t="s">
        <v>114</v>
      </c>
      <c r="B6" s="32" t="s">
        <v>3</v>
      </c>
      <c r="C6" s="32" t="s">
        <v>7</v>
      </c>
      <c r="D6" s="32" t="s">
        <v>8</v>
      </c>
      <c r="E6" s="32" t="s">
        <v>131</v>
      </c>
      <c r="F6" s="32"/>
      <c r="G6" s="103" t="s">
        <v>114</v>
      </c>
      <c r="H6" s="32" t="s">
        <v>3</v>
      </c>
      <c r="I6" s="32" t="s">
        <v>7</v>
      </c>
      <c r="J6" s="32" t="s">
        <v>8</v>
      </c>
      <c r="K6" s="87" t="s">
        <v>131</v>
      </c>
    </row>
    <row r="7" spans="1:15" x14ac:dyDescent="0.3">
      <c r="A7" s="105">
        <v>1</v>
      </c>
      <c r="B7" s="32"/>
      <c r="C7" s="32">
        <f>ROUND(C8/E22,5)</f>
        <v>5.7950000000000002E-2</v>
      </c>
      <c r="D7" s="33">
        <v>3.9600000000000003E-2</v>
      </c>
      <c r="E7" s="32"/>
      <c r="F7" s="32"/>
      <c r="G7" s="105">
        <v>1</v>
      </c>
      <c r="H7" s="32"/>
      <c r="I7" s="32">
        <f>ROUND(I8/K22,5)</f>
        <v>3.6679999999999997E-2</v>
      </c>
      <c r="J7" s="33">
        <f>D7</f>
        <v>3.9600000000000003E-2</v>
      </c>
      <c r="K7" s="32"/>
      <c r="O7" s="79"/>
    </row>
    <row r="8" spans="1:15" x14ac:dyDescent="0.3">
      <c r="A8" s="105">
        <v>2</v>
      </c>
      <c r="B8" s="64">
        <v>43009</v>
      </c>
      <c r="C8" s="34">
        <f>C58+C59</f>
        <v>7219346.9441800117</v>
      </c>
      <c r="D8" s="34"/>
      <c r="E8" s="35"/>
      <c r="F8" s="35"/>
      <c r="G8" s="105">
        <v>2</v>
      </c>
      <c r="H8" s="64">
        <f>B8</f>
        <v>43009</v>
      </c>
      <c r="I8" s="34">
        <f>I58+I59</f>
        <v>2079109.6633273314</v>
      </c>
      <c r="J8" s="34"/>
      <c r="K8" s="35"/>
    </row>
    <row r="9" spans="1:15" x14ac:dyDescent="0.3">
      <c r="A9" s="105">
        <v>3</v>
      </c>
      <c r="B9" s="64">
        <v>43040</v>
      </c>
      <c r="C9" s="107">
        <f>C8+D9-$C$7*E9</f>
        <v>6338089.638326277</v>
      </c>
      <c r="D9" s="107">
        <f>(C8-$C$7*E9/2)*($D$7/12)</f>
        <v>22332.921041417041</v>
      </c>
      <c r="E9" s="38">
        <f>'5 15 17 Forecast Usage by Sched'!L9</f>
        <v>15592583.725541875</v>
      </c>
      <c r="F9" s="38"/>
      <c r="G9" s="105">
        <v>3</v>
      </c>
      <c r="H9" s="64">
        <f t="shared" ref="H9:H20" si="0">B9</f>
        <v>43040</v>
      </c>
      <c r="I9" s="111">
        <f>I8+J9-K9*$I$7</f>
        <v>1806445.9768408269</v>
      </c>
      <c r="J9" s="111">
        <f>(I8-$I$7*K9/2)*$J$7/12</f>
        <v>6400.6058066964133</v>
      </c>
      <c r="K9" s="38">
        <f>'5 15 17 Forecast Usage by Sched'!M9</f>
        <v>7608077.7615376497</v>
      </c>
      <c r="M9" s="56"/>
      <c r="N9" s="56"/>
      <c r="O9" s="56"/>
    </row>
    <row r="10" spans="1:15" x14ac:dyDescent="0.3">
      <c r="A10" s="105">
        <v>4</v>
      </c>
      <c r="B10" s="64">
        <v>43070</v>
      </c>
      <c r="C10" s="107">
        <f t="shared" ref="C10:C20" si="1">C9+D10-$C$7*E10</f>
        <v>5031864.2708498742</v>
      </c>
      <c r="D10" s="107">
        <f t="shared" ref="D10:D20" si="2">(C9-$C$7*E10/2)*($D$7/12)</f>
        <v>18729.520241741779</v>
      </c>
      <c r="E10" s="38">
        <f>'5 15 17 Forecast Usage by Sched'!L10</f>
        <v>22863759.926111203</v>
      </c>
      <c r="F10" s="38"/>
      <c r="G10" s="105">
        <v>4</v>
      </c>
      <c r="H10" s="64">
        <f t="shared" si="0"/>
        <v>43070</v>
      </c>
      <c r="I10" s="111">
        <f t="shared" ref="I10:I20" si="3">I9+J10-K10*$I$7</f>
        <v>1482198.5262247927</v>
      </c>
      <c r="J10" s="111">
        <f t="shared" ref="J10:J20" si="4">(I9-$I$7*K10/2)*$J$7/12</f>
        <v>5417.3248440655643</v>
      </c>
      <c r="K10" s="38">
        <f>'5 15 17 Forecast Usage by Sched'!M10</f>
        <v>8987589.2982579004</v>
      </c>
      <c r="M10" s="56"/>
      <c r="N10" s="56"/>
      <c r="O10" s="56"/>
    </row>
    <row r="11" spans="1:15" x14ac:dyDescent="0.3">
      <c r="A11" s="105">
        <v>5</v>
      </c>
      <c r="B11" s="64">
        <v>43101</v>
      </c>
      <c r="C11" s="107">
        <f t="shared" si="1"/>
        <v>3756411.1391042238</v>
      </c>
      <c r="D11" s="107">
        <f t="shared" si="2"/>
        <v>14476.767759620891</v>
      </c>
      <c r="E11" s="38">
        <f>'5 15 17 Forecast Usage by Sched'!L11</f>
        <v>22259359.784387771</v>
      </c>
      <c r="F11" s="38"/>
      <c r="G11" s="105">
        <v>5</v>
      </c>
      <c r="H11" s="64">
        <f t="shared" si="0"/>
        <v>43101</v>
      </c>
      <c r="I11" s="111">
        <f t="shared" si="3"/>
        <v>1171394.8604287296</v>
      </c>
      <c r="J11" s="111">
        <f t="shared" si="4"/>
        <v>4371.2165806202884</v>
      </c>
      <c r="K11" s="38">
        <f>'5 15 17 Forecast Usage by Sched'!M11</f>
        <v>8592554.0451658554</v>
      </c>
      <c r="M11" s="56"/>
      <c r="N11" s="56"/>
      <c r="O11" s="56"/>
    </row>
    <row r="12" spans="1:15" x14ac:dyDescent="0.3">
      <c r="A12" s="105">
        <v>6</v>
      </c>
      <c r="B12" s="64">
        <v>43132</v>
      </c>
      <c r="C12" s="107">
        <f t="shared" si="1"/>
        <v>2739655.6739709759</v>
      </c>
      <c r="D12" s="107">
        <f t="shared" si="2"/>
        <v>10700.853832750043</v>
      </c>
      <c r="E12" s="38">
        <f>'5 15 17 Forecast Usage by Sched'!L12</f>
        <v>17730048.644797206</v>
      </c>
      <c r="F12" s="38"/>
      <c r="G12" s="105">
        <v>6</v>
      </c>
      <c r="H12" s="64">
        <f t="shared" si="0"/>
        <v>43132</v>
      </c>
      <c r="I12" s="111">
        <f t="shared" si="3"/>
        <v>922960.26087633288</v>
      </c>
      <c r="J12" s="111">
        <f t="shared" si="4"/>
        <v>3449.9934609427978</v>
      </c>
      <c r="K12" s="38">
        <f>'5 15 17 Forecast Usage by Sched'!M12</f>
        <v>6867082.688477084</v>
      </c>
      <c r="M12" s="56"/>
      <c r="N12" s="56"/>
      <c r="O12" s="56"/>
    </row>
    <row r="13" spans="1:15" x14ac:dyDescent="0.3">
      <c r="A13" s="105">
        <v>7</v>
      </c>
      <c r="B13" s="64">
        <v>43160</v>
      </c>
      <c r="C13" s="107">
        <f t="shared" si="1"/>
        <v>1872610.7119668229</v>
      </c>
      <c r="D13" s="107">
        <f t="shared" si="2"/>
        <v>7597.7033263089588</v>
      </c>
      <c r="E13" s="38">
        <f>'5 15 17 Forecast Usage by Sched'!L13</f>
        <v>15093057.210189164</v>
      </c>
      <c r="F13" s="38"/>
      <c r="G13" s="105">
        <v>7</v>
      </c>
      <c r="H13" s="64">
        <f t="shared" si="0"/>
        <v>43160</v>
      </c>
      <c r="I13" s="111">
        <f t="shared" si="3"/>
        <v>709060.71398487035</v>
      </c>
      <c r="J13" s="111">
        <f t="shared" si="4"/>
        <v>2688.3987505825244</v>
      </c>
      <c r="K13" s="38">
        <f>'5 15 17 Forecast Usage by Sched'!M13</f>
        <v>5904796.7732291436</v>
      </c>
      <c r="M13" s="56"/>
      <c r="N13" s="56"/>
      <c r="O13" s="56"/>
    </row>
    <row r="14" spans="1:15" x14ac:dyDescent="0.3">
      <c r="A14" s="105">
        <v>8</v>
      </c>
      <c r="B14" s="64">
        <v>43191</v>
      </c>
      <c r="C14" s="107">
        <f t="shared" si="1"/>
        <v>1348254.1095129736</v>
      </c>
      <c r="D14" s="107">
        <f t="shared" si="2"/>
        <v>5305.672595658828</v>
      </c>
      <c r="E14" s="38">
        <f>'5 15 17 Forecast Usage by Sched'!L14</f>
        <v>9139987.4900691621</v>
      </c>
      <c r="F14" s="38"/>
      <c r="G14" s="105">
        <v>8</v>
      </c>
      <c r="H14" s="64">
        <f t="shared" si="0"/>
        <v>43191</v>
      </c>
      <c r="I14" s="111">
        <f t="shared" si="3"/>
        <v>571003.87445520633</v>
      </c>
      <c r="J14" s="111">
        <f t="shared" si="4"/>
        <v>2108.6273358220205</v>
      </c>
      <c r="K14" s="38">
        <f>'5 15 17 Forecast Usage by Sched'!M14</f>
        <v>3821304.985427646</v>
      </c>
      <c r="M14" s="56"/>
      <c r="N14" s="56"/>
      <c r="O14" s="56"/>
    </row>
    <row r="15" spans="1:15" x14ac:dyDescent="0.3">
      <c r="A15" s="105">
        <v>9</v>
      </c>
      <c r="B15" s="64">
        <v>43221</v>
      </c>
      <c r="C15" s="107">
        <f t="shared" si="1"/>
        <v>1066306.7772309768</v>
      </c>
      <c r="D15" s="107">
        <f t="shared" si="2"/>
        <v>3977.4626497554223</v>
      </c>
      <c r="E15" s="38">
        <f>'5 15 17 Forecast Usage by Sched'!L15</f>
        <v>4933991.2844133256</v>
      </c>
      <c r="F15" s="38"/>
      <c r="G15" s="105">
        <v>9</v>
      </c>
      <c r="H15" s="64">
        <f t="shared" si="0"/>
        <v>43221</v>
      </c>
      <c r="I15" s="111">
        <f t="shared" si="3"/>
        <v>488119.39596941776</v>
      </c>
      <c r="J15" s="111">
        <f t="shared" si="4"/>
        <v>1744.6746829737231</v>
      </c>
      <c r="K15" s="38">
        <f>'5 15 17 Forecast Usage by Sched'!M15</f>
        <v>2307228.82139483</v>
      </c>
      <c r="M15" s="56"/>
      <c r="N15" s="56"/>
      <c r="O15" s="56"/>
    </row>
    <row r="16" spans="1:15" x14ac:dyDescent="0.3">
      <c r="A16" s="105">
        <v>10</v>
      </c>
      <c r="B16" s="64">
        <v>43252</v>
      </c>
      <c r="C16" s="107">
        <f t="shared" si="1"/>
        <v>898745.10304945533</v>
      </c>
      <c r="D16" s="107">
        <f t="shared" si="2"/>
        <v>3236.9945614363432</v>
      </c>
      <c r="E16" s="38">
        <f>'5 15 17 Forecast Usage by Sched'!L16</f>
        <v>2947345.4485411197</v>
      </c>
      <c r="F16" s="38"/>
      <c r="G16" s="105">
        <v>10</v>
      </c>
      <c r="H16" s="64">
        <f t="shared" si="0"/>
        <v>43252</v>
      </c>
      <c r="I16" s="111">
        <f t="shared" si="3"/>
        <v>425095.9634216578</v>
      </c>
      <c r="J16" s="111">
        <f t="shared" si="4"/>
        <v>1504.3232096992708</v>
      </c>
      <c r="K16" s="38">
        <f>'5 15 17 Forecast Usage by Sched'!M16</f>
        <v>1759208.1722317119</v>
      </c>
      <c r="M16" s="56"/>
      <c r="N16" s="56"/>
      <c r="O16" s="56"/>
    </row>
    <row r="17" spans="1:15" x14ac:dyDescent="0.3">
      <c r="A17" s="105">
        <v>11</v>
      </c>
      <c r="B17" s="64">
        <v>43282</v>
      </c>
      <c r="C17" s="107">
        <f t="shared" si="1"/>
        <v>765781.16244442272</v>
      </c>
      <c r="D17" s="107">
        <f t="shared" si="2"/>
        <v>2741.9441302499863</v>
      </c>
      <c r="E17" s="38">
        <f>'5 15 17 Forecast Usage by Sched'!L17</f>
        <v>2341775.4052680354</v>
      </c>
      <c r="F17" s="38"/>
      <c r="G17" s="105">
        <v>11</v>
      </c>
      <c r="H17" s="64">
        <f t="shared" si="0"/>
        <v>43282</v>
      </c>
      <c r="I17" s="111">
        <f t="shared" si="3"/>
        <v>360565.37434198201</v>
      </c>
      <c r="J17" s="111">
        <f t="shared" si="4"/>
        <v>1294.2057677931471</v>
      </c>
      <c r="K17" s="38">
        <f>'5 15 17 Forecast Usage by Sched'!M17</f>
        <v>1794569.1070738542</v>
      </c>
      <c r="M17" s="56"/>
      <c r="N17" s="56"/>
      <c r="O17" s="56"/>
    </row>
    <row r="18" spans="1:15" x14ac:dyDescent="0.3">
      <c r="A18" s="105">
        <v>12</v>
      </c>
      <c r="B18" s="64">
        <v>43313</v>
      </c>
      <c r="C18" s="107">
        <f t="shared" si="1"/>
        <v>642269.72016034252</v>
      </c>
      <c r="D18" s="107">
        <f t="shared" si="2"/>
        <v>2319.4568524912524</v>
      </c>
      <c r="E18" s="38">
        <f>'5 15 17 Forecast Usage by Sched'!L18</f>
        <v>2171370.1317786262</v>
      </c>
      <c r="F18" s="38"/>
      <c r="G18" s="105">
        <v>12</v>
      </c>
      <c r="H18" s="64">
        <f t="shared" si="0"/>
        <v>43313</v>
      </c>
      <c r="I18" s="111">
        <f t="shared" si="3"/>
        <v>290392.51001018297</v>
      </c>
      <c r="J18" s="111">
        <f t="shared" si="4"/>
        <v>1072.3111957081539</v>
      </c>
      <c r="K18" s="38">
        <f>'5 15 17 Forecast Usage by Sched'!M18</f>
        <v>1942343.9347739152</v>
      </c>
      <c r="M18" s="56"/>
      <c r="N18" s="56"/>
      <c r="O18" s="56"/>
    </row>
    <row r="19" spans="1:15" x14ac:dyDescent="0.3">
      <c r="A19" s="105">
        <v>13</v>
      </c>
      <c r="B19" s="64">
        <v>43344</v>
      </c>
      <c r="C19" s="107">
        <f t="shared" si="1"/>
        <v>495055.14820881904</v>
      </c>
      <c r="D19" s="107">
        <f t="shared" si="2"/>
        <v>1873.4947664444835</v>
      </c>
      <c r="E19" s="38">
        <f>'5 15 17 Forecast Usage by Sched'!L19</f>
        <v>2572701.7552712322</v>
      </c>
      <c r="F19" s="38"/>
      <c r="G19" s="105">
        <v>13</v>
      </c>
      <c r="H19" s="64">
        <f t="shared" si="0"/>
        <v>43344</v>
      </c>
      <c r="I19" s="111">
        <f t="shared" si="3"/>
        <v>206251.25659980258</v>
      </c>
      <c r="J19" s="111">
        <f t="shared" si="4"/>
        <v>818.11232956269771</v>
      </c>
      <c r="K19" s="38">
        <f>'5 15 17 Forecast Usage by Sched'!M19</f>
        <v>2316231.3451456679</v>
      </c>
      <c r="M19" s="56"/>
      <c r="N19" s="56"/>
      <c r="O19" s="56"/>
    </row>
    <row r="20" spans="1:15" x14ac:dyDescent="0.3">
      <c r="A20" s="105">
        <v>14</v>
      </c>
      <c r="B20" s="64">
        <v>43374</v>
      </c>
      <c r="C20" s="107">
        <f t="shared" si="1"/>
        <v>94337.596196412283</v>
      </c>
      <c r="D20" s="107">
        <f t="shared" si="2"/>
        <v>970.89604978648413</v>
      </c>
      <c r="E20" s="38">
        <f>'5 15 17 Forecast Usage by Sched'!L20</f>
        <v>6931638.448010237</v>
      </c>
      <c r="F20" s="38"/>
      <c r="G20" s="105">
        <v>14</v>
      </c>
      <c r="H20" s="64">
        <f t="shared" si="0"/>
        <v>43374</v>
      </c>
      <c r="I20" s="111">
        <f t="shared" si="3"/>
        <v>31259.885009931226</v>
      </c>
      <c r="J20" s="111">
        <f t="shared" si="4"/>
        <v>391.24782474523118</v>
      </c>
      <c r="K20" s="38">
        <f>'5 15 17 Forecast Usage by Sched'!M20</f>
        <v>4781423.6481629387</v>
      </c>
      <c r="M20" s="56"/>
      <c r="N20" s="56"/>
      <c r="O20" s="56"/>
    </row>
    <row r="21" spans="1:15" x14ac:dyDescent="0.3">
      <c r="B21" s="35"/>
      <c r="C21" s="35"/>
      <c r="D21" s="35"/>
      <c r="E21" s="35"/>
      <c r="F21" s="35"/>
      <c r="H21" s="35"/>
      <c r="I21" s="35"/>
      <c r="J21" s="35"/>
      <c r="K21" s="35"/>
    </row>
    <row r="22" spans="1:15" x14ac:dyDescent="0.3">
      <c r="A22" s="105">
        <v>15</v>
      </c>
      <c r="B22" s="35" t="s">
        <v>6</v>
      </c>
      <c r="C22" s="35"/>
      <c r="D22" s="34">
        <f>SUM(D9:D21)</f>
        <v>94263.68780766151</v>
      </c>
      <c r="E22" s="43">
        <f>SUM(E9:E21)</f>
        <v>124577619.25437894</v>
      </c>
      <c r="F22" s="43"/>
      <c r="G22" s="105">
        <v>15</v>
      </c>
      <c r="H22" s="35" t="s">
        <v>6</v>
      </c>
      <c r="I22" s="35"/>
      <c r="J22" s="34">
        <f>SUM(J9:J21)</f>
        <v>31261.041789211831</v>
      </c>
      <c r="K22" s="43">
        <f>SUM(K9:K21)</f>
        <v>56682410.580878191</v>
      </c>
    </row>
    <row r="23" spans="1:15" ht="10.199999999999999" customHeight="1" x14ac:dyDescent="0.3">
      <c r="B23" s="35"/>
      <c r="C23" s="35"/>
      <c r="D23" s="34"/>
      <c r="E23" s="43"/>
      <c r="F23" s="43"/>
      <c r="H23" s="35"/>
      <c r="I23" s="35"/>
      <c r="J23" s="34"/>
      <c r="K23" s="43"/>
    </row>
    <row r="24" spans="1:15" ht="27" customHeight="1" x14ac:dyDescent="0.3">
      <c r="A24" s="105">
        <v>16</v>
      </c>
      <c r="B24" s="135" t="s">
        <v>10</v>
      </c>
      <c r="C24" s="135"/>
      <c r="D24" s="36">
        <f>ROUND(D22/E22,5)</f>
        <v>7.6000000000000004E-4</v>
      </c>
      <c r="E24" s="43"/>
      <c r="F24" s="43"/>
      <c r="G24" s="105">
        <v>16</v>
      </c>
      <c r="H24" s="135" t="s">
        <v>10</v>
      </c>
      <c r="I24" s="135"/>
      <c r="J24" s="36">
        <f>ROUND(J22/K22,5)</f>
        <v>5.5000000000000003E-4</v>
      </c>
      <c r="K24" s="43"/>
    </row>
    <row r="25" spans="1:15" ht="28.2" customHeight="1" x14ac:dyDescent="0.3">
      <c r="A25" s="105">
        <v>17</v>
      </c>
      <c r="B25" s="135" t="s">
        <v>11</v>
      </c>
      <c r="C25" s="135"/>
      <c r="D25" s="36">
        <f>C7</f>
        <v>5.7950000000000002E-2</v>
      </c>
      <c r="E25" s="43"/>
      <c r="F25" s="43"/>
      <c r="G25" s="105">
        <v>17</v>
      </c>
      <c r="H25" s="135" t="s">
        <v>11</v>
      </c>
      <c r="I25" s="135"/>
      <c r="J25" s="36">
        <f>I7</f>
        <v>3.6679999999999997E-2</v>
      </c>
      <c r="K25" s="43"/>
    </row>
    <row r="26" spans="1:15" ht="28.8" customHeight="1" x14ac:dyDescent="0.3">
      <c r="A26" s="105">
        <v>18</v>
      </c>
      <c r="B26" s="135" t="s">
        <v>12</v>
      </c>
      <c r="C26" s="135"/>
      <c r="D26" s="36">
        <f>D24+D25</f>
        <v>5.8709999999999998E-2</v>
      </c>
      <c r="E26" s="44"/>
      <c r="F26" s="44"/>
      <c r="G26" s="105">
        <v>18</v>
      </c>
      <c r="H26" s="135" t="s">
        <v>12</v>
      </c>
      <c r="I26" s="135"/>
      <c r="J26" s="36">
        <f>J24+J25</f>
        <v>3.7229999999999999E-2</v>
      </c>
      <c r="K26" s="44"/>
    </row>
    <row r="27" spans="1:15" ht="28.8" customHeight="1" x14ac:dyDescent="0.3">
      <c r="A27" s="105">
        <v>19</v>
      </c>
      <c r="B27" s="136" t="s">
        <v>13</v>
      </c>
      <c r="C27" s="136"/>
      <c r="D27" s="37">
        <f>'Conversion Factors'!$E$114</f>
        <v>1.048729</v>
      </c>
      <c r="E27" s="43"/>
      <c r="F27" s="43"/>
      <c r="G27" s="105">
        <v>19</v>
      </c>
      <c r="H27" s="136" t="s">
        <v>13</v>
      </c>
      <c r="I27" s="136"/>
      <c r="J27" s="37">
        <f>D27</f>
        <v>1.048729</v>
      </c>
      <c r="K27" s="43"/>
    </row>
    <row r="28" spans="1:15" ht="27" customHeight="1" x14ac:dyDescent="0.3">
      <c r="A28" s="105">
        <v>20</v>
      </c>
      <c r="B28" s="35" t="s">
        <v>89</v>
      </c>
      <c r="C28" s="35"/>
      <c r="D28" s="36">
        <f>ROUND(D26*D27,5)</f>
        <v>6.157E-2</v>
      </c>
      <c r="E28" s="43"/>
      <c r="F28" s="43"/>
      <c r="G28" s="105">
        <v>20</v>
      </c>
      <c r="H28" s="35" t="s">
        <v>89</v>
      </c>
      <c r="I28" s="35"/>
      <c r="J28" s="36">
        <f>ROUND(J26*J27,5)</f>
        <v>3.9039999999999998E-2</v>
      </c>
      <c r="K28" s="43"/>
    </row>
    <row r="29" spans="1:15" ht="27" customHeight="1" x14ac:dyDescent="0.3">
      <c r="A29" s="105">
        <v>21</v>
      </c>
      <c r="B29" s="35" t="s">
        <v>77</v>
      </c>
      <c r="C29" s="35"/>
      <c r="D29" s="36">
        <f>'Earnings Test and 3% Test'!E56</f>
        <v>-5.77E-3</v>
      </c>
      <c r="E29" s="43"/>
      <c r="F29" s="43"/>
      <c r="G29" s="105">
        <v>21</v>
      </c>
      <c r="H29" s="35" t="s">
        <v>77</v>
      </c>
      <c r="I29" s="35"/>
      <c r="J29" s="36">
        <f>'Earnings Test and 3% Test'!F56</f>
        <v>0</v>
      </c>
      <c r="K29" s="43"/>
    </row>
    <row r="30" spans="1:15" ht="27" customHeight="1" x14ac:dyDescent="0.3">
      <c r="A30" s="105">
        <v>22</v>
      </c>
      <c r="B30" s="35" t="s">
        <v>78</v>
      </c>
      <c r="C30" s="35"/>
      <c r="D30" s="36">
        <f>D28+D29</f>
        <v>5.5800000000000002E-2</v>
      </c>
      <c r="E30" s="43" t="s">
        <v>15</v>
      </c>
      <c r="F30" s="43"/>
      <c r="G30" s="105">
        <v>22</v>
      </c>
      <c r="H30" s="35" t="s">
        <v>78</v>
      </c>
      <c r="I30" s="35"/>
      <c r="J30" s="36">
        <f>J28+J29</f>
        <v>3.9039999999999998E-2</v>
      </c>
      <c r="K30" s="43" t="s">
        <v>15</v>
      </c>
    </row>
    <row r="31" spans="1:15" ht="27" customHeight="1" x14ac:dyDescent="0.3">
      <c r="A31" s="105">
        <v>23</v>
      </c>
      <c r="B31" s="35"/>
      <c r="C31" s="39" t="s">
        <v>85</v>
      </c>
      <c r="D31" s="36">
        <f>ROUND(D30*'Conversion Factors'!$E$108,5)</f>
        <v>5.321E-2</v>
      </c>
      <c r="E31" s="43" t="s">
        <v>14</v>
      </c>
      <c r="F31" s="43"/>
      <c r="G31" s="105">
        <v>23</v>
      </c>
      <c r="H31" s="35"/>
      <c r="I31" s="39" t="s">
        <v>85</v>
      </c>
      <c r="J31" s="36">
        <f>ROUND(J30*'Conversion Factors'!$E$108,5)</f>
        <v>3.7229999999999999E-2</v>
      </c>
      <c r="K31" s="43" t="s">
        <v>14</v>
      </c>
    </row>
    <row r="32" spans="1:15" ht="27" customHeight="1" x14ac:dyDescent="0.3">
      <c r="A32" s="105">
        <v>24</v>
      </c>
      <c r="B32" s="35" t="s">
        <v>88</v>
      </c>
      <c r="C32" s="35"/>
      <c r="D32" s="107">
        <f>IF(D29=0,0,C71)</f>
        <v>700938.32516794675</v>
      </c>
      <c r="E32" s="43"/>
      <c r="F32" s="43"/>
      <c r="G32" s="105">
        <v>24</v>
      </c>
      <c r="H32" s="35" t="s">
        <v>79</v>
      </c>
      <c r="I32" s="35"/>
      <c r="J32" s="107">
        <f>IF(J29=0,0,I71)</f>
        <v>0</v>
      </c>
      <c r="K32" s="43"/>
    </row>
    <row r="33" spans="1:11" ht="14.55" customHeight="1" x14ac:dyDescent="0.3">
      <c r="B33" s="35"/>
      <c r="C33" s="35"/>
      <c r="D33" s="34"/>
      <c r="E33" s="43"/>
      <c r="F33" s="43"/>
      <c r="H33" s="35"/>
      <c r="I33" s="35"/>
      <c r="J33" s="34"/>
      <c r="K33" s="43"/>
    </row>
    <row r="34" spans="1:11" ht="14.55" customHeight="1" x14ac:dyDescent="0.3">
      <c r="A34" s="65" t="s">
        <v>80</v>
      </c>
      <c r="B34" s="65" t="s">
        <v>80</v>
      </c>
      <c r="C34" s="35"/>
      <c r="D34" s="34"/>
      <c r="E34" s="43"/>
      <c r="F34" s="43"/>
      <c r="G34" s="65" t="s">
        <v>80</v>
      </c>
      <c r="H34" s="65" t="s">
        <v>80</v>
      </c>
      <c r="I34" s="35"/>
      <c r="J34" s="34"/>
      <c r="K34" s="43"/>
    </row>
    <row r="35" spans="1:11" ht="49.2" customHeight="1" x14ac:dyDescent="0.3">
      <c r="A35" s="102" t="s">
        <v>122</v>
      </c>
      <c r="B35" s="137" t="str">
        <f>"Deferral balance at the end of the month, Rate of "&amp;TEXT(D25,"$0.00000")&amp;" to recover the October 2017 balance of "&amp;TEXT(C8,"$000,000")&amp;" over 12 months.  See page 2 and 5 of Attachment A for October 2017 balance calculation."</f>
        <v>Deferral balance at the end of the month, Rate of $0.05795 to recover the October 2017 balance of $7,219,347 over 12 months.  See page 2 and 5 of Attachment A for October 2017 balance calculation.</v>
      </c>
      <c r="C35" s="137"/>
      <c r="D35" s="137"/>
      <c r="E35" s="137"/>
      <c r="F35" s="43"/>
      <c r="G35" s="102" t="s">
        <v>122</v>
      </c>
      <c r="H35" s="137" t="str">
        <f>"Deferral balance at the end of the month, Rate of "&amp;TEXT(J25,"$0.00000")&amp;" to recover the October 2017 balance of "&amp;TEXT(I8,"$000,000")&amp;" over 12 months.  See page 4 and 5 of Attachment A for October 2017 balance calculation."</f>
        <v>Deferral balance at the end of the month, Rate of $0.03668 to recover the October 2017 balance of $2,079,110 over 12 months.  See page 4 and 5 of Attachment A for October 2017 balance calculation.</v>
      </c>
      <c r="I35" s="137"/>
      <c r="J35" s="137"/>
      <c r="K35" s="137"/>
    </row>
    <row r="36" spans="1:11" ht="32.4" customHeight="1" x14ac:dyDescent="0.3">
      <c r="A36" s="102" t="s">
        <v>123</v>
      </c>
      <c r="B36" s="137" t="s">
        <v>124</v>
      </c>
      <c r="C36" s="137"/>
      <c r="D36" s="137"/>
      <c r="E36" s="137"/>
      <c r="F36" s="43"/>
      <c r="G36" s="102" t="s">
        <v>123</v>
      </c>
      <c r="H36" s="137" t="s">
        <v>124</v>
      </c>
      <c r="I36" s="137"/>
      <c r="J36" s="137"/>
      <c r="K36" s="137"/>
    </row>
    <row r="37" spans="1:11" ht="15.6" customHeight="1" x14ac:dyDescent="0.3">
      <c r="B37" s="69" t="s">
        <v>86</v>
      </c>
      <c r="C37" s="104"/>
      <c r="D37" s="104"/>
      <c r="E37" s="104"/>
      <c r="F37" s="43"/>
      <c r="H37" s="69" t="s">
        <v>86</v>
      </c>
      <c r="I37" s="104"/>
      <c r="J37" s="104"/>
      <c r="K37" s="104"/>
    </row>
    <row r="38" spans="1:11" ht="18" customHeight="1" x14ac:dyDescent="0.3">
      <c r="A38" s="102" t="s">
        <v>125</v>
      </c>
      <c r="B38" s="138" t="s">
        <v>154</v>
      </c>
      <c r="C38" s="138"/>
      <c r="D38" s="138"/>
      <c r="E38" s="138"/>
      <c r="F38" s="43"/>
      <c r="G38" s="102" t="s">
        <v>125</v>
      </c>
      <c r="H38" s="138" t="s">
        <v>154</v>
      </c>
      <c r="I38" s="138"/>
      <c r="J38" s="138"/>
      <c r="K38" s="138"/>
    </row>
    <row r="39" spans="1:11" ht="18" customHeight="1" x14ac:dyDescent="0.3">
      <c r="A39" s="102" t="s">
        <v>126</v>
      </c>
      <c r="B39" s="138" t="s">
        <v>155</v>
      </c>
      <c r="C39" s="138"/>
      <c r="D39" s="138"/>
      <c r="E39" s="138"/>
      <c r="F39" s="43"/>
      <c r="G39" s="102" t="s">
        <v>126</v>
      </c>
      <c r="H39" s="138" t="s">
        <v>155</v>
      </c>
      <c r="I39" s="138"/>
      <c r="J39" s="138"/>
      <c r="K39" s="138"/>
    </row>
    <row r="40" spans="1:11" ht="18" customHeight="1" x14ac:dyDescent="0.3">
      <c r="A40" s="102" t="s">
        <v>127</v>
      </c>
      <c r="B40" s="138" t="s">
        <v>130</v>
      </c>
      <c r="C40" s="138"/>
      <c r="D40" s="138"/>
      <c r="E40" s="138"/>
      <c r="F40" s="43"/>
      <c r="G40" s="102" t="s">
        <v>127</v>
      </c>
      <c r="H40" s="138" t="s">
        <v>139</v>
      </c>
      <c r="I40" s="138"/>
      <c r="J40" s="138"/>
      <c r="K40" s="138"/>
    </row>
    <row r="41" spans="1:11" x14ac:dyDescent="0.3">
      <c r="B41" s="35"/>
      <c r="C41" s="35"/>
      <c r="D41" s="34"/>
      <c r="E41" s="43"/>
      <c r="F41" s="43"/>
      <c r="H41" s="35"/>
      <c r="I41" s="35"/>
      <c r="J41" s="34"/>
      <c r="K41" s="43"/>
    </row>
    <row r="42" spans="1:11" ht="27.6" customHeight="1" x14ac:dyDescent="0.35">
      <c r="B42" s="139" t="str">
        <f>B5</f>
        <v>Residential Natural Gas</v>
      </c>
      <c r="C42" s="139"/>
      <c r="D42" s="139"/>
      <c r="E42" s="139"/>
      <c r="F42" s="32"/>
      <c r="H42" s="139" t="str">
        <f>H5</f>
        <v>Non-Residential Natural Gas</v>
      </c>
      <c r="I42" s="139"/>
      <c r="J42" s="139"/>
      <c r="K42" s="139"/>
    </row>
    <row r="43" spans="1:11" x14ac:dyDescent="0.3">
      <c r="A43" s="103"/>
      <c r="B43" s="140" t="s">
        <v>163</v>
      </c>
      <c r="C43" s="140"/>
      <c r="D43" s="140"/>
      <c r="E43" s="140"/>
      <c r="F43" s="35"/>
      <c r="G43" s="103"/>
      <c r="H43" s="140" t="str">
        <f>B43</f>
        <v>Calculate Estimated Monthly Balances through October 2018</v>
      </c>
      <c r="I43" s="140"/>
      <c r="J43" s="140"/>
      <c r="K43" s="140"/>
    </row>
    <row r="44" spans="1:11" ht="28.8" x14ac:dyDescent="0.3">
      <c r="A44" s="103" t="s">
        <v>114</v>
      </c>
      <c r="B44" s="35"/>
      <c r="C44" s="32" t="s">
        <v>9</v>
      </c>
      <c r="D44" s="32" t="s">
        <v>4</v>
      </c>
      <c r="E44" s="41" t="s">
        <v>84</v>
      </c>
      <c r="F44" s="41"/>
      <c r="G44" s="103" t="s">
        <v>114</v>
      </c>
      <c r="H44" s="35"/>
      <c r="I44" s="32" t="s">
        <v>9</v>
      </c>
      <c r="J44" s="32" t="s">
        <v>4</v>
      </c>
      <c r="K44" s="41" t="s">
        <v>84</v>
      </c>
    </row>
    <row r="45" spans="1:11" ht="43.2" x14ac:dyDescent="0.3">
      <c r="B45" s="35"/>
      <c r="C45" s="35"/>
      <c r="D45" s="68" t="s">
        <v>164</v>
      </c>
      <c r="E45" s="35"/>
      <c r="F45" s="35"/>
      <c r="H45" s="35"/>
      <c r="I45" s="35"/>
      <c r="J45" s="68" t="str">
        <f>D45</f>
        <v>3.50% Q1 2016 3.71% Q2 2016  3.96% Q3 2016</v>
      </c>
      <c r="K45" s="35"/>
    </row>
    <row r="46" spans="1:11" x14ac:dyDescent="0.3">
      <c r="A46" s="105">
        <v>1</v>
      </c>
      <c r="B46" s="64">
        <v>42705</v>
      </c>
      <c r="C46" s="34">
        <v>7152977</v>
      </c>
      <c r="D46" s="35"/>
      <c r="E46" s="35"/>
      <c r="F46" s="35"/>
      <c r="G46" s="105">
        <v>1</v>
      </c>
      <c r="H46" s="64">
        <f>B46</f>
        <v>42705</v>
      </c>
      <c r="I46" s="34">
        <v>2002654</v>
      </c>
      <c r="J46" s="35"/>
      <c r="K46" s="35"/>
    </row>
    <row r="47" spans="1:11" x14ac:dyDescent="0.3">
      <c r="A47" s="105">
        <v>2</v>
      </c>
      <c r="B47" s="126" t="s">
        <v>93</v>
      </c>
      <c r="C47" s="34">
        <f>-'Earnings Test and 3% Test'!F34</f>
        <v>-2125710</v>
      </c>
      <c r="D47" s="35"/>
      <c r="E47" s="35"/>
      <c r="F47" s="35"/>
      <c r="G47" s="105">
        <v>2</v>
      </c>
      <c r="H47" s="126" t="str">
        <f t="shared" ref="H47:H71" si="5">B47</f>
        <v>Earnings Sharing Adjustment</v>
      </c>
      <c r="I47" s="34">
        <f>-'Earnings Test and 3% Test'!F35</f>
        <v>-665616</v>
      </c>
      <c r="J47" s="35"/>
      <c r="K47" s="35"/>
    </row>
    <row r="48" spans="1:11" x14ac:dyDescent="0.3">
      <c r="A48" s="105">
        <v>3</v>
      </c>
      <c r="B48" s="126" t="s">
        <v>94</v>
      </c>
      <c r="C48" s="34">
        <f>C46+C47</f>
        <v>5027267</v>
      </c>
      <c r="D48" s="35"/>
      <c r="E48" s="35"/>
      <c r="F48" s="35"/>
      <c r="G48" s="105">
        <v>3</v>
      </c>
      <c r="H48" s="126" t="str">
        <f t="shared" si="5"/>
        <v>Adjusted December Balance</v>
      </c>
      <c r="I48" s="34">
        <f>I46+I47</f>
        <v>1337038</v>
      </c>
      <c r="J48" s="35"/>
      <c r="K48" s="35"/>
    </row>
    <row r="49" spans="1:11" x14ac:dyDescent="0.3">
      <c r="A49" s="105">
        <v>4</v>
      </c>
      <c r="B49" s="64">
        <v>42736</v>
      </c>
      <c r="C49" s="34">
        <f>C48+D49-E49</f>
        <v>5041929.8620833335</v>
      </c>
      <c r="D49" s="34">
        <f>(C48-E49/2)*0.035/12</f>
        <v>14662.862083333335</v>
      </c>
      <c r="E49" s="35"/>
      <c r="F49" s="35"/>
      <c r="G49" s="105">
        <v>4</v>
      </c>
      <c r="H49" s="64">
        <f t="shared" si="5"/>
        <v>42736</v>
      </c>
      <c r="I49" s="34">
        <f>I48+J49-K49</f>
        <v>1340937.6941666666</v>
      </c>
      <c r="J49" s="34">
        <f>(I48-K49/2)*0.035/12</f>
        <v>3899.6941666666667</v>
      </c>
      <c r="K49" s="35"/>
    </row>
    <row r="50" spans="1:11" x14ac:dyDescent="0.3">
      <c r="A50" s="105">
        <v>5</v>
      </c>
      <c r="B50" s="64">
        <v>42767</v>
      </c>
      <c r="C50" s="34">
        <f t="shared" ref="C50:C58" si="6">C49+D50-E50</f>
        <v>5056635.4908477431</v>
      </c>
      <c r="D50" s="107">
        <f t="shared" ref="D50:D51" si="7">(C49-E50/2)*0.035/12</f>
        <v>14705.628764409725</v>
      </c>
      <c r="E50" s="35"/>
      <c r="F50" s="35"/>
      <c r="G50" s="105">
        <v>5</v>
      </c>
      <c r="H50" s="64">
        <f t="shared" si="5"/>
        <v>42767</v>
      </c>
      <c r="I50" s="34">
        <f t="shared" ref="I50:I71" si="8">I49+J50-K50</f>
        <v>1344848.7624413194</v>
      </c>
      <c r="J50" s="107">
        <f t="shared" ref="J50:J51" si="9">(I49-K50/2)*0.035/12</f>
        <v>3911.0682746527782</v>
      </c>
      <c r="K50" s="35"/>
    </row>
    <row r="51" spans="1:11" x14ac:dyDescent="0.3">
      <c r="A51" s="105">
        <v>6</v>
      </c>
      <c r="B51" s="64">
        <v>42795</v>
      </c>
      <c r="C51" s="34">
        <f t="shared" si="6"/>
        <v>5071384.0110293822</v>
      </c>
      <c r="D51" s="107">
        <f t="shared" si="7"/>
        <v>14748.520181639251</v>
      </c>
      <c r="E51" s="35"/>
      <c r="F51" s="35"/>
      <c r="G51" s="105">
        <v>6</v>
      </c>
      <c r="H51" s="64">
        <f t="shared" si="5"/>
        <v>42795</v>
      </c>
      <c r="I51" s="34">
        <f t="shared" si="8"/>
        <v>1348771.2379984399</v>
      </c>
      <c r="J51" s="107">
        <f t="shared" si="9"/>
        <v>3922.4755571205151</v>
      </c>
      <c r="K51" s="35"/>
    </row>
    <row r="52" spans="1:11" x14ac:dyDescent="0.3">
      <c r="A52" s="105">
        <v>7</v>
      </c>
      <c r="B52" s="64">
        <v>42826</v>
      </c>
      <c r="C52" s="34">
        <f t="shared" si="6"/>
        <v>5087063.0399301481</v>
      </c>
      <c r="D52" s="34">
        <f>(C51-E52/2)*0.0371/12</f>
        <v>15679.028900765841</v>
      </c>
      <c r="E52" s="35"/>
      <c r="F52" s="35"/>
      <c r="G52" s="105">
        <v>7</v>
      </c>
      <c r="H52" s="64">
        <f t="shared" si="5"/>
        <v>42826</v>
      </c>
      <c r="I52" s="34">
        <f t="shared" si="8"/>
        <v>1352941.1890759184</v>
      </c>
      <c r="J52" s="34">
        <f>(I51-K52/2)*0.0371/12</f>
        <v>4169.9510774785103</v>
      </c>
      <c r="K52" s="35"/>
    </row>
    <row r="53" spans="1:11" x14ac:dyDescent="0.3">
      <c r="A53" s="105">
        <v>8</v>
      </c>
      <c r="B53" s="64">
        <v>42856</v>
      </c>
      <c r="C53" s="34">
        <f t="shared" si="6"/>
        <v>5102790.5431619324</v>
      </c>
      <c r="D53" s="107">
        <f t="shared" ref="D53:D54" si="10">(C52-E53/2)*0.0371/12</f>
        <v>15727.503231784043</v>
      </c>
      <c r="E53" s="35"/>
      <c r="F53" s="35"/>
      <c r="G53" s="105">
        <v>8</v>
      </c>
      <c r="H53" s="64">
        <f t="shared" si="5"/>
        <v>42856</v>
      </c>
      <c r="I53" s="34">
        <f t="shared" si="8"/>
        <v>1357124.0322521448</v>
      </c>
      <c r="J53" s="107">
        <f t="shared" ref="J53:J54" si="11">(I52-K53/2)*0.0371/12</f>
        <v>4182.8431762263817</v>
      </c>
      <c r="K53" s="35"/>
    </row>
    <row r="54" spans="1:11" x14ac:dyDescent="0.3">
      <c r="A54" s="105">
        <v>9</v>
      </c>
      <c r="B54" s="64">
        <v>42887</v>
      </c>
      <c r="C54" s="34">
        <f t="shared" si="6"/>
        <v>5118566.6705912082</v>
      </c>
      <c r="D54" s="107">
        <f t="shared" si="10"/>
        <v>15776.127429275642</v>
      </c>
      <c r="E54" s="35"/>
      <c r="F54" s="35"/>
      <c r="G54" s="105">
        <v>9</v>
      </c>
      <c r="H54" s="64">
        <f t="shared" si="5"/>
        <v>42887</v>
      </c>
      <c r="I54" s="34">
        <f t="shared" si="8"/>
        <v>1361319.8073851911</v>
      </c>
      <c r="J54" s="107">
        <f t="shared" si="11"/>
        <v>4195.7751330462143</v>
      </c>
      <c r="K54" s="35"/>
    </row>
    <row r="55" spans="1:11" x14ac:dyDescent="0.3">
      <c r="A55" s="105">
        <v>10</v>
      </c>
      <c r="B55" s="64">
        <v>42917</v>
      </c>
      <c r="C55" s="34">
        <f t="shared" si="6"/>
        <v>5135457.9406041587</v>
      </c>
      <c r="D55" s="34">
        <f>(C54-E55/2)*0.0396/12</f>
        <v>16891.270012950987</v>
      </c>
      <c r="E55" s="35"/>
      <c r="F55" s="35"/>
      <c r="G55" s="105">
        <v>10</v>
      </c>
      <c r="H55" s="64">
        <f t="shared" si="5"/>
        <v>42917</v>
      </c>
      <c r="I55" s="34">
        <f t="shared" si="8"/>
        <v>1365812.1627495622</v>
      </c>
      <c r="J55" s="34">
        <f>(I54-K55/2)*0.0396/12</f>
        <v>4492.3553643711311</v>
      </c>
      <c r="K55" s="35"/>
    </row>
    <row r="56" spans="1:11" x14ac:dyDescent="0.3">
      <c r="A56" s="105">
        <v>11</v>
      </c>
      <c r="B56" s="64">
        <v>42948</v>
      </c>
      <c r="C56" s="34">
        <f t="shared" si="6"/>
        <v>5152404.9518081527</v>
      </c>
      <c r="D56" s="107">
        <f t="shared" ref="D56:D58" si="12">(C55-E56/2)*0.0396/12</f>
        <v>16947.011203993727</v>
      </c>
      <c r="E56" s="35"/>
      <c r="F56" s="35"/>
      <c r="G56" s="105">
        <v>11</v>
      </c>
      <c r="H56" s="64">
        <f t="shared" si="5"/>
        <v>42948</v>
      </c>
      <c r="I56" s="34">
        <f t="shared" si="8"/>
        <v>1370319.3428866358</v>
      </c>
      <c r="J56" s="107">
        <f t="shared" ref="J56:J58" si="13">(I55-K56/2)*0.0396/12</f>
        <v>4507.1801370735557</v>
      </c>
      <c r="K56" s="35"/>
    </row>
    <row r="57" spans="1:11" x14ac:dyDescent="0.3">
      <c r="A57" s="105">
        <v>12</v>
      </c>
      <c r="B57" s="64">
        <v>42979</v>
      </c>
      <c r="C57" s="34">
        <f t="shared" si="6"/>
        <v>5169407.8881491199</v>
      </c>
      <c r="D57" s="107">
        <f t="shared" si="12"/>
        <v>17002.936340966906</v>
      </c>
      <c r="E57" s="35"/>
      <c r="F57" s="35"/>
      <c r="G57" s="105">
        <v>12</v>
      </c>
      <c r="H57" s="64">
        <f t="shared" si="5"/>
        <v>42979</v>
      </c>
      <c r="I57" s="34">
        <f t="shared" si="8"/>
        <v>1374841.3967181616</v>
      </c>
      <c r="J57" s="107">
        <f t="shared" si="13"/>
        <v>4522.0538315258991</v>
      </c>
      <c r="K57" s="35"/>
    </row>
    <row r="58" spans="1:11" x14ac:dyDescent="0.3">
      <c r="A58" s="105">
        <v>13</v>
      </c>
      <c r="B58" s="66">
        <v>43009</v>
      </c>
      <c r="C58" s="67">
        <f t="shared" si="6"/>
        <v>5186466.934180012</v>
      </c>
      <c r="D58" s="107">
        <f t="shared" si="12"/>
        <v>17059.046030892099</v>
      </c>
      <c r="E58" s="35"/>
      <c r="F58" s="35"/>
      <c r="G58" s="105">
        <v>13</v>
      </c>
      <c r="H58" s="64">
        <f t="shared" si="5"/>
        <v>43009</v>
      </c>
      <c r="I58" s="67">
        <f t="shared" si="8"/>
        <v>1379378.3733273316</v>
      </c>
      <c r="J58" s="107">
        <f t="shared" si="13"/>
        <v>4536.9766091699339</v>
      </c>
      <c r="K58" s="35"/>
    </row>
    <row r="59" spans="1:11" s="106" customFormat="1" x14ac:dyDescent="0.3">
      <c r="A59" s="113">
        <v>14</v>
      </c>
      <c r="B59" s="126" t="s">
        <v>168</v>
      </c>
      <c r="C59" s="59">
        <f>'Prior Year Amortization'!F20</f>
        <v>2032880.01</v>
      </c>
      <c r="D59" s="107"/>
      <c r="E59" s="35"/>
      <c r="F59" s="35"/>
      <c r="G59" s="113">
        <v>14</v>
      </c>
      <c r="H59" s="126" t="str">
        <f t="shared" si="5"/>
        <v>Prior Year Carryover Balance</v>
      </c>
      <c r="I59" s="59">
        <f>'Prior Year Amortization'!F39</f>
        <v>699731.2899999998</v>
      </c>
      <c r="J59" s="107"/>
      <c r="K59" s="35"/>
    </row>
    <row r="60" spans="1:11" x14ac:dyDescent="0.3">
      <c r="A60" s="113">
        <v>15</v>
      </c>
      <c r="B60" s="64">
        <v>43040</v>
      </c>
      <c r="C60" s="34">
        <f>C58+C59+D60-E60</f>
        <v>6412120.4347826634</v>
      </c>
      <c r="D60" s="34">
        <f>(C58+C59-E60/2)*0.0396/12</f>
        <v>22454.870638734501</v>
      </c>
      <c r="E60" s="34">
        <f>E9*D$31</f>
        <v>829681.38003608317</v>
      </c>
      <c r="F60" s="34"/>
      <c r="G60" s="113">
        <v>15</v>
      </c>
      <c r="H60" s="64">
        <f t="shared" si="5"/>
        <v>43040</v>
      </c>
      <c r="I60" s="34">
        <f>I58+I59+J60-K60</f>
        <v>1802254.6297414126</v>
      </c>
      <c r="J60" s="34">
        <f>(I58+I59-K60/2)*0.0396/12</f>
        <v>6393.7014761278178</v>
      </c>
      <c r="K60" s="34">
        <f>K9*J$31</f>
        <v>283248.73506204668</v>
      </c>
    </row>
    <row r="61" spans="1:11" x14ac:dyDescent="0.3">
      <c r="A61" s="113">
        <v>16</v>
      </c>
      <c r="B61" s="64">
        <v>43070</v>
      </c>
      <c r="C61" s="34">
        <f t="shared" ref="C61:C71" si="14">C60+D61-E61</f>
        <v>5214692.4084507152</v>
      </c>
      <c r="D61" s="107">
        <f t="shared" ref="D61:D71" si="15">(C60-E61/2)*0.0396/12</f>
        <v>19152.639336429969</v>
      </c>
      <c r="E61" s="34">
        <f t="shared" ref="E61:E71" si="16">E10*D$31</f>
        <v>1216580.6656683772</v>
      </c>
      <c r="F61" s="34"/>
      <c r="G61" s="113">
        <v>16</v>
      </c>
      <c r="H61" s="64">
        <f t="shared" si="5"/>
        <v>43070</v>
      </c>
      <c r="I61" s="34">
        <f t="shared" si="8"/>
        <v>1473042.0173286204</v>
      </c>
      <c r="J61" s="34">
        <f>(I60-K61/2)*0.0396/12</f>
        <v>5395.3371613493282</v>
      </c>
      <c r="K61" s="34">
        <f t="shared" ref="K61:K71" si="17">K10*J$31</f>
        <v>334607.94957414165</v>
      </c>
    </row>
    <row r="62" spans="1:11" ht="14.4" customHeight="1" x14ac:dyDescent="0.3">
      <c r="A62" s="113">
        <v>17</v>
      </c>
      <c r="B62" s="64">
        <v>43101</v>
      </c>
      <c r="C62" s="34">
        <f t="shared" si="14"/>
        <v>4045526.0653900187</v>
      </c>
      <c r="D62" s="107">
        <f t="shared" si="15"/>
        <v>15254.191066577361</v>
      </c>
      <c r="E62" s="34">
        <f t="shared" si="16"/>
        <v>1184420.5341272734</v>
      </c>
      <c r="F62" s="34"/>
      <c r="G62" s="113">
        <v>17</v>
      </c>
      <c r="H62" s="64">
        <f t="shared" si="5"/>
        <v>43101</v>
      </c>
      <c r="I62" s="34">
        <f t="shared" si="8"/>
        <v>1157474.4325855626</v>
      </c>
      <c r="J62" s="107">
        <f t="shared" ref="J62:J71" si="18">(I61-K62/2)*0.0396/12</f>
        <v>4333.2023584669314</v>
      </c>
      <c r="K62" s="34">
        <f t="shared" si="17"/>
        <v>319900.78710152477</v>
      </c>
    </row>
    <row r="63" spans="1:11" x14ac:dyDescent="0.3">
      <c r="A63" s="113">
        <v>18</v>
      </c>
      <c r="B63" s="64">
        <v>43132</v>
      </c>
      <c r="C63" s="34">
        <f t="shared" si="14"/>
        <v>3113903.7768003037</v>
      </c>
      <c r="D63" s="107">
        <f t="shared" si="15"/>
        <v>11793.599799944124</v>
      </c>
      <c r="E63" s="34">
        <f t="shared" si="16"/>
        <v>943415.88838965935</v>
      </c>
      <c r="F63" s="34"/>
      <c r="G63" s="113">
        <v>18</v>
      </c>
      <c r="H63" s="64">
        <f t="shared" si="5"/>
        <v>43132</v>
      </c>
      <c r="I63" s="34">
        <f t="shared" si="8"/>
        <v>905210.76826508134</v>
      </c>
      <c r="J63" s="107">
        <f t="shared" si="18"/>
        <v>3397.8241715205536</v>
      </c>
      <c r="K63" s="34">
        <f t="shared" si="17"/>
        <v>255661.48849200184</v>
      </c>
    </row>
    <row r="64" spans="1:11" x14ac:dyDescent="0.3">
      <c r="A64" s="113">
        <v>19</v>
      </c>
      <c r="B64" s="64">
        <v>43160</v>
      </c>
      <c r="C64" s="34">
        <f t="shared" si="14"/>
        <v>2319752.9675122248</v>
      </c>
      <c r="D64" s="107">
        <f t="shared" si="15"/>
        <v>8950.7648660866307</v>
      </c>
      <c r="E64" s="34">
        <f t="shared" si="16"/>
        <v>803101.57415416546</v>
      </c>
      <c r="F64" s="34"/>
      <c r="G64" s="113">
        <v>19</v>
      </c>
      <c r="H64" s="64">
        <f t="shared" si="5"/>
        <v>43160</v>
      </c>
      <c r="I64" s="34">
        <f t="shared" si="8"/>
        <v>687999.65121965401</v>
      </c>
      <c r="J64" s="107">
        <f t="shared" si="18"/>
        <v>2624.466821893689</v>
      </c>
      <c r="K64" s="34">
        <f t="shared" si="17"/>
        <v>219835.58386732102</v>
      </c>
    </row>
    <row r="65" spans="1:11" x14ac:dyDescent="0.3">
      <c r="A65" s="113">
        <v>20</v>
      </c>
      <c r="B65" s="64">
        <v>43191</v>
      </c>
      <c r="C65" s="34">
        <f t="shared" si="14"/>
        <v>1840266.9590467629</v>
      </c>
      <c r="D65" s="107">
        <f t="shared" si="15"/>
        <v>6852.7258811184847</v>
      </c>
      <c r="E65" s="34">
        <f t="shared" si="16"/>
        <v>486338.73434658011</v>
      </c>
      <c r="F65" s="34"/>
      <c r="G65" s="113">
        <v>20</v>
      </c>
      <c r="H65" s="64">
        <f t="shared" si="5"/>
        <v>43191</v>
      </c>
      <c r="I65" s="34">
        <f t="shared" si="8"/>
        <v>547768.12460660527</v>
      </c>
      <c r="J65" s="107">
        <f t="shared" si="18"/>
        <v>2035.6579944225307</v>
      </c>
      <c r="K65" s="34">
        <f t="shared" si="17"/>
        <v>142267.18460747125</v>
      </c>
    </row>
    <row r="66" spans="1:11" x14ac:dyDescent="0.3">
      <c r="A66" s="113">
        <v>21</v>
      </c>
      <c r="B66" s="64">
        <v>43221</v>
      </c>
      <c r="C66" s="34">
        <f t="shared" si="14"/>
        <v>1583368.9766021823</v>
      </c>
      <c r="D66" s="107">
        <f t="shared" si="15"/>
        <v>5639.6937990523229</v>
      </c>
      <c r="E66" s="34">
        <f t="shared" si="16"/>
        <v>262537.67624363303</v>
      </c>
      <c r="F66" s="34"/>
      <c r="G66" s="113">
        <v>21</v>
      </c>
      <c r="H66" s="64">
        <f t="shared" si="5"/>
        <v>43221</v>
      </c>
      <c r="I66" s="34">
        <f t="shared" si="8"/>
        <v>463535.89848439366</v>
      </c>
      <c r="J66" s="107">
        <f t="shared" si="18"/>
        <v>1665.9028983179239</v>
      </c>
      <c r="K66" s="34">
        <f t="shared" si="17"/>
        <v>85898.129020529523</v>
      </c>
    </row>
    <row r="67" spans="1:11" x14ac:dyDescent="0.3">
      <c r="A67" s="113">
        <v>22</v>
      </c>
      <c r="B67" s="64">
        <v>43252</v>
      </c>
      <c r="C67" s="34">
        <f t="shared" si="14"/>
        <v>1431507.0762934238</v>
      </c>
      <c r="D67" s="107">
        <f t="shared" si="15"/>
        <v>4966.3510081143613</v>
      </c>
      <c r="E67" s="34">
        <f t="shared" si="16"/>
        <v>156828.25131687298</v>
      </c>
      <c r="F67" s="34"/>
      <c r="G67" s="113">
        <v>22</v>
      </c>
      <c r="H67" s="64">
        <f t="shared" si="5"/>
        <v>43252</v>
      </c>
      <c r="I67" s="34">
        <f t="shared" si="8"/>
        <v>399462.17941878946</v>
      </c>
      <c r="J67" s="107">
        <f t="shared" si="18"/>
        <v>1421.6011865823912</v>
      </c>
      <c r="K67" s="34">
        <f t="shared" si="17"/>
        <v>65495.320252186633</v>
      </c>
    </row>
    <row r="68" spans="1:11" x14ac:dyDescent="0.3">
      <c r="A68" s="113">
        <v>23</v>
      </c>
      <c r="B68" s="64">
        <v>43282</v>
      </c>
      <c r="C68" s="34">
        <f t="shared" si="14"/>
        <v>1311419.5806465112</v>
      </c>
      <c r="D68" s="107">
        <f t="shared" si="15"/>
        <v>4518.3736673996837</v>
      </c>
      <c r="E68" s="34">
        <f t="shared" si="16"/>
        <v>124605.86931431216</v>
      </c>
      <c r="F68" s="34"/>
      <c r="G68" s="113">
        <v>23</v>
      </c>
      <c r="H68" s="64">
        <f t="shared" si="5"/>
        <v>43282</v>
      </c>
      <c r="I68" s="34">
        <f t="shared" si="8"/>
        <v>333858.35727154888</v>
      </c>
      <c r="J68" s="107">
        <f t="shared" si="18"/>
        <v>1207.985709119012</v>
      </c>
      <c r="K68" s="34">
        <f t="shared" si="17"/>
        <v>66811.807856359592</v>
      </c>
    </row>
    <row r="69" spans="1:11" x14ac:dyDescent="0.3">
      <c r="A69" s="113">
        <v>24</v>
      </c>
      <c r="B69" s="64">
        <v>43313</v>
      </c>
      <c r="C69" s="34">
        <f t="shared" si="14"/>
        <v>1200018.0218529291</v>
      </c>
      <c r="D69" s="107">
        <f t="shared" si="15"/>
        <v>4137.0459183587855</v>
      </c>
      <c r="E69" s="34">
        <f t="shared" si="16"/>
        <v>115538.6047119407</v>
      </c>
      <c r="F69" s="34"/>
      <c r="G69" s="113">
        <v>24</v>
      </c>
      <c r="H69" s="64">
        <f t="shared" si="5"/>
        <v>43313</v>
      </c>
      <c r="I69" s="34">
        <f t="shared" si="8"/>
        <v>262527.30794217088</v>
      </c>
      <c r="J69" s="107">
        <f t="shared" si="18"/>
        <v>982.41536225491711</v>
      </c>
      <c r="K69" s="34">
        <f t="shared" si="17"/>
        <v>72313.464691632864</v>
      </c>
    </row>
    <row r="70" spans="1:11" x14ac:dyDescent="0.3">
      <c r="A70" s="113">
        <v>25</v>
      </c>
      <c r="B70" s="64">
        <v>43344</v>
      </c>
      <c r="C70" s="34">
        <f t="shared" si="14"/>
        <v>1066858.7467174048</v>
      </c>
      <c r="D70" s="107">
        <f t="shared" si="15"/>
        <v>3734.1852624579965</v>
      </c>
      <c r="E70" s="34">
        <f t="shared" si="16"/>
        <v>136893.46039798227</v>
      </c>
      <c r="F70" s="34"/>
      <c r="G70" s="113">
        <v>25</v>
      </c>
      <c r="H70" s="64">
        <f t="shared" si="5"/>
        <v>43344</v>
      </c>
      <c r="I70" s="34">
        <f t="shared" si="8"/>
        <v>177018.0701451902</v>
      </c>
      <c r="J70" s="107">
        <f t="shared" si="18"/>
        <v>724.05518279253818</v>
      </c>
      <c r="K70" s="34">
        <f t="shared" si="17"/>
        <v>86233.292979773221</v>
      </c>
    </row>
    <row r="71" spans="1:11" x14ac:dyDescent="0.3">
      <c r="A71" s="113">
        <v>26</v>
      </c>
      <c r="B71" s="66">
        <v>43374</v>
      </c>
      <c r="C71" s="67">
        <f t="shared" si="14"/>
        <v>700938.32516794675</v>
      </c>
      <c r="D71" s="107">
        <f t="shared" si="15"/>
        <v>2912.060269166705</v>
      </c>
      <c r="E71" s="34">
        <f t="shared" si="16"/>
        <v>368832.48181862471</v>
      </c>
      <c r="F71" s="34"/>
      <c r="G71" s="113">
        <v>26</v>
      </c>
      <c r="H71" s="64">
        <f t="shared" si="5"/>
        <v>43374</v>
      </c>
      <c r="I71" s="67">
        <f t="shared" si="8"/>
        <v>-703.89310843171552</v>
      </c>
      <c r="J71" s="107">
        <f t="shared" si="18"/>
        <v>290.43916748430246</v>
      </c>
      <c r="K71" s="34">
        <f t="shared" si="17"/>
        <v>178012.40242110621</v>
      </c>
    </row>
    <row r="72" spans="1:11" x14ac:dyDescent="0.3">
      <c r="B72" s="35"/>
      <c r="C72" s="35"/>
      <c r="D72" s="35"/>
      <c r="E72" s="35"/>
      <c r="F72" s="35"/>
      <c r="H72" s="35"/>
      <c r="I72" s="35"/>
      <c r="J72" s="35"/>
      <c r="K72" s="35"/>
    </row>
    <row r="73" spans="1:11" x14ac:dyDescent="0.3">
      <c r="A73" s="105">
        <v>27</v>
      </c>
      <c r="B73" s="39" t="s">
        <v>115</v>
      </c>
      <c r="C73" s="35"/>
      <c r="D73" s="34">
        <f>SUM(D49:D72)</f>
        <v>269566.43569345248</v>
      </c>
      <c r="E73" s="34">
        <f>SUM(E60:E71)</f>
        <v>6628775.1205255035</v>
      </c>
      <c r="F73" s="35"/>
      <c r="G73" s="105">
        <v>27</v>
      </c>
      <c r="H73" s="39" t="s">
        <v>115</v>
      </c>
      <c r="I73" s="35"/>
      <c r="J73" s="34">
        <f>SUM(J49:J72)</f>
        <v>72812.962817663531</v>
      </c>
      <c r="K73" s="34">
        <f>SUM(K60:K71)</f>
        <v>2110286.1459260951</v>
      </c>
    </row>
    <row r="74" spans="1:11" x14ac:dyDescent="0.3">
      <c r="A74" s="105"/>
      <c r="B74" s="39"/>
      <c r="C74" s="35"/>
      <c r="D74" s="35"/>
      <c r="E74" s="35"/>
      <c r="F74" s="35"/>
      <c r="G74" s="105"/>
      <c r="H74" s="39"/>
      <c r="I74" s="35"/>
      <c r="J74" s="35"/>
      <c r="K74" s="35"/>
    </row>
    <row r="75" spans="1:11" x14ac:dyDescent="0.3">
      <c r="B75" s="54" t="s">
        <v>121</v>
      </c>
      <c r="H75" s="54" t="s">
        <v>121</v>
      </c>
    </row>
    <row r="76" spans="1:11" x14ac:dyDescent="0.3">
      <c r="A76" s="105">
        <v>28</v>
      </c>
      <c r="B76" t="s">
        <v>165</v>
      </c>
      <c r="C76" s="100">
        <f>C46</f>
        <v>7152977</v>
      </c>
      <c r="G76" s="113">
        <v>28</v>
      </c>
      <c r="H76" s="106" t="s">
        <v>165</v>
      </c>
      <c r="I76" s="100">
        <f>I46</f>
        <v>2002654</v>
      </c>
    </row>
    <row r="77" spans="1:11" x14ac:dyDescent="0.3">
      <c r="A77" s="105">
        <v>29</v>
      </c>
      <c r="B77" t="s">
        <v>117</v>
      </c>
      <c r="C77" s="100">
        <f>C47</f>
        <v>-2125710</v>
      </c>
      <c r="G77" s="113">
        <v>29</v>
      </c>
      <c r="H77" s="106" t="s">
        <v>117</v>
      </c>
      <c r="I77" s="100">
        <f>I47</f>
        <v>-665616</v>
      </c>
    </row>
    <row r="78" spans="1:11" s="106" customFormat="1" x14ac:dyDescent="0.3">
      <c r="A78" s="113">
        <v>30</v>
      </c>
      <c r="B78" s="106" t="s">
        <v>166</v>
      </c>
      <c r="C78" s="100">
        <f>C59</f>
        <v>2032880.01</v>
      </c>
      <c r="G78" s="113">
        <v>30</v>
      </c>
      <c r="H78" s="106" t="s">
        <v>166</v>
      </c>
      <c r="I78" s="110">
        <f>I59</f>
        <v>699731.2899999998</v>
      </c>
    </row>
    <row r="79" spans="1:11" x14ac:dyDescent="0.3">
      <c r="A79" s="113">
        <v>31</v>
      </c>
      <c r="B79" t="s">
        <v>167</v>
      </c>
      <c r="C79" s="100">
        <f>D73</f>
        <v>269566.43569345248</v>
      </c>
      <c r="G79" s="113">
        <v>31</v>
      </c>
      <c r="H79" s="106" t="s">
        <v>167</v>
      </c>
      <c r="I79" s="100">
        <f>J73</f>
        <v>72812.962817663531</v>
      </c>
    </row>
    <row r="80" spans="1:11" x14ac:dyDescent="0.3">
      <c r="A80" s="113">
        <v>32</v>
      </c>
      <c r="B80" t="s">
        <v>135</v>
      </c>
      <c r="C80" s="100">
        <f>(D30-D31)*E22</f>
        <v>322656.03386884171</v>
      </c>
      <c r="G80" s="113">
        <v>32</v>
      </c>
      <c r="H80" s="106" t="s">
        <v>135</v>
      </c>
      <c r="I80" s="100">
        <f>(J30-J31)*K22-I71</f>
        <v>103299.05625982118</v>
      </c>
    </row>
    <row r="81" spans="1:9" x14ac:dyDescent="0.3">
      <c r="A81" s="113">
        <v>33</v>
      </c>
      <c r="B81" t="s">
        <v>133</v>
      </c>
      <c r="C81" s="101">
        <f>SUM(C76:C80)</f>
        <v>7652369.4795622937</v>
      </c>
      <c r="G81" s="113">
        <v>33</v>
      </c>
      <c r="H81" t="s">
        <v>133</v>
      </c>
      <c r="I81" s="101">
        <f>SUM(I76:I80)</f>
        <v>2212881.3090774845</v>
      </c>
    </row>
    <row r="82" spans="1:9" x14ac:dyDescent="0.3">
      <c r="A82" s="113">
        <v>34</v>
      </c>
      <c r="B82" t="s">
        <v>118</v>
      </c>
      <c r="C82" s="100">
        <f>D30*E22</f>
        <v>6951431.1543943454</v>
      </c>
      <c r="G82" s="113">
        <v>34</v>
      </c>
      <c r="H82" t="s">
        <v>118</v>
      </c>
      <c r="I82" s="100">
        <f>J30*K22</f>
        <v>2212881.3090774845</v>
      </c>
    </row>
    <row r="83" spans="1:9" x14ac:dyDescent="0.3">
      <c r="A83" s="113">
        <v>35</v>
      </c>
      <c r="B83" t="s">
        <v>119</v>
      </c>
      <c r="C83" s="100">
        <f>C81-C82</f>
        <v>700938.32516794838</v>
      </c>
      <c r="G83" s="113">
        <v>35</v>
      </c>
      <c r="H83" t="s">
        <v>119</v>
      </c>
      <c r="I83" s="100">
        <f>I81-I82</f>
        <v>0</v>
      </c>
    </row>
  </sheetData>
  <customSheetViews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40:E40"/>
    <mergeCell ref="H40:K40"/>
    <mergeCell ref="B42:E42"/>
    <mergeCell ref="H42:K42"/>
    <mergeCell ref="B43:E43"/>
    <mergeCell ref="H43:K43"/>
    <mergeCell ref="B36:E36"/>
    <mergeCell ref="H36:K36"/>
    <mergeCell ref="B38:E38"/>
    <mergeCell ref="H38:K38"/>
    <mergeCell ref="B39:E39"/>
    <mergeCell ref="H39:K39"/>
    <mergeCell ref="B26:C26"/>
    <mergeCell ref="H26:I26"/>
    <mergeCell ref="B27:C27"/>
    <mergeCell ref="H27:I27"/>
    <mergeCell ref="B35:E35"/>
    <mergeCell ref="H35:K35"/>
    <mergeCell ref="B5:E5"/>
    <mergeCell ref="H5:K5"/>
    <mergeCell ref="B24:C24"/>
    <mergeCell ref="H24:I24"/>
    <mergeCell ref="B25:C25"/>
    <mergeCell ref="H25:I25"/>
    <mergeCell ref="B1:E1"/>
    <mergeCell ref="H1:K1"/>
    <mergeCell ref="B2:E2"/>
    <mergeCell ref="H2:K2"/>
    <mergeCell ref="B3:E3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9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topLeftCell="A30" zoomScaleNormal="100" workbookViewId="0">
      <selection activeCell="A43" sqref="A43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77734375" customWidth="1"/>
    <col min="6" max="6" width="2.21875" customWidth="1"/>
    <col min="7" max="7" width="4.88671875" customWidth="1"/>
    <col min="8" max="8" width="28" customWidth="1"/>
    <col min="9" max="9" width="18" customWidth="1"/>
    <col min="10" max="10" width="16.21875" customWidth="1"/>
    <col min="11" max="11" width="16.77734375" customWidth="1"/>
    <col min="12" max="12" width="2.2187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33" t="s">
        <v>0</v>
      </c>
      <c r="C1" s="133"/>
      <c r="D1" s="133"/>
      <c r="E1" s="133"/>
      <c r="F1" s="63"/>
      <c r="G1" s="63"/>
      <c r="H1" s="133" t="s">
        <v>0</v>
      </c>
      <c r="I1" s="133"/>
      <c r="J1" s="133"/>
      <c r="K1" s="133"/>
    </row>
    <row r="2" spans="1:11" x14ac:dyDescent="0.3">
      <c r="B2" s="133" t="s">
        <v>1</v>
      </c>
      <c r="C2" s="133"/>
      <c r="D2" s="133"/>
      <c r="E2" s="133"/>
      <c r="F2" s="63"/>
      <c r="G2" s="63"/>
      <c r="H2" s="133" t="s">
        <v>1</v>
      </c>
      <c r="I2" s="133"/>
      <c r="J2" s="133"/>
      <c r="K2" s="133"/>
    </row>
    <row r="3" spans="1:11" x14ac:dyDescent="0.3">
      <c r="B3" s="133" t="s">
        <v>2</v>
      </c>
      <c r="C3" s="133"/>
      <c r="D3" s="133"/>
      <c r="E3" s="133"/>
      <c r="F3" s="63"/>
      <c r="G3" s="63"/>
      <c r="H3" s="133" t="s">
        <v>2</v>
      </c>
      <c r="I3" s="133"/>
      <c r="J3" s="133"/>
      <c r="K3" s="133"/>
    </row>
    <row r="5" spans="1:11" x14ac:dyDescent="0.3">
      <c r="B5" s="140" t="s">
        <v>47</v>
      </c>
      <c r="C5" s="140"/>
      <c r="D5" s="140"/>
      <c r="E5" s="140"/>
      <c r="F5" s="72"/>
      <c r="G5" s="35"/>
      <c r="H5" s="140" t="s">
        <v>48</v>
      </c>
      <c r="I5" s="140"/>
      <c r="J5" s="140"/>
      <c r="K5" s="140"/>
    </row>
    <row r="6" spans="1:11" ht="29.4" customHeight="1" x14ac:dyDescent="0.3">
      <c r="A6" s="92" t="s">
        <v>114</v>
      </c>
      <c r="B6" s="71" t="s">
        <v>3</v>
      </c>
      <c r="C6" s="71" t="s">
        <v>7</v>
      </c>
      <c r="D6" s="71" t="s">
        <v>8</v>
      </c>
      <c r="E6" s="87" t="s">
        <v>131</v>
      </c>
      <c r="F6" s="71"/>
      <c r="G6" s="92" t="s">
        <v>114</v>
      </c>
      <c r="H6" s="71" t="s">
        <v>3</v>
      </c>
      <c r="I6" s="71" t="s">
        <v>7</v>
      </c>
      <c r="J6" s="71" t="s">
        <v>8</v>
      </c>
      <c r="K6" s="87" t="s">
        <v>131</v>
      </c>
    </row>
    <row r="7" spans="1:11" x14ac:dyDescent="0.3">
      <c r="A7" s="93">
        <v>1</v>
      </c>
      <c r="B7" s="71"/>
      <c r="C7" s="91" t="e">
        <f>ROUND(C8/E22,5)</f>
        <v>#REF!</v>
      </c>
      <c r="D7" s="33">
        <v>3.5000000000000003E-2</v>
      </c>
      <c r="E7" s="71"/>
      <c r="F7" s="71"/>
      <c r="G7" s="93">
        <v>1</v>
      </c>
      <c r="H7" s="71"/>
      <c r="I7" s="71" t="e">
        <f>ROUND(I8/K22,5)</f>
        <v>#REF!</v>
      </c>
      <c r="J7" s="33">
        <f>D7</f>
        <v>3.5000000000000003E-2</v>
      </c>
      <c r="K7" s="71"/>
    </row>
    <row r="8" spans="1:11" x14ac:dyDescent="0.3">
      <c r="A8" s="93">
        <v>2</v>
      </c>
      <c r="B8" s="64">
        <v>42644</v>
      </c>
      <c r="C8" s="34" t="e">
        <f>C58</f>
        <v>#REF!</v>
      </c>
      <c r="D8" s="34"/>
      <c r="E8" s="35"/>
      <c r="F8" s="35"/>
      <c r="G8" s="93">
        <v>2</v>
      </c>
      <c r="H8" s="64">
        <v>42644</v>
      </c>
      <c r="I8" s="34" t="e">
        <f>I58</f>
        <v>#REF!</v>
      </c>
      <c r="J8" s="34"/>
      <c r="K8" s="35"/>
    </row>
    <row r="9" spans="1:11" x14ac:dyDescent="0.3">
      <c r="A9" s="93">
        <v>3</v>
      </c>
      <c r="B9" s="64">
        <v>42675</v>
      </c>
      <c r="C9" s="34" t="e">
        <f>C8-($C$7*E9)</f>
        <v>#REF!</v>
      </c>
      <c r="D9" s="34" t="e">
        <f>(C8+C9)/2*($D$7/12)</f>
        <v>#REF!</v>
      </c>
      <c r="E9" s="42" t="e">
        <f>'5 15 17 Forecast Usage by Sched'!#REF!</f>
        <v>#REF!</v>
      </c>
      <c r="F9" s="42"/>
      <c r="G9" s="93">
        <v>3</v>
      </c>
      <c r="H9" s="64">
        <v>42675</v>
      </c>
      <c r="I9" s="34" t="e">
        <f>I8-($I$7*K9)</f>
        <v>#REF!</v>
      </c>
      <c r="J9" s="34" t="e">
        <f>(I8+I9)/2*($J$7/12)</f>
        <v>#REF!</v>
      </c>
      <c r="K9" s="42" t="e">
        <f>'5 15 17 Forecast Usage by Sched'!#REF!</f>
        <v>#REF!</v>
      </c>
    </row>
    <row r="10" spans="1:11" x14ac:dyDescent="0.3">
      <c r="A10" s="93">
        <v>4</v>
      </c>
      <c r="B10" s="64">
        <v>42705</v>
      </c>
      <c r="C10" s="34" t="e">
        <f t="shared" ref="C10:C20" si="0">C9-($C$7*E10)</f>
        <v>#REF!</v>
      </c>
      <c r="D10" s="34" t="e">
        <f t="shared" ref="D10:D20" si="1">(C9+C10)/2*($D$7/12)</f>
        <v>#REF!</v>
      </c>
      <c r="E10" s="42" t="e">
        <f>'5 15 17 Forecast Usage by Sched'!#REF!</f>
        <v>#REF!</v>
      </c>
      <c r="F10" s="42"/>
      <c r="G10" s="93">
        <v>4</v>
      </c>
      <c r="H10" s="64">
        <v>42705</v>
      </c>
      <c r="I10" s="34" t="e">
        <f t="shared" ref="I10:I20" si="2">I9-($I$7*K10)</f>
        <v>#REF!</v>
      </c>
      <c r="J10" s="34" t="e">
        <f t="shared" ref="J10:J20" si="3">(I9+I10)/2*($J$7/12)</f>
        <v>#REF!</v>
      </c>
      <c r="K10" s="42" t="e">
        <f>'5 15 17 Forecast Usage by Sched'!#REF!</f>
        <v>#REF!</v>
      </c>
    </row>
    <row r="11" spans="1:11" x14ac:dyDescent="0.3">
      <c r="A11" s="93">
        <v>5</v>
      </c>
      <c r="B11" s="64">
        <v>42736</v>
      </c>
      <c r="C11" s="34" t="e">
        <f t="shared" si="0"/>
        <v>#REF!</v>
      </c>
      <c r="D11" s="34" t="e">
        <f t="shared" si="1"/>
        <v>#REF!</v>
      </c>
      <c r="E11" s="42" t="e">
        <f>'5 15 17 Forecast Usage by Sched'!#REF!</f>
        <v>#REF!</v>
      </c>
      <c r="F11" s="42"/>
      <c r="G11" s="93">
        <v>5</v>
      </c>
      <c r="H11" s="64">
        <v>42736</v>
      </c>
      <c r="I11" s="34" t="e">
        <f t="shared" si="2"/>
        <v>#REF!</v>
      </c>
      <c r="J11" s="34" t="e">
        <f t="shared" si="3"/>
        <v>#REF!</v>
      </c>
      <c r="K11" s="42" t="e">
        <f>'5 15 17 Forecast Usage by Sched'!#REF!</f>
        <v>#REF!</v>
      </c>
    </row>
    <row r="12" spans="1:11" x14ac:dyDescent="0.3">
      <c r="A12" s="93">
        <v>6</v>
      </c>
      <c r="B12" s="64">
        <v>42767</v>
      </c>
      <c r="C12" s="34" t="e">
        <f t="shared" si="0"/>
        <v>#REF!</v>
      </c>
      <c r="D12" s="34" t="e">
        <f t="shared" si="1"/>
        <v>#REF!</v>
      </c>
      <c r="E12" s="42" t="e">
        <f>'5 15 17 Forecast Usage by Sched'!#REF!</f>
        <v>#REF!</v>
      </c>
      <c r="F12" s="42"/>
      <c r="G12" s="93">
        <v>6</v>
      </c>
      <c r="H12" s="64">
        <v>42767</v>
      </c>
      <c r="I12" s="34" t="e">
        <f t="shared" si="2"/>
        <v>#REF!</v>
      </c>
      <c r="J12" s="34" t="e">
        <f t="shared" si="3"/>
        <v>#REF!</v>
      </c>
      <c r="K12" s="42" t="e">
        <f>'5 15 17 Forecast Usage by Sched'!#REF!</f>
        <v>#REF!</v>
      </c>
    </row>
    <row r="13" spans="1:11" x14ac:dyDescent="0.3">
      <c r="A13" s="93">
        <v>7</v>
      </c>
      <c r="B13" s="64">
        <v>42795</v>
      </c>
      <c r="C13" s="34" t="e">
        <f t="shared" si="0"/>
        <v>#REF!</v>
      </c>
      <c r="D13" s="34" t="e">
        <f t="shared" si="1"/>
        <v>#REF!</v>
      </c>
      <c r="E13" s="42" t="e">
        <f>'5 15 17 Forecast Usage by Sched'!#REF!</f>
        <v>#REF!</v>
      </c>
      <c r="F13" s="42"/>
      <c r="G13" s="93">
        <v>7</v>
      </c>
      <c r="H13" s="64">
        <v>42795</v>
      </c>
      <c r="I13" s="34" t="e">
        <f t="shared" si="2"/>
        <v>#REF!</v>
      </c>
      <c r="J13" s="34" t="e">
        <f t="shared" si="3"/>
        <v>#REF!</v>
      </c>
      <c r="K13" s="42" t="e">
        <f>'5 15 17 Forecast Usage by Sched'!#REF!</f>
        <v>#REF!</v>
      </c>
    </row>
    <row r="14" spans="1:11" x14ac:dyDescent="0.3">
      <c r="A14" s="93">
        <v>8</v>
      </c>
      <c r="B14" s="64">
        <v>42826</v>
      </c>
      <c r="C14" s="34" t="e">
        <f t="shared" si="0"/>
        <v>#REF!</v>
      </c>
      <c r="D14" s="34" t="e">
        <f t="shared" si="1"/>
        <v>#REF!</v>
      </c>
      <c r="E14" s="42" t="e">
        <f>'5 15 17 Forecast Usage by Sched'!#REF!</f>
        <v>#REF!</v>
      </c>
      <c r="F14" s="42"/>
      <c r="G14" s="93">
        <v>8</v>
      </c>
      <c r="H14" s="64">
        <v>42826</v>
      </c>
      <c r="I14" s="34" t="e">
        <f t="shared" si="2"/>
        <v>#REF!</v>
      </c>
      <c r="J14" s="34" t="e">
        <f t="shared" si="3"/>
        <v>#REF!</v>
      </c>
      <c r="K14" s="42" t="e">
        <f>'5 15 17 Forecast Usage by Sched'!#REF!</f>
        <v>#REF!</v>
      </c>
    </row>
    <row r="15" spans="1:11" x14ac:dyDescent="0.3">
      <c r="A15" s="93">
        <v>9</v>
      </c>
      <c r="B15" s="64">
        <v>42856</v>
      </c>
      <c r="C15" s="34" t="e">
        <f t="shared" si="0"/>
        <v>#REF!</v>
      </c>
      <c r="D15" s="34" t="e">
        <f t="shared" si="1"/>
        <v>#REF!</v>
      </c>
      <c r="E15" s="42" t="e">
        <f>'5 15 17 Forecast Usage by Sched'!#REF!</f>
        <v>#REF!</v>
      </c>
      <c r="F15" s="42"/>
      <c r="G15" s="93">
        <v>9</v>
      </c>
      <c r="H15" s="64">
        <v>42856</v>
      </c>
      <c r="I15" s="34" t="e">
        <f t="shared" si="2"/>
        <v>#REF!</v>
      </c>
      <c r="J15" s="34" t="e">
        <f t="shared" si="3"/>
        <v>#REF!</v>
      </c>
      <c r="K15" s="42" t="e">
        <f>'5 15 17 Forecast Usage by Sched'!#REF!</f>
        <v>#REF!</v>
      </c>
    </row>
    <row r="16" spans="1:11" x14ac:dyDescent="0.3">
      <c r="A16" s="93">
        <v>10</v>
      </c>
      <c r="B16" s="64">
        <v>42887</v>
      </c>
      <c r="C16" s="34" t="e">
        <f t="shared" si="0"/>
        <v>#REF!</v>
      </c>
      <c r="D16" s="34" t="e">
        <f t="shared" si="1"/>
        <v>#REF!</v>
      </c>
      <c r="E16" s="42" t="e">
        <f>'5 15 17 Forecast Usage by Sched'!#REF!</f>
        <v>#REF!</v>
      </c>
      <c r="F16" s="42"/>
      <c r="G16" s="93">
        <v>10</v>
      </c>
      <c r="H16" s="64">
        <v>42887</v>
      </c>
      <c r="I16" s="34" t="e">
        <f t="shared" si="2"/>
        <v>#REF!</v>
      </c>
      <c r="J16" s="34" t="e">
        <f t="shared" si="3"/>
        <v>#REF!</v>
      </c>
      <c r="K16" s="42" t="e">
        <f>'5 15 17 Forecast Usage by Sched'!#REF!</f>
        <v>#REF!</v>
      </c>
    </row>
    <row r="17" spans="1:11" x14ac:dyDescent="0.3">
      <c r="A17" s="93">
        <v>11</v>
      </c>
      <c r="B17" s="64">
        <v>42917</v>
      </c>
      <c r="C17" s="34" t="e">
        <f t="shared" si="0"/>
        <v>#REF!</v>
      </c>
      <c r="D17" s="34" t="e">
        <f t="shared" si="1"/>
        <v>#REF!</v>
      </c>
      <c r="E17" s="42" t="e">
        <f>'5 15 17 Forecast Usage by Sched'!#REF!</f>
        <v>#REF!</v>
      </c>
      <c r="F17" s="42"/>
      <c r="G17" s="93">
        <v>11</v>
      </c>
      <c r="H17" s="64">
        <v>42917</v>
      </c>
      <c r="I17" s="34" t="e">
        <f t="shared" si="2"/>
        <v>#REF!</v>
      </c>
      <c r="J17" s="34" t="e">
        <f t="shared" si="3"/>
        <v>#REF!</v>
      </c>
      <c r="K17" s="42" t="e">
        <f>'5 15 17 Forecast Usage by Sched'!#REF!</f>
        <v>#REF!</v>
      </c>
    </row>
    <row r="18" spans="1:11" x14ac:dyDescent="0.3">
      <c r="A18" s="93">
        <v>12</v>
      </c>
      <c r="B18" s="64">
        <v>42948</v>
      </c>
      <c r="C18" s="34" t="e">
        <f t="shared" si="0"/>
        <v>#REF!</v>
      </c>
      <c r="D18" s="34" t="e">
        <f t="shared" si="1"/>
        <v>#REF!</v>
      </c>
      <c r="E18" s="42" t="e">
        <f>'5 15 17 Forecast Usage by Sched'!#REF!</f>
        <v>#REF!</v>
      </c>
      <c r="F18" s="42"/>
      <c r="G18" s="93">
        <v>12</v>
      </c>
      <c r="H18" s="64">
        <v>42948</v>
      </c>
      <c r="I18" s="34" t="e">
        <f t="shared" si="2"/>
        <v>#REF!</v>
      </c>
      <c r="J18" s="34" t="e">
        <f t="shared" si="3"/>
        <v>#REF!</v>
      </c>
      <c r="K18" s="42" t="e">
        <f>'5 15 17 Forecast Usage by Sched'!#REF!</f>
        <v>#REF!</v>
      </c>
    </row>
    <row r="19" spans="1:11" x14ac:dyDescent="0.3">
      <c r="A19" s="93">
        <v>13</v>
      </c>
      <c r="B19" s="64">
        <v>42979</v>
      </c>
      <c r="C19" s="34" t="e">
        <f t="shared" si="0"/>
        <v>#REF!</v>
      </c>
      <c r="D19" s="34" t="e">
        <f t="shared" si="1"/>
        <v>#REF!</v>
      </c>
      <c r="E19" s="42" t="e">
        <f>'5 15 17 Forecast Usage by Sched'!#REF!</f>
        <v>#REF!</v>
      </c>
      <c r="F19" s="42"/>
      <c r="G19" s="93">
        <v>13</v>
      </c>
      <c r="H19" s="64">
        <v>42979</v>
      </c>
      <c r="I19" s="34" t="e">
        <f t="shared" si="2"/>
        <v>#REF!</v>
      </c>
      <c r="J19" s="34" t="e">
        <f t="shared" si="3"/>
        <v>#REF!</v>
      </c>
      <c r="K19" s="42" t="e">
        <f>'5 15 17 Forecast Usage by Sched'!#REF!</f>
        <v>#REF!</v>
      </c>
    </row>
    <row r="20" spans="1:11" x14ac:dyDescent="0.3">
      <c r="A20" s="93">
        <v>14</v>
      </c>
      <c r="B20" s="64">
        <v>43009</v>
      </c>
      <c r="C20" s="34" t="e">
        <f t="shared" si="0"/>
        <v>#REF!</v>
      </c>
      <c r="D20" s="34" t="e">
        <f t="shared" si="1"/>
        <v>#REF!</v>
      </c>
      <c r="E20" s="42" t="e">
        <f>'5 15 17 Forecast Usage by Sched'!#REF!</f>
        <v>#REF!</v>
      </c>
      <c r="F20" s="42"/>
      <c r="G20" s="93">
        <v>14</v>
      </c>
      <c r="H20" s="64">
        <v>43009</v>
      </c>
      <c r="I20" s="34" t="e">
        <f t="shared" si="2"/>
        <v>#REF!</v>
      </c>
      <c r="J20" s="34" t="e">
        <f t="shared" si="3"/>
        <v>#REF!</v>
      </c>
      <c r="K20" s="42" t="e">
        <f>'5 15 17 Forecast Usage by Sched'!#REF!</f>
        <v>#REF!</v>
      </c>
    </row>
    <row r="21" spans="1:11" x14ac:dyDescent="0.3">
      <c r="B21" s="35"/>
      <c r="C21" s="35"/>
      <c r="D21" s="35"/>
      <c r="E21" s="35"/>
      <c r="F21" s="35"/>
      <c r="G21" s="93"/>
      <c r="H21" s="35"/>
      <c r="I21" s="35"/>
      <c r="J21" s="35"/>
      <c r="K21" s="35"/>
    </row>
    <row r="22" spans="1:11" x14ac:dyDescent="0.3">
      <c r="A22" s="93">
        <v>15</v>
      </c>
      <c r="B22" s="35" t="s">
        <v>6</v>
      </c>
      <c r="C22" s="35"/>
      <c r="D22" s="34" t="e">
        <f>SUM(D9:D21)</f>
        <v>#REF!</v>
      </c>
      <c r="E22" s="43" t="e">
        <f>SUM(E9:E21)</f>
        <v>#REF!</v>
      </c>
      <c r="F22" s="43"/>
      <c r="G22" s="93">
        <v>15</v>
      </c>
      <c r="H22" s="35" t="s">
        <v>6</v>
      </c>
      <c r="I22" s="35"/>
      <c r="J22" s="34" t="e">
        <f>SUM(J9:J21)</f>
        <v>#REF!</v>
      </c>
      <c r="K22" s="43" t="e">
        <f>SUM(K9:K21)</f>
        <v>#REF!</v>
      </c>
    </row>
    <row r="23" spans="1:11" x14ac:dyDescent="0.3">
      <c r="B23" s="35"/>
      <c r="C23" s="35"/>
      <c r="D23" s="34"/>
      <c r="E23" s="43"/>
      <c r="F23" s="43"/>
      <c r="G23" s="93"/>
      <c r="H23" s="35"/>
      <c r="I23" s="35"/>
      <c r="J23" s="34"/>
      <c r="K23" s="43"/>
    </row>
    <row r="24" spans="1:11" ht="28.2" customHeight="1" x14ac:dyDescent="0.3">
      <c r="A24" s="93">
        <v>16</v>
      </c>
      <c r="B24" s="135" t="s">
        <v>10</v>
      </c>
      <c r="C24" s="135"/>
      <c r="D24" s="36" t="e">
        <f>ROUND(D22/E22,5)</f>
        <v>#REF!</v>
      </c>
      <c r="E24" s="43"/>
      <c r="F24" s="43"/>
      <c r="G24" s="93">
        <v>16</v>
      </c>
      <c r="H24" s="135" t="s">
        <v>10</v>
      </c>
      <c r="I24" s="135"/>
      <c r="J24" s="36" t="e">
        <f>ROUND(J22/K22,5)</f>
        <v>#REF!</v>
      </c>
      <c r="K24" s="43"/>
    </row>
    <row r="25" spans="1:11" ht="28.2" customHeight="1" x14ac:dyDescent="0.3">
      <c r="A25" s="93">
        <v>17</v>
      </c>
      <c r="B25" s="135" t="s">
        <v>11</v>
      </c>
      <c r="C25" s="135"/>
      <c r="D25" s="36" t="e">
        <f>C7</f>
        <v>#REF!</v>
      </c>
      <c r="E25" s="43"/>
      <c r="F25" s="43"/>
      <c r="G25" s="93">
        <v>17</v>
      </c>
      <c r="H25" s="135" t="s">
        <v>11</v>
      </c>
      <c r="I25" s="135"/>
      <c r="J25" s="36" t="e">
        <f>I7</f>
        <v>#REF!</v>
      </c>
      <c r="K25" s="43"/>
    </row>
    <row r="26" spans="1:11" ht="28.8" customHeight="1" x14ac:dyDescent="0.3">
      <c r="A26" s="93">
        <v>18</v>
      </c>
      <c r="B26" s="135" t="s">
        <v>12</v>
      </c>
      <c r="C26" s="135"/>
      <c r="D26" s="36" t="e">
        <f>D24+D25</f>
        <v>#REF!</v>
      </c>
      <c r="E26" s="44"/>
      <c r="F26" s="44"/>
      <c r="G26" s="93">
        <v>18</v>
      </c>
      <c r="H26" s="135" t="s">
        <v>12</v>
      </c>
      <c r="I26" s="135"/>
      <c r="J26" s="36" t="e">
        <f>J24+J25</f>
        <v>#REF!</v>
      </c>
      <c r="K26" s="44"/>
    </row>
    <row r="27" spans="1:11" ht="28.8" customHeight="1" x14ac:dyDescent="0.3">
      <c r="A27" s="93">
        <v>19</v>
      </c>
      <c r="B27" s="136" t="s">
        <v>13</v>
      </c>
      <c r="C27" s="136"/>
      <c r="D27" s="37" t="e">
        <f>'Conversion Factors'!#REF!</f>
        <v>#REF!</v>
      </c>
      <c r="E27" s="43"/>
      <c r="F27" s="43"/>
      <c r="G27" s="93">
        <v>19</v>
      </c>
      <c r="H27" s="136" t="s">
        <v>13</v>
      </c>
      <c r="I27" s="136"/>
      <c r="J27" s="37" t="e">
        <f>D27</f>
        <v>#REF!</v>
      </c>
      <c r="K27" s="43"/>
    </row>
    <row r="28" spans="1:11" ht="30" customHeight="1" x14ac:dyDescent="0.3">
      <c r="A28" s="93">
        <v>20</v>
      </c>
      <c r="B28" s="35" t="s">
        <v>89</v>
      </c>
      <c r="C28" s="35"/>
      <c r="D28" s="36" t="e">
        <f>ROUND(D26*D27,5)</f>
        <v>#REF!</v>
      </c>
      <c r="E28" s="43"/>
      <c r="F28" s="43"/>
      <c r="G28" s="93">
        <v>20</v>
      </c>
      <c r="H28" s="35" t="s">
        <v>89</v>
      </c>
      <c r="I28" s="35"/>
      <c r="J28" s="36" t="e">
        <f>ROUND(J26*J27,5)</f>
        <v>#REF!</v>
      </c>
      <c r="K28" s="43"/>
    </row>
    <row r="29" spans="1:11" ht="27.6" customHeight="1" x14ac:dyDescent="0.3">
      <c r="A29" s="93">
        <v>21</v>
      </c>
      <c r="B29" s="35" t="s">
        <v>77</v>
      </c>
      <c r="C29" s="35"/>
      <c r="D29" s="36" t="e">
        <f>'Earnings Test and 3% Test'!#REF!</f>
        <v>#REF!</v>
      </c>
      <c r="E29" s="43"/>
      <c r="F29" s="43"/>
      <c r="G29" s="93">
        <v>21</v>
      </c>
      <c r="H29" s="35" t="s">
        <v>77</v>
      </c>
      <c r="I29" s="35"/>
      <c r="J29" s="36" t="e">
        <f>'Earnings Test and 3% Test'!#REF!</f>
        <v>#REF!</v>
      </c>
      <c r="K29" s="43"/>
    </row>
    <row r="30" spans="1:11" ht="27.6" customHeight="1" x14ac:dyDescent="0.3">
      <c r="A30" s="93">
        <v>22</v>
      </c>
      <c r="B30" s="35" t="s">
        <v>78</v>
      </c>
      <c r="C30" s="35"/>
      <c r="D30" s="36" t="e">
        <f>D28+D29</f>
        <v>#REF!</v>
      </c>
      <c r="E30" s="43" t="s">
        <v>15</v>
      </c>
      <c r="F30" s="43"/>
      <c r="G30" s="93">
        <v>22</v>
      </c>
      <c r="H30" s="35" t="s">
        <v>78</v>
      </c>
      <c r="I30" s="35"/>
      <c r="J30" s="36" t="e">
        <f>J28+J29</f>
        <v>#REF!</v>
      </c>
      <c r="K30" s="43" t="s">
        <v>67</v>
      </c>
    </row>
    <row r="31" spans="1:11" ht="28.2" customHeight="1" x14ac:dyDescent="0.3">
      <c r="A31" s="93">
        <v>23</v>
      </c>
      <c r="B31" s="35"/>
      <c r="C31" s="39" t="s">
        <v>85</v>
      </c>
      <c r="D31" s="36" t="e">
        <f>ROUND(D30*'Conversion Factors'!$E$108,5)</f>
        <v>#REF!</v>
      </c>
      <c r="E31" s="43" t="s">
        <v>14</v>
      </c>
      <c r="F31" s="43"/>
      <c r="G31" s="93">
        <v>23</v>
      </c>
      <c r="H31" s="35"/>
      <c r="I31" s="39" t="s">
        <v>85</v>
      </c>
      <c r="J31" s="36" t="e">
        <f>ROUND(J30*'Conversion Factors'!$E$108,5)</f>
        <v>#REF!</v>
      </c>
      <c r="K31" s="43" t="s">
        <v>14</v>
      </c>
    </row>
    <row r="32" spans="1:11" ht="29.4" customHeight="1" x14ac:dyDescent="0.3">
      <c r="A32" s="93">
        <v>24</v>
      </c>
      <c r="B32" s="35" t="s">
        <v>88</v>
      </c>
      <c r="C32" s="35"/>
      <c r="D32" s="34" t="e">
        <f>IF(D29=0,0,C70)</f>
        <v>#REF!</v>
      </c>
      <c r="E32" s="43"/>
      <c r="F32" s="43"/>
      <c r="G32" s="93">
        <v>24</v>
      </c>
      <c r="H32" s="35" t="s">
        <v>88</v>
      </c>
      <c r="I32" s="35"/>
      <c r="J32" s="34" t="e">
        <f>IF(J29=0,0,I70)</f>
        <v>#REF!</v>
      </c>
      <c r="K32" s="43"/>
    </row>
    <row r="33" spans="1:11" ht="18" customHeight="1" x14ac:dyDescent="0.3">
      <c r="B33" s="35"/>
      <c r="C33" s="35"/>
      <c r="D33" s="45"/>
      <c r="E33" s="35"/>
      <c r="F33" s="35"/>
      <c r="G33" s="35"/>
      <c r="H33" s="136"/>
      <c r="I33" s="136"/>
      <c r="J33" s="45"/>
      <c r="K33" s="35"/>
    </row>
    <row r="34" spans="1:11" ht="16.2" customHeight="1" x14ac:dyDescent="0.3">
      <c r="A34" s="65" t="s">
        <v>80</v>
      </c>
      <c r="B34" s="65"/>
      <c r="C34" s="35"/>
      <c r="D34" s="45"/>
      <c r="E34" s="35"/>
      <c r="F34" s="35"/>
      <c r="G34" s="65" t="s">
        <v>80</v>
      </c>
      <c r="H34" s="65"/>
      <c r="I34" s="35"/>
      <c r="J34" s="45"/>
      <c r="K34" s="35"/>
    </row>
    <row r="35" spans="1:11" ht="46.8" customHeight="1" x14ac:dyDescent="0.3">
      <c r="A35" s="102" t="s">
        <v>122</v>
      </c>
      <c r="B35" s="137" t="e">
        <f>"Deferral balance at the end of the month, Rate of "&amp;TEXT(D25,"$0.00000")&amp;" to recover the October 2016 balance of "&amp;TEXT(C8,"$000,000")&amp;" over 12 months.  See page 2 of Attachment A for October 2016 balance calculation."</f>
        <v>#REF!</v>
      </c>
      <c r="C35" s="137"/>
      <c r="D35" s="137"/>
      <c r="E35" s="137"/>
      <c r="F35" s="35"/>
      <c r="G35" s="102" t="s">
        <v>122</v>
      </c>
      <c r="H35" s="137" t="e">
        <f>"Deferral balance at the end of the month, Rate of "&amp;TEXT(J25,"$0.00000")&amp;" to recover the October 2016 balance of "&amp;TEXT(I8,"$000,000")&amp;" over 12 months.  See page 4 of Attachment A for October 2016 balance calculation."</f>
        <v>#REF!</v>
      </c>
      <c r="I35" s="137"/>
      <c r="J35" s="137"/>
      <c r="K35" s="137"/>
    </row>
    <row r="36" spans="1:11" ht="32.4" customHeight="1" x14ac:dyDescent="0.3">
      <c r="A36" s="102" t="s">
        <v>123</v>
      </c>
      <c r="B36" s="137" t="s">
        <v>124</v>
      </c>
      <c r="C36" s="137"/>
      <c r="D36" s="137"/>
      <c r="E36" s="137"/>
      <c r="F36" s="35"/>
      <c r="G36" s="102" t="s">
        <v>123</v>
      </c>
      <c r="H36" s="137" t="s">
        <v>124</v>
      </c>
      <c r="I36" s="137"/>
      <c r="J36" s="137"/>
      <c r="K36" s="137"/>
    </row>
    <row r="37" spans="1:11" ht="15.6" customHeight="1" x14ac:dyDescent="0.3">
      <c r="B37" s="69" t="s">
        <v>86</v>
      </c>
      <c r="C37" s="70"/>
      <c r="D37" s="70"/>
      <c r="E37" s="70"/>
      <c r="F37" s="35"/>
      <c r="H37" s="69" t="s">
        <v>86</v>
      </c>
      <c r="I37" s="98"/>
      <c r="J37" s="98"/>
      <c r="K37" s="98"/>
    </row>
    <row r="38" spans="1:11" ht="18" customHeight="1" x14ac:dyDescent="0.3">
      <c r="A38" s="102" t="s">
        <v>125</v>
      </c>
      <c r="B38" s="138" t="s">
        <v>128</v>
      </c>
      <c r="C38" s="138"/>
      <c r="D38" s="138"/>
      <c r="E38" s="138"/>
      <c r="F38" s="35"/>
      <c r="G38" s="102" t="s">
        <v>125</v>
      </c>
      <c r="H38" s="138" t="s">
        <v>128</v>
      </c>
      <c r="I38" s="138"/>
      <c r="J38" s="138"/>
      <c r="K38" s="138"/>
    </row>
    <row r="39" spans="1:11" ht="18" customHeight="1" x14ac:dyDescent="0.3">
      <c r="A39" s="102" t="s">
        <v>126</v>
      </c>
      <c r="B39" s="138" t="s">
        <v>129</v>
      </c>
      <c r="C39" s="138"/>
      <c r="D39" s="138"/>
      <c r="E39" s="138"/>
      <c r="F39" s="35"/>
      <c r="G39" s="102" t="s">
        <v>126</v>
      </c>
      <c r="H39" s="138" t="s">
        <v>129</v>
      </c>
      <c r="I39" s="138"/>
      <c r="J39" s="138"/>
      <c r="K39" s="138"/>
    </row>
    <row r="40" spans="1:11" ht="18" customHeight="1" x14ac:dyDescent="0.3">
      <c r="A40" s="102" t="s">
        <v>127</v>
      </c>
      <c r="B40" s="138" t="s">
        <v>130</v>
      </c>
      <c r="C40" s="138"/>
      <c r="D40" s="138"/>
      <c r="E40" s="138"/>
      <c r="F40" s="35"/>
      <c r="G40" s="102" t="s">
        <v>127</v>
      </c>
      <c r="H40" s="138" t="s">
        <v>130</v>
      </c>
      <c r="I40" s="138"/>
      <c r="J40" s="138"/>
      <c r="K40" s="138"/>
    </row>
    <row r="41" spans="1:11" ht="14.4" customHeight="1" x14ac:dyDescent="0.3">
      <c r="B41" s="73"/>
      <c r="C41" s="73"/>
      <c r="D41" s="45"/>
      <c r="E41" s="35"/>
      <c r="F41" s="35"/>
      <c r="G41" s="35"/>
      <c r="H41" s="73"/>
      <c r="I41" s="73"/>
      <c r="J41" s="45"/>
      <c r="K41" s="35"/>
    </row>
    <row r="42" spans="1:11" ht="27.6" customHeight="1" x14ac:dyDescent="0.3">
      <c r="B42" s="141" t="str">
        <f>B5</f>
        <v>Residential Electric</v>
      </c>
      <c r="C42" s="141"/>
      <c r="D42" s="141"/>
      <c r="E42" s="141"/>
      <c r="F42" s="71"/>
      <c r="G42" s="35"/>
      <c r="H42" s="141" t="str">
        <f>H5</f>
        <v>Non-Residential Electric</v>
      </c>
      <c r="I42" s="141"/>
      <c r="J42" s="141"/>
      <c r="K42" s="141"/>
    </row>
    <row r="43" spans="1:11" x14ac:dyDescent="0.3">
      <c r="B43" s="140" t="s">
        <v>82</v>
      </c>
      <c r="C43" s="140"/>
      <c r="D43" s="140"/>
      <c r="E43" s="140"/>
      <c r="F43" s="35"/>
      <c r="G43" s="35"/>
      <c r="H43" s="140" t="s">
        <v>82</v>
      </c>
      <c r="I43" s="140"/>
      <c r="J43" s="140"/>
      <c r="K43" s="140"/>
    </row>
    <row r="44" spans="1:11" ht="27.6" customHeight="1" x14ac:dyDescent="0.3">
      <c r="A44" s="94" t="s">
        <v>114</v>
      </c>
      <c r="B44" s="35"/>
      <c r="C44" s="71" t="s">
        <v>9</v>
      </c>
      <c r="D44" s="71" t="s">
        <v>4</v>
      </c>
      <c r="E44" s="72" t="s">
        <v>84</v>
      </c>
      <c r="F44" s="35"/>
      <c r="G44" s="94" t="s">
        <v>114</v>
      </c>
      <c r="H44" s="35"/>
      <c r="I44" s="71" t="s">
        <v>9</v>
      </c>
      <c r="J44" s="71" t="s">
        <v>4</v>
      </c>
      <c r="K44" s="74" t="s">
        <v>84</v>
      </c>
    </row>
    <row r="45" spans="1:11" ht="43.2" x14ac:dyDescent="0.3">
      <c r="B45" s="35"/>
      <c r="C45" s="35"/>
      <c r="D45" s="68" t="s">
        <v>112</v>
      </c>
      <c r="E45" s="35"/>
      <c r="F45" s="35"/>
      <c r="G45" s="35"/>
      <c r="H45" s="35"/>
      <c r="I45" s="35"/>
      <c r="J45" s="68" t="str">
        <f>D45</f>
        <v>3.25% Q1 2016 3.46% Q2 2016  3.50% Q3 2016</v>
      </c>
      <c r="K45" s="35"/>
    </row>
    <row r="46" spans="1:11" x14ac:dyDescent="0.3">
      <c r="A46" s="95">
        <v>1</v>
      </c>
      <c r="B46" s="64">
        <v>42339</v>
      </c>
      <c r="C46" s="34">
        <v>7167748</v>
      </c>
      <c r="D46" s="35"/>
      <c r="E46" s="35"/>
      <c r="F46" s="35"/>
      <c r="G46" s="95">
        <v>1</v>
      </c>
      <c r="H46" s="64">
        <v>42339</v>
      </c>
      <c r="I46" s="34">
        <v>-2373472</v>
      </c>
      <c r="J46" s="35"/>
      <c r="K46" s="35"/>
    </row>
    <row r="47" spans="1:11" x14ac:dyDescent="0.3">
      <c r="A47" s="95">
        <v>2</v>
      </c>
      <c r="B47" s="64" t="s">
        <v>93</v>
      </c>
      <c r="C47" s="34" t="e">
        <f>-'Earnings Test and 3% Test'!#REF!</f>
        <v>#REF!</v>
      </c>
      <c r="D47" s="35"/>
      <c r="E47" s="35"/>
      <c r="F47" s="35"/>
      <c r="G47" s="95">
        <v>2</v>
      </c>
      <c r="H47" s="64" t="s">
        <v>93</v>
      </c>
      <c r="I47" s="34" t="e">
        <f>-'Earnings Test and 3% Test'!#REF!</f>
        <v>#REF!</v>
      </c>
      <c r="J47" s="35"/>
      <c r="K47" s="35"/>
    </row>
    <row r="48" spans="1:11" x14ac:dyDescent="0.3">
      <c r="A48" s="95">
        <v>3</v>
      </c>
      <c r="B48" s="64" t="s">
        <v>94</v>
      </c>
      <c r="C48" s="34" t="e">
        <f>C46+C47</f>
        <v>#REF!</v>
      </c>
      <c r="D48" s="35"/>
      <c r="E48" s="35"/>
      <c r="F48" s="35"/>
      <c r="G48" s="95">
        <v>3</v>
      </c>
      <c r="H48" s="64" t="s">
        <v>94</v>
      </c>
      <c r="I48" s="34" t="e">
        <f>I46+I47</f>
        <v>#REF!</v>
      </c>
      <c r="J48" s="35"/>
      <c r="K48" s="35"/>
    </row>
    <row r="49" spans="1:11" x14ac:dyDescent="0.3">
      <c r="A49" s="95">
        <v>4</v>
      </c>
      <c r="B49" s="64">
        <v>42370</v>
      </c>
      <c r="C49" s="34" t="e">
        <f>C48+D49-E49</f>
        <v>#REF!</v>
      </c>
      <c r="D49" s="34" t="e">
        <f>(C48-E49/2)*0.0325/12</f>
        <v>#REF!</v>
      </c>
      <c r="E49" s="35"/>
      <c r="F49" s="35"/>
      <c r="G49" s="95">
        <v>4</v>
      </c>
      <c r="H49" s="64">
        <v>42370</v>
      </c>
      <c r="I49" s="34" t="e">
        <f>I48+J49-K49</f>
        <v>#REF!</v>
      </c>
      <c r="J49" s="34" t="e">
        <f>(I48-K49/2)*0.0325/12</f>
        <v>#REF!</v>
      </c>
      <c r="K49" s="35"/>
    </row>
    <row r="50" spans="1:11" x14ac:dyDescent="0.3">
      <c r="A50" s="95">
        <v>5</v>
      </c>
      <c r="B50" s="64">
        <v>42401</v>
      </c>
      <c r="C50" s="34" t="e">
        <f t="shared" ref="C50:C58" si="4">C49+D50-E50</f>
        <v>#REF!</v>
      </c>
      <c r="D50" s="34" t="e">
        <f>(C49-E50/2)*0.0325/12</f>
        <v>#REF!</v>
      </c>
      <c r="E50" s="35"/>
      <c r="F50" s="35"/>
      <c r="G50" s="95">
        <v>5</v>
      </c>
      <c r="H50" s="64">
        <v>42401</v>
      </c>
      <c r="I50" s="34" t="e">
        <f t="shared" ref="I50:I58" si="5">I49+J50-K50</f>
        <v>#REF!</v>
      </c>
      <c r="J50" s="34" t="e">
        <f t="shared" ref="J50:J51" si="6">(I49-K50/2)*0.0325/12</f>
        <v>#REF!</v>
      </c>
      <c r="K50" s="35"/>
    </row>
    <row r="51" spans="1:11" x14ac:dyDescent="0.3">
      <c r="A51" s="95">
        <v>6</v>
      </c>
      <c r="B51" s="64">
        <v>42430</v>
      </c>
      <c r="C51" s="34" t="e">
        <f t="shared" si="4"/>
        <v>#REF!</v>
      </c>
      <c r="D51" s="34" t="e">
        <f t="shared" ref="D51" si="7">(C50-E51/2)*0.0325/12</f>
        <v>#REF!</v>
      </c>
      <c r="E51" s="35"/>
      <c r="F51" s="35"/>
      <c r="G51" s="95">
        <v>6</v>
      </c>
      <c r="H51" s="64">
        <v>42430</v>
      </c>
      <c r="I51" s="34" t="e">
        <f t="shared" si="5"/>
        <v>#REF!</v>
      </c>
      <c r="J51" s="34" t="e">
        <f t="shared" si="6"/>
        <v>#REF!</v>
      </c>
      <c r="K51" s="35"/>
    </row>
    <row r="52" spans="1:11" x14ac:dyDescent="0.3">
      <c r="A52" s="95">
        <v>7</v>
      </c>
      <c r="B52" s="64">
        <v>42461</v>
      </c>
      <c r="C52" s="34" t="e">
        <f t="shared" si="4"/>
        <v>#REF!</v>
      </c>
      <c r="D52" s="34" t="e">
        <f>(C51-E52/2)*0.0346/12</f>
        <v>#REF!</v>
      </c>
      <c r="E52" s="35"/>
      <c r="F52" s="35"/>
      <c r="G52" s="95">
        <v>7</v>
      </c>
      <c r="H52" s="64">
        <v>42461</v>
      </c>
      <c r="I52" s="34" t="e">
        <f t="shared" si="5"/>
        <v>#REF!</v>
      </c>
      <c r="J52" s="34" t="e">
        <f>(I51-K52/2)*0.0346/12</f>
        <v>#REF!</v>
      </c>
      <c r="K52" s="35"/>
    </row>
    <row r="53" spans="1:11" x14ac:dyDescent="0.3">
      <c r="A53" s="95">
        <v>8</v>
      </c>
      <c r="B53" s="64">
        <v>42491</v>
      </c>
      <c r="C53" s="34" t="e">
        <f t="shared" si="4"/>
        <v>#REF!</v>
      </c>
      <c r="D53" s="34" t="e">
        <f t="shared" ref="D53:D54" si="8">(C52-E53/2)*0.0346/12</f>
        <v>#REF!</v>
      </c>
      <c r="E53" s="35"/>
      <c r="F53" s="35"/>
      <c r="G53" s="95">
        <v>8</v>
      </c>
      <c r="H53" s="64">
        <v>42491</v>
      </c>
      <c r="I53" s="34" t="e">
        <f t="shared" si="5"/>
        <v>#REF!</v>
      </c>
      <c r="J53" s="34" t="e">
        <f t="shared" ref="J53:J54" si="9">(I52-K53/2)*0.0346/12</f>
        <v>#REF!</v>
      </c>
      <c r="K53" s="35"/>
    </row>
    <row r="54" spans="1:11" x14ac:dyDescent="0.3">
      <c r="A54" s="95">
        <v>9</v>
      </c>
      <c r="B54" s="64">
        <v>42522</v>
      </c>
      <c r="C54" s="34" t="e">
        <f t="shared" si="4"/>
        <v>#REF!</v>
      </c>
      <c r="D54" s="34" t="e">
        <f t="shared" si="8"/>
        <v>#REF!</v>
      </c>
      <c r="E54" s="35"/>
      <c r="F54" s="35"/>
      <c r="G54" s="95">
        <v>9</v>
      </c>
      <c r="H54" s="64">
        <v>42522</v>
      </c>
      <c r="I54" s="34" t="e">
        <f t="shared" si="5"/>
        <v>#REF!</v>
      </c>
      <c r="J54" s="34" t="e">
        <f t="shared" si="9"/>
        <v>#REF!</v>
      </c>
      <c r="K54" s="35"/>
    </row>
    <row r="55" spans="1:11" x14ac:dyDescent="0.3">
      <c r="A55" s="95">
        <v>10</v>
      </c>
      <c r="B55" s="64">
        <v>42552</v>
      </c>
      <c r="C55" s="34" t="e">
        <f t="shared" si="4"/>
        <v>#REF!</v>
      </c>
      <c r="D55" s="34" t="e">
        <f>(C54-E55/2)*0.035/12</f>
        <v>#REF!</v>
      </c>
      <c r="E55" s="35"/>
      <c r="F55" s="35"/>
      <c r="G55" s="95">
        <v>10</v>
      </c>
      <c r="H55" s="64">
        <v>42552</v>
      </c>
      <c r="I55" s="34" t="e">
        <f t="shared" si="5"/>
        <v>#REF!</v>
      </c>
      <c r="J55" s="34" t="e">
        <f>(I54-K55/2)*0.035/12</f>
        <v>#REF!</v>
      </c>
      <c r="K55" s="35"/>
    </row>
    <row r="56" spans="1:11" x14ac:dyDescent="0.3">
      <c r="A56" s="95">
        <v>11</v>
      </c>
      <c r="B56" s="64">
        <v>42583</v>
      </c>
      <c r="C56" s="34" t="e">
        <f t="shared" si="4"/>
        <v>#REF!</v>
      </c>
      <c r="D56" s="34" t="e">
        <f t="shared" ref="D56:D70" si="10">(C55-E56/2)*0.035/12</f>
        <v>#REF!</v>
      </c>
      <c r="E56" s="35"/>
      <c r="F56" s="35"/>
      <c r="G56" s="95">
        <v>11</v>
      </c>
      <c r="H56" s="64">
        <v>42583</v>
      </c>
      <c r="I56" s="34" t="e">
        <f t="shared" si="5"/>
        <v>#REF!</v>
      </c>
      <c r="J56" s="34" t="e">
        <f t="shared" ref="J56:J70" si="11">(I55-K56/2)*0.035/12</f>
        <v>#REF!</v>
      </c>
      <c r="K56" s="35"/>
    </row>
    <row r="57" spans="1:11" x14ac:dyDescent="0.3">
      <c r="A57" s="95">
        <v>12</v>
      </c>
      <c r="B57" s="64">
        <v>42614</v>
      </c>
      <c r="C57" s="34" t="e">
        <f t="shared" si="4"/>
        <v>#REF!</v>
      </c>
      <c r="D57" s="34" t="e">
        <f t="shared" si="10"/>
        <v>#REF!</v>
      </c>
      <c r="E57" s="35"/>
      <c r="F57" s="35"/>
      <c r="G57" s="95">
        <v>12</v>
      </c>
      <c r="H57" s="64">
        <v>42614</v>
      </c>
      <c r="I57" s="34" t="e">
        <f t="shared" si="5"/>
        <v>#REF!</v>
      </c>
      <c r="J57" s="34" t="e">
        <f t="shared" si="11"/>
        <v>#REF!</v>
      </c>
      <c r="K57" s="35"/>
    </row>
    <row r="58" spans="1:11" x14ac:dyDescent="0.3">
      <c r="A58" s="95">
        <v>13</v>
      </c>
      <c r="B58" s="66">
        <v>42644</v>
      </c>
      <c r="C58" s="67" t="e">
        <f t="shared" si="4"/>
        <v>#REF!</v>
      </c>
      <c r="D58" s="34" t="e">
        <f t="shared" si="10"/>
        <v>#REF!</v>
      </c>
      <c r="E58" s="35"/>
      <c r="F58" s="35"/>
      <c r="G58" s="95">
        <v>13</v>
      </c>
      <c r="H58" s="66">
        <v>42644</v>
      </c>
      <c r="I58" s="67" t="e">
        <f t="shared" si="5"/>
        <v>#REF!</v>
      </c>
      <c r="J58" s="34" t="e">
        <f t="shared" si="11"/>
        <v>#REF!</v>
      </c>
      <c r="K58" s="35"/>
    </row>
    <row r="59" spans="1:11" x14ac:dyDescent="0.3">
      <c r="A59" s="95">
        <v>14</v>
      </c>
      <c r="B59" s="64">
        <v>42675</v>
      </c>
      <c r="C59" s="34" t="e">
        <f>C58+D59-E59</f>
        <v>#REF!</v>
      </c>
      <c r="D59" s="34" t="e">
        <f t="shared" si="10"/>
        <v>#REF!</v>
      </c>
      <c r="E59" s="34" t="e">
        <f t="shared" ref="E59:E70" si="12">E9*D$31</f>
        <v>#REF!</v>
      </c>
      <c r="F59" s="35"/>
      <c r="G59" s="95">
        <v>14</v>
      </c>
      <c r="H59" s="64">
        <v>42675</v>
      </c>
      <c r="I59" s="34" t="e">
        <f>I58+J59-K59</f>
        <v>#REF!</v>
      </c>
      <c r="J59" s="34" t="e">
        <f t="shared" si="11"/>
        <v>#REF!</v>
      </c>
      <c r="K59" s="34" t="e">
        <f>K9*J$31</f>
        <v>#REF!</v>
      </c>
    </row>
    <row r="60" spans="1:11" x14ac:dyDescent="0.3">
      <c r="A60" s="95">
        <v>15</v>
      </c>
      <c r="B60" s="64">
        <v>42705</v>
      </c>
      <c r="C60" s="34" t="e">
        <f t="shared" ref="C60:C70" si="13">C59+D60-E60</f>
        <v>#REF!</v>
      </c>
      <c r="D60" s="34" t="e">
        <f t="shared" si="10"/>
        <v>#REF!</v>
      </c>
      <c r="E60" s="34" t="e">
        <f t="shared" si="12"/>
        <v>#REF!</v>
      </c>
      <c r="G60" s="95">
        <v>15</v>
      </c>
      <c r="H60" s="64">
        <v>42705</v>
      </c>
      <c r="I60" s="34" t="e">
        <f t="shared" ref="I60:I70" si="14">I59+J60-K60</f>
        <v>#REF!</v>
      </c>
      <c r="J60" s="34" t="e">
        <f t="shared" si="11"/>
        <v>#REF!</v>
      </c>
      <c r="K60" s="34" t="e">
        <f t="shared" ref="K60:K70" si="15">K10*J$31</f>
        <v>#REF!</v>
      </c>
    </row>
    <row r="61" spans="1:11" ht="14.4" customHeight="1" x14ac:dyDescent="0.3">
      <c r="A61" s="95">
        <v>16</v>
      </c>
      <c r="B61" s="64">
        <v>42736</v>
      </c>
      <c r="C61" s="34" t="e">
        <f t="shared" si="13"/>
        <v>#REF!</v>
      </c>
      <c r="D61" s="34" t="e">
        <f t="shared" si="10"/>
        <v>#REF!</v>
      </c>
      <c r="E61" s="34" t="e">
        <f t="shared" si="12"/>
        <v>#REF!</v>
      </c>
      <c r="G61" s="95">
        <v>16</v>
      </c>
      <c r="H61" s="64">
        <v>42736</v>
      </c>
      <c r="I61" s="34" t="e">
        <f t="shared" si="14"/>
        <v>#REF!</v>
      </c>
      <c r="J61" s="34" t="e">
        <f t="shared" si="11"/>
        <v>#REF!</v>
      </c>
      <c r="K61" s="34" t="e">
        <f t="shared" si="15"/>
        <v>#REF!</v>
      </c>
    </row>
    <row r="62" spans="1:11" x14ac:dyDescent="0.3">
      <c r="A62" s="95">
        <v>17</v>
      </c>
      <c r="B62" s="64">
        <v>42767</v>
      </c>
      <c r="C62" s="34" t="e">
        <f t="shared" si="13"/>
        <v>#REF!</v>
      </c>
      <c r="D62" s="34" t="e">
        <f t="shared" si="10"/>
        <v>#REF!</v>
      </c>
      <c r="E62" s="34" t="e">
        <f t="shared" si="12"/>
        <v>#REF!</v>
      </c>
      <c r="G62" s="95">
        <v>17</v>
      </c>
      <c r="H62" s="64">
        <v>42767</v>
      </c>
      <c r="I62" s="34" t="e">
        <f t="shared" si="14"/>
        <v>#REF!</v>
      </c>
      <c r="J62" s="34" t="e">
        <f t="shared" si="11"/>
        <v>#REF!</v>
      </c>
      <c r="K62" s="34" t="e">
        <f t="shared" si="15"/>
        <v>#REF!</v>
      </c>
    </row>
    <row r="63" spans="1:11" x14ac:dyDescent="0.3">
      <c r="A63" s="95">
        <v>18</v>
      </c>
      <c r="B63" s="64">
        <v>42795</v>
      </c>
      <c r="C63" s="34" t="e">
        <f t="shared" si="13"/>
        <v>#REF!</v>
      </c>
      <c r="D63" s="34" t="e">
        <f t="shared" si="10"/>
        <v>#REF!</v>
      </c>
      <c r="E63" s="34" t="e">
        <f t="shared" si="12"/>
        <v>#REF!</v>
      </c>
      <c r="G63" s="95">
        <v>18</v>
      </c>
      <c r="H63" s="64">
        <v>42795</v>
      </c>
      <c r="I63" s="34" t="e">
        <f t="shared" si="14"/>
        <v>#REF!</v>
      </c>
      <c r="J63" s="34" t="e">
        <f t="shared" si="11"/>
        <v>#REF!</v>
      </c>
      <c r="K63" s="34" t="e">
        <f t="shared" si="15"/>
        <v>#REF!</v>
      </c>
    </row>
    <row r="64" spans="1:11" x14ac:dyDescent="0.3">
      <c r="A64" s="95">
        <v>19</v>
      </c>
      <c r="B64" s="64">
        <v>42826</v>
      </c>
      <c r="C64" s="34" t="e">
        <f t="shared" si="13"/>
        <v>#REF!</v>
      </c>
      <c r="D64" s="34" t="e">
        <f t="shared" si="10"/>
        <v>#REF!</v>
      </c>
      <c r="E64" s="34" t="e">
        <f t="shared" si="12"/>
        <v>#REF!</v>
      </c>
      <c r="G64" s="95">
        <v>19</v>
      </c>
      <c r="H64" s="64">
        <v>42826</v>
      </c>
      <c r="I64" s="34" t="e">
        <f t="shared" si="14"/>
        <v>#REF!</v>
      </c>
      <c r="J64" s="34" t="e">
        <f t="shared" si="11"/>
        <v>#REF!</v>
      </c>
      <c r="K64" s="34" t="e">
        <f t="shared" si="15"/>
        <v>#REF!</v>
      </c>
    </row>
    <row r="65" spans="1:11" x14ac:dyDescent="0.3">
      <c r="A65" s="95">
        <v>20</v>
      </c>
      <c r="B65" s="64">
        <v>42856</v>
      </c>
      <c r="C65" s="34" t="e">
        <f t="shared" si="13"/>
        <v>#REF!</v>
      </c>
      <c r="D65" s="34" t="e">
        <f t="shared" si="10"/>
        <v>#REF!</v>
      </c>
      <c r="E65" s="34" t="e">
        <f t="shared" si="12"/>
        <v>#REF!</v>
      </c>
      <c r="G65" s="95">
        <v>20</v>
      </c>
      <c r="H65" s="64">
        <v>42856</v>
      </c>
      <c r="I65" s="34" t="e">
        <f t="shared" si="14"/>
        <v>#REF!</v>
      </c>
      <c r="J65" s="34" t="e">
        <f t="shared" si="11"/>
        <v>#REF!</v>
      </c>
      <c r="K65" s="34" t="e">
        <f t="shared" si="15"/>
        <v>#REF!</v>
      </c>
    </row>
    <row r="66" spans="1:11" x14ac:dyDescent="0.3">
      <c r="A66" s="95">
        <v>21</v>
      </c>
      <c r="B66" s="64">
        <v>42887</v>
      </c>
      <c r="C66" s="34" t="e">
        <f t="shared" si="13"/>
        <v>#REF!</v>
      </c>
      <c r="D66" s="34" t="e">
        <f t="shared" si="10"/>
        <v>#REF!</v>
      </c>
      <c r="E66" s="34" t="e">
        <f t="shared" si="12"/>
        <v>#REF!</v>
      </c>
      <c r="G66" s="95">
        <v>21</v>
      </c>
      <c r="H66" s="64">
        <v>42887</v>
      </c>
      <c r="I66" s="34" t="e">
        <f t="shared" si="14"/>
        <v>#REF!</v>
      </c>
      <c r="J66" s="34" t="e">
        <f t="shared" si="11"/>
        <v>#REF!</v>
      </c>
      <c r="K66" s="34" t="e">
        <f t="shared" si="15"/>
        <v>#REF!</v>
      </c>
    </row>
    <row r="67" spans="1:11" x14ac:dyDescent="0.3">
      <c r="A67" s="95">
        <v>22</v>
      </c>
      <c r="B67" s="64">
        <v>42917</v>
      </c>
      <c r="C67" s="34" t="e">
        <f t="shared" si="13"/>
        <v>#REF!</v>
      </c>
      <c r="D67" s="34" t="e">
        <f t="shared" si="10"/>
        <v>#REF!</v>
      </c>
      <c r="E67" s="34" t="e">
        <f t="shared" si="12"/>
        <v>#REF!</v>
      </c>
      <c r="G67" s="95">
        <v>22</v>
      </c>
      <c r="H67" s="64">
        <v>42917</v>
      </c>
      <c r="I67" s="34" t="e">
        <f t="shared" si="14"/>
        <v>#REF!</v>
      </c>
      <c r="J67" s="34" t="e">
        <f t="shared" si="11"/>
        <v>#REF!</v>
      </c>
      <c r="K67" s="34" t="e">
        <f t="shared" si="15"/>
        <v>#REF!</v>
      </c>
    </row>
    <row r="68" spans="1:11" x14ac:dyDescent="0.3">
      <c r="A68" s="95">
        <v>23</v>
      </c>
      <c r="B68" s="64">
        <v>42948</v>
      </c>
      <c r="C68" s="34" t="e">
        <f t="shared" si="13"/>
        <v>#REF!</v>
      </c>
      <c r="D68" s="34" t="e">
        <f t="shared" si="10"/>
        <v>#REF!</v>
      </c>
      <c r="E68" s="34" t="e">
        <f t="shared" si="12"/>
        <v>#REF!</v>
      </c>
      <c r="G68" s="95">
        <v>23</v>
      </c>
      <c r="H68" s="64">
        <v>42948</v>
      </c>
      <c r="I68" s="34" t="e">
        <f t="shared" si="14"/>
        <v>#REF!</v>
      </c>
      <c r="J68" s="34" t="e">
        <f t="shared" si="11"/>
        <v>#REF!</v>
      </c>
      <c r="K68" s="34" t="e">
        <f t="shared" si="15"/>
        <v>#REF!</v>
      </c>
    </row>
    <row r="69" spans="1:11" x14ac:dyDescent="0.3">
      <c r="A69" s="95">
        <v>24</v>
      </c>
      <c r="B69" s="64">
        <v>42979</v>
      </c>
      <c r="C69" s="34" t="e">
        <f t="shared" si="13"/>
        <v>#REF!</v>
      </c>
      <c r="D69" s="34" t="e">
        <f t="shared" si="10"/>
        <v>#REF!</v>
      </c>
      <c r="E69" s="34" t="e">
        <f t="shared" si="12"/>
        <v>#REF!</v>
      </c>
      <c r="G69" s="95">
        <v>24</v>
      </c>
      <c r="H69" s="64">
        <v>42979</v>
      </c>
      <c r="I69" s="34" t="e">
        <f t="shared" si="14"/>
        <v>#REF!</v>
      </c>
      <c r="J69" s="34" t="e">
        <f t="shared" si="11"/>
        <v>#REF!</v>
      </c>
      <c r="K69" s="34" t="e">
        <f t="shared" si="15"/>
        <v>#REF!</v>
      </c>
    </row>
    <row r="70" spans="1:11" x14ac:dyDescent="0.3">
      <c r="A70" s="95">
        <v>25</v>
      </c>
      <c r="B70" s="66">
        <v>43009</v>
      </c>
      <c r="C70" s="67" t="e">
        <f t="shared" si="13"/>
        <v>#REF!</v>
      </c>
      <c r="D70" s="34" t="e">
        <f t="shared" si="10"/>
        <v>#REF!</v>
      </c>
      <c r="E70" s="34" t="e">
        <f t="shared" si="12"/>
        <v>#REF!</v>
      </c>
      <c r="G70" s="95">
        <v>25</v>
      </c>
      <c r="H70" s="66">
        <v>43009</v>
      </c>
      <c r="I70" s="67" t="e">
        <f t="shared" si="14"/>
        <v>#REF!</v>
      </c>
      <c r="J70" s="34" t="e">
        <f t="shared" si="11"/>
        <v>#REF!</v>
      </c>
      <c r="K70" s="34" t="e">
        <f t="shared" si="15"/>
        <v>#REF!</v>
      </c>
    </row>
    <row r="71" spans="1:11" x14ac:dyDescent="0.3">
      <c r="B71" s="35"/>
      <c r="C71" s="35"/>
      <c r="D71" s="35"/>
      <c r="E71" s="35"/>
    </row>
    <row r="72" spans="1:11" x14ac:dyDescent="0.3">
      <c r="A72" s="99">
        <v>26</v>
      </c>
      <c r="B72" s="39" t="s">
        <v>115</v>
      </c>
      <c r="C72" s="35"/>
      <c r="D72" s="34" t="e">
        <f>SUM(D49:D71)</f>
        <v>#REF!</v>
      </c>
      <c r="E72" s="34" t="e">
        <f>SUM(E59:E70)</f>
        <v>#REF!</v>
      </c>
      <c r="G72" s="99">
        <v>26</v>
      </c>
      <c r="H72" s="39" t="s">
        <v>115</v>
      </c>
      <c r="I72" s="35"/>
      <c r="J72" s="34" t="e">
        <f>SUM(J49:J71)</f>
        <v>#REF!</v>
      </c>
      <c r="K72" s="34" t="e">
        <f>SUM(K59:K70)</f>
        <v>#REF!</v>
      </c>
    </row>
    <row r="73" spans="1:11" x14ac:dyDescent="0.3">
      <c r="A73" s="99"/>
      <c r="B73" s="39"/>
      <c r="C73" s="35"/>
      <c r="D73" s="34"/>
      <c r="E73" s="34"/>
      <c r="G73" s="99"/>
      <c r="H73" s="39"/>
      <c r="I73" s="35"/>
      <c r="J73" s="34"/>
      <c r="K73" s="34"/>
    </row>
    <row r="74" spans="1:11" x14ac:dyDescent="0.3">
      <c r="B74" s="54" t="s">
        <v>121</v>
      </c>
      <c r="H74" s="54" t="s">
        <v>120</v>
      </c>
    </row>
    <row r="75" spans="1:11" x14ac:dyDescent="0.3">
      <c r="A75" s="99">
        <v>27</v>
      </c>
      <c r="B75" t="s">
        <v>116</v>
      </c>
      <c r="C75" s="100">
        <f>C46</f>
        <v>7167748</v>
      </c>
      <c r="G75" s="99">
        <v>27</v>
      </c>
      <c r="H75" t="s">
        <v>116</v>
      </c>
      <c r="I75" s="100">
        <f>I46</f>
        <v>-2373472</v>
      </c>
    </row>
    <row r="76" spans="1:11" x14ac:dyDescent="0.3">
      <c r="A76" s="99">
        <v>28</v>
      </c>
      <c r="B76" t="s">
        <v>117</v>
      </c>
      <c r="C76" s="100" t="e">
        <f>C47</f>
        <v>#REF!</v>
      </c>
      <c r="G76" s="99">
        <v>28</v>
      </c>
      <c r="H76" t="s">
        <v>117</v>
      </c>
      <c r="I76" s="100" t="e">
        <f>I47</f>
        <v>#REF!</v>
      </c>
    </row>
    <row r="77" spans="1:11" x14ac:dyDescent="0.3">
      <c r="A77" s="99">
        <v>29</v>
      </c>
      <c r="B77" t="s">
        <v>132</v>
      </c>
      <c r="C77" s="100" t="e">
        <f>D72</f>
        <v>#REF!</v>
      </c>
      <c r="G77" s="99">
        <v>29</v>
      </c>
      <c r="H77" t="s">
        <v>132</v>
      </c>
      <c r="I77" s="100" t="e">
        <f>J72</f>
        <v>#REF!</v>
      </c>
    </row>
    <row r="78" spans="1:11" x14ac:dyDescent="0.3">
      <c r="A78" s="99">
        <v>30</v>
      </c>
      <c r="B78" t="s">
        <v>135</v>
      </c>
      <c r="C78" s="100" t="e">
        <f>(D30-D31)*E22</f>
        <v>#REF!</v>
      </c>
      <c r="G78" s="99">
        <v>30</v>
      </c>
      <c r="H78" t="s">
        <v>135</v>
      </c>
      <c r="I78" s="100" t="e">
        <f>(J30-J31)*K22-I70</f>
        <v>#REF!</v>
      </c>
    </row>
    <row r="79" spans="1:11" x14ac:dyDescent="0.3">
      <c r="A79" s="99">
        <v>31</v>
      </c>
      <c r="B79" t="s">
        <v>133</v>
      </c>
      <c r="C79" s="101" t="e">
        <f>SUM(C75:C78)</f>
        <v>#REF!</v>
      </c>
      <c r="G79" s="99">
        <v>31</v>
      </c>
      <c r="H79" t="s">
        <v>134</v>
      </c>
      <c r="I79" s="101" t="e">
        <f>SUM(I75:I78)</f>
        <v>#REF!</v>
      </c>
    </row>
    <row r="80" spans="1:11" x14ac:dyDescent="0.3">
      <c r="A80" s="99">
        <v>32</v>
      </c>
      <c r="B80" t="s">
        <v>118</v>
      </c>
      <c r="C80" s="100" t="e">
        <f>D30*E22</f>
        <v>#REF!</v>
      </c>
      <c r="G80" s="99">
        <v>32</v>
      </c>
      <c r="H80" t="s">
        <v>136</v>
      </c>
      <c r="I80" s="100" t="e">
        <f>J30*K22</f>
        <v>#REF!</v>
      </c>
    </row>
    <row r="81" spans="1:9" x14ac:dyDescent="0.3">
      <c r="A81" s="99">
        <v>33</v>
      </c>
      <c r="B81" t="s">
        <v>119</v>
      </c>
      <c r="C81" s="100" t="e">
        <f>C79-C80</f>
        <v>#REF!</v>
      </c>
      <c r="G81" s="99">
        <v>33</v>
      </c>
      <c r="H81" t="s">
        <v>119</v>
      </c>
      <c r="I81" s="100" t="e">
        <f>I79-I80</f>
        <v>#REF!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1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9"/>
  <sheetViews>
    <sheetView tabSelected="1" topLeftCell="A18" workbookViewId="0">
      <selection activeCell="B42" sqref="B42:E42"/>
    </sheetView>
  </sheetViews>
  <sheetFormatPr defaultRowHeight="14.4" x14ac:dyDescent="0.3"/>
  <cols>
    <col min="1" max="1" width="4.109375" customWidth="1"/>
    <col min="3" max="3" width="16.21875" customWidth="1"/>
    <col min="4" max="4" width="10.5546875" bestFit="1" customWidth="1"/>
    <col min="5" max="5" width="12.44140625" customWidth="1"/>
    <col min="6" max="6" width="16.21875" customWidth="1"/>
    <col min="7" max="7" width="8.21875" customWidth="1"/>
    <col min="8" max="8" width="13.6640625" customWidth="1"/>
  </cols>
  <sheetData>
    <row r="1" spans="1:8" x14ac:dyDescent="0.3">
      <c r="A1" s="106"/>
      <c r="B1" s="133" t="s">
        <v>0</v>
      </c>
      <c r="C1" s="133"/>
      <c r="D1" s="133"/>
      <c r="E1" s="133"/>
      <c r="F1" s="133"/>
      <c r="G1" s="133"/>
      <c r="H1" s="133"/>
    </row>
    <row r="2" spans="1:8" x14ac:dyDescent="0.3">
      <c r="A2" s="106"/>
      <c r="B2" s="133" t="s">
        <v>156</v>
      </c>
      <c r="C2" s="133"/>
      <c r="D2" s="133"/>
      <c r="E2" s="133"/>
      <c r="F2" s="133"/>
      <c r="G2" s="133"/>
      <c r="H2" s="133"/>
    </row>
    <row r="3" spans="1:8" x14ac:dyDescent="0.3">
      <c r="A3" s="106"/>
      <c r="B3" s="133" t="s">
        <v>2</v>
      </c>
      <c r="C3" s="133"/>
      <c r="D3" s="133"/>
      <c r="E3" s="133"/>
      <c r="F3" s="133"/>
      <c r="G3" s="133"/>
      <c r="H3" s="133"/>
    </row>
    <row r="4" spans="1:8" x14ac:dyDescent="0.3">
      <c r="A4" s="106"/>
      <c r="B4" s="106"/>
      <c r="C4" s="106"/>
      <c r="D4" s="106"/>
      <c r="E4" s="106"/>
      <c r="F4" s="106"/>
      <c r="G4" s="106"/>
      <c r="H4" s="106"/>
    </row>
    <row r="5" spans="1:8" x14ac:dyDescent="0.3">
      <c r="A5" s="106"/>
      <c r="B5" s="133" t="s">
        <v>161</v>
      </c>
      <c r="C5" s="133"/>
      <c r="D5" s="133"/>
      <c r="E5" s="133"/>
      <c r="F5" s="133"/>
      <c r="G5" s="133"/>
      <c r="H5" s="133"/>
    </row>
    <row r="6" spans="1:8" x14ac:dyDescent="0.3">
      <c r="A6" s="106"/>
      <c r="B6" s="106"/>
      <c r="C6" s="106"/>
      <c r="D6" s="106"/>
      <c r="E6" s="106"/>
      <c r="F6" s="106"/>
      <c r="G6" s="106"/>
      <c r="H6" s="106"/>
    </row>
    <row r="7" spans="1:8" ht="57.6" customHeight="1" x14ac:dyDescent="0.3">
      <c r="A7" s="118" t="s">
        <v>114</v>
      </c>
      <c r="B7" s="113" t="s">
        <v>3</v>
      </c>
      <c r="C7" s="112" t="s">
        <v>157</v>
      </c>
      <c r="D7" s="113" t="s">
        <v>4</v>
      </c>
      <c r="E7" s="113" t="s">
        <v>84</v>
      </c>
      <c r="F7" s="112" t="s">
        <v>158</v>
      </c>
      <c r="G7" s="112" t="s">
        <v>159</v>
      </c>
      <c r="H7" s="112" t="s">
        <v>160</v>
      </c>
    </row>
    <row r="8" spans="1:8" x14ac:dyDescent="0.3">
      <c r="A8" s="106"/>
      <c r="B8" s="106"/>
      <c r="C8" s="106"/>
      <c r="D8" s="106"/>
      <c r="E8" s="106"/>
      <c r="F8" s="106"/>
      <c r="G8" s="106"/>
      <c r="H8" s="106"/>
    </row>
    <row r="9" spans="1:8" x14ac:dyDescent="0.3">
      <c r="A9" s="113">
        <v>1</v>
      </c>
      <c r="B9" s="119">
        <v>42675</v>
      </c>
      <c r="C9" s="120">
        <v>5470378</v>
      </c>
      <c r="D9" s="121">
        <f>ROUND(((C9+C9+E9)/2)*G9/12,2)-0.02</f>
        <v>15506.439999999999</v>
      </c>
      <c r="E9" s="120">
        <v>-307756.99</v>
      </c>
      <c r="F9" s="122">
        <f>C9+D9+E9</f>
        <v>5178127.45</v>
      </c>
      <c r="G9" s="123">
        <v>3.5000000000000003E-2</v>
      </c>
      <c r="H9" s="106"/>
    </row>
    <row r="10" spans="1:8" x14ac:dyDescent="0.3">
      <c r="A10" s="113">
        <v>2</v>
      </c>
      <c r="B10" s="119">
        <v>42705</v>
      </c>
      <c r="C10" s="120">
        <f>F9</f>
        <v>5178127.45</v>
      </c>
      <c r="D10" s="121">
        <f>ROUND(((C10+C10+E10)/2)*G10/12,2)</f>
        <v>14118.79</v>
      </c>
      <c r="E10" s="120">
        <v>-674797.01</v>
      </c>
      <c r="F10" s="122">
        <f t="shared" ref="F10:F20" si="0">C10+D10+E10</f>
        <v>4517449.2300000004</v>
      </c>
      <c r="G10" s="109">
        <f>G9</f>
        <v>3.5000000000000003E-2</v>
      </c>
      <c r="H10" s="106"/>
    </row>
    <row r="11" spans="1:8" x14ac:dyDescent="0.3">
      <c r="A11" s="113">
        <v>3</v>
      </c>
      <c r="B11" s="119">
        <v>42736</v>
      </c>
      <c r="C11" s="120">
        <f t="shared" ref="C11:C20" si="1">F10</f>
        <v>4517449.2300000004</v>
      </c>
      <c r="D11" s="121">
        <f t="shared" ref="D11:D20" si="2">ROUND(((C11+C11+E11)/2)*G11/12,2)</f>
        <v>12065.35</v>
      </c>
      <c r="E11" s="120">
        <v>-761514.32</v>
      </c>
      <c r="F11" s="122">
        <f t="shared" si="0"/>
        <v>3768000.2600000002</v>
      </c>
      <c r="G11" s="123">
        <v>3.5000000000000003E-2</v>
      </c>
      <c r="H11" s="106"/>
    </row>
    <row r="12" spans="1:8" x14ac:dyDescent="0.3">
      <c r="A12" s="113">
        <v>4</v>
      </c>
      <c r="B12" s="119">
        <v>42767</v>
      </c>
      <c r="C12" s="120">
        <f t="shared" si="1"/>
        <v>3768000.2600000002</v>
      </c>
      <c r="D12" s="121">
        <f t="shared" si="2"/>
        <v>10209.450000000001</v>
      </c>
      <c r="E12" s="120">
        <v>-535233.43999999994</v>
      </c>
      <c r="F12" s="122">
        <f t="shared" si="0"/>
        <v>3242976.2700000005</v>
      </c>
      <c r="G12" s="109">
        <f>G11</f>
        <v>3.5000000000000003E-2</v>
      </c>
      <c r="H12" s="106"/>
    </row>
    <row r="13" spans="1:8" x14ac:dyDescent="0.3">
      <c r="A13" s="113">
        <v>5</v>
      </c>
      <c r="B13" s="119">
        <v>42795</v>
      </c>
      <c r="C13" s="120">
        <f t="shared" si="1"/>
        <v>3242976.2700000005</v>
      </c>
      <c r="D13" s="121">
        <f t="shared" si="2"/>
        <v>8875.4</v>
      </c>
      <c r="E13" s="120">
        <v>-399965.49</v>
      </c>
      <c r="F13" s="122">
        <f t="shared" si="0"/>
        <v>2851886.1800000006</v>
      </c>
      <c r="G13" s="109">
        <f>G12</f>
        <v>3.5000000000000003E-2</v>
      </c>
      <c r="H13" s="106"/>
    </row>
    <row r="14" spans="1:8" x14ac:dyDescent="0.3">
      <c r="A14" s="113">
        <v>6</v>
      </c>
      <c r="B14" s="119">
        <v>42826</v>
      </c>
      <c r="C14" s="120">
        <f t="shared" si="1"/>
        <v>2851886.1800000006</v>
      </c>
      <c r="D14" s="121">
        <f t="shared" si="2"/>
        <v>8400.68</v>
      </c>
      <c r="E14" s="120">
        <v>-269372.21000000002</v>
      </c>
      <c r="F14" s="122">
        <f t="shared" si="0"/>
        <v>2590914.6500000008</v>
      </c>
      <c r="G14" s="123">
        <v>3.7100000000000001E-2</v>
      </c>
      <c r="H14" s="106"/>
    </row>
    <row r="15" spans="1:8" x14ac:dyDescent="0.3">
      <c r="A15" s="113">
        <v>7</v>
      </c>
      <c r="B15" s="119">
        <v>42856</v>
      </c>
      <c r="C15" s="120">
        <f t="shared" si="1"/>
        <v>2590914.6500000008</v>
      </c>
      <c r="D15" s="121">
        <f t="shared" si="2"/>
        <v>7796.81</v>
      </c>
      <c r="E15" s="120">
        <v>-138071.26999999999</v>
      </c>
      <c r="F15" s="122">
        <f t="shared" si="0"/>
        <v>2460640.1900000009</v>
      </c>
      <c r="G15" s="109">
        <f>G14</f>
        <v>3.7100000000000001E-2</v>
      </c>
      <c r="H15" s="106"/>
    </row>
    <row r="16" spans="1:8" x14ac:dyDescent="0.3">
      <c r="A16" s="113">
        <v>8</v>
      </c>
      <c r="B16" s="119">
        <v>42887</v>
      </c>
      <c r="C16" s="120">
        <f t="shared" si="1"/>
        <v>2460640.1900000009</v>
      </c>
      <c r="D16" s="121">
        <f t="shared" si="2"/>
        <v>7497.69</v>
      </c>
      <c r="E16" s="120">
        <v>-71021.789999999994</v>
      </c>
      <c r="F16" s="122">
        <f t="shared" si="0"/>
        <v>2397116.0900000008</v>
      </c>
      <c r="G16" s="109">
        <f>G15</f>
        <v>3.7100000000000001E-2</v>
      </c>
      <c r="H16" s="106"/>
    </row>
    <row r="17" spans="1:8" x14ac:dyDescent="0.3">
      <c r="A17" s="113">
        <v>9</v>
      </c>
      <c r="B17" s="119">
        <v>42917</v>
      </c>
      <c r="C17" s="120">
        <f t="shared" si="1"/>
        <v>2397116.0900000008</v>
      </c>
      <c r="D17" s="121">
        <f t="shared" si="2"/>
        <v>7815.03</v>
      </c>
      <c r="E17" s="124">
        <v>-57851.87</v>
      </c>
      <c r="F17" s="122">
        <f t="shared" si="0"/>
        <v>2347079.2500000005</v>
      </c>
      <c r="G17" s="123">
        <v>3.9600000000000003E-2</v>
      </c>
      <c r="H17" s="56"/>
    </row>
    <row r="18" spans="1:8" x14ac:dyDescent="0.3">
      <c r="A18" s="113">
        <v>10</v>
      </c>
      <c r="B18" s="119">
        <v>42948</v>
      </c>
      <c r="C18" s="120">
        <f t="shared" si="1"/>
        <v>2347079.2500000005</v>
      </c>
      <c r="D18" s="121">
        <f t="shared" si="2"/>
        <v>7646.3</v>
      </c>
      <c r="E18" s="124">
        <f>-ROUND(H18*0.02789,2)</f>
        <v>-60034.97</v>
      </c>
      <c r="F18" s="122">
        <f t="shared" si="0"/>
        <v>2294690.58</v>
      </c>
      <c r="G18" s="109">
        <f>G17</f>
        <v>3.9600000000000003E-2</v>
      </c>
      <c r="H18" s="56">
        <f>'5 15 17 Forecast Usage by Sched'!L6</f>
        <v>2152562.6099662925</v>
      </c>
    </row>
    <row r="19" spans="1:8" x14ac:dyDescent="0.3">
      <c r="A19" s="113">
        <v>11</v>
      </c>
      <c r="B19" s="119">
        <v>42979</v>
      </c>
      <c r="C19" s="120">
        <f t="shared" si="1"/>
        <v>2294690.58</v>
      </c>
      <c r="D19" s="121">
        <f t="shared" si="2"/>
        <v>7452.51</v>
      </c>
      <c r="E19" s="124">
        <f t="shared" ref="E19:E20" si="3">-ROUND(H19*0.02789,2)</f>
        <v>-72705.58</v>
      </c>
      <c r="F19" s="122">
        <f t="shared" si="0"/>
        <v>2229437.5099999998</v>
      </c>
      <c r="G19" s="109">
        <f>G18</f>
        <v>3.9600000000000003E-2</v>
      </c>
      <c r="H19" s="56">
        <f>'5 15 17 Forecast Usage by Sched'!L7</f>
        <v>2606869.017329284</v>
      </c>
    </row>
    <row r="20" spans="1:8" x14ac:dyDescent="0.3">
      <c r="A20" s="113">
        <v>12</v>
      </c>
      <c r="B20" s="119">
        <v>43009</v>
      </c>
      <c r="C20" s="120">
        <f t="shared" si="1"/>
        <v>2229437.5099999998</v>
      </c>
      <c r="D20" s="121">
        <f t="shared" si="2"/>
        <v>7021.24</v>
      </c>
      <c r="E20" s="124">
        <f t="shared" si="3"/>
        <v>-203578.74</v>
      </c>
      <c r="F20" s="125">
        <f t="shared" si="0"/>
        <v>2032880.01</v>
      </c>
      <c r="G20" s="109">
        <f>G19</f>
        <v>3.9600000000000003E-2</v>
      </c>
      <c r="H20" s="56">
        <f>'5 15 17 Forecast Usage by Sched'!L8</f>
        <v>7299345.1137861935</v>
      </c>
    </row>
    <row r="21" spans="1:8" x14ac:dyDescent="0.3">
      <c r="A21" s="106"/>
      <c r="B21" s="106"/>
      <c r="C21" s="106"/>
      <c r="D21" s="106"/>
      <c r="E21" s="106"/>
      <c r="F21" s="106"/>
      <c r="G21" s="106"/>
      <c r="H21" s="106"/>
    </row>
    <row r="22" spans="1:8" x14ac:dyDescent="0.3">
      <c r="A22" s="106"/>
      <c r="B22" s="106"/>
      <c r="C22" s="106"/>
      <c r="D22" s="106"/>
      <c r="E22" s="106"/>
      <c r="F22" s="106"/>
      <c r="G22" s="106"/>
      <c r="H22" s="106"/>
    </row>
    <row r="23" spans="1:8" x14ac:dyDescent="0.3">
      <c r="A23" s="106"/>
      <c r="B23" s="106"/>
      <c r="C23" s="106"/>
      <c r="D23" s="106"/>
      <c r="E23" s="106"/>
      <c r="F23" s="106"/>
      <c r="G23" s="106"/>
      <c r="H23" s="106"/>
    </row>
    <row r="24" spans="1:8" x14ac:dyDescent="0.3">
      <c r="A24" s="106"/>
      <c r="B24" s="133" t="s">
        <v>162</v>
      </c>
      <c r="C24" s="133"/>
      <c r="D24" s="133"/>
      <c r="E24" s="133"/>
      <c r="F24" s="133"/>
      <c r="G24" s="133"/>
      <c r="H24" s="133"/>
    </row>
    <row r="25" spans="1:8" x14ac:dyDescent="0.3">
      <c r="A25" s="106"/>
      <c r="B25" s="106"/>
      <c r="C25" s="106"/>
      <c r="D25" s="106"/>
      <c r="E25" s="106"/>
      <c r="F25" s="106"/>
      <c r="G25" s="106"/>
      <c r="H25" s="106"/>
    </row>
    <row r="26" spans="1:8" ht="57.6" customHeight="1" x14ac:dyDescent="0.3">
      <c r="A26" s="118" t="s">
        <v>114</v>
      </c>
      <c r="B26" s="113" t="s">
        <v>3</v>
      </c>
      <c r="C26" s="112" t="s">
        <v>157</v>
      </c>
      <c r="D26" s="113" t="s">
        <v>4</v>
      </c>
      <c r="E26" s="113" t="s">
        <v>84</v>
      </c>
      <c r="F26" s="112" t="s">
        <v>158</v>
      </c>
      <c r="G26" s="112" t="s">
        <v>159</v>
      </c>
      <c r="H26" s="112" t="s">
        <v>160</v>
      </c>
    </row>
    <row r="27" spans="1:8" x14ac:dyDescent="0.3">
      <c r="A27" s="106"/>
      <c r="B27" s="106"/>
      <c r="C27" s="106"/>
      <c r="D27" s="106"/>
      <c r="E27" s="106"/>
      <c r="F27" s="106"/>
      <c r="G27" s="106"/>
      <c r="H27" s="106"/>
    </row>
    <row r="28" spans="1:8" x14ac:dyDescent="0.3">
      <c r="A28" s="113">
        <v>13</v>
      </c>
      <c r="B28" s="119">
        <v>42675</v>
      </c>
      <c r="C28" s="120">
        <v>1786769.08</v>
      </c>
      <c r="D28" s="121">
        <f>ROUND(((C28+C28+E28)/2)*G28/12,2)</f>
        <v>5066.79</v>
      </c>
      <c r="E28" s="120">
        <v>-99170.02</v>
      </c>
      <c r="F28" s="122">
        <f>C28+D28+E28</f>
        <v>1692665.85</v>
      </c>
      <c r="G28" s="123">
        <v>3.5000000000000003E-2</v>
      </c>
      <c r="H28" s="106"/>
    </row>
    <row r="29" spans="1:8" x14ac:dyDescent="0.3">
      <c r="A29" s="113">
        <v>14</v>
      </c>
      <c r="B29" s="119">
        <v>42705</v>
      </c>
      <c r="C29" s="120">
        <f>F28</f>
        <v>1692665.85</v>
      </c>
      <c r="D29" s="121">
        <f t="shared" ref="D29:D39" si="4">ROUND(((C29+C29+E29)/2)*G29/12,2)</f>
        <v>4683.04</v>
      </c>
      <c r="E29" s="120">
        <v>-174104.37</v>
      </c>
      <c r="F29" s="122">
        <f t="shared" ref="F29:F39" si="5">C29+D29+E29</f>
        <v>1523244.52</v>
      </c>
      <c r="G29" s="109">
        <f>G28</f>
        <v>3.5000000000000003E-2</v>
      </c>
      <c r="H29" s="106"/>
    </row>
    <row r="30" spans="1:8" x14ac:dyDescent="0.3">
      <c r="A30" s="113">
        <v>15</v>
      </c>
      <c r="B30" s="119">
        <v>42736</v>
      </c>
      <c r="C30" s="120">
        <f t="shared" ref="C30:C39" si="6">F29</f>
        <v>1523244.52</v>
      </c>
      <c r="D30" s="121">
        <f t="shared" si="4"/>
        <v>4175.78</v>
      </c>
      <c r="E30" s="120">
        <v>-183098.51</v>
      </c>
      <c r="F30" s="122">
        <f t="shared" si="5"/>
        <v>1344321.79</v>
      </c>
      <c r="G30" s="123">
        <v>3.5000000000000003E-2</v>
      </c>
      <c r="H30" s="106"/>
    </row>
    <row r="31" spans="1:8" x14ac:dyDescent="0.3">
      <c r="A31" s="113">
        <v>16</v>
      </c>
      <c r="B31" s="119">
        <v>42767</v>
      </c>
      <c r="C31" s="120">
        <f t="shared" si="6"/>
        <v>1344321.79</v>
      </c>
      <c r="D31" s="121">
        <f t="shared" si="4"/>
        <v>3696.65</v>
      </c>
      <c r="E31" s="120">
        <v>-153801.01</v>
      </c>
      <c r="F31" s="122">
        <f t="shared" si="5"/>
        <v>1194217.43</v>
      </c>
      <c r="G31" s="109">
        <f>G30</f>
        <v>3.5000000000000003E-2</v>
      </c>
      <c r="H31" s="106"/>
    </row>
    <row r="32" spans="1:8" x14ac:dyDescent="0.3">
      <c r="A32" s="113">
        <v>17</v>
      </c>
      <c r="B32" s="119">
        <v>42795</v>
      </c>
      <c r="C32" s="120">
        <f t="shared" si="6"/>
        <v>1194217.43</v>
      </c>
      <c r="D32" s="121">
        <f t="shared" si="4"/>
        <v>3309.17</v>
      </c>
      <c r="E32" s="120">
        <v>-119291.86</v>
      </c>
      <c r="F32" s="122">
        <f t="shared" si="5"/>
        <v>1078234.7399999998</v>
      </c>
      <c r="G32" s="109">
        <f>G31</f>
        <v>3.5000000000000003E-2</v>
      </c>
      <c r="H32" s="106"/>
    </row>
    <row r="33" spans="1:8" x14ac:dyDescent="0.3">
      <c r="A33" s="113">
        <v>18</v>
      </c>
      <c r="B33" s="119">
        <v>42826</v>
      </c>
      <c r="C33" s="120">
        <f t="shared" si="6"/>
        <v>1078234.7399999998</v>
      </c>
      <c r="D33" s="121">
        <f t="shared" si="4"/>
        <v>3199.71</v>
      </c>
      <c r="E33" s="120">
        <v>-86574.84</v>
      </c>
      <c r="F33" s="122">
        <f t="shared" si="5"/>
        <v>994859.60999999975</v>
      </c>
      <c r="G33" s="123">
        <v>3.7100000000000001E-2</v>
      </c>
      <c r="H33" s="106"/>
    </row>
    <row r="34" spans="1:8" x14ac:dyDescent="0.3">
      <c r="A34" s="113">
        <v>19</v>
      </c>
      <c r="B34" s="119">
        <v>42856</v>
      </c>
      <c r="C34" s="120">
        <f t="shared" si="6"/>
        <v>994859.60999999975</v>
      </c>
      <c r="D34" s="121">
        <f t="shared" si="4"/>
        <v>2991.07</v>
      </c>
      <c r="E34" s="120">
        <v>-54793.82</v>
      </c>
      <c r="F34" s="122">
        <f t="shared" si="5"/>
        <v>943056.85999999975</v>
      </c>
      <c r="G34" s="109">
        <f>G33</f>
        <v>3.7100000000000001E-2</v>
      </c>
      <c r="H34" s="106"/>
    </row>
    <row r="35" spans="1:8" x14ac:dyDescent="0.3">
      <c r="A35" s="113">
        <v>20</v>
      </c>
      <c r="B35" s="119">
        <v>42887</v>
      </c>
      <c r="C35" s="120">
        <f t="shared" si="6"/>
        <v>943056.85999999975</v>
      </c>
      <c r="D35" s="121">
        <f t="shared" si="4"/>
        <v>2848.31</v>
      </c>
      <c r="E35" s="120">
        <v>-43542.04</v>
      </c>
      <c r="F35" s="122">
        <f t="shared" si="5"/>
        <v>902363.12999999977</v>
      </c>
      <c r="G35" s="109">
        <f>G34</f>
        <v>3.7100000000000001E-2</v>
      </c>
      <c r="H35" s="106"/>
    </row>
    <row r="36" spans="1:8" x14ac:dyDescent="0.3">
      <c r="A36" s="113">
        <v>21</v>
      </c>
      <c r="B36" s="119">
        <v>42917</v>
      </c>
      <c r="C36" s="120">
        <f t="shared" si="6"/>
        <v>902363.12999999977</v>
      </c>
      <c r="D36" s="121">
        <f t="shared" si="4"/>
        <v>2920.74</v>
      </c>
      <c r="E36" s="124">
        <v>-34581.35</v>
      </c>
      <c r="F36" s="122">
        <f t="shared" si="5"/>
        <v>870702.51999999979</v>
      </c>
      <c r="G36" s="123">
        <v>3.9600000000000003E-2</v>
      </c>
      <c r="H36" s="56"/>
    </row>
    <row r="37" spans="1:8" x14ac:dyDescent="0.3">
      <c r="A37" s="113">
        <v>22</v>
      </c>
      <c r="B37" s="119">
        <v>42948</v>
      </c>
      <c r="C37" s="120">
        <f t="shared" si="6"/>
        <v>870702.51999999979</v>
      </c>
      <c r="D37" s="121">
        <f t="shared" si="4"/>
        <v>2807.62</v>
      </c>
      <c r="E37" s="124">
        <f>-ROUND(H37*0.02009,2)</f>
        <v>-39814.620000000003</v>
      </c>
      <c r="F37" s="122">
        <f t="shared" si="5"/>
        <v>833695.51999999979</v>
      </c>
      <c r="G37" s="109">
        <f>G36</f>
        <v>3.9600000000000003E-2</v>
      </c>
      <c r="H37" s="56">
        <f>'5 15 17 Forecast Usage by Sched'!M6</f>
        <v>1981812.7357309281</v>
      </c>
    </row>
    <row r="38" spans="1:8" x14ac:dyDescent="0.3">
      <c r="A38" s="113">
        <v>23</v>
      </c>
      <c r="B38" s="119">
        <v>42979</v>
      </c>
      <c r="C38" s="120">
        <f t="shared" si="6"/>
        <v>833695.51999999979</v>
      </c>
      <c r="D38" s="121">
        <f t="shared" si="4"/>
        <v>2676.19</v>
      </c>
      <c r="E38" s="124">
        <f t="shared" ref="E38:E39" si="7">-ROUND(H38*0.02009,2)</f>
        <v>-45459.99</v>
      </c>
      <c r="F38" s="122">
        <f t="shared" si="5"/>
        <v>790911.71999999974</v>
      </c>
      <c r="G38" s="109">
        <f>G37</f>
        <v>3.9600000000000003E-2</v>
      </c>
      <c r="H38" s="56">
        <f>'5 15 17 Forecast Usage by Sched'!M7</f>
        <v>2262816.9602416088</v>
      </c>
    </row>
    <row r="39" spans="1:8" x14ac:dyDescent="0.3">
      <c r="A39" s="113">
        <v>24</v>
      </c>
      <c r="B39" s="119">
        <v>43009</v>
      </c>
      <c r="C39" s="120">
        <f t="shared" si="6"/>
        <v>790911.71999999974</v>
      </c>
      <c r="D39" s="121">
        <f t="shared" si="4"/>
        <v>2455.5100000000002</v>
      </c>
      <c r="E39" s="124">
        <f t="shared" si="7"/>
        <v>-93635.94</v>
      </c>
      <c r="F39" s="125">
        <f t="shared" si="5"/>
        <v>699731.2899999998</v>
      </c>
      <c r="G39" s="109">
        <f>G38</f>
        <v>3.9600000000000003E-2</v>
      </c>
      <c r="H39" s="56">
        <f>'5 15 17 Forecast Usage by Sched'!M8</f>
        <v>4660823.5348268338</v>
      </c>
    </row>
  </sheetData>
  <mergeCells count="5">
    <mergeCell ref="B1:H1"/>
    <mergeCell ref="B2:H2"/>
    <mergeCell ref="B3:H3"/>
    <mergeCell ref="B5:H5"/>
    <mergeCell ref="B24:H24"/>
  </mergeCells>
  <pageMargins left="0.7" right="0.7" top="0.75" bottom="0.75" header="0.3" footer="0.3"/>
  <pageSetup orientation="portrait" r:id="rId1"/>
  <headerFooter>
    <oddFooter>&amp;CATTACHMENT A&amp;RPage 5 of 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6"/>
  <sheetViews>
    <sheetView tabSelected="1" topLeftCell="A5" zoomScaleNormal="100" workbookViewId="0">
      <selection activeCell="B42" sqref="B42:E42"/>
    </sheetView>
  </sheetViews>
  <sheetFormatPr defaultRowHeight="14.4" x14ac:dyDescent="0.3"/>
  <cols>
    <col min="1" max="1" width="7.44140625" style="93" customWidth="1"/>
    <col min="2" max="2" width="30.44140625" customWidth="1"/>
    <col min="4" max="4" width="3.21875" customWidth="1"/>
    <col min="5" max="5" width="15.44140625" customWidth="1"/>
    <col min="6" max="6" width="13.5546875" customWidth="1"/>
    <col min="7" max="7" width="7.44140625" customWidth="1"/>
    <col min="8" max="8" width="1.44140625" hidden="1" customWidth="1"/>
    <col min="9" max="9" width="20.44140625" customWidth="1"/>
    <col min="10" max="10" width="19.44140625" customWidth="1"/>
    <col min="11" max="11" width="16.33203125" customWidth="1"/>
    <col min="12" max="12" width="14" customWidth="1"/>
    <col min="13" max="13" width="15" customWidth="1"/>
    <col min="14" max="14" width="4.5546875" customWidth="1"/>
    <col min="15" max="15" width="25.21875" customWidth="1"/>
    <col min="16" max="16" width="16.6640625" customWidth="1"/>
    <col min="17" max="17" width="17" customWidth="1"/>
    <col min="18" max="18" width="12.44140625" customWidth="1"/>
    <col min="19" max="19" width="13.5546875" customWidth="1"/>
  </cols>
  <sheetData>
    <row r="1" spans="1:7" x14ac:dyDescent="0.3">
      <c r="B1" s="133" t="s">
        <v>0</v>
      </c>
      <c r="C1" s="133"/>
      <c r="D1" s="133"/>
      <c r="E1" s="133"/>
      <c r="F1" s="133"/>
      <c r="G1" s="133"/>
    </row>
    <row r="2" spans="1:7" x14ac:dyDescent="0.3">
      <c r="B2" s="133" t="s">
        <v>49</v>
      </c>
      <c r="C2" s="133"/>
      <c r="D2" s="133"/>
      <c r="E2" s="133"/>
      <c r="F2" s="133"/>
      <c r="G2" s="133"/>
    </row>
    <row r="3" spans="1:7" x14ac:dyDescent="0.3">
      <c r="B3" s="133" t="s">
        <v>144</v>
      </c>
      <c r="C3" s="133"/>
      <c r="D3" s="133"/>
      <c r="E3" s="133"/>
      <c r="F3" s="133"/>
      <c r="G3" s="133"/>
    </row>
    <row r="5" spans="1:7" x14ac:dyDescent="0.3">
      <c r="B5" s="96" t="s">
        <v>145</v>
      </c>
      <c r="C5" s="96"/>
      <c r="D5" s="96"/>
    </row>
    <row r="7" spans="1:7" x14ac:dyDescent="0.3">
      <c r="A7" s="93" t="s">
        <v>114</v>
      </c>
      <c r="D7" s="93"/>
      <c r="E7" s="40" t="s">
        <v>50</v>
      </c>
      <c r="F7" s="105"/>
      <c r="G7" s="53"/>
    </row>
    <row r="9" spans="1:7" x14ac:dyDescent="0.3">
      <c r="A9" s="93">
        <v>1</v>
      </c>
      <c r="B9" t="s">
        <v>51</v>
      </c>
      <c r="E9" s="48">
        <v>286597000</v>
      </c>
      <c r="F9" s="48"/>
      <c r="G9" s="48"/>
    </row>
    <row r="11" spans="1:7" x14ac:dyDescent="0.3">
      <c r="A11" s="93">
        <v>2</v>
      </c>
      <c r="B11" t="s">
        <v>52</v>
      </c>
      <c r="E11" s="48">
        <v>24524000</v>
      </c>
      <c r="F11" s="48"/>
      <c r="G11" s="48"/>
    </row>
    <row r="13" spans="1:7" x14ac:dyDescent="0.3">
      <c r="A13" s="93">
        <v>3</v>
      </c>
      <c r="B13" t="s">
        <v>53</v>
      </c>
      <c r="E13" s="46">
        <f>E11/E9</f>
        <v>8.5569632620020444E-2</v>
      </c>
      <c r="F13" s="46"/>
      <c r="G13" s="46"/>
    </row>
    <row r="14" spans="1:7" x14ac:dyDescent="0.3">
      <c r="A14" s="93">
        <v>4</v>
      </c>
      <c r="B14" t="s">
        <v>54</v>
      </c>
      <c r="E14" s="46">
        <f>0.0732*10/365+0.0729*355/365</f>
        <v>7.2908219178082212E-2</v>
      </c>
      <c r="F14" s="46"/>
      <c r="G14" s="46"/>
    </row>
    <row r="15" spans="1:7" x14ac:dyDescent="0.3">
      <c r="A15" s="93">
        <v>5</v>
      </c>
      <c r="B15" t="s">
        <v>55</v>
      </c>
      <c r="E15" s="47">
        <f>E13-E14</f>
        <v>1.2661413441938232E-2</v>
      </c>
      <c r="F15" s="47"/>
      <c r="G15" s="47"/>
    </row>
    <row r="17" spans="1:9" x14ac:dyDescent="0.3">
      <c r="A17" s="93">
        <v>6</v>
      </c>
      <c r="B17" t="s">
        <v>56</v>
      </c>
      <c r="E17" s="48">
        <f>IF(E15&gt;0,E9*E15,0)</f>
        <v>3628723.1082191714</v>
      </c>
      <c r="F17" s="48"/>
      <c r="G17" s="48"/>
    </row>
    <row r="18" spans="1:9" x14ac:dyDescent="0.3">
      <c r="A18" s="93">
        <v>7</v>
      </c>
      <c r="B18" t="s">
        <v>57</v>
      </c>
      <c r="E18" s="49">
        <f>'Conversion Factors'!E112</f>
        <v>0.61979799999999996</v>
      </c>
      <c r="F18" s="49"/>
      <c r="G18" s="49"/>
    </row>
    <row r="19" spans="1:9" x14ac:dyDescent="0.3">
      <c r="A19" s="93">
        <v>8</v>
      </c>
      <c r="B19" t="s">
        <v>58</v>
      </c>
      <c r="E19" s="48">
        <f>E17/E18</f>
        <v>5854686.7015046384</v>
      </c>
      <c r="F19" s="48"/>
      <c r="G19" s="48"/>
      <c r="H19" s="48"/>
    </row>
    <row r="20" spans="1:9" ht="15" thickBot="1" x14ac:dyDescent="0.35">
      <c r="A20" s="93">
        <v>9</v>
      </c>
      <c r="B20" t="s">
        <v>59</v>
      </c>
      <c r="E20" s="50">
        <v>0.5</v>
      </c>
      <c r="F20" s="50"/>
      <c r="G20" s="50"/>
    </row>
    <row r="21" spans="1:9" ht="15.6" thickTop="1" thickBot="1" x14ac:dyDescent="0.35">
      <c r="A21" s="93">
        <v>10</v>
      </c>
      <c r="B21" t="s">
        <v>146</v>
      </c>
      <c r="E21" s="51">
        <f>E19*E20</f>
        <v>2927343.3507523192</v>
      </c>
      <c r="F21" s="59"/>
      <c r="G21" s="59"/>
    </row>
    <row r="22" spans="1:9" ht="15" thickTop="1" x14ac:dyDescent="0.3"/>
    <row r="24" spans="1:9" x14ac:dyDescent="0.3">
      <c r="B24" s="96" t="s">
        <v>147</v>
      </c>
      <c r="C24" s="96"/>
      <c r="D24" s="96"/>
      <c r="E24" s="96"/>
      <c r="F24" s="96"/>
      <c r="G24" s="96"/>
    </row>
    <row r="26" spans="1:9" x14ac:dyDescent="0.3">
      <c r="A26" s="93">
        <v>11</v>
      </c>
      <c r="B26" t="s">
        <v>60</v>
      </c>
      <c r="D26" s="46"/>
      <c r="E26" s="82">
        <v>110176000</v>
      </c>
      <c r="F26" s="46">
        <f>E26/E30</f>
        <v>0.76154138586486952</v>
      </c>
      <c r="I26" t="s">
        <v>223</v>
      </c>
    </row>
    <row r="27" spans="1:9" x14ac:dyDescent="0.3">
      <c r="E27" s="83"/>
      <c r="H27" s="46"/>
    </row>
    <row r="28" spans="1:9" x14ac:dyDescent="0.3">
      <c r="A28" s="93">
        <v>12</v>
      </c>
      <c r="B28" t="s">
        <v>61</v>
      </c>
      <c r="D28" s="46"/>
      <c r="E28" s="82">
        <v>34499000</v>
      </c>
      <c r="F28" s="46">
        <f>E28/E30</f>
        <v>0.23845861413513048</v>
      </c>
    </row>
    <row r="29" spans="1:9" x14ac:dyDescent="0.3">
      <c r="H29" s="46"/>
    </row>
    <row r="30" spans="1:9" x14ac:dyDescent="0.3">
      <c r="A30" s="93">
        <v>13</v>
      </c>
      <c r="B30" t="s">
        <v>62</v>
      </c>
      <c r="D30" s="47"/>
      <c r="E30" s="48">
        <f>E26+E28</f>
        <v>144675000</v>
      </c>
      <c r="F30" s="47">
        <f>F26+F28</f>
        <v>1</v>
      </c>
    </row>
    <row r="31" spans="1:9" s="106" customFormat="1" x14ac:dyDescent="0.3">
      <c r="A31" s="108"/>
      <c r="D31" s="109"/>
      <c r="E31" s="110"/>
      <c r="F31" s="109"/>
    </row>
    <row r="32" spans="1:9" x14ac:dyDescent="0.3">
      <c r="E32" s="130" t="s">
        <v>140</v>
      </c>
      <c r="F32" s="130" t="s">
        <v>141</v>
      </c>
      <c r="H32" s="47"/>
    </row>
    <row r="33" spans="1:10" x14ac:dyDescent="0.3">
      <c r="B33" s="54" t="s">
        <v>63</v>
      </c>
      <c r="E33" s="130"/>
      <c r="F33" s="130"/>
    </row>
    <row r="34" spans="1:10" x14ac:dyDescent="0.3">
      <c r="A34" s="93">
        <v>14</v>
      </c>
      <c r="B34" t="s">
        <v>65</v>
      </c>
      <c r="E34" s="48">
        <f>E21*F26</f>
        <v>2229293.112234232</v>
      </c>
      <c r="F34" s="110">
        <f>ROUND(E34*'Conversion Factors'!$E$108,0)</f>
        <v>2125710</v>
      </c>
    </row>
    <row r="35" spans="1:10" x14ac:dyDescent="0.3">
      <c r="A35" s="93">
        <v>15</v>
      </c>
      <c r="B35" t="s">
        <v>97</v>
      </c>
      <c r="E35" s="48">
        <f>E21*F28</f>
        <v>698050.23851808719</v>
      </c>
      <c r="F35" s="110">
        <f>ROUND(E35*'Conversion Factors'!$E$108,0)</f>
        <v>665616</v>
      </c>
    </row>
    <row r="36" spans="1:10" x14ac:dyDescent="0.3">
      <c r="A36" s="93">
        <v>16</v>
      </c>
      <c r="B36" t="s">
        <v>64</v>
      </c>
      <c r="E36" s="52">
        <f>SUM(E34:E35)</f>
        <v>2927343.3507523192</v>
      </c>
      <c r="F36" s="52">
        <f>SUM(F34:F35)</f>
        <v>2791326</v>
      </c>
      <c r="I36" s="110"/>
    </row>
    <row r="38" spans="1:10" ht="32.4" customHeight="1" x14ac:dyDescent="0.3">
      <c r="A38" s="93" t="s">
        <v>114</v>
      </c>
      <c r="B38" s="97" t="s">
        <v>71</v>
      </c>
      <c r="E38" s="113" t="s">
        <v>148</v>
      </c>
      <c r="F38" s="113" t="s">
        <v>149</v>
      </c>
      <c r="G38" s="113"/>
      <c r="J38" s="127"/>
    </row>
    <row r="39" spans="1:10" s="106" customFormat="1" ht="15" customHeight="1" x14ac:dyDescent="0.3">
      <c r="A39" s="113"/>
      <c r="B39" s="97"/>
      <c r="E39" s="113"/>
      <c r="F39" s="113"/>
      <c r="G39" s="113"/>
    </row>
    <row r="40" spans="1:10" s="106" customFormat="1" ht="30.6" customHeight="1" x14ac:dyDescent="0.3">
      <c r="A40" s="115">
        <v>1</v>
      </c>
      <c r="B40" s="143" t="s">
        <v>150</v>
      </c>
      <c r="C40" s="143"/>
      <c r="D40" s="116"/>
      <c r="E40" s="117">
        <f>E26</f>
        <v>110176000</v>
      </c>
      <c r="F40" s="117">
        <f>E28</f>
        <v>34499000</v>
      </c>
      <c r="G40" s="117"/>
      <c r="J40" s="117"/>
    </row>
    <row r="41" spans="1:10" s="106" customFormat="1" ht="15" customHeight="1" x14ac:dyDescent="0.3">
      <c r="A41" s="113"/>
      <c r="B41" s="97"/>
      <c r="E41" s="113"/>
      <c r="F41" s="113"/>
      <c r="G41" s="113"/>
    </row>
    <row r="42" spans="1:10" ht="15" customHeight="1" x14ac:dyDescent="0.3">
      <c r="A42" s="93">
        <v>2</v>
      </c>
      <c r="B42" t="s">
        <v>138</v>
      </c>
      <c r="E42" s="90">
        <f>'Nat Gas 2016 Rate Calc'!E22</f>
        <v>124577619.25437894</v>
      </c>
      <c r="F42" s="90">
        <f>'Nat Gas 2016 Rate Calc'!K22</f>
        <v>56682410.580878191</v>
      </c>
      <c r="I42" s="106" t="s">
        <v>113</v>
      </c>
    </row>
    <row r="43" spans="1:10" ht="15" customHeight="1" x14ac:dyDescent="0.3"/>
    <row r="44" spans="1:10" ht="15" customHeight="1" x14ac:dyDescent="0.3">
      <c r="A44" s="93">
        <v>3</v>
      </c>
      <c r="B44" t="s">
        <v>66</v>
      </c>
      <c r="E44" s="57">
        <f>'Nat Gas 2016 Rate Calc'!D28</f>
        <v>6.157E-2</v>
      </c>
      <c r="F44" s="57">
        <f>'Nat Gas 2016 Rate Calc'!J28</f>
        <v>3.9039999999999998E-2</v>
      </c>
    </row>
    <row r="45" spans="1:10" ht="15" customHeight="1" x14ac:dyDescent="0.3"/>
    <row r="46" spans="1:10" ht="15" customHeight="1" x14ac:dyDescent="0.3">
      <c r="A46" s="93">
        <v>4</v>
      </c>
      <c r="B46" t="s">
        <v>151</v>
      </c>
      <c r="E46" s="57">
        <v>2.9270000000000001E-2</v>
      </c>
      <c r="F46" s="57">
        <v>2.1080000000000002E-2</v>
      </c>
    </row>
    <row r="47" spans="1:10" ht="15" customHeight="1" x14ac:dyDescent="0.3"/>
    <row r="48" spans="1:10" ht="15" customHeight="1" x14ac:dyDescent="0.3">
      <c r="A48" s="93">
        <v>5</v>
      </c>
      <c r="B48" t="s">
        <v>69</v>
      </c>
      <c r="E48" s="57">
        <f>E44-E46</f>
        <v>3.2299999999999995E-2</v>
      </c>
      <c r="F48" s="57">
        <f>F44-F46</f>
        <v>1.7959999999999997E-2</v>
      </c>
    </row>
    <row r="49" spans="1:7" ht="15" customHeight="1" x14ac:dyDescent="0.3"/>
    <row r="50" spans="1:7" ht="15" customHeight="1" x14ac:dyDescent="0.3">
      <c r="A50" s="93">
        <v>6</v>
      </c>
      <c r="B50" t="s">
        <v>70</v>
      </c>
      <c r="E50" s="55">
        <f>E48*E42</f>
        <v>4023857.1019164394</v>
      </c>
      <c r="F50" s="55">
        <f>F48*F42</f>
        <v>1018016.0940325721</v>
      </c>
      <c r="G50" s="55"/>
    </row>
    <row r="51" spans="1:7" ht="15" customHeight="1" x14ac:dyDescent="0.3">
      <c r="E51" s="55"/>
      <c r="F51" s="55"/>
    </row>
    <row r="52" spans="1:7" ht="15" customHeight="1" x14ac:dyDescent="0.3">
      <c r="A52" s="93">
        <v>7</v>
      </c>
      <c r="B52" t="s">
        <v>72</v>
      </c>
      <c r="E52" s="58">
        <f>E50/E40</f>
        <v>3.6522083774292398E-2</v>
      </c>
      <c r="F52" s="58">
        <f t="shared" ref="F52:G52" si="0">F50/F40</f>
        <v>2.9508568191326478E-2</v>
      </c>
      <c r="G52" s="58"/>
    </row>
    <row r="53" spans="1:7" ht="15" customHeight="1" x14ac:dyDescent="0.3"/>
    <row r="54" spans="1:7" ht="15" customHeight="1" x14ac:dyDescent="0.3">
      <c r="A54" s="93">
        <v>8</v>
      </c>
      <c r="B54" t="s">
        <v>95</v>
      </c>
      <c r="E54" s="48">
        <f>IF(E52&gt;0.03,E40*0.03-E50,0)</f>
        <v>-718577.10191643937</v>
      </c>
      <c r="F54" s="110">
        <f>IF(F52&gt;0.03,F40*0.03-F50,0)</f>
        <v>0</v>
      </c>
    </row>
    <row r="55" spans="1:7" ht="15" customHeight="1" x14ac:dyDescent="0.3"/>
    <row r="56" spans="1:7" ht="15" customHeight="1" x14ac:dyDescent="0.3">
      <c r="A56" s="93">
        <v>9</v>
      </c>
      <c r="B56" t="s">
        <v>73</v>
      </c>
      <c r="E56" s="57">
        <f>ROUND(E54/E42,5)</f>
        <v>-5.77E-3</v>
      </c>
      <c r="F56" s="57">
        <f>ROUND(F54/F42,5)</f>
        <v>0</v>
      </c>
    </row>
    <row r="57" spans="1:7" ht="15" customHeight="1" x14ac:dyDescent="0.3"/>
    <row r="58" spans="1:7" ht="15" customHeight="1" x14ac:dyDescent="0.3">
      <c r="A58" s="93">
        <v>10</v>
      </c>
      <c r="B58" t="s">
        <v>74</v>
      </c>
      <c r="E58" s="57">
        <f>E44+E56</f>
        <v>5.5800000000000002E-2</v>
      </c>
      <c r="F58" s="57">
        <f>F44+F56</f>
        <v>3.9039999999999998E-2</v>
      </c>
    </row>
    <row r="59" spans="1:7" ht="15" customHeight="1" x14ac:dyDescent="0.3"/>
    <row r="60" spans="1:7" ht="15" customHeight="1" x14ac:dyDescent="0.3">
      <c r="A60" s="93">
        <v>11</v>
      </c>
      <c r="B60" t="s">
        <v>75</v>
      </c>
      <c r="E60" s="55">
        <f>(E58-E46)*E42</f>
        <v>3305044.2388186734</v>
      </c>
      <c r="F60" s="55">
        <f>(F58-F46)*F42</f>
        <v>1018016.0940325721</v>
      </c>
      <c r="G60" s="61"/>
    </row>
    <row r="61" spans="1:7" ht="15" customHeight="1" x14ac:dyDescent="0.3">
      <c r="E61" s="61"/>
      <c r="F61" s="61"/>
    </row>
    <row r="62" spans="1:7" ht="15" customHeight="1" x14ac:dyDescent="0.3">
      <c r="A62" s="93">
        <v>12</v>
      </c>
      <c r="B62" t="s">
        <v>76</v>
      </c>
      <c r="E62" s="58">
        <f>E60/E40</f>
        <v>2.9997860140308901E-2</v>
      </c>
      <c r="F62" s="58">
        <f t="shared" ref="F62:G62" si="1">F60/F40</f>
        <v>2.9508568191326478E-2</v>
      </c>
      <c r="G62" s="58"/>
    </row>
    <row r="63" spans="1:7" ht="15" customHeight="1" x14ac:dyDescent="0.3"/>
    <row r="64" spans="1:7" x14ac:dyDescent="0.3">
      <c r="B64" t="s">
        <v>80</v>
      </c>
    </row>
    <row r="65" spans="1:8" ht="36" customHeight="1" x14ac:dyDescent="0.3">
      <c r="A65" s="113"/>
      <c r="B65" s="144" t="s">
        <v>169</v>
      </c>
      <c r="C65" s="144"/>
      <c r="D65" s="144"/>
      <c r="E65" s="144"/>
      <c r="F65" s="144"/>
      <c r="G65" s="144"/>
      <c r="H65" s="144"/>
    </row>
    <row r="66" spans="1:8" ht="49.2" customHeight="1" x14ac:dyDescent="0.3">
      <c r="A66" s="113"/>
      <c r="B66" s="142" t="s">
        <v>152</v>
      </c>
      <c r="C66" s="142"/>
      <c r="D66" s="142"/>
      <c r="E66" s="142"/>
      <c r="F66" s="142"/>
      <c r="G66" s="142"/>
      <c r="H66" s="142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8">
    <mergeCell ref="B66:H66"/>
    <mergeCell ref="B1:G1"/>
    <mergeCell ref="B2:G2"/>
    <mergeCell ref="B3:G3"/>
    <mergeCell ref="E32:E33"/>
    <mergeCell ref="F32:F33"/>
    <mergeCell ref="B40:C40"/>
    <mergeCell ref="B65:H65"/>
  </mergeCells>
  <printOptions horizontalCentered="1"/>
  <pageMargins left="0.7" right="0.7" top="0.75" bottom="0.75" header="0.3" footer="0.3"/>
  <pageSetup scale="95" firstPageNumber="6" orientation="portrait" useFirstPageNumber="1" r:id="rId3"/>
  <headerFooter>
    <oddFooter>&amp;CATTACHMENT A&amp;RPage &amp;P of 9</oddFooter>
  </headerFooter>
  <rowBreaks count="1" manualBreakCount="1">
    <brk id="3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6"/>
  <sheetViews>
    <sheetView tabSelected="1" view="pageBreakPreview" topLeftCell="A89" zoomScale="60" zoomScaleNormal="100" workbookViewId="0">
      <selection activeCell="B42" sqref="B42:E42"/>
    </sheetView>
  </sheetViews>
  <sheetFormatPr defaultRowHeight="14.4" x14ac:dyDescent="0.3"/>
  <cols>
    <col min="1" max="1" width="6.5546875" customWidth="1"/>
    <col min="2" max="2" width="2.44140625" customWidth="1"/>
    <col min="3" max="3" width="34.33203125" customWidth="1"/>
    <col min="4" max="4" width="8.88671875" customWidth="1"/>
    <col min="5" max="5" width="12.5546875" customWidth="1"/>
    <col min="6" max="6" width="3" customWidth="1"/>
    <col min="8" max="8" width="12.5546875" bestFit="1" customWidth="1"/>
  </cols>
  <sheetData>
    <row r="1" spans="1:5" hidden="1" x14ac:dyDescent="0.3">
      <c r="A1" s="145" t="s">
        <v>17</v>
      </c>
      <c r="B1" s="145"/>
      <c r="C1" s="145"/>
      <c r="D1" s="145"/>
      <c r="E1" s="145"/>
    </row>
    <row r="2" spans="1:5" ht="14.4" hidden="1" customHeight="1" x14ac:dyDescent="0.3">
      <c r="A2" s="1" t="s">
        <v>18</v>
      </c>
      <c r="B2" s="1"/>
      <c r="C2" s="1"/>
      <c r="D2" s="1"/>
      <c r="E2" s="2"/>
    </row>
    <row r="3" spans="1:5" ht="14.4" hidden="1" customHeight="1" x14ac:dyDescent="0.3">
      <c r="A3" s="1" t="s">
        <v>33</v>
      </c>
      <c r="B3" s="1"/>
      <c r="C3" s="1"/>
      <c r="D3" s="1"/>
      <c r="E3" s="2"/>
    </row>
    <row r="4" spans="1:5" ht="15.6" hidden="1" customHeight="1" x14ac:dyDescent="0.3">
      <c r="A4" s="1" t="s">
        <v>19</v>
      </c>
      <c r="B4" s="1"/>
      <c r="C4" s="1"/>
      <c r="D4" s="1"/>
      <c r="E4" s="2"/>
    </row>
    <row r="5" spans="1:5" hidden="1" x14ac:dyDescent="0.3">
      <c r="A5" s="3"/>
      <c r="B5" s="3"/>
      <c r="C5" s="3"/>
      <c r="D5" s="3"/>
      <c r="E5" s="4"/>
    </row>
    <row r="6" spans="1:5" hidden="1" x14ac:dyDescent="0.3">
      <c r="A6" s="5" t="s">
        <v>20</v>
      </c>
      <c r="B6" s="5"/>
      <c r="C6" s="5"/>
      <c r="D6" s="5"/>
      <c r="E6" s="6"/>
    </row>
    <row r="7" spans="1:5" hidden="1" x14ac:dyDescent="0.3">
      <c r="A7" s="7" t="s">
        <v>21</v>
      </c>
      <c r="B7" s="5"/>
      <c r="C7" s="7" t="s">
        <v>22</v>
      </c>
      <c r="D7" s="8"/>
      <c r="E7" s="9" t="s">
        <v>23</v>
      </c>
    </row>
    <row r="8" spans="1:5" hidden="1" x14ac:dyDescent="0.3">
      <c r="A8" s="3"/>
      <c r="B8" s="3"/>
      <c r="C8" s="3"/>
      <c r="D8" s="3"/>
      <c r="E8" s="4"/>
    </row>
    <row r="9" spans="1:5" hidden="1" x14ac:dyDescent="0.3">
      <c r="A9" s="10">
        <v>1</v>
      </c>
      <c r="B9" s="3"/>
      <c r="C9" s="11" t="s">
        <v>24</v>
      </c>
      <c r="D9" s="3"/>
      <c r="E9" s="12">
        <v>1</v>
      </c>
    </row>
    <row r="10" spans="1:5" hidden="1" x14ac:dyDescent="0.3">
      <c r="A10" s="10"/>
      <c r="B10" s="3"/>
      <c r="C10" s="3"/>
      <c r="D10" s="3"/>
      <c r="E10" s="12"/>
    </row>
    <row r="11" spans="1:5" hidden="1" x14ac:dyDescent="0.3">
      <c r="A11" s="10"/>
      <c r="B11" s="3"/>
      <c r="C11" s="13" t="s">
        <v>25</v>
      </c>
      <c r="D11" s="14"/>
      <c r="E11" s="12"/>
    </row>
    <row r="12" spans="1:5" hidden="1" x14ac:dyDescent="0.3">
      <c r="A12" s="10">
        <v>2</v>
      </c>
      <c r="B12" s="3"/>
      <c r="C12" s="14" t="s">
        <v>26</v>
      </c>
      <c r="D12" s="14"/>
      <c r="E12" s="14">
        <v>4.8500000000000001E-3</v>
      </c>
    </row>
    <row r="13" spans="1:5" hidden="1" x14ac:dyDescent="0.3">
      <c r="A13" s="10"/>
      <c r="B13" s="3"/>
      <c r="C13" s="14"/>
      <c r="D13" s="14"/>
      <c r="E13" s="14"/>
    </row>
    <row r="14" spans="1:5" hidden="1" x14ac:dyDescent="0.3">
      <c r="A14" s="10">
        <v>3</v>
      </c>
      <c r="B14" s="3"/>
      <c r="C14" s="14" t="s">
        <v>27</v>
      </c>
      <c r="D14" s="14"/>
      <c r="E14" s="14">
        <v>2E-3</v>
      </c>
    </row>
    <row r="15" spans="1:5" hidden="1" x14ac:dyDescent="0.3">
      <c r="A15" s="10"/>
      <c r="B15" s="3"/>
      <c r="C15" s="14"/>
      <c r="D15" s="14"/>
      <c r="E15" s="14"/>
    </row>
    <row r="16" spans="1:5" hidden="1" x14ac:dyDescent="0.3">
      <c r="A16" s="10">
        <v>4</v>
      </c>
      <c r="B16" s="3"/>
      <c r="C16" s="14" t="s">
        <v>28</v>
      </c>
      <c r="D16" s="14"/>
      <c r="E16" s="14">
        <v>3.8332999999999999E-2</v>
      </c>
    </row>
    <row r="17" spans="1:5" hidden="1" x14ac:dyDescent="0.3">
      <c r="A17" s="10"/>
      <c r="B17" s="3"/>
      <c r="C17" s="14"/>
      <c r="D17" s="14"/>
      <c r="E17" s="14"/>
    </row>
    <row r="18" spans="1:5" hidden="1" x14ac:dyDescent="0.3">
      <c r="A18" s="10">
        <v>5</v>
      </c>
      <c r="B18" s="3"/>
      <c r="C18" s="14" t="s">
        <v>29</v>
      </c>
      <c r="D18" s="14"/>
      <c r="E18" s="15">
        <f>SUM(E12:E16)</f>
        <v>4.5183000000000001E-2</v>
      </c>
    </row>
    <row r="19" spans="1:5" hidden="1" x14ac:dyDescent="0.3">
      <c r="A19" s="10"/>
      <c r="B19" s="3"/>
      <c r="C19" s="14"/>
      <c r="D19" s="14"/>
      <c r="E19" s="16"/>
    </row>
    <row r="20" spans="1:5" hidden="1" x14ac:dyDescent="0.3">
      <c r="A20" s="10">
        <v>6</v>
      </c>
      <c r="B20" s="3"/>
      <c r="C20" s="14" t="s">
        <v>30</v>
      </c>
      <c r="D20" s="14"/>
      <c r="E20" s="16">
        <f>E9-E18</f>
        <v>0.95481700000000003</v>
      </c>
    </row>
    <row r="21" spans="1:5" hidden="1" x14ac:dyDescent="0.3">
      <c r="A21" s="3"/>
      <c r="B21" s="3"/>
      <c r="C21" s="14"/>
      <c r="D21" s="14"/>
      <c r="E21" s="16"/>
    </row>
    <row r="22" spans="1:5" hidden="1" x14ac:dyDescent="0.3">
      <c r="A22" s="10">
        <v>7</v>
      </c>
      <c r="B22" s="3"/>
      <c r="C22" s="14" t="s">
        <v>31</v>
      </c>
      <c r="D22" s="17"/>
      <c r="E22" s="18">
        <f>ROUND(E20*0.35,6)</f>
        <v>0.33418599999999998</v>
      </c>
    </row>
    <row r="23" spans="1:5" hidden="1" x14ac:dyDescent="0.3">
      <c r="A23" s="3"/>
      <c r="B23" s="3"/>
      <c r="C23" s="14"/>
      <c r="D23" s="14"/>
      <c r="E23" s="16"/>
    </row>
    <row r="24" spans="1:5" ht="15" hidden="1" thickBot="1" x14ac:dyDescent="0.35">
      <c r="A24" s="10">
        <v>8</v>
      </c>
      <c r="B24" s="3"/>
      <c r="C24" s="13" t="s">
        <v>32</v>
      </c>
      <c r="D24" s="14"/>
      <c r="E24" s="20">
        <f>ROUND(E20-E22,5)</f>
        <v>0.62063000000000001</v>
      </c>
    </row>
    <row r="25" spans="1:5" hidden="1" x14ac:dyDescent="0.3"/>
    <row r="26" spans="1:5" hidden="1" x14ac:dyDescent="0.3">
      <c r="C26" t="s">
        <v>34</v>
      </c>
    </row>
    <row r="27" spans="1:5" hidden="1" x14ac:dyDescent="0.3">
      <c r="C27" t="s">
        <v>35</v>
      </c>
    </row>
    <row r="28" spans="1:5" hidden="1" x14ac:dyDescent="0.3">
      <c r="C28" t="s">
        <v>46</v>
      </c>
      <c r="E28">
        <f>1/E20</f>
        <v>1.0473211096995549</v>
      </c>
    </row>
    <row r="29" spans="1:5" hidden="1" x14ac:dyDescent="0.3"/>
    <row r="30" spans="1:5" hidden="1" x14ac:dyDescent="0.3">
      <c r="A30" s="145" t="s">
        <v>17</v>
      </c>
      <c r="B30" s="145"/>
      <c r="C30" s="145"/>
      <c r="D30" s="145"/>
      <c r="E30" s="145"/>
    </row>
    <row r="31" spans="1:5" ht="14.4" hidden="1" customHeight="1" x14ac:dyDescent="0.3">
      <c r="A31" s="1" t="s">
        <v>18</v>
      </c>
      <c r="B31" s="1"/>
      <c r="C31" s="1"/>
      <c r="D31" s="1"/>
      <c r="E31" s="2"/>
    </row>
    <row r="32" spans="1:5" ht="14.4" hidden="1" customHeight="1" x14ac:dyDescent="0.3">
      <c r="A32" s="1" t="s">
        <v>33</v>
      </c>
      <c r="B32" s="1"/>
      <c r="C32" s="1"/>
      <c r="D32" s="1"/>
      <c r="E32" s="2"/>
    </row>
    <row r="33" spans="1:5" ht="15.6" hidden="1" customHeight="1" x14ac:dyDescent="0.3">
      <c r="A33" s="1" t="s">
        <v>36</v>
      </c>
      <c r="B33" s="1"/>
      <c r="C33" s="1"/>
      <c r="D33" s="1"/>
      <c r="E33" s="2"/>
    </row>
    <row r="34" spans="1:5" hidden="1" x14ac:dyDescent="0.3">
      <c r="A34" s="3"/>
      <c r="B34" s="3"/>
      <c r="C34" s="3"/>
      <c r="D34" s="3"/>
      <c r="E34" s="4"/>
    </row>
    <row r="35" spans="1:5" hidden="1" x14ac:dyDescent="0.3">
      <c r="A35" s="5" t="s">
        <v>20</v>
      </c>
      <c r="B35" s="5"/>
      <c r="C35" s="5"/>
      <c r="D35" s="5"/>
      <c r="E35" s="6"/>
    </row>
    <row r="36" spans="1:5" hidden="1" x14ac:dyDescent="0.3">
      <c r="A36" s="7" t="s">
        <v>21</v>
      </c>
      <c r="B36" s="5"/>
      <c r="C36" s="7" t="s">
        <v>22</v>
      </c>
      <c r="D36" s="8"/>
      <c r="E36" s="9" t="s">
        <v>23</v>
      </c>
    </row>
    <row r="37" spans="1:5" hidden="1" x14ac:dyDescent="0.3">
      <c r="A37" s="3"/>
      <c r="B37" s="3"/>
      <c r="C37" s="3"/>
      <c r="D37" s="3"/>
      <c r="E37" s="4"/>
    </row>
    <row r="38" spans="1:5" hidden="1" x14ac:dyDescent="0.3">
      <c r="A38" s="10">
        <v>1</v>
      </c>
      <c r="B38" s="3"/>
      <c r="C38" s="11" t="s">
        <v>24</v>
      </c>
      <c r="D38" s="3"/>
      <c r="E38" s="12">
        <v>1</v>
      </c>
    </row>
    <row r="39" spans="1:5" hidden="1" x14ac:dyDescent="0.3">
      <c r="A39" s="10"/>
      <c r="B39" s="3"/>
      <c r="C39" s="3"/>
      <c r="D39" s="3"/>
      <c r="E39" s="12"/>
    </row>
    <row r="40" spans="1:5" hidden="1" x14ac:dyDescent="0.3">
      <c r="A40" s="10"/>
      <c r="B40" s="3"/>
      <c r="C40" s="13" t="s">
        <v>25</v>
      </c>
      <c r="D40" s="14"/>
      <c r="E40" s="12"/>
    </row>
    <row r="41" spans="1:5" hidden="1" x14ac:dyDescent="0.3">
      <c r="A41" s="10">
        <v>2</v>
      </c>
      <c r="B41" s="3"/>
      <c r="C41" s="14" t="s">
        <v>26</v>
      </c>
      <c r="D41" s="14"/>
      <c r="E41" s="14">
        <v>4.4485628026109834E-3</v>
      </c>
    </row>
    <row r="42" spans="1:5" hidden="1" x14ac:dyDescent="0.3">
      <c r="A42" s="10"/>
      <c r="B42" s="3"/>
      <c r="C42" s="14"/>
      <c r="D42" s="14"/>
      <c r="E42" s="14"/>
    </row>
    <row r="43" spans="1:5" hidden="1" x14ac:dyDescent="0.3">
      <c r="A43" s="10">
        <v>3</v>
      </c>
      <c r="B43" s="3"/>
      <c r="C43" s="14" t="s">
        <v>27</v>
      </c>
      <c r="D43" s="14"/>
      <c r="E43" s="14">
        <v>2E-3</v>
      </c>
    </row>
    <row r="44" spans="1:5" hidden="1" x14ac:dyDescent="0.3">
      <c r="A44" s="10"/>
      <c r="B44" s="3"/>
      <c r="C44" s="14"/>
      <c r="D44" s="14"/>
      <c r="E44" s="14"/>
    </row>
    <row r="45" spans="1:5" hidden="1" x14ac:dyDescent="0.3">
      <c r="A45" s="10">
        <v>4</v>
      </c>
      <c r="B45" s="3"/>
      <c r="C45" s="14" t="s">
        <v>28</v>
      </c>
      <c r="D45" s="14"/>
      <c r="E45" s="14">
        <v>3.8348641360843427E-2</v>
      </c>
    </row>
    <row r="46" spans="1:5" hidden="1" x14ac:dyDescent="0.3">
      <c r="A46" s="10"/>
      <c r="B46" s="3"/>
      <c r="C46" s="14"/>
      <c r="D46" s="14"/>
      <c r="E46" s="14"/>
    </row>
    <row r="47" spans="1:5" hidden="1" x14ac:dyDescent="0.3">
      <c r="A47" s="10">
        <v>5</v>
      </c>
      <c r="B47" s="3"/>
      <c r="C47" s="14" t="s">
        <v>37</v>
      </c>
      <c r="D47" s="14"/>
      <c r="E47" s="14">
        <v>0</v>
      </c>
    </row>
    <row r="48" spans="1:5" hidden="1" x14ac:dyDescent="0.3">
      <c r="A48" s="10"/>
      <c r="B48" s="3"/>
      <c r="C48" s="14"/>
      <c r="D48" s="14"/>
      <c r="E48" s="14"/>
    </row>
    <row r="49" spans="1:6" ht="15" hidden="1" thickBot="1" x14ac:dyDescent="0.35">
      <c r="A49" s="10">
        <v>6</v>
      </c>
      <c r="B49" s="3"/>
      <c r="C49" s="14" t="s">
        <v>29</v>
      </c>
      <c r="D49" s="14"/>
      <c r="E49" s="21">
        <f>SUM(E41:E47)</f>
        <v>4.479720416345441E-2</v>
      </c>
      <c r="F49" t="s">
        <v>39</v>
      </c>
    </row>
    <row r="50" spans="1:6" hidden="1" x14ac:dyDescent="0.3">
      <c r="A50" s="3"/>
      <c r="B50" s="3"/>
      <c r="C50" s="14"/>
      <c r="D50" s="14"/>
      <c r="E50" s="16"/>
    </row>
    <row r="51" spans="1:6" hidden="1" x14ac:dyDescent="0.3">
      <c r="A51" s="10">
        <v>7</v>
      </c>
      <c r="B51" s="3"/>
      <c r="C51" s="14" t="s">
        <v>30</v>
      </c>
      <c r="D51" s="14"/>
      <c r="E51" s="16">
        <f>E38-E49</f>
        <v>0.95520279583654555</v>
      </c>
    </row>
    <row r="52" spans="1:6" hidden="1" x14ac:dyDescent="0.3">
      <c r="A52" s="3"/>
      <c r="B52" s="3"/>
      <c r="C52" s="14"/>
      <c r="D52" s="14"/>
      <c r="E52" s="16"/>
    </row>
    <row r="53" spans="1:6" hidden="1" x14ac:dyDescent="0.3">
      <c r="A53" s="10">
        <v>8</v>
      </c>
      <c r="B53" s="3"/>
      <c r="C53" s="14" t="s">
        <v>31</v>
      </c>
      <c r="D53" s="17"/>
      <c r="E53" s="18">
        <f>ROUND(E51*0.35,6)</f>
        <v>0.33432099999999998</v>
      </c>
    </row>
    <row r="54" spans="1:6" hidden="1" x14ac:dyDescent="0.3">
      <c r="A54" s="3"/>
      <c r="B54" s="3"/>
      <c r="C54" s="14"/>
      <c r="D54" s="14"/>
      <c r="E54" s="16"/>
    </row>
    <row r="55" spans="1:6" ht="15" hidden="1" thickBot="1" x14ac:dyDescent="0.35">
      <c r="A55" s="10">
        <v>9</v>
      </c>
      <c r="B55" s="3"/>
      <c r="C55" s="13" t="s">
        <v>32</v>
      </c>
      <c r="D55" s="14"/>
      <c r="E55" s="20">
        <f>ROUND(E51-E53,5)</f>
        <v>0.62087999999999999</v>
      </c>
    </row>
    <row r="56" spans="1:6" hidden="1" x14ac:dyDescent="0.3">
      <c r="A56" s="19"/>
      <c r="B56" s="19"/>
      <c r="C56" s="19"/>
      <c r="D56" s="19"/>
      <c r="E56" s="19"/>
    </row>
    <row r="57" spans="1:6" hidden="1" x14ac:dyDescent="0.3">
      <c r="C57" t="s">
        <v>34</v>
      </c>
    </row>
    <row r="58" spans="1:6" hidden="1" x14ac:dyDescent="0.3">
      <c r="C58" t="s">
        <v>38</v>
      </c>
    </row>
    <row r="59" spans="1:6" hidden="1" x14ac:dyDescent="0.3">
      <c r="C59" t="s">
        <v>46</v>
      </c>
      <c r="E59">
        <f>1/E51</f>
        <v>1.0468981082956548</v>
      </c>
    </row>
    <row r="60" spans="1:6" hidden="1" x14ac:dyDescent="0.3"/>
    <row r="61" spans="1:6" ht="14.4" hidden="1" customHeight="1" x14ac:dyDescent="0.3">
      <c r="A61" s="22" t="s">
        <v>18</v>
      </c>
      <c r="B61" s="22"/>
      <c r="C61" s="22"/>
      <c r="D61" s="22"/>
      <c r="E61" s="23"/>
    </row>
    <row r="62" spans="1:6" ht="14.4" hidden="1" customHeight="1" x14ac:dyDescent="0.3">
      <c r="A62" s="1" t="s">
        <v>33</v>
      </c>
      <c r="B62" s="1"/>
      <c r="C62" s="1"/>
      <c r="D62" s="1"/>
      <c r="E62" s="2"/>
    </row>
    <row r="63" spans="1:6" ht="15.6" hidden="1" customHeight="1" x14ac:dyDescent="0.3">
      <c r="A63" s="147" t="s">
        <v>40</v>
      </c>
      <c r="B63" s="147"/>
      <c r="C63" s="147"/>
      <c r="D63" s="147"/>
      <c r="E63" s="147"/>
    </row>
    <row r="64" spans="1:6" hidden="1" x14ac:dyDescent="0.3">
      <c r="A64" s="3"/>
      <c r="B64" s="3"/>
      <c r="C64" s="3"/>
      <c r="D64" s="3"/>
      <c r="E64" s="4"/>
    </row>
    <row r="65" spans="1:5" hidden="1" x14ac:dyDescent="0.3">
      <c r="A65" s="5" t="s">
        <v>20</v>
      </c>
      <c r="B65" s="5"/>
      <c r="C65" s="5"/>
      <c r="D65" s="5"/>
      <c r="E65" s="6"/>
    </row>
    <row r="66" spans="1:5" hidden="1" x14ac:dyDescent="0.3">
      <c r="A66" s="7" t="s">
        <v>21</v>
      </c>
      <c r="B66" s="5"/>
      <c r="C66" s="7" t="s">
        <v>22</v>
      </c>
      <c r="D66" s="8"/>
      <c r="E66" s="9" t="s">
        <v>23</v>
      </c>
    </row>
    <row r="67" spans="1:5" hidden="1" x14ac:dyDescent="0.3">
      <c r="A67" s="3"/>
      <c r="B67" s="3"/>
      <c r="C67" s="3"/>
      <c r="D67" s="3"/>
      <c r="E67" s="4"/>
    </row>
    <row r="68" spans="1:5" hidden="1" x14ac:dyDescent="0.3">
      <c r="A68" s="10">
        <v>1</v>
      </c>
      <c r="B68" s="3"/>
      <c r="C68" s="11" t="s">
        <v>24</v>
      </c>
      <c r="D68" s="3"/>
      <c r="E68" s="12">
        <v>1</v>
      </c>
    </row>
    <row r="69" spans="1:5" hidden="1" x14ac:dyDescent="0.3">
      <c r="A69" s="10"/>
      <c r="B69" s="3"/>
      <c r="C69" s="3"/>
      <c r="D69" s="3"/>
      <c r="E69" s="12"/>
    </row>
    <row r="70" spans="1:5" hidden="1" x14ac:dyDescent="0.3">
      <c r="A70" s="10"/>
      <c r="B70" s="3"/>
      <c r="C70" s="13" t="s">
        <v>25</v>
      </c>
      <c r="D70" s="14"/>
      <c r="E70" s="12"/>
    </row>
    <row r="71" spans="1:5" hidden="1" x14ac:dyDescent="0.3">
      <c r="A71" s="10">
        <v>2</v>
      </c>
      <c r="B71" s="3"/>
      <c r="C71" s="14" t="s">
        <v>26</v>
      </c>
      <c r="D71" s="14"/>
      <c r="E71" s="14">
        <v>5.85543782177716E-3</v>
      </c>
    </row>
    <row r="72" spans="1:5" hidden="1" x14ac:dyDescent="0.3">
      <c r="A72" s="10"/>
      <c r="B72" s="3"/>
      <c r="C72" s="14"/>
      <c r="D72" s="14"/>
      <c r="E72" s="14"/>
    </row>
    <row r="73" spans="1:5" hidden="1" x14ac:dyDescent="0.3">
      <c r="A73" s="10">
        <v>3</v>
      </c>
      <c r="B73" s="3"/>
      <c r="C73" s="14" t="s">
        <v>27</v>
      </c>
      <c r="D73" s="14"/>
      <c r="E73" s="14">
        <v>2E-3</v>
      </c>
    </row>
    <row r="74" spans="1:5" hidden="1" x14ac:dyDescent="0.3">
      <c r="A74" s="10"/>
      <c r="B74" s="3"/>
      <c r="C74" s="14"/>
      <c r="D74" s="14"/>
      <c r="E74" s="14"/>
    </row>
    <row r="75" spans="1:5" hidden="1" x14ac:dyDescent="0.3">
      <c r="A75" s="10">
        <v>4</v>
      </c>
      <c r="B75" s="3"/>
      <c r="C75" s="14" t="s">
        <v>28</v>
      </c>
      <c r="D75" s="14"/>
      <c r="E75" s="14">
        <v>3.8294448535105101E-2</v>
      </c>
    </row>
    <row r="76" spans="1:5" hidden="1" x14ac:dyDescent="0.3">
      <c r="A76" s="10"/>
      <c r="B76" s="3"/>
      <c r="C76" s="14"/>
      <c r="D76" s="14"/>
      <c r="E76" s="14"/>
    </row>
    <row r="77" spans="1:5" hidden="1" x14ac:dyDescent="0.3">
      <c r="A77" s="10">
        <v>5</v>
      </c>
      <c r="B77" s="3"/>
      <c r="C77" s="14" t="s">
        <v>29</v>
      </c>
      <c r="D77" s="14"/>
      <c r="E77" s="15">
        <f>SUM(E71:E75)</f>
        <v>4.6149886356882261E-2</v>
      </c>
    </row>
    <row r="78" spans="1:5" hidden="1" x14ac:dyDescent="0.3">
      <c r="A78" s="10"/>
      <c r="B78" s="3"/>
      <c r="C78" s="14"/>
      <c r="D78" s="14"/>
      <c r="E78" s="16"/>
    </row>
    <row r="79" spans="1:5" hidden="1" x14ac:dyDescent="0.3">
      <c r="A79" s="10">
        <v>6</v>
      </c>
      <c r="B79" s="3"/>
      <c r="C79" s="14" t="s">
        <v>30</v>
      </c>
      <c r="D79" s="14"/>
      <c r="E79" s="16">
        <f>E68-E77</f>
        <v>0.95385011364311778</v>
      </c>
    </row>
    <row r="80" spans="1:5" hidden="1" x14ac:dyDescent="0.3">
      <c r="A80" s="3"/>
      <c r="B80" s="3"/>
      <c r="C80" s="14"/>
      <c r="D80" s="14"/>
      <c r="E80" s="16"/>
    </row>
    <row r="81" spans="1:5" hidden="1" x14ac:dyDescent="0.3">
      <c r="A81" s="10">
        <v>7</v>
      </c>
      <c r="B81" s="3"/>
      <c r="C81" s="14" t="s">
        <v>31</v>
      </c>
      <c r="D81" s="17"/>
      <c r="E81" s="18">
        <f>E79*0.35</f>
        <v>0.33384753977509118</v>
      </c>
    </row>
    <row r="82" spans="1:5" hidden="1" x14ac:dyDescent="0.3">
      <c r="A82" s="3"/>
      <c r="B82" s="3"/>
      <c r="C82" s="14"/>
      <c r="D82" s="14"/>
      <c r="E82" s="16"/>
    </row>
    <row r="83" spans="1:5" ht="15" hidden="1" thickBot="1" x14ac:dyDescent="0.35">
      <c r="A83" s="10">
        <v>8</v>
      </c>
      <c r="B83" s="3"/>
      <c r="C83" s="13" t="s">
        <v>32</v>
      </c>
      <c r="D83" s="14"/>
      <c r="E83" s="24">
        <f>ROUND(E79-E81,6)</f>
        <v>0.62000299999999997</v>
      </c>
    </row>
    <row r="84" spans="1:5" hidden="1" x14ac:dyDescent="0.3">
      <c r="A84" s="19"/>
      <c r="B84" s="19"/>
      <c r="C84" s="19"/>
      <c r="D84" s="19"/>
      <c r="E84" s="19"/>
    </row>
    <row r="85" spans="1:5" hidden="1" x14ac:dyDescent="0.3">
      <c r="C85" t="s">
        <v>41</v>
      </c>
    </row>
    <row r="86" spans="1:5" hidden="1" x14ac:dyDescent="0.3">
      <c r="C86" t="s">
        <v>38</v>
      </c>
    </row>
    <row r="87" spans="1:5" hidden="1" x14ac:dyDescent="0.3">
      <c r="C87" t="s">
        <v>46</v>
      </c>
      <c r="E87">
        <f>1/E79</f>
        <v>1.0483827445180232</v>
      </c>
    </row>
    <row r="88" spans="1:5" hidden="1" x14ac:dyDescent="0.3"/>
    <row r="89" spans="1:5" x14ac:dyDescent="0.3">
      <c r="A89" s="146" t="s">
        <v>17</v>
      </c>
      <c r="B89" s="146"/>
      <c r="C89" s="146"/>
      <c r="D89" s="146"/>
      <c r="E89" s="146"/>
    </row>
    <row r="90" spans="1:5" x14ac:dyDescent="0.3">
      <c r="A90" s="146" t="s">
        <v>18</v>
      </c>
      <c r="B90" s="146"/>
      <c r="C90" s="146"/>
      <c r="D90" s="146"/>
      <c r="E90" s="146"/>
    </row>
    <row r="91" spans="1:5" x14ac:dyDescent="0.3">
      <c r="A91" s="146" t="s">
        <v>42</v>
      </c>
      <c r="B91" s="146"/>
      <c r="C91" s="146"/>
      <c r="D91" s="146"/>
      <c r="E91" s="146"/>
    </row>
    <row r="92" spans="1:5" x14ac:dyDescent="0.3">
      <c r="A92" s="146" t="s">
        <v>142</v>
      </c>
      <c r="B92" s="146"/>
      <c r="C92" s="146"/>
      <c r="D92" s="146"/>
      <c r="E92" s="146"/>
    </row>
    <row r="93" spans="1:5" x14ac:dyDescent="0.3">
      <c r="A93" s="3"/>
      <c r="B93" s="3"/>
      <c r="C93" s="25"/>
      <c r="D93" s="14"/>
      <c r="E93" s="4"/>
    </row>
    <row r="94" spans="1:5" x14ac:dyDescent="0.3">
      <c r="A94" s="25" t="s">
        <v>20</v>
      </c>
      <c r="B94" s="3"/>
      <c r="C94" s="25"/>
      <c r="D94" s="14"/>
      <c r="E94" s="25"/>
    </row>
    <row r="95" spans="1:5" x14ac:dyDescent="0.3">
      <c r="A95" s="26" t="s">
        <v>21</v>
      </c>
      <c r="B95" s="3"/>
      <c r="C95" s="26" t="s">
        <v>22</v>
      </c>
      <c r="D95" s="14"/>
      <c r="E95" s="26" t="s">
        <v>23</v>
      </c>
    </row>
    <row r="96" spans="1:5" x14ac:dyDescent="0.3">
      <c r="A96" s="25"/>
      <c r="B96" s="3"/>
      <c r="C96" s="14"/>
      <c r="D96" s="14"/>
      <c r="E96" s="14"/>
    </row>
    <row r="97" spans="1:8" x14ac:dyDescent="0.3">
      <c r="A97" s="10">
        <v>1</v>
      </c>
      <c r="B97" s="3"/>
      <c r="C97" s="13" t="s">
        <v>24</v>
      </c>
      <c r="D97" s="14"/>
      <c r="E97" s="14">
        <v>1</v>
      </c>
    </row>
    <row r="98" spans="1:8" x14ac:dyDescent="0.3">
      <c r="A98" s="10"/>
      <c r="B98" s="3"/>
      <c r="C98" s="13"/>
      <c r="D98" s="14"/>
      <c r="E98" s="14"/>
    </row>
    <row r="99" spans="1:8" x14ac:dyDescent="0.3">
      <c r="A99" s="10"/>
      <c r="B99" s="3"/>
      <c r="C99" s="13" t="s">
        <v>25</v>
      </c>
      <c r="D99" s="14"/>
      <c r="E99" s="14"/>
    </row>
    <row r="100" spans="1:8" x14ac:dyDescent="0.3">
      <c r="A100" s="10">
        <v>2</v>
      </c>
      <c r="B100" s="27"/>
      <c r="C100" s="14" t="s">
        <v>43</v>
      </c>
      <c r="D100" s="14"/>
      <c r="E100" s="28">
        <v>6.1828996311341531E-3</v>
      </c>
    </row>
    <row r="101" spans="1:8" x14ac:dyDescent="0.3">
      <c r="A101" s="10"/>
      <c r="B101" s="3"/>
      <c r="C101" s="14"/>
      <c r="D101" s="14"/>
      <c r="E101" s="28"/>
    </row>
    <row r="102" spans="1:8" x14ac:dyDescent="0.3">
      <c r="A102" s="10">
        <v>3</v>
      </c>
      <c r="B102" s="3"/>
      <c r="C102" s="14" t="s">
        <v>44</v>
      </c>
      <c r="D102" s="14"/>
      <c r="E102" s="28">
        <v>2E-3</v>
      </c>
    </row>
    <row r="103" spans="1:8" x14ac:dyDescent="0.3">
      <c r="A103" s="10"/>
      <c r="B103" s="3"/>
      <c r="C103" s="14"/>
      <c r="D103" s="14"/>
      <c r="E103" s="28"/>
    </row>
    <row r="104" spans="1:8" x14ac:dyDescent="0.3">
      <c r="A104" s="10">
        <v>4</v>
      </c>
      <c r="B104" s="3"/>
      <c r="C104" s="14" t="s">
        <v>45</v>
      </c>
      <c r="D104" s="14"/>
      <c r="E104" s="28">
        <v>3.828183470620871E-2</v>
      </c>
    </row>
    <row r="105" spans="1:8" x14ac:dyDescent="0.3">
      <c r="A105" s="10"/>
      <c r="B105" s="3"/>
      <c r="C105" s="14"/>
      <c r="D105" s="14"/>
      <c r="E105" s="29"/>
    </row>
    <row r="106" spans="1:8" x14ac:dyDescent="0.3">
      <c r="A106" s="10">
        <v>5</v>
      </c>
      <c r="B106" s="3"/>
      <c r="C106" s="14" t="s">
        <v>29</v>
      </c>
      <c r="D106" s="14"/>
      <c r="E106" s="30">
        <f>SUM(E100:E105)</f>
        <v>4.6464734337342863E-2</v>
      </c>
    </row>
    <row r="107" spans="1:8" x14ac:dyDescent="0.3">
      <c r="A107" s="10"/>
      <c r="B107" s="3"/>
      <c r="C107" s="14"/>
      <c r="D107" s="14"/>
      <c r="E107" s="14"/>
    </row>
    <row r="108" spans="1:8" x14ac:dyDescent="0.3">
      <c r="A108" s="10">
        <v>6</v>
      </c>
      <c r="B108" s="3"/>
      <c r="C108" s="14" t="s">
        <v>30</v>
      </c>
      <c r="D108" s="14"/>
      <c r="E108" s="14">
        <f>E97-E106</f>
        <v>0.95353526566265712</v>
      </c>
      <c r="H108" s="114"/>
    </row>
    <row r="109" spans="1:8" x14ac:dyDescent="0.3">
      <c r="A109" s="10"/>
      <c r="B109" s="3"/>
      <c r="C109" s="14"/>
      <c r="D109" s="14"/>
      <c r="E109" s="14"/>
      <c r="H109" s="114"/>
    </row>
    <row r="110" spans="1:8" x14ac:dyDescent="0.3">
      <c r="A110" s="10">
        <v>7</v>
      </c>
      <c r="B110" s="3"/>
      <c r="C110" s="14" t="s">
        <v>31</v>
      </c>
      <c r="D110" s="17"/>
      <c r="E110" s="14">
        <f>E108*0.35</f>
        <v>0.33373734298192997</v>
      </c>
    </row>
    <row r="111" spans="1:8" x14ac:dyDescent="0.3">
      <c r="A111" s="3"/>
      <c r="B111" s="3"/>
      <c r="C111" s="14"/>
      <c r="D111" s="14"/>
      <c r="E111" s="14"/>
    </row>
    <row r="112" spans="1:8" ht="15" thickBot="1" x14ac:dyDescent="0.35">
      <c r="A112" s="10">
        <v>8</v>
      </c>
      <c r="B112" s="3"/>
      <c r="C112" s="14" t="s">
        <v>32</v>
      </c>
      <c r="D112" s="14"/>
      <c r="E112" s="31">
        <f>ROUND(E108-E110,6)</f>
        <v>0.61979799999999996</v>
      </c>
    </row>
    <row r="113" spans="1:5" ht="15" thickTop="1" x14ac:dyDescent="0.3"/>
    <row r="114" spans="1:5" x14ac:dyDescent="0.3">
      <c r="A114" s="93">
        <v>9</v>
      </c>
      <c r="C114" t="s">
        <v>46</v>
      </c>
      <c r="E114">
        <f>ROUND(1/E108,6)</f>
        <v>1.048729</v>
      </c>
    </row>
    <row r="116" spans="1:5" x14ac:dyDescent="0.3">
      <c r="A116" s="106" t="s">
        <v>143</v>
      </c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orientation="portrait" r:id="rId3"/>
  <headerFooter>
    <oddFooter>&amp;CATTACHMENT A&amp;RPage 8 of  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37"/>
  <sheetViews>
    <sheetView tabSelected="1" topLeftCell="A10" workbookViewId="0">
      <selection activeCell="B42" sqref="B42:E42"/>
    </sheetView>
  </sheetViews>
  <sheetFormatPr defaultRowHeight="14.4" x14ac:dyDescent="0.3"/>
  <cols>
    <col min="1" max="1" width="2.109375" style="106" customWidth="1"/>
    <col min="2" max="2" width="21.44140625" style="106" customWidth="1"/>
    <col min="3" max="3" width="9.21875" style="106" customWidth="1"/>
    <col min="4" max="4" width="13.77734375" style="106" customWidth="1"/>
    <col min="5" max="5" width="11.33203125" style="106" customWidth="1"/>
    <col min="6" max="6" width="11.21875" style="106" customWidth="1"/>
    <col min="7" max="7" width="11.5546875" style="106" customWidth="1"/>
    <col min="8" max="8" width="12.6640625" style="106" customWidth="1"/>
    <col min="9" max="9" width="12.21875" style="106" customWidth="1"/>
    <col min="10" max="10" width="12.33203125" style="106" customWidth="1"/>
    <col min="11" max="11" width="2.5546875" style="106" customWidth="1"/>
    <col min="12" max="12" width="13.21875" style="106" customWidth="1"/>
    <col min="13" max="13" width="8.109375" style="106" customWidth="1"/>
    <col min="14" max="16384" width="8.88671875" style="106"/>
  </cols>
  <sheetData>
    <row r="1" spans="2:13" x14ac:dyDescent="0.3">
      <c r="B1" s="106" t="s">
        <v>0</v>
      </c>
    </row>
    <row r="2" spans="2:13" x14ac:dyDescent="0.3">
      <c r="B2" s="106" t="s">
        <v>170</v>
      </c>
    </row>
    <row r="3" spans="2:13" x14ac:dyDescent="0.3">
      <c r="B3" s="106" t="s">
        <v>171</v>
      </c>
    </row>
    <row r="4" spans="2:13" x14ac:dyDescent="0.3">
      <c r="B4" s="106" t="s">
        <v>50</v>
      </c>
    </row>
    <row r="6" spans="2:13" x14ac:dyDescent="0.3">
      <c r="D6" s="128" t="s">
        <v>172</v>
      </c>
      <c r="E6" s="128" t="s">
        <v>173</v>
      </c>
      <c r="F6" s="128" t="s">
        <v>174</v>
      </c>
      <c r="G6" s="128" t="s">
        <v>175</v>
      </c>
      <c r="H6" s="128" t="s">
        <v>176</v>
      </c>
      <c r="I6" s="128" t="s">
        <v>176</v>
      </c>
      <c r="J6" s="128" t="s">
        <v>177</v>
      </c>
      <c r="L6" s="128" t="s">
        <v>174</v>
      </c>
    </row>
    <row r="7" spans="2:13" x14ac:dyDescent="0.3">
      <c r="B7" s="150" t="s">
        <v>178</v>
      </c>
      <c r="C7" s="150" t="s">
        <v>179</v>
      </c>
      <c r="D7" s="128" t="s">
        <v>180</v>
      </c>
      <c r="E7" s="128" t="s">
        <v>172</v>
      </c>
      <c r="F7" s="128" t="s">
        <v>172</v>
      </c>
      <c r="G7" s="128" t="s">
        <v>172</v>
      </c>
      <c r="H7" s="128" t="s">
        <v>172</v>
      </c>
      <c r="I7" s="128" t="s">
        <v>172</v>
      </c>
      <c r="J7" s="128" t="s">
        <v>181</v>
      </c>
      <c r="L7" s="128" t="s">
        <v>182</v>
      </c>
    </row>
    <row r="8" spans="2:13" x14ac:dyDescent="0.3">
      <c r="B8" s="151" t="s">
        <v>183</v>
      </c>
      <c r="C8" s="151" t="s">
        <v>184</v>
      </c>
      <c r="D8" s="152" t="s">
        <v>185</v>
      </c>
      <c r="E8" s="152" t="s">
        <v>181</v>
      </c>
      <c r="F8" s="152" t="s">
        <v>186</v>
      </c>
      <c r="G8" s="152" t="s">
        <v>187</v>
      </c>
      <c r="H8" s="152" t="s">
        <v>186</v>
      </c>
      <c r="I8" s="152" t="s">
        <v>181</v>
      </c>
      <c r="J8" s="153" t="s">
        <v>188</v>
      </c>
      <c r="L8" s="154" t="s">
        <v>186</v>
      </c>
    </row>
    <row r="9" spans="2:13" x14ac:dyDescent="0.3">
      <c r="B9" s="150" t="s">
        <v>189</v>
      </c>
      <c r="C9" s="150" t="s">
        <v>190</v>
      </c>
      <c r="D9" s="150" t="s">
        <v>191</v>
      </c>
      <c r="E9" s="150" t="s">
        <v>192</v>
      </c>
      <c r="F9" s="150" t="s">
        <v>193</v>
      </c>
      <c r="G9" s="150" t="s">
        <v>194</v>
      </c>
      <c r="H9" s="150" t="s">
        <v>195</v>
      </c>
      <c r="I9" s="150" t="s">
        <v>196</v>
      </c>
      <c r="J9" s="154" t="s">
        <v>197</v>
      </c>
    </row>
    <row r="10" spans="2:13" x14ac:dyDescent="0.3">
      <c r="B10" s="155"/>
      <c r="C10" s="150"/>
    </row>
    <row r="11" spans="2:13" x14ac:dyDescent="0.3">
      <c r="B11" s="155" t="s">
        <v>198</v>
      </c>
      <c r="C11" s="150" t="s">
        <v>199</v>
      </c>
      <c r="D11" s="156">
        <v>124577619</v>
      </c>
      <c r="E11" s="157">
        <v>2.9270000000000001E-2</v>
      </c>
      <c r="F11" s="55">
        <f>D11*E11</f>
        <v>3646386.9081299999</v>
      </c>
      <c r="G11" s="55">
        <f>H11-F11</f>
        <v>3305044.2320700004</v>
      </c>
      <c r="H11" s="110">
        <f>D11*I11</f>
        <v>6951431.1402000003</v>
      </c>
      <c r="I11" s="158">
        <v>5.5800000000000002E-2</v>
      </c>
      <c r="J11" s="159">
        <f>ROUND(I11-E11,5)</f>
        <v>2.6530000000000001E-2</v>
      </c>
      <c r="L11" s="55">
        <v>110176000</v>
      </c>
      <c r="M11" s="46">
        <f>G11/L11</f>
        <v>2.9997860079055333E-2</v>
      </c>
    </row>
    <row r="12" spans="2:13" x14ac:dyDescent="0.3">
      <c r="B12" s="155"/>
      <c r="C12" s="150"/>
      <c r="F12" s="55"/>
      <c r="G12" s="55"/>
      <c r="H12" s="110"/>
      <c r="I12" s="158"/>
      <c r="J12" s="159"/>
      <c r="L12" s="55"/>
      <c r="M12" s="46"/>
    </row>
    <row r="13" spans="2:13" x14ac:dyDescent="0.3">
      <c r="B13" s="155" t="s">
        <v>200</v>
      </c>
      <c r="C13" s="160">
        <v>111</v>
      </c>
      <c r="D13" s="156">
        <v>52840570</v>
      </c>
      <c r="E13" s="157">
        <v>2.1080000000000002E-2</v>
      </c>
      <c r="F13" s="55">
        <f t="shared" ref="F13:F17" si="0">D13*E13</f>
        <v>1113879.2156</v>
      </c>
      <c r="G13" s="55">
        <f>H13-F13</f>
        <v>949016.6372</v>
      </c>
      <c r="H13" s="110">
        <f>D13*I13</f>
        <v>2062895.8528</v>
      </c>
      <c r="I13" s="158">
        <v>3.9039999999999998E-2</v>
      </c>
      <c r="J13" s="159">
        <f t="shared" ref="J13:J17" si="1">I13-E13</f>
        <v>1.7959999999999997E-2</v>
      </c>
      <c r="L13" s="55">
        <v>32279000</v>
      </c>
      <c r="M13" s="46">
        <f t="shared" ref="M13:M24" si="2">G13/L13</f>
        <v>2.9400434870968741E-2</v>
      </c>
    </row>
    <row r="14" spans="2:13" x14ac:dyDescent="0.3">
      <c r="B14" s="155" t="s">
        <v>200</v>
      </c>
      <c r="C14" s="150">
        <v>112</v>
      </c>
      <c r="D14" s="161" t="s">
        <v>201</v>
      </c>
      <c r="E14" s="157"/>
      <c r="F14" s="55"/>
      <c r="G14" s="55"/>
      <c r="H14" s="110"/>
      <c r="I14" s="158"/>
      <c r="J14" s="159"/>
      <c r="L14" s="55"/>
      <c r="M14" s="46"/>
    </row>
    <row r="15" spans="2:13" ht="30" customHeight="1" x14ac:dyDescent="0.3">
      <c r="B15" s="162" t="s">
        <v>202</v>
      </c>
      <c r="C15" s="163">
        <v>121</v>
      </c>
      <c r="D15" s="164">
        <f>4423237-C33</f>
        <v>3841850</v>
      </c>
      <c r="E15" s="165">
        <v>2.1080000000000002E-2</v>
      </c>
      <c r="F15" s="166">
        <f t="shared" si="0"/>
        <v>80986.198000000004</v>
      </c>
      <c r="G15" s="166">
        <f>H15-F15</f>
        <v>68999.625999999989</v>
      </c>
      <c r="H15" s="167">
        <f>D15*I15</f>
        <v>149985.82399999999</v>
      </c>
      <c r="I15" s="168">
        <v>3.9039999999999998E-2</v>
      </c>
      <c r="J15" s="169">
        <f t="shared" si="1"/>
        <v>1.7959999999999997E-2</v>
      </c>
      <c r="K15" s="170"/>
      <c r="L15" s="166">
        <f>2585000-L16</f>
        <v>2220000</v>
      </c>
      <c r="M15" s="171">
        <f t="shared" si="2"/>
        <v>3.1080912612612609E-2</v>
      </c>
    </row>
    <row r="16" spans="2:13" ht="27" x14ac:dyDescent="0.3">
      <c r="B16" s="162" t="s">
        <v>202</v>
      </c>
      <c r="C16" s="172">
        <v>122</v>
      </c>
      <c r="D16" s="173" t="s">
        <v>201</v>
      </c>
      <c r="E16" s="165"/>
      <c r="F16" s="166"/>
      <c r="G16" s="166"/>
      <c r="H16" s="167"/>
      <c r="I16" s="168"/>
      <c r="J16" s="169"/>
      <c r="K16" s="170"/>
      <c r="L16" s="166">
        <v>365000</v>
      </c>
      <c r="M16" s="171">
        <v>0</v>
      </c>
    </row>
    <row r="17" spans="2:13" x14ac:dyDescent="0.3">
      <c r="B17" s="155" t="s">
        <v>203</v>
      </c>
      <c r="C17" s="160">
        <v>131</v>
      </c>
      <c r="D17" s="164">
        <v>0</v>
      </c>
      <c r="E17" s="157">
        <v>2.1080000000000002E-2</v>
      </c>
      <c r="F17" s="55">
        <f t="shared" si="0"/>
        <v>0</v>
      </c>
      <c r="G17" s="55">
        <f>H17-F17</f>
        <v>0</v>
      </c>
      <c r="H17" s="110">
        <f>D17*I17</f>
        <v>0</v>
      </c>
      <c r="I17" s="158">
        <v>3.9039999999999998E-2</v>
      </c>
      <c r="J17" s="159">
        <f t="shared" si="1"/>
        <v>1.7959999999999997E-2</v>
      </c>
      <c r="L17" s="55">
        <v>0</v>
      </c>
      <c r="M17" s="46">
        <v>0</v>
      </c>
    </row>
    <row r="18" spans="2:13" x14ac:dyDescent="0.3">
      <c r="B18" s="155" t="s">
        <v>203</v>
      </c>
      <c r="C18" s="160">
        <v>132</v>
      </c>
      <c r="D18" s="161" t="s">
        <v>201</v>
      </c>
      <c r="E18" s="157"/>
      <c r="F18" s="55"/>
      <c r="G18" s="55"/>
      <c r="H18" s="110"/>
      <c r="I18" s="158"/>
      <c r="J18" s="159"/>
      <c r="L18" s="55">
        <v>512000</v>
      </c>
      <c r="M18" s="46">
        <f t="shared" ref="M18:M19" si="3">G18/L18</f>
        <v>0</v>
      </c>
    </row>
    <row r="19" spans="2:13" x14ac:dyDescent="0.3">
      <c r="B19" s="155" t="s">
        <v>204</v>
      </c>
      <c r="C19" s="160">
        <v>146</v>
      </c>
      <c r="D19" s="161" t="s">
        <v>201</v>
      </c>
      <c r="E19" s="157"/>
      <c r="F19" s="55"/>
      <c r="G19" s="55"/>
      <c r="H19" s="110"/>
      <c r="I19" s="158"/>
      <c r="J19" s="159"/>
      <c r="L19" s="55">
        <v>2970000</v>
      </c>
      <c r="M19" s="46">
        <f t="shared" si="3"/>
        <v>0</v>
      </c>
    </row>
    <row r="20" spans="2:13" ht="27" x14ac:dyDescent="0.3">
      <c r="B20" s="162" t="s">
        <v>205</v>
      </c>
      <c r="C20" s="160">
        <v>148</v>
      </c>
      <c r="D20" s="161" t="s">
        <v>201</v>
      </c>
      <c r="E20" s="157"/>
      <c r="F20" s="55"/>
      <c r="G20" s="55"/>
      <c r="H20" s="110"/>
      <c r="I20" s="158"/>
      <c r="J20" s="159"/>
      <c r="L20" s="55">
        <v>1612000</v>
      </c>
      <c r="M20" s="46">
        <v>0</v>
      </c>
    </row>
    <row r="21" spans="2:13" x14ac:dyDescent="0.3">
      <c r="B21" s="155"/>
      <c r="C21" s="150"/>
      <c r="L21" s="55"/>
      <c r="M21" s="46"/>
    </row>
    <row r="22" spans="2:13" x14ac:dyDescent="0.3">
      <c r="B22" s="174" t="s">
        <v>64</v>
      </c>
      <c r="C22" s="150"/>
      <c r="D22" s="156">
        <f>SUM(D11:D17)</f>
        <v>181260039</v>
      </c>
      <c r="F22" s="110">
        <f>SUM(F11:F17)</f>
        <v>4841252.32173</v>
      </c>
      <c r="G22" s="110">
        <f>SUM(G11:G17)</f>
        <v>4323060.4952700008</v>
      </c>
      <c r="H22" s="110">
        <f>SUM(H11:H17)</f>
        <v>9164312.8169999998</v>
      </c>
      <c r="L22" s="175">
        <f>SUM(L11:L20)</f>
        <v>150134000</v>
      </c>
      <c r="M22" s="46">
        <f t="shared" si="2"/>
        <v>2.8794680054284844E-2</v>
      </c>
    </row>
    <row r="23" spans="2:13" x14ac:dyDescent="0.3">
      <c r="B23" s="174"/>
      <c r="C23" s="150"/>
      <c r="D23" s="156"/>
      <c r="F23" s="110"/>
      <c r="G23" s="110"/>
      <c r="H23" s="110"/>
      <c r="L23" s="175"/>
      <c r="M23" s="46"/>
    </row>
    <row r="24" spans="2:13" x14ac:dyDescent="0.3">
      <c r="B24" s="106" t="s">
        <v>206</v>
      </c>
      <c r="D24" s="156">
        <f>D13+D15+D17</f>
        <v>56682420</v>
      </c>
      <c r="F24" s="110">
        <f>F13+F15+F17</f>
        <v>1194865.4136000001</v>
      </c>
      <c r="G24" s="110">
        <f t="shared" ref="G24:H24" si="4">G13+G15+G17</f>
        <v>1018016.2631999999</v>
      </c>
      <c r="H24" s="110">
        <f t="shared" si="4"/>
        <v>2212881.6768</v>
      </c>
      <c r="L24" s="110">
        <f t="shared" ref="L24" si="5">L13+L15+L17</f>
        <v>34499000</v>
      </c>
      <c r="M24" s="46">
        <f t="shared" si="2"/>
        <v>2.9508573094872315E-2</v>
      </c>
    </row>
    <row r="26" spans="2:13" x14ac:dyDescent="0.3">
      <c r="B26" s="106" t="s">
        <v>207</v>
      </c>
      <c r="G26" s="46"/>
      <c r="H26" s="128" t="s">
        <v>208</v>
      </c>
      <c r="J26" s="117" t="s">
        <v>209</v>
      </c>
      <c r="K26" s="176"/>
    </row>
    <row r="27" spans="2:13" x14ac:dyDescent="0.3">
      <c r="B27" s="106" t="s">
        <v>222</v>
      </c>
      <c r="C27" s="106">
        <v>24</v>
      </c>
      <c r="D27" s="177">
        <v>252.28</v>
      </c>
      <c r="E27" s="177">
        <f>ROUND(C27*D27,2)</f>
        <v>6054.72</v>
      </c>
      <c r="G27" s="178"/>
      <c r="H27" s="179" t="s">
        <v>210</v>
      </c>
      <c r="I27" s="180">
        <v>9</v>
      </c>
      <c r="J27" s="180">
        <f>I27</f>
        <v>9</v>
      </c>
      <c r="K27" s="176"/>
      <c r="L27" s="122"/>
    </row>
    <row r="28" spans="2:13" x14ac:dyDescent="0.3">
      <c r="B28" s="106" t="s">
        <v>211</v>
      </c>
      <c r="C28" s="56">
        <v>12000</v>
      </c>
      <c r="D28" s="57">
        <v>0.40121000000000001</v>
      </c>
      <c r="E28" s="177">
        <f t="shared" ref="E28:E32" si="6">ROUND(C28*D28,2)</f>
        <v>4814.5200000000004</v>
      </c>
      <c r="G28" s="46"/>
      <c r="H28" s="179" t="s">
        <v>212</v>
      </c>
      <c r="I28" s="57">
        <v>0.74355000000000004</v>
      </c>
      <c r="J28" s="180">
        <f>ROUND(65*I28,2)</f>
        <v>48.33</v>
      </c>
    </row>
    <row r="29" spans="2:13" x14ac:dyDescent="0.3">
      <c r="B29" s="106" t="s">
        <v>213</v>
      </c>
      <c r="C29" s="56">
        <v>12000</v>
      </c>
      <c r="D29" s="57">
        <v>0.75790999999999997</v>
      </c>
      <c r="E29" s="177">
        <f t="shared" si="6"/>
        <v>9094.92</v>
      </c>
      <c r="H29" s="179" t="s">
        <v>214</v>
      </c>
      <c r="I29" s="57">
        <v>0.85948999999999998</v>
      </c>
      <c r="J29" s="180">
        <f>ROUND(0*I29,2)</f>
        <v>0</v>
      </c>
    </row>
    <row r="30" spans="2:13" x14ac:dyDescent="0.3">
      <c r="B30" s="106" t="s">
        <v>215</v>
      </c>
      <c r="C30" s="56">
        <v>192536</v>
      </c>
      <c r="D30" s="57">
        <v>0.67518</v>
      </c>
      <c r="E30" s="177">
        <f t="shared" si="6"/>
        <v>129996.46</v>
      </c>
      <c r="H30" s="128" t="s">
        <v>216</v>
      </c>
      <c r="J30" s="181">
        <f>SUM(J27:J29)</f>
        <v>57.33</v>
      </c>
    </row>
    <row r="31" spans="2:13" x14ac:dyDescent="0.3">
      <c r="B31" s="106" t="s">
        <v>217</v>
      </c>
      <c r="C31" s="56">
        <v>198442</v>
      </c>
      <c r="D31" s="57">
        <v>0.62322999999999995</v>
      </c>
      <c r="E31" s="177">
        <f t="shared" si="6"/>
        <v>123675.01</v>
      </c>
      <c r="H31" s="179" t="s">
        <v>218</v>
      </c>
      <c r="I31" s="159">
        <f>J11</f>
        <v>2.6530000000000001E-2</v>
      </c>
      <c r="J31" s="180">
        <f>ROUND(I31*65,2)</f>
        <v>1.72</v>
      </c>
    </row>
    <row r="32" spans="2:13" x14ac:dyDescent="0.3">
      <c r="B32" s="106" t="s">
        <v>219</v>
      </c>
      <c r="C32" s="56">
        <v>166409</v>
      </c>
      <c r="D32" s="57">
        <v>0.54845999999999995</v>
      </c>
      <c r="E32" s="177">
        <f t="shared" si="6"/>
        <v>91268.68</v>
      </c>
      <c r="H32" s="128" t="s">
        <v>220</v>
      </c>
      <c r="J32" s="181">
        <f>J30+J31</f>
        <v>59.05</v>
      </c>
    </row>
    <row r="33" spans="2:12" x14ac:dyDescent="0.3">
      <c r="B33" s="106" t="s">
        <v>64</v>
      </c>
      <c r="C33" s="184">
        <f>SUM(C28:C32)</f>
        <v>581387</v>
      </c>
      <c r="E33" s="182">
        <f>SUM(E27:E32)</f>
        <v>364904.31</v>
      </c>
      <c r="H33" s="128" t="s">
        <v>221</v>
      </c>
      <c r="J33" s="46">
        <f>J31/J30</f>
        <v>3.0001744287458575E-2</v>
      </c>
      <c r="L33" s="176"/>
    </row>
    <row r="34" spans="2:12" x14ac:dyDescent="0.3">
      <c r="J34" s="183"/>
    </row>
    <row r="35" spans="2:12" x14ac:dyDescent="0.3">
      <c r="J35" s="183"/>
    </row>
    <row r="36" spans="2:12" x14ac:dyDescent="0.3">
      <c r="J36" s="122"/>
    </row>
    <row r="37" spans="2:12" x14ac:dyDescent="0.3">
      <c r="L37" s="46"/>
    </row>
  </sheetData>
  <printOptions horizontalCentered="1"/>
  <pageMargins left="0.45" right="0.45" top="0.75" bottom="0.75" header="0.3" footer="0.55000000000000004"/>
  <pageSetup scale="90" orientation="landscape" r:id="rId1"/>
  <headerFooter>
    <oddFooter>&amp;CATTACHMENT A&amp;RPage 9 of 9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74"/>
  <sheetViews>
    <sheetView topLeftCell="A13" workbookViewId="0">
      <selection activeCell="R26" sqref="R26:R63"/>
    </sheetView>
  </sheetViews>
  <sheetFormatPr defaultRowHeight="14.4" x14ac:dyDescent="0.3"/>
  <cols>
    <col min="1" max="1" width="23.77734375" customWidth="1"/>
    <col min="2" max="2" width="17.77734375" customWidth="1"/>
    <col min="3" max="3" width="14.21875" customWidth="1"/>
    <col min="4" max="4" width="19.88671875" customWidth="1"/>
    <col min="5" max="5" width="2" customWidth="1"/>
    <col min="6" max="6" width="2.21875" customWidth="1"/>
    <col min="7" max="7" width="24.109375" customWidth="1"/>
    <col min="8" max="8" width="17.6640625" customWidth="1"/>
    <col min="9" max="9" width="15.21875" customWidth="1"/>
    <col min="10" max="10" width="19.109375" customWidth="1"/>
    <col min="12" max="12" width="10.6640625" customWidth="1"/>
    <col min="16" max="16" width="26.5546875" customWidth="1"/>
    <col min="18" max="18" width="16.109375" customWidth="1"/>
    <col min="20" max="20" width="16.44140625" customWidth="1"/>
  </cols>
  <sheetData>
    <row r="1" spans="1:21" x14ac:dyDescent="0.3">
      <c r="A1" s="133" t="s">
        <v>0</v>
      </c>
      <c r="B1" s="133"/>
      <c r="C1" s="133"/>
      <c r="D1" s="133"/>
      <c r="E1" s="75"/>
      <c r="F1" s="63"/>
      <c r="G1" s="133" t="s">
        <v>0</v>
      </c>
      <c r="H1" s="133"/>
      <c r="I1" s="133"/>
      <c r="J1" s="133"/>
    </row>
    <row r="2" spans="1:21" x14ac:dyDescent="0.3">
      <c r="A2" s="133" t="s">
        <v>1</v>
      </c>
      <c r="B2" s="133"/>
      <c r="C2" s="133"/>
      <c r="D2" s="133"/>
      <c r="E2" s="75"/>
      <c r="F2" s="63"/>
      <c r="G2" s="133" t="s">
        <v>1</v>
      </c>
      <c r="H2" s="133"/>
      <c r="I2" s="133"/>
      <c r="J2" s="133"/>
    </row>
    <row r="3" spans="1:21" x14ac:dyDescent="0.3">
      <c r="A3" s="133" t="s">
        <v>98</v>
      </c>
      <c r="B3" s="133"/>
      <c r="C3" s="133"/>
      <c r="D3" s="133"/>
      <c r="E3" s="75"/>
      <c r="F3" s="63"/>
      <c r="G3" s="133" t="s">
        <v>98</v>
      </c>
      <c r="H3" s="133"/>
      <c r="I3" s="133"/>
      <c r="J3" s="133"/>
    </row>
    <row r="4" spans="1:2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21" x14ac:dyDescent="0.3">
      <c r="A5" s="140" t="s">
        <v>5</v>
      </c>
      <c r="B5" s="140"/>
      <c r="C5" s="140"/>
      <c r="D5" s="140"/>
      <c r="E5" s="76"/>
      <c r="F5" s="35"/>
      <c r="G5" s="140" t="s">
        <v>16</v>
      </c>
      <c r="H5" s="140"/>
      <c r="I5" s="140"/>
      <c r="J5" s="140"/>
    </row>
    <row r="6" spans="1:21" ht="30" customHeight="1" x14ac:dyDescent="0.3">
      <c r="A6" s="78" t="s">
        <v>3</v>
      </c>
      <c r="B6" s="78" t="s">
        <v>7</v>
      </c>
      <c r="C6" s="78" t="s">
        <v>8</v>
      </c>
      <c r="D6" s="87" t="s">
        <v>137</v>
      </c>
      <c r="E6" s="78"/>
      <c r="F6" s="35"/>
      <c r="G6" s="78" t="s">
        <v>3</v>
      </c>
      <c r="H6" s="78" t="s">
        <v>7</v>
      </c>
      <c r="I6" s="78" t="s">
        <v>8</v>
      </c>
      <c r="J6" s="87" t="s">
        <v>131</v>
      </c>
    </row>
    <row r="7" spans="1:21" x14ac:dyDescent="0.3">
      <c r="A7" s="78"/>
      <c r="B7" s="78">
        <f>ROUND(B8/D22,5)</f>
        <v>5.6299999999999996E-3</v>
      </c>
      <c r="C7" s="33">
        <v>3.4599999999999999E-2</v>
      </c>
      <c r="D7" s="78"/>
      <c r="E7" s="78"/>
      <c r="F7" s="35"/>
      <c r="G7" s="78"/>
      <c r="H7" s="78">
        <f>ROUND(H8/J22,5)</f>
        <v>-1.0000000000000001E-5</v>
      </c>
      <c r="I7" s="33">
        <v>3.4599999999999999E-2</v>
      </c>
      <c r="J7" s="78"/>
      <c r="N7" s="79"/>
      <c r="P7" s="148" t="s">
        <v>107</v>
      </c>
      <c r="Q7" s="148"/>
      <c r="R7" s="148"/>
      <c r="S7" s="148"/>
      <c r="T7" s="148"/>
      <c r="U7" s="148"/>
    </row>
    <row r="8" spans="1:21" x14ac:dyDescent="0.3">
      <c r="A8" s="64">
        <v>43009</v>
      </c>
      <c r="B8" s="34">
        <f>'Nat Gas 2016 Rate Calc'!C71</f>
        <v>700938.32516794675</v>
      </c>
      <c r="C8" s="34"/>
      <c r="D8" s="35"/>
      <c r="E8" s="35"/>
      <c r="F8" s="35"/>
      <c r="G8" s="64">
        <v>43009</v>
      </c>
      <c r="H8" s="34">
        <f>'Nat Gas 2016 Rate Calc'!I71</f>
        <v>-703.89310843171552</v>
      </c>
      <c r="I8" s="34"/>
      <c r="J8" s="35"/>
    </row>
    <row r="9" spans="1:21" x14ac:dyDescent="0.3">
      <c r="A9" s="64">
        <v>43040</v>
      </c>
      <c r="B9" s="34">
        <f>B8-($B$7*D9)</f>
        <v>613152.07879314595</v>
      </c>
      <c r="C9" s="34">
        <f>(B8+B9)/2*($C$7/12)</f>
        <v>1894.4803323772419</v>
      </c>
      <c r="D9" s="56">
        <f>'5 15 17 Forecast Usage by Sched'!L9</f>
        <v>15592583.725541875</v>
      </c>
      <c r="E9" s="38"/>
      <c r="F9" s="35"/>
      <c r="G9" s="64">
        <v>43040</v>
      </c>
      <c r="H9" s="34">
        <f>H8-($H$7*J9)</f>
        <v>-627.812330816339</v>
      </c>
      <c r="I9" s="34">
        <f>(H8+H9)/2*($I$7/12)</f>
        <v>-1.919875341582612</v>
      </c>
      <c r="J9" s="42">
        <f>'5 15 17 Forecast Usage by Sched'!M9</f>
        <v>7608077.7615376497</v>
      </c>
      <c r="L9" s="56"/>
      <c r="M9" s="56"/>
      <c r="N9" s="56"/>
      <c r="P9" t="s">
        <v>60</v>
      </c>
      <c r="R9" s="82">
        <f>232958000+6405000</f>
        <v>239363000</v>
      </c>
      <c r="S9" s="46">
        <f>R9/R13</f>
        <v>0.51065522883834646</v>
      </c>
      <c r="T9" s="82">
        <f>120056000+3463000</f>
        <v>123519000</v>
      </c>
      <c r="U9" s="46">
        <f>T9/T13</f>
        <v>0.76292335424142377</v>
      </c>
    </row>
    <row r="10" spans="1:21" x14ac:dyDescent="0.3">
      <c r="A10" s="64">
        <v>43070</v>
      </c>
      <c r="B10" s="34">
        <f t="shared" ref="B10:B20" si="0">B9-($B$7*D10)</f>
        <v>484429.11040913989</v>
      </c>
      <c r="C10" s="34">
        <f t="shared" ref="C10:C20" si="1">(B9+B10)/2*($C$7/12)</f>
        <v>1582.3462144332955</v>
      </c>
      <c r="D10" s="56">
        <f>'5 15 17 Forecast Usage by Sched'!L10</f>
        <v>22863759.926111203</v>
      </c>
      <c r="E10" s="38"/>
      <c r="F10" s="35"/>
      <c r="G10" s="64">
        <v>43070</v>
      </c>
      <c r="H10" s="34">
        <f t="shared" ref="H10:H20" si="2">H9-($H$7*J10)</f>
        <v>-537.93643783376001</v>
      </c>
      <c r="I10" s="34">
        <f t="shared" ref="I10:I20" si="3">(H9+H10)/2*($I$7/12)</f>
        <v>-1.6806211414705594</v>
      </c>
      <c r="J10" s="42">
        <f>'5 15 17 Forecast Usage by Sched'!M10</f>
        <v>8987589.2982579004</v>
      </c>
      <c r="L10" s="56"/>
      <c r="M10" s="56"/>
      <c r="N10" s="56"/>
      <c r="R10" s="83"/>
      <c r="T10" s="83"/>
    </row>
    <row r="11" spans="1:21" x14ac:dyDescent="0.3">
      <c r="A11" s="64">
        <v>43101</v>
      </c>
      <c r="B11" s="34">
        <f t="shared" si="0"/>
        <v>359108.91482303676</v>
      </c>
      <c r="C11" s="34">
        <f t="shared" si="1"/>
        <v>1216.1006530430545</v>
      </c>
      <c r="D11" s="56">
        <f>'5 15 17 Forecast Usage by Sched'!L11</f>
        <v>22259359.784387771</v>
      </c>
      <c r="E11" s="38"/>
      <c r="F11" s="35"/>
      <c r="G11" s="64">
        <v>43101</v>
      </c>
      <c r="H11" s="34">
        <f t="shared" si="2"/>
        <v>-451.98911103210145</v>
      </c>
      <c r="I11" s="34">
        <f t="shared" si="3"/>
        <v>-1.4271426662816169</v>
      </c>
      <c r="J11" s="42">
        <f>'5 15 17 Forecast Usage by Sched'!M11</f>
        <v>8594732.6801658552</v>
      </c>
      <c r="L11" s="56"/>
      <c r="M11" s="56"/>
      <c r="N11" s="56"/>
      <c r="P11" t="s">
        <v>61</v>
      </c>
      <c r="R11" s="82">
        <f>77798000+141783000+13851000-4058000</f>
        <v>229374000</v>
      </c>
      <c r="S11" s="46">
        <f>R11/R13</f>
        <v>0.48934477116165354</v>
      </c>
      <c r="T11" s="82">
        <f>34290000+2990240+1103000</f>
        <v>38383240</v>
      </c>
      <c r="U11" s="46">
        <f>T11/T13</f>
        <v>0.23707664575857629</v>
      </c>
    </row>
    <row r="12" spans="1:21" x14ac:dyDescent="0.3">
      <c r="A12" s="64">
        <v>43132</v>
      </c>
      <c r="B12" s="34">
        <f t="shared" si="0"/>
        <v>259288.74095282849</v>
      </c>
      <c r="C12" s="34">
        <f t="shared" si="1"/>
        <v>891.52328707687241</v>
      </c>
      <c r="D12" s="56">
        <f>'5 15 17 Forecast Usage by Sched'!L12</f>
        <v>17730048.644797206</v>
      </c>
      <c r="E12" s="38"/>
      <c r="F12" s="35"/>
      <c r="G12" s="64">
        <v>43132</v>
      </c>
      <c r="H12" s="34">
        <f t="shared" si="2"/>
        <v>-383.31828414733059</v>
      </c>
      <c r="I12" s="34">
        <f t="shared" si="3"/>
        <v>-1.2042348280503476</v>
      </c>
      <c r="J12" s="42">
        <f>'5 15 17 Forecast Usage by Sched'!M12</f>
        <v>6867082.688477084</v>
      </c>
      <c r="L12" s="56"/>
      <c r="M12" s="56"/>
      <c r="N12" s="56"/>
    </row>
    <row r="13" spans="1:21" x14ac:dyDescent="0.3">
      <c r="A13" s="64">
        <v>43160</v>
      </c>
      <c r="B13" s="34">
        <f t="shared" si="0"/>
        <v>174314.82885946351</v>
      </c>
      <c r="C13" s="34">
        <f t="shared" si="1"/>
        <v>625.11181314605426</v>
      </c>
      <c r="D13" s="56">
        <f>'5 15 17 Forecast Usage by Sched'!L13</f>
        <v>15093057.210189164</v>
      </c>
      <c r="E13" s="38"/>
      <c r="F13" s="35"/>
      <c r="G13" s="64">
        <v>43160</v>
      </c>
      <c r="H13" s="34">
        <f t="shared" si="2"/>
        <v>-324.27031641503913</v>
      </c>
      <c r="I13" s="34">
        <f t="shared" si="3"/>
        <v>-1.0201068991440829</v>
      </c>
      <c r="J13" s="42">
        <f>'5 15 17 Forecast Usage by Sched'!M13</f>
        <v>5904796.7732291436</v>
      </c>
      <c r="L13" s="56"/>
      <c r="M13" s="56"/>
      <c r="N13" s="56"/>
      <c r="P13" t="s">
        <v>62</v>
      </c>
      <c r="R13" s="48">
        <f>R9+R11</f>
        <v>468737000</v>
      </c>
      <c r="S13" s="47">
        <f>S9+S11</f>
        <v>1</v>
      </c>
      <c r="T13" s="48">
        <f>T9+T11</f>
        <v>161902240</v>
      </c>
      <c r="U13" s="47">
        <f>U9+U11</f>
        <v>1</v>
      </c>
    </row>
    <row r="14" spans="1:21" x14ac:dyDescent="0.3">
      <c r="A14" s="64">
        <v>43191</v>
      </c>
      <c r="B14" s="34">
        <f t="shared" si="0"/>
        <v>122856.69929037412</v>
      </c>
      <c r="C14" s="34">
        <f t="shared" si="1"/>
        <v>428.42228641601588</v>
      </c>
      <c r="D14" s="56">
        <f>'5 15 17 Forecast Usage by Sched'!L14</f>
        <v>9139987.4900691621</v>
      </c>
      <c r="E14" s="38"/>
      <c r="F14" s="35"/>
      <c r="G14" s="64">
        <v>43191</v>
      </c>
      <c r="H14" s="34">
        <f t="shared" si="2"/>
        <v>-286.05726656076268</v>
      </c>
      <c r="I14" s="34">
        <f t="shared" si="3"/>
        <v>-0.87988893212344754</v>
      </c>
      <c r="J14" s="42">
        <f>'5 15 17 Forecast Usage by Sched'!M14</f>
        <v>3821304.985427646</v>
      </c>
      <c r="L14" s="56"/>
      <c r="M14" s="56"/>
      <c r="N14" s="56"/>
    </row>
    <row r="15" spans="1:21" x14ac:dyDescent="0.3">
      <c r="A15" s="64">
        <v>43221</v>
      </c>
      <c r="B15" s="34">
        <f t="shared" si="0"/>
        <v>95078.328359127103</v>
      </c>
      <c r="C15" s="34">
        <f t="shared" si="1"/>
        <v>314.18966486136424</v>
      </c>
      <c r="D15" s="56">
        <f>'5 15 17 Forecast Usage by Sched'!L15</f>
        <v>4933991.2844133256</v>
      </c>
      <c r="E15" s="38"/>
      <c r="F15" s="35"/>
      <c r="G15" s="64">
        <v>43221</v>
      </c>
      <c r="H15" s="34">
        <f t="shared" si="2"/>
        <v>-262.98497834681439</v>
      </c>
      <c r="I15" s="34">
        <f t="shared" si="3"/>
        <v>-0.79153590307509014</v>
      </c>
      <c r="J15" s="42">
        <f>'5 15 17 Forecast Usage by Sched'!M15</f>
        <v>2307228.82139483</v>
      </c>
      <c r="L15" s="56"/>
      <c r="M15" s="56"/>
      <c r="N15" s="56"/>
      <c r="P15" s="54" t="s">
        <v>63</v>
      </c>
    </row>
    <row r="16" spans="1:21" x14ac:dyDescent="0.3">
      <c r="A16" s="64">
        <v>43252</v>
      </c>
      <c r="B16" s="34">
        <f t="shared" si="0"/>
        <v>78484.773483840603</v>
      </c>
      <c r="C16" s="34">
        <f t="shared" si="1"/>
        <v>250.22013849027843</v>
      </c>
      <c r="D16" s="56">
        <f>'5 15 17 Forecast Usage by Sched'!L16</f>
        <v>2947345.4485411197</v>
      </c>
      <c r="E16" s="38"/>
      <c r="F16" s="35"/>
      <c r="G16" s="64">
        <v>43252</v>
      </c>
      <c r="H16" s="34">
        <f t="shared" si="2"/>
        <v>-245.39289662449727</v>
      </c>
      <c r="I16" s="34">
        <f t="shared" si="3"/>
        <v>-0.73291143641697432</v>
      </c>
      <c r="J16" s="42">
        <f>'5 15 17 Forecast Usage by Sched'!M16</f>
        <v>1759208.1722317119</v>
      </c>
      <c r="L16" s="56"/>
      <c r="M16" s="56"/>
      <c r="N16" s="56"/>
      <c r="P16" t="s">
        <v>65</v>
      </c>
      <c r="R16" s="48">
        <v>0</v>
      </c>
      <c r="T16" s="48">
        <v>0</v>
      </c>
    </row>
    <row r="17" spans="1:20" x14ac:dyDescent="0.3">
      <c r="A17" s="64">
        <v>43282</v>
      </c>
      <c r="B17" s="34">
        <f t="shared" si="0"/>
        <v>65300.577952181564</v>
      </c>
      <c r="C17" s="34">
        <f t="shared" si="1"/>
        <v>207.29054832026529</v>
      </c>
      <c r="D17" s="56">
        <f>'5 15 17 Forecast Usage by Sched'!L17</f>
        <v>2341775.4052680354</v>
      </c>
      <c r="E17" s="38"/>
      <c r="F17" s="35"/>
      <c r="G17" s="64">
        <v>43282</v>
      </c>
      <c r="H17" s="34">
        <f t="shared" si="2"/>
        <v>-227.44720555375872</v>
      </c>
      <c r="I17" s="34">
        <f t="shared" si="3"/>
        <v>-0.68167781397365235</v>
      </c>
      <c r="J17" s="42">
        <f>'5 15 17 Forecast Usage by Sched'!M17</f>
        <v>1794569.1070738542</v>
      </c>
      <c r="L17" s="56"/>
      <c r="M17" s="56"/>
      <c r="N17" s="56"/>
      <c r="P17" t="s">
        <v>97</v>
      </c>
      <c r="R17" s="48">
        <v>0</v>
      </c>
      <c r="T17" s="48">
        <v>0</v>
      </c>
    </row>
    <row r="18" spans="1:20" x14ac:dyDescent="0.3">
      <c r="A18" s="64">
        <v>43313</v>
      </c>
      <c r="B18" s="34">
        <f t="shared" si="0"/>
        <v>53075.764110267897</v>
      </c>
      <c r="C18" s="34">
        <f t="shared" si="1"/>
        <v>170.65922647336464</v>
      </c>
      <c r="D18" s="56">
        <f>'5 15 17 Forecast Usage by Sched'!L18</f>
        <v>2171370.1317786262</v>
      </c>
      <c r="E18" s="38"/>
      <c r="F18" s="35"/>
      <c r="G18" s="64">
        <v>43313</v>
      </c>
      <c r="H18" s="34">
        <f t="shared" si="2"/>
        <v>-208.02376620601956</v>
      </c>
      <c r="I18" s="34">
        <f t="shared" si="3"/>
        <v>-0.62780398428701367</v>
      </c>
      <c r="J18" s="42">
        <f>'5 15 17 Forecast Usage by Sched'!M18</f>
        <v>1942343.9347739152</v>
      </c>
      <c r="L18" s="56"/>
      <c r="M18" s="56"/>
      <c r="N18" s="56"/>
      <c r="P18" t="s">
        <v>64</v>
      </c>
      <c r="R18" s="52">
        <f>SUM(R16:R17)</f>
        <v>0</v>
      </c>
      <c r="T18" s="52">
        <f>SUM(T16:T17)</f>
        <v>0</v>
      </c>
    </row>
    <row r="19" spans="1:20" x14ac:dyDescent="0.3">
      <c r="A19" s="64">
        <v>43344</v>
      </c>
      <c r="B19" s="34">
        <f t="shared" si="0"/>
        <v>38591.453228090861</v>
      </c>
      <c r="C19" s="34">
        <f t="shared" si="1"/>
        <v>132.15357166280052</v>
      </c>
      <c r="D19" s="56">
        <f>'5 15 17 Forecast Usage by Sched'!L19</f>
        <v>2572701.7552712322</v>
      </c>
      <c r="E19" s="38"/>
      <c r="F19" s="35"/>
      <c r="G19" s="64">
        <v>43344</v>
      </c>
      <c r="H19" s="34">
        <f t="shared" si="2"/>
        <v>-184.86145275456289</v>
      </c>
      <c r="I19" s="34">
        <f t="shared" si="3"/>
        <v>-0.56640952400150635</v>
      </c>
      <c r="J19" s="42">
        <f>'5 15 17 Forecast Usage by Sched'!M19</f>
        <v>2316231.3451456679</v>
      </c>
      <c r="L19" s="56"/>
      <c r="M19" s="56"/>
      <c r="N19" s="56"/>
    </row>
    <row r="20" spans="1:20" x14ac:dyDescent="0.3">
      <c r="A20" s="64">
        <v>43374</v>
      </c>
      <c r="B20" s="34">
        <f t="shared" si="0"/>
        <v>-433.67123420676944</v>
      </c>
      <c r="C20" s="34">
        <f t="shared" si="1"/>
        <v>55.010802374516231</v>
      </c>
      <c r="D20" s="56">
        <f>'5 15 17 Forecast Usage by Sched'!L20</f>
        <v>6931638.448010237</v>
      </c>
      <c r="E20" s="38"/>
      <c r="F20" s="35"/>
      <c r="G20" s="64">
        <v>43374</v>
      </c>
      <c r="H20" s="34">
        <f t="shared" si="2"/>
        <v>-137.0472162729335</v>
      </c>
      <c r="I20" s="34">
        <f t="shared" si="3"/>
        <v>-0.46408499784797397</v>
      </c>
      <c r="J20" s="42">
        <f>'5 15 17 Forecast Usage by Sched'!M20</f>
        <v>4781423.6481629387</v>
      </c>
      <c r="L20" s="56"/>
      <c r="M20" s="56"/>
      <c r="N20" s="56"/>
      <c r="P20" s="54" t="s">
        <v>71</v>
      </c>
    </row>
    <row r="21" spans="1:20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P21" t="s">
        <v>138</v>
      </c>
    </row>
    <row r="22" spans="1:20" x14ac:dyDescent="0.3">
      <c r="A22" s="35" t="s">
        <v>6</v>
      </c>
      <c r="B22" s="35"/>
      <c r="C22" s="34">
        <f>SUM(C9:C21)</f>
        <v>7767.5085386751216</v>
      </c>
      <c r="D22" s="43">
        <f>SUM(D9:D21)</f>
        <v>124577619.25437894</v>
      </c>
      <c r="E22" s="43"/>
      <c r="F22" s="35"/>
      <c r="G22" s="35" t="s">
        <v>6</v>
      </c>
      <c r="H22" s="35"/>
      <c r="I22" s="34">
        <f>SUM(I9:I21)</f>
        <v>-11.996293468254878</v>
      </c>
      <c r="J22" s="43">
        <f>SUM(J9:J21)</f>
        <v>56684589.215878196</v>
      </c>
      <c r="P22" t="s">
        <v>65</v>
      </c>
      <c r="R22" s="56">
        <f>'Electric 2015 Rate Calc'!T5</f>
        <v>0</v>
      </c>
      <c r="T22" s="56">
        <f>D22</f>
        <v>124577619.25437894</v>
      </c>
    </row>
    <row r="23" spans="1:20" ht="17.399999999999999" customHeight="1" x14ac:dyDescent="0.3">
      <c r="A23" s="35"/>
      <c r="B23" s="35"/>
      <c r="C23" s="34"/>
      <c r="D23" s="43"/>
      <c r="E23" s="43"/>
      <c r="F23" s="35"/>
      <c r="G23" s="35"/>
      <c r="H23" s="35"/>
      <c r="I23" s="34"/>
      <c r="J23" s="43"/>
      <c r="P23" t="s">
        <v>97</v>
      </c>
      <c r="R23" s="56">
        <f>'Electric 2015 Rate Calc'!Z5</f>
        <v>0</v>
      </c>
      <c r="T23" s="56">
        <f>J22</f>
        <v>56684589.215878196</v>
      </c>
    </row>
    <row r="24" spans="1:20" ht="27" customHeight="1" x14ac:dyDescent="0.3">
      <c r="A24" s="135" t="s">
        <v>10</v>
      </c>
      <c r="B24" s="135"/>
      <c r="C24" s="36">
        <f>ROUND(C22/D22,5)</f>
        <v>6.0000000000000002E-5</v>
      </c>
      <c r="D24" s="43"/>
      <c r="E24" s="43"/>
      <c r="F24" s="35"/>
      <c r="G24" s="135" t="s">
        <v>10</v>
      </c>
      <c r="H24" s="135"/>
      <c r="I24" s="36">
        <f>ROUND(I22/J22,5)</f>
        <v>0</v>
      </c>
      <c r="J24" s="43"/>
    </row>
    <row r="25" spans="1:20" ht="28.2" customHeight="1" x14ac:dyDescent="0.3">
      <c r="A25" s="135" t="s">
        <v>11</v>
      </c>
      <c r="B25" s="135"/>
      <c r="C25" s="36">
        <f>B7</f>
        <v>5.6299999999999996E-3</v>
      </c>
      <c r="D25" s="43"/>
      <c r="E25" s="43"/>
      <c r="F25" s="35"/>
      <c r="G25" s="135" t="s">
        <v>11</v>
      </c>
      <c r="H25" s="135"/>
      <c r="I25" s="36">
        <f>H7</f>
        <v>-1.0000000000000001E-5</v>
      </c>
      <c r="J25" s="43"/>
      <c r="P25" t="s">
        <v>66</v>
      </c>
    </row>
    <row r="26" spans="1:20" ht="28.8" customHeight="1" x14ac:dyDescent="0.3">
      <c r="A26" s="135" t="s">
        <v>12</v>
      </c>
      <c r="B26" s="135"/>
      <c r="C26" s="36">
        <f>C24+C25</f>
        <v>5.6899999999999997E-3</v>
      </c>
      <c r="D26" s="44"/>
      <c r="E26" s="44"/>
      <c r="F26" s="35"/>
      <c r="G26" s="135" t="s">
        <v>12</v>
      </c>
      <c r="H26" s="135"/>
      <c r="I26" s="36">
        <f>I24+I25</f>
        <v>-1.0000000000000001E-5</v>
      </c>
      <c r="J26" s="44"/>
      <c r="P26" t="s">
        <v>65</v>
      </c>
      <c r="R26" s="57"/>
      <c r="T26" s="57">
        <f>C28</f>
        <v>5.9699999999999996E-3</v>
      </c>
    </row>
    <row r="27" spans="1:20" ht="28.8" customHeight="1" x14ac:dyDescent="0.3">
      <c r="A27" s="136" t="s">
        <v>13</v>
      </c>
      <c r="B27" s="136"/>
      <c r="C27" s="37">
        <f>'Conversion Factors'!$E$114</f>
        <v>1.048729</v>
      </c>
      <c r="D27" s="43"/>
      <c r="E27" s="43"/>
      <c r="F27" s="35"/>
      <c r="G27" s="136" t="s">
        <v>13</v>
      </c>
      <c r="H27" s="136"/>
      <c r="I27" s="37">
        <f>C27</f>
        <v>1.048729</v>
      </c>
      <c r="J27" s="43"/>
      <c r="P27" t="s">
        <v>97</v>
      </c>
      <c r="R27" s="57"/>
      <c r="T27" s="57">
        <f>I28</f>
        <v>-1.0000000000000001E-5</v>
      </c>
    </row>
    <row r="28" spans="1:20" ht="27" customHeight="1" x14ac:dyDescent="0.3">
      <c r="A28" s="35" t="s">
        <v>89</v>
      </c>
      <c r="B28" s="35"/>
      <c r="C28" s="36">
        <f>ROUND(C26*C27,5)</f>
        <v>5.9699999999999996E-3</v>
      </c>
      <c r="D28" s="43"/>
      <c r="E28" s="43"/>
      <c r="F28" s="35"/>
      <c r="G28" s="35" t="s">
        <v>89</v>
      </c>
      <c r="H28" s="35"/>
      <c r="I28" s="36">
        <f>ROUND(I26*I27,5)</f>
        <v>-1.0000000000000001E-5</v>
      </c>
      <c r="J28" s="43"/>
    </row>
    <row r="29" spans="1:20" ht="27" customHeight="1" x14ac:dyDescent="0.3">
      <c r="A29" s="35" t="s">
        <v>77</v>
      </c>
      <c r="B29" s="35"/>
      <c r="C29" s="36">
        <f>T50</f>
        <v>0</v>
      </c>
      <c r="D29" s="43"/>
      <c r="E29" s="43"/>
      <c r="F29" s="35"/>
      <c r="G29" s="35" t="s">
        <v>77</v>
      </c>
      <c r="H29" s="35"/>
      <c r="I29" s="36">
        <f>T51</f>
        <v>0</v>
      </c>
      <c r="J29" s="43"/>
      <c r="P29" t="s">
        <v>68</v>
      </c>
    </row>
    <row r="30" spans="1:20" ht="27" customHeight="1" x14ac:dyDescent="0.3">
      <c r="A30" s="35" t="s">
        <v>78</v>
      </c>
      <c r="B30" s="35"/>
      <c r="C30" s="36">
        <f>C28+C29</f>
        <v>5.9699999999999996E-3</v>
      </c>
      <c r="D30" s="43" t="s">
        <v>15</v>
      </c>
      <c r="E30" s="43"/>
      <c r="F30" s="35"/>
      <c r="G30" s="35" t="s">
        <v>78</v>
      </c>
      <c r="H30" s="35"/>
      <c r="I30" s="36">
        <f>I28+I29</f>
        <v>-1.0000000000000001E-5</v>
      </c>
      <c r="J30" s="43" t="s">
        <v>15</v>
      </c>
      <c r="P30" t="s">
        <v>65</v>
      </c>
      <c r="R30" s="57"/>
      <c r="T30" s="57">
        <f>'Nat Gas 2016 Rate Calc'!D30</f>
        <v>5.5800000000000002E-2</v>
      </c>
    </row>
    <row r="31" spans="1:20" ht="27" customHeight="1" x14ac:dyDescent="0.3">
      <c r="A31" s="35"/>
      <c r="B31" s="39" t="s">
        <v>85</v>
      </c>
      <c r="C31" s="36">
        <f>ROUND(C30*'Conversion Factors'!$E$108,5)</f>
        <v>5.6899999999999997E-3</v>
      </c>
      <c r="D31" s="43" t="s">
        <v>14</v>
      </c>
      <c r="E31" s="43"/>
      <c r="F31" s="35"/>
      <c r="G31" s="35"/>
      <c r="H31" s="39" t="s">
        <v>85</v>
      </c>
      <c r="I31" s="36">
        <f>ROUND(I30*'Conversion Factors'!$E$108,5)</f>
        <v>-1.0000000000000001E-5</v>
      </c>
      <c r="J31" s="43" t="s">
        <v>14</v>
      </c>
      <c r="P31" t="s">
        <v>97</v>
      </c>
      <c r="R31" s="57"/>
      <c r="T31" s="57">
        <f>'Nat Gas 2016 Rate Calc'!J30</f>
        <v>3.9039999999999998E-2</v>
      </c>
    </row>
    <row r="32" spans="1:20" ht="27" customHeight="1" x14ac:dyDescent="0.3">
      <c r="A32" s="35" t="s">
        <v>88</v>
      </c>
      <c r="B32" s="35"/>
      <c r="C32" s="34">
        <f>B60</f>
        <v>-127.91995966459217</v>
      </c>
      <c r="D32" s="43"/>
      <c r="E32" s="43"/>
      <c r="F32" s="35"/>
      <c r="G32" s="35" t="s">
        <v>79</v>
      </c>
      <c r="H32" s="35"/>
      <c r="I32" s="34">
        <f>H60</f>
        <v>-149.28714221056711</v>
      </c>
      <c r="J32" s="43"/>
    </row>
    <row r="33" spans="1:20" ht="14.55" customHeight="1" x14ac:dyDescent="0.3">
      <c r="A33" s="35"/>
      <c r="B33" s="35"/>
      <c r="C33" s="34"/>
      <c r="D33" s="43"/>
      <c r="E33" s="43"/>
      <c r="F33" s="35"/>
      <c r="G33" s="35"/>
      <c r="H33" s="35"/>
      <c r="I33" s="34"/>
      <c r="J33" s="43"/>
      <c r="P33" t="s">
        <v>69</v>
      </c>
    </row>
    <row r="34" spans="1:20" ht="14.55" customHeight="1" x14ac:dyDescent="0.3">
      <c r="A34" s="65" t="s">
        <v>80</v>
      </c>
      <c r="B34" s="35"/>
      <c r="C34" s="34"/>
      <c r="D34" s="43"/>
      <c r="E34" s="43"/>
      <c r="F34" s="35"/>
      <c r="G34" s="65" t="s">
        <v>80</v>
      </c>
      <c r="H34" s="35"/>
      <c r="I34" s="34"/>
      <c r="J34" s="43"/>
      <c r="P34" t="s">
        <v>65</v>
      </c>
      <c r="R34" s="57"/>
      <c r="T34" s="57">
        <f>T26-T30</f>
        <v>-4.9829999999999999E-2</v>
      </c>
    </row>
    <row r="35" spans="1:20" ht="34.200000000000003" customHeight="1" x14ac:dyDescent="0.3">
      <c r="A35" s="138" t="str">
        <f>"(1)  Deferral balance at the end of the month, Rate of "&amp;TEXT(C25,"$0.00000")&amp;" to recover the October 2016 
       balance of "&amp;TEXT(B8,"$000,000")&amp;" over 12 months."</f>
        <v>(1)  Deferral balance at the end of the month, Rate of $0.00563 to recover the October 2016 
       balance of $700,938 over 12 months.</v>
      </c>
      <c r="B35" s="138"/>
      <c r="C35" s="138"/>
      <c r="D35" s="138"/>
      <c r="E35" s="43"/>
      <c r="F35" s="35"/>
      <c r="G35" s="138" t="str">
        <f>"(1)  Deferral balance at the end of the month, Rate of "&amp;TEXT(I25,"$0.00000")&amp;" to recover the October 2016 
       balance of "&amp;TEXT(H8,"$000,000")&amp;" over 12 months."</f>
        <v>(1)  Deferral balance at the end of the month, Rate of -$0.00001 to recover the October 2016 
       balance of -$000,704 over 12 months.</v>
      </c>
      <c r="H35" s="138"/>
      <c r="I35" s="138"/>
      <c r="J35" s="138"/>
      <c r="P35" t="s">
        <v>97</v>
      </c>
      <c r="R35" s="57"/>
      <c r="T35" s="57">
        <f>T27-T31</f>
        <v>-3.9050000000000001E-2</v>
      </c>
    </row>
    <row r="36" spans="1:20" ht="36" customHeight="1" x14ac:dyDescent="0.3">
      <c r="A36" s="138" t="s">
        <v>81</v>
      </c>
      <c r="B36" s="138"/>
      <c r="C36" s="138"/>
      <c r="D36" s="138"/>
      <c r="E36" s="43"/>
      <c r="F36" s="35"/>
      <c r="G36" s="138" t="s">
        <v>81</v>
      </c>
      <c r="H36" s="138"/>
      <c r="I36" s="138"/>
      <c r="J36" s="138"/>
    </row>
    <row r="37" spans="1:20" ht="15.6" customHeight="1" x14ac:dyDescent="0.3">
      <c r="A37" s="69" t="s">
        <v>86</v>
      </c>
      <c r="B37" s="77"/>
      <c r="C37" s="77"/>
      <c r="D37" s="77"/>
      <c r="E37" s="43"/>
      <c r="F37" s="35"/>
      <c r="G37" s="69" t="s">
        <v>86</v>
      </c>
      <c r="H37" s="77"/>
      <c r="I37" s="77"/>
      <c r="J37" s="77"/>
      <c r="P37" t="s">
        <v>70</v>
      </c>
      <c r="R37" s="55"/>
      <c r="T37" s="55">
        <f>T38+T39</f>
        <v>-8421235.9763257466</v>
      </c>
    </row>
    <row r="38" spans="1:20" ht="18.600000000000001" customHeight="1" x14ac:dyDescent="0.3">
      <c r="A38" s="138" t="s">
        <v>90</v>
      </c>
      <c r="B38" s="138"/>
      <c r="C38" s="138"/>
      <c r="D38" s="138"/>
      <c r="E38" s="43"/>
      <c r="F38" s="35"/>
      <c r="G38" s="138" t="s">
        <v>90</v>
      </c>
      <c r="H38" s="138"/>
      <c r="I38" s="138"/>
      <c r="J38" s="138"/>
      <c r="P38" t="s">
        <v>65</v>
      </c>
      <c r="R38" s="55"/>
      <c r="T38" s="55">
        <f>T34*T22</f>
        <v>-6207702.767445703</v>
      </c>
    </row>
    <row r="39" spans="1:20" ht="21" customHeight="1" x14ac:dyDescent="0.3">
      <c r="A39" s="138" t="s">
        <v>91</v>
      </c>
      <c r="B39" s="138"/>
      <c r="C39" s="138"/>
      <c r="D39" s="138"/>
      <c r="E39" s="43"/>
      <c r="F39" s="35"/>
      <c r="G39" s="138" t="s">
        <v>91</v>
      </c>
      <c r="H39" s="138"/>
      <c r="I39" s="138"/>
      <c r="J39" s="138"/>
      <c r="P39" t="s">
        <v>97</v>
      </c>
      <c r="R39" s="55"/>
      <c r="T39" s="55">
        <f>T35*T23</f>
        <v>-2213533.2088800436</v>
      </c>
    </row>
    <row r="40" spans="1:20" ht="18.600000000000001" customHeight="1" x14ac:dyDescent="0.3">
      <c r="A40" s="138" t="s">
        <v>92</v>
      </c>
      <c r="B40" s="138"/>
      <c r="C40" s="138"/>
      <c r="D40" s="138"/>
      <c r="E40" s="43"/>
      <c r="F40" s="35"/>
      <c r="G40" s="138" t="s">
        <v>92</v>
      </c>
      <c r="H40" s="138"/>
      <c r="I40" s="138"/>
      <c r="J40" s="138"/>
      <c r="R40" s="55"/>
      <c r="T40" s="55"/>
    </row>
    <row r="41" spans="1:20" ht="14.55" customHeight="1" x14ac:dyDescent="0.3">
      <c r="A41" s="35"/>
      <c r="B41" s="35"/>
      <c r="C41" s="34"/>
      <c r="D41" s="43"/>
      <c r="E41" s="43"/>
      <c r="F41" s="35"/>
      <c r="G41" s="35"/>
      <c r="H41" s="35"/>
      <c r="I41" s="34"/>
      <c r="J41" s="43"/>
      <c r="P41" t="s">
        <v>72</v>
      </c>
      <c r="R41" s="58"/>
      <c r="T41" s="58"/>
    </row>
    <row r="42" spans="1:20" x14ac:dyDescent="0.3">
      <c r="A42" s="35"/>
      <c r="B42" s="35"/>
      <c r="C42" s="34"/>
      <c r="D42" s="43"/>
      <c r="E42" s="43"/>
      <c r="F42" s="35"/>
      <c r="G42" s="35"/>
      <c r="H42" s="35"/>
      <c r="I42" s="34"/>
      <c r="J42" s="43"/>
      <c r="P42" t="s">
        <v>65</v>
      </c>
      <c r="R42" s="58"/>
      <c r="T42" s="58">
        <f>T38/T9</f>
        <v>-5.0257067879805557E-2</v>
      </c>
    </row>
    <row r="43" spans="1:20" ht="27.6" customHeight="1" x14ac:dyDescent="0.3">
      <c r="A43" s="141" t="str">
        <f>A5</f>
        <v>Residential Natural Gas</v>
      </c>
      <c r="B43" s="141"/>
      <c r="C43" s="141"/>
      <c r="D43" s="141"/>
      <c r="E43" s="78"/>
      <c r="F43" s="35"/>
      <c r="G43" s="141" t="str">
        <f>G5</f>
        <v>Non-Residential Natural Gas</v>
      </c>
      <c r="H43" s="141"/>
      <c r="I43" s="141"/>
      <c r="J43" s="141"/>
      <c r="P43" t="s">
        <v>97</v>
      </c>
      <c r="R43" s="58"/>
      <c r="T43" s="58">
        <f>T39/T11</f>
        <v>-5.7669264212193747E-2</v>
      </c>
    </row>
    <row r="44" spans="1:20" x14ac:dyDescent="0.3">
      <c r="A44" s="140" t="s">
        <v>82</v>
      </c>
      <c r="B44" s="140"/>
      <c r="C44" s="140"/>
      <c r="D44" s="140"/>
      <c r="E44" s="35"/>
      <c r="F44" s="35"/>
      <c r="G44" s="140" t="s">
        <v>83</v>
      </c>
      <c r="H44" s="140"/>
      <c r="I44" s="140"/>
      <c r="J44" s="140"/>
    </row>
    <row r="45" spans="1:20" x14ac:dyDescent="0.3">
      <c r="A45" s="35"/>
      <c r="B45" s="78" t="s">
        <v>9</v>
      </c>
      <c r="C45" s="78" t="s">
        <v>4</v>
      </c>
      <c r="D45" s="76" t="s">
        <v>84</v>
      </c>
      <c r="E45" s="76"/>
      <c r="F45" s="35"/>
      <c r="G45" s="35"/>
      <c r="H45" s="78" t="s">
        <v>9</v>
      </c>
      <c r="I45" s="78" t="s">
        <v>4</v>
      </c>
      <c r="J45" s="76" t="s">
        <v>84</v>
      </c>
      <c r="P45" t="s">
        <v>95</v>
      </c>
      <c r="R45" s="48"/>
      <c r="T45" s="48"/>
    </row>
    <row r="46" spans="1:20" x14ac:dyDescent="0.3">
      <c r="A46" s="35"/>
      <c r="B46" s="35"/>
      <c r="C46" s="68" t="s">
        <v>87</v>
      </c>
      <c r="D46" s="35"/>
      <c r="E46" s="35"/>
      <c r="F46" s="35"/>
      <c r="G46" s="35"/>
      <c r="H46" s="35"/>
      <c r="I46" s="68" t="str">
        <f>C46</f>
        <v>3.25% / 3.46%</v>
      </c>
      <c r="J46" s="35"/>
      <c r="P46" t="s">
        <v>65</v>
      </c>
      <c r="R46" s="48"/>
      <c r="T46" s="48">
        <f>IF(T42&gt;0.03,T9*0.03-T38,0)</f>
        <v>0</v>
      </c>
    </row>
    <row r="47" spans="1:20" x14ac:dyDescent="0.3">
      <c r="A47" s="64"/>
      <c r="B47" s="34"/>
      <c r="C47" s="35"/>
      <c r="D47" s="35"/>
      <c r="E47" s="35"/>
      <c r="F47" s="35"/>
      <c r="G47" s="64"/>
      <c r="H47" s="34"/>
      <c r="I47" s="35"/>
      <c r="J47" s="35"/>
      <c r="P47" t="s">
        <v>97</v>
      </c>
      <c r="R47" s="48"/>
      <c r="T47" s="48">
        <f>IF(T35&gt;0.03,T11*0.03-T39,0)</f>
        <v>0</v>
      </c>
    </row>
    <row r="48" spans="1:20" x14ac:dyDescent="0.3">
      <c r="A48" s="66">
        <v>43009</v>
      </c>
      <c r="B48" s="67">
        <f>'Nat Gas 2016 Rate Calc'!C71</f>
        <v>700938.32516794675</v>
      </c>
      <c r="C48" s="34"/>
      <c r="D48" s="35"/>
      <c r="E48" s="35"/>
      <c r="F48" s="35"/>
      <c r="G48" s="66">
        <v>43009</v>
      </c>
      <c r="H48" s="67">
        <f>'Nat Gas 2016 Rate Calc'!I71</f>
        <v>-703.89310843171552</v>
      </c>
      <c r="I48" s="34"/>
      <c r="J48" s="35"/>
    </row>
    <row r="49" spans="1:21" x14ac:dyDescent="0.3">
      <c r="A49" s="64">
        <v>43040</v>
      </c>
      <c r="B49" s="34">
        <f>B48+C49-D49</f>
        <v>614109.65534349845</v>
      </c>
      <c r="C49" s="34">
        <f t="shared" ref="C49:C60" si="4">(B48-D49/2)*0.0346/12</f>
        <v>1893.1315738849828</v>
      </c>
      <c r="D49" s="34">
        <f t="shared" ref="D49:D60" si="5">D9*C$31</f>
        <v>88721.801398333264</v>
      </c>
      <c r="E49" s="34"/>
      <c r="F49" s="35"/>
      <c r="G49" s="64">
        <v>43040</v>
      </c>
      <c r="H49" s="34">
        <f t="shared" ref="H49:H60" si="6">H48+I49-J49</f>
        <v>-629.73220615792161</v>
      </c>
      <c r="I49" s="34">
        <f t="shared" ref="I49:I60" si="7">(H48-J49/2)*0.0346/12</f>
        <v>-1.919875341582612</v>
      </c>
      <c r="J49" s="34">
        <f t="shared" ref="J49:J60" si="8">J9*I$31</f>
        <v>-76.080777615376505</v>
      </c>
      <c r="P49" t="s">
        <v>73</v>
      </c>
    </row>
    <row r="50" spans="1:21" x14ac:dyDescent="0.3">
      <c r="A50" s="64">
        <v>43070</v>
      </c>
      <c r="B50" s="34">
        <f t="shared" ref="B50:B60" si="9">B49+C50-D50</f>
        <v>485597.99087551225</v>
      </c>
      <c r="C50" s="34">
        <f t="shared" si="4"/>
        <v>1583.1295115865362</v>
      </c>
      <c r="D50" s="34">
        <f t="shared" si="5"/>
        <v>130094.79397957274</v>
      </c>
      <c r="E50" s="34"/>
      <c r="F50" s="35"/>
      <c r="G50" s="64">
        <v>43070</v>
      </c>
      <c r="H50" s="34">
        <f t="shared" si="6"/>
        <v>-541.5424699573814</v>
      </c>
      <c r="I50" s="34">
        <f t="shared" si="7"/>
        <v>-1.686156782038789</v>
      </c>
      <c r="J50" s="34">
        <f t="shared" si="8"/>
        <v>-89.875892982579018</v>
      </c>
      <c r="P50" t="s">
        <v>65</v>
      </c>
      <c r="R50" s="57"/>
      <c r="T50" s="57">
        <f>ROUND(T46/T22,5)</f>
        <v>0</v>
      </c>
      <c r="U50" s="60"/>
    </row>
    <row r="51" spans="1:21" x14ac:dyDescent="0.3">
      <c r="A51" s="64">
        <v>43101</v>
      </c>
      <c r="B51" s="34">
        <f t="shared" si="9"/>
        <v>360159.77919277886</v>
      </c>
      <c r="C51" s="34">
        <f t="shared" si="4"/>
        <v>1217.5454904330788</v>
      </c>
      <c r="D51" s="34">
        <f t="shared" si="5"/>
        <v>126655.75717316641</v>
      </c>
      <c r="E51" s="34"/>
      <c r="F51" s="35"/>
      <c r="G51" s="64">
        <v>43101</v>
      </c>
      <c r="H51" s="34">
        <f t="shared" si="6"/>
        <v>-457.03268321462753</v>
      </c>
      <c r="I51" s="34">
        <f t="shared" si="7"/>
        <v>-1.4375400589047251</v>
      </c>
      <c r="J51" s="34">
        <f t="shared" si="8"/>
        <v>-85.947326801658562</v>
      </c>
      <c r="P51" t="s">
        <v>97</v>
      </c>
      <c r="R51" s="57"/>
      <c r="T51" s="57">
        <f>ROUND(T47/T23,5)</f>
        <v>0</v>
      </c>
    </row>
    <row r="52" spans="1:21" x14ac:dyDescent="0.3">
      <c r="A52" s="64">
        <v>43132</v>
      </c>
      <c r="B52" s="34">
        <f t="shared" si="9"/>
        <v>260168.822034018</v>
      </c>
      <c r="C52" s="34">
        <f t="shared" si="4"/>
        <v>893.01963013518707</v>
      </c>
      <c r="D52" s="34">
        <f t="shared" si="5"/>
        <v>100883.97678889609</v>
      </c>
      <c r="E52" s="34"/>
      <c r="F52" s="35"/>
      <c r="G52" s="64">
        <v>43132</v>
      </c>
      <c r="H52" s="34">
        <f t="shared" si="6"/>
        <v>-389.58063345769995</v>
      </c>
      <c r="I52" s="34">
        <f t="shared" si="7"/>
        <v>-1.2187771278432982</v>
      </c>
      <c r="J52" s="34">
        <f t="shared" si="8"/>
        <v>-68.670826884770847</v>
      </c>
    </row>
    <row r="53" spans="1:21" x14ac:dyDescent="0.3">
      <c r="A53" s="64">
        <v>43160</v>
      </c>
      <c r="B53" s="34">
        <f t="shared" si="9"/>
        <v>174915.67033885646</v>
      </c>
      <c r="C53" s="34">
        <f t="shared" si="4"/>
        <v>626.34383081480257</v>
      </c>
      <c r="D53" s="34">
        <f t="shared" si="5"/>
        <v>85879.495525976337</v>
      </c>
      <c r="E53" s="34"/>
      <c r="F53" s="35"/>
      <c r="G53" s="64">
        <v>43160</v>
      </c>
      <c r="H53" s="34">
        <f t="shared" si="6"/>
        <v>-331.57082906506412</v>
      </c>
      <c r="I53" s="34">
        <f t="shared" si="7"/>
        <v>-1.038163339655648</v>
      </c>
      <c r="J53" s="34">
        <f t="shared" si="8"/>
        <v>-59.04796773229144</v>
      </c>
      <c r="P53" t="s">
        <v>74</v>
      </c>
    </row>
    <row r="54" spans="1:21" x14ac:dyDescent="0.3">
      <c r="A54" s="64">
        <v>43191</v>
      </c>
      <c r="B54" s="34">
        <f t="shared" si="9"/>
        <v>123338.50562412664</v>
      </c>
      <c r="C54" s="34">
        <f t="shared" si="4"/>
        <v>429.36410376370799</v>
      </c>
      <c r="D54" s="34">
        <f t="shared" si="5"/>
        <v>52006.528818493527</v>
      </c>
      <c r="E54" s="34"/>
      <c r="F54" s="35"/>
      <c r="G54" s="64">
        <v>43191</v>
      </c>
      <c r="H54" s="34">
        <f t="shared" si="6"/>
        <v>-294.25871795438536</v>
      </c>
      <c r="I54" s="34">
        <f t="shared" si="7"/>
        <v>-0.90093874359768622</v>
      </c>
      <c r="J54" s="34">
        <f t="shared" si="8"/>
        <v>-38.213049854276463</v>
      </c>
      <c r="P54" t="s">
        <v>65</v>
      </c>
      <c r="R54" s="57"/>
      <c r="T54" s="57">
        <f>T26+T50</f>
        <v>5.9699999999999996E-3</v>
      </c>
    </row>
    <row r="55" spans="1:21" x14ac:dyDescent="0.3">
      <c r="A55" s="64">
        <v>43221</v>
      </c>
      <c r="B55" s="34">
        <f t="shared" si="9"/>
        <v>95579.247298692411</v>
      </c>
      <c r="C55" s="34">
        <f t="shared" si="4"/>
        <v>315.15208287758225</v>
      </c>
      <c r="D55" s="34">
        <f t="shared" si="5"/>
        <v>28074.410408311822</v>
      </c>
      <c r="E55" s="34"/>
      <c r="F55" s="35"/>
      <c r="G55" s="64">
        <v>43221</v>
      </c>
      <c r="H55" s="34">
        <f t="shared" si="6"/>
        <v>-272.00161316169709</v>
      </c>
      <c r="I55" s="34">
        <f t="shared" si="7"/>
        <v>-0.81518342126003551</v>
      </c>
      <c r="J55" s="34">
        <f t="shared" si="8"/>
        <v>-23.072288213948301</v>
      </c>
      <c r="P55" t="s">
        <v>97</v>
      </c>
      <c r="R55" s="57"/>
      <c r="T55" s="57">
        <f>T27+T51</f>
        <v>-1.0000000000000001E-5</v>
      </c>
    </row>
    <row r="56" spans="1:21" x14ac:dyDescent="0.3">
      <c r="A56" s="64">
        <v>43252</v>
      </c>
      <c r="B56" s="34">
        <f t="shared" si="9"/>
        <v>79060.261205878167</v>
      </c>
      <c r="C56" s="34">
        <f t="shared" si="4"/>
        <v>251.40950938472631</v>
      </c>
      <c r="D56" s="34">
        <f t="shared" si="5"/>
        <v>16770.395602198969</v>
      </c>
      <c r="E56" s="34"/>
      <c r="F56" s="35"/>
      <c r="G56" s="64">
        <v>43252</v>
      </c>
      <c r="H56" s="34">
        <f t="shared" si="6"/>
        <v>-255.16844083951321</v>
      </c>
      <c r="I56" s="34">
        <f t="shared" si="7"/>
        <v>-0.75890940013321939</v>
      </c>
      <c r="J56" s="34">
        <f t="shared" si="8"/>
        <v>-17.592081722317122</v>
      </c>
    </row>
    <row r="57" spans="1:21" x14ac:dyDescent="0.3">
      <c r="A57" s="64">
        <v>43282</v>
      </c>
      <c r="B57" s="34">
        <f t="shared" si="9"/>
        <v>65944.306457582628</v>
      </c>
      <c r="C57" s="34">
        <f t="shared" si="4"/>
        <v>208.74730767958457</v>
      </c>
      <c r="D57" s="34">
        <f t="shared" si="5"/>
        <v>13324.70205597512</v>
      </c>
      <c r="E57" s="34"/>
      <c r="F57" s="35"/>
      <c r="G57" s="64">
        <v>43282</v>
      </c>
      <c r="H57" s="34">
        <f t="shared" si="6"/>
        <v>-237.93261373523495</v>
      </c>
      <c r="I57" s="34">
        <f t="shared" si="7"/>
        <v>-0.7098639664602816</v>
      </c>
      <c r="J57" s="34">
        <f t="shared" si="8"/>
        <v>-17.945691070738544</v>
      </c>
      <c r="P57" t="s">
        <v>75</v>
      </c>
      <c r="R57" s="61"/>
      <c r="T57" s="61">
        <f>T58+T59</f>
        <v>743161.5410564834</v>
      </c>
    </row>
    <row r="58" spans="1:21" x14ac:dyDescent="0.3">
      <c r="A58" s="64">
        <v>43313</v>
      </c>
      <c r="B58" s="34">
        <f t="shared" si="9"/>
        <v>53761.537894576453</v>
      </c>
      <c r="C58" s="34">
        <f t="shared" si="4"/>
        <v>172.32748681420551</v>
      </c>
      <c r="D58" s="34">
        <f t="shared" si="5"/>
        <v>12355.096049820382</v>
      </c>
      <c r="E58" s="34"/>
      <c r="F58" s="35"/>
      <c r="G58" s="64">
        <v>43313</v>
      </c>
      <c r="H58" s="34">
        <f t="shared" si="6"/>
        <v>-219.16721129870606</v>
      </c>
      <c r="I58" s="34">
        <f t="shared" si="7"/>
        <v>-0.65803691121027019</v>
      </c>
      <c r="J58" s="34">
        <f t="shared" si="8"/>
        <v>-19.423439347739155</v>
      </c>
      <c r="P58" t="s">
        <v>65</v>
      </c>
      <c r="R58" s="61"/>
      <c r="T58" s="61">
        <f>T54*T22</f>
        <v>743728.3869486422</v>
      </c>
    </row>
    <row r="59" spans="1:21" x14ac:dyDescent="0.3">
      <c r="A59" s="64">
        <v>43344</v>
      </c>
      <c r="B59" s="34">
        <f t="shared" si="9"/>
        <v>39256.77325445554</v>
      </c>
      <c r="C59" s="34">
        <f t="shared" si="4"/>
        <v>133.90834737239257</v>
      </c>
      <c r="D59" s="34">
        <f t="shared" si="5"/>
        <v>14638.67298749331</v>
      </c>
      <c r="E59" s="34"/>
      <c r="F59" s="35"/>
      <c r="G59" s="64">
        <v>43344</v>
      </c>
      <c r="H59" s="34">
        <f t="shared" si="6"/>
        <v>-196.6034376379348</v>
      </c>
      <c r="I59" s="34">
        <f t="shared" si="7"/>
        <v>-0.59853979068541907</v>
      </c>
      <c r="J59" s="34">
        <f t="shared" si="8"/>
        <v>-23.162313451456679</v>
      </c>
      <c r="P59" t="s">
        <v>97</v>
      </c>
      <c r="R59" s="61"/>
      <c r="T59" s="61">
        <f>T55*T23</f>
        <v>-566.84589215878202</v>
      </c>
    </row>
    <row r="60" spans="1:21" x14ac:dyDescent="0.3">
      <c r="A60" s="66">
        <v>43374</v>
      </c>
      <c r="B60" s="67">
        <f t="shared" si="9"/>
        <v>-127.91995966459217</v>
      </c>
      <c r="C60" s="34">
        <f t="shared" si="4"/>
        <v>56.329555058114828</v>
      </c>
      <c r="D60" s="34">
        <f t="shared" si="5"/>
        <v>39441.022769178249</v>
      </c>
      <c r="E60" s="34"/>
      <c r="F60" s="35"/>
      <c r="G60" s="66">
        <v>43374</v>
      </c>
      <c r="H60" s="67">
        <f t="shared" si="6"/>
        <v>-149.28714221056711</v>
      </c>
      <c r="I60" s="34">
        <f t="shared" si="7"/>
        <v>-0.49794105426169627</v>
      </c>
      <c r="J60" s="34">
        <f t="shared" si="8"/>
        <v>-47.814236481629393</v>
      </c>
      <c r="R60" s="61"/>
      <c r="T60" s="61"/>
    </row>
    <row r="61" spans="1:21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P61" t="s">
        <v>76</v>
      </c>
    </row>
    <row r="62" spans="1:21" ht="14.4" customHeight="1" x14ac:dyDescent="0.3">
      <c r="A62" s="35"/>
      <c r="B62" s="35"/>
      <c r="C62" s="35"/>
      <c r="D62" s="34">
        <f>SUM(D49:D60)</f>
        <v>708846.65355741628</v>
      </c>
      <c r="E62" s="35"/>
      <c r="F62" s="35"/>
      <c r="G62" s="35"/>
      <c r="H62" s="35"/>
      <c r="I62" s="35"/>
      <c r="J62" s="34">
        <f>SUM(J49:J60)</f>
        <v>-566.84589215878191</v>
      </c>
      <c r="P62" t="s">
        <v>65</v>
      </c>
      <c r="R62" s="58"/>
      <c r="T62" s="58">
        <f>T58/T9</f>
        <v>6.0211658688027123E-3</v>
      </c>
    </row>
    <row r="63" spans="1:21" x14ac:dyDescent="0.3">
      <c r="P63" t="s">
        <v>97</v>
      </c>
      <c r="R63" s="58"/>
      <c r="T63" s="58">
        <f>T59/T11</f>
        <v>-1.4768057416694944E-5</v>
      </c>
    </row>
    <row r="65" spans="1:21" x14ac:dyDescent="0.3">
      <c r="P65" t="s">
        <v>80</v>
      </c>
    </row>
    <row r="66" spans="1:21" ht="14.4" customHeight="1" x14ac:dyDescent="0.3">
      <c r="P66" s="149" t="s">
        <v>96</v>
      </c>
      <c r="Q66" s="149"/>
      <c r="R66" s="149"/>
      <c r="S66" s="149"/>
      <c r="T66" s="149"/>
      <c r="U66" s="149"/>
    </row>
    <row r="67" spans="1:21" x14ac:dyDescent="0.3">
      <c r="P67" s="149"/>
      <c r="Q67" s="149"/>
      <c r="R67" s="149"/>
      <c r="S67" s="149"/>
      <c r="T67" s="149"/>
      <c r="U67" s="149"/>
    </row>
    <row r="74" spans="1:21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</row>
  </sheetData>
  <mergeCells count="32">
    <mergeCell ref="A1:D1"/>
    <mergeCell ref="G1:J1"/>
    <mergeCell ref="A2:D2"/>
    <mergeCell ref="G2:J2"/>
    <mergeCell ref="A3:D3"/>
    <mergeCell ref="G3:J3"/>
    <mergeCell ref="A27:B27"/>
    <mergeCell ref="G27:H27"/>
    <mergeCell ref="A35:D35"/>
    <mergeCell ref="G35:J35"/>
    <mergeCell ref="A5:D5"/>
    <mergeCell ref="G5:J5"/>
    <mergeCell ref="A24:B24"/>
    <mergeCell ref="G24:H24"/>
    <mergeCell ref="A25:B25"/>
    <mergeCell ref="G25:H25"/>
    <mergeCell ref="P7:U7"/>
    <mergeCell ref="P66:U67"/>
    <mergeCell ref="A40:D40"/>
    <mergeCell ref="G40:J40"/>
    <mergeCell ref="A43:D43"/>
    <mergeCell ref="G43:J43"/>
    <mergeCell ref="A44:D44"/>
    <mergeCell ref="G44:J44"/>
    <mergeCell ref="A36:D36"/>
    <mergeCell ref="G36:J36"/>
    <mergeCell ref="A38:D38"/>
    <mergeCell ref="G38:J38"/>
    <mergeCell ref="A39:D39"/>
    <mergeCell ref="G39:J39"/>
    <mergeCell ref="A26:B26"/>
    <mergeCell ref="G26:H26"/>
  </mergeCells>
  <hyperlinks>
    <hyperlink ref="A37" r:id="rId1"/>
    <hyperlink ref="G37" r:id="rId2"/>
  </hyperlinks>
  <printOptions horizontalCentered="1"/>
  <pageMargins left="0.7" right="0.7" top="0.55000000000000004" bottom="0.48" header="0.3" footer="0.3"/>
  <pageSetup scale="88" orientation="portrait" r:id="rId3"/>
  <rowBreaks count="1" manualBreakCount="1">
    <brk id="42" max="8" man="1"/>
  </rowBreaks>
  <colBreaks count="1" manualBreakCount="1">
    <brk id="5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BB5A9A69531142BCCD0B22C95C28DD" ma:contentTypeVersion="104" ma:contentTypeDescription="" ma:contentTypeScope="" ma:versionID="da4b190d905f5282aadc003635d8f9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AB116AB-B566-4F4B-869A-0D702D2FA1BA}"/>
</file>

<file path=customXml/itemProps2.xml><?xml version="1.0" encoding="utf-8"?>
<ds:datastoreItem xmlns:ds="http://schemas.openxmlformats.org/officeDocument/2006/customXml" ds:itemID="{D71D551B-F0FE-4CD7-B1E4-B3A7DE8B8CFB}"/>
</file>

<file path=customXml/itemProps3.xml><?xml version="1.0" encoding="utf-8"?>
<ds:datastoreItem xmlns:ds="http://schemas.openxmlformats.org/officeDocument/2006/customXml" ds:itemID="{0C7ECC7B-EE55-432C-836A-F5616C5802A1}"/>
</file>

<file path=customXml/itemProps4.xml><?xml version="1.0" encoding="utf-8"?>
<ds:datastoreItem xmlns:ds="http://schemas.openxmlformats.org/officeDocument/2006/customXml" ds:itemID="{722AC19D-997B-47E1-96C4-A3EC6C43F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5 15 17 Forecast Usage by Sched</vt:lpstr>
      <vt:lpstr>Nat Gas 2016 Rate Calc</vt:lpstr>
      <vt:lpstr>Electric 2015 Rate Calc</vt:lpstr>
      <vt:lpstr>Prior Year Amortization</vt:lpstr>
      <vt:lpstr>Earnings Test and 3% Test</vt:lpstr>
      <vt:lpstr>Conversion Factors</vt:lpstr>
      <vt:lpstr>Bill Impact</vt:lpstr>
      <vt:lpstr>Nat Gas 2015carryover Rate Calc</vt:lpstr>
      <vt:lpstr>'Conversion Factors'!Print_Area</vt:lpstr>
      <vt:lpstr>'Earnings Test and 3% Test'!Print_Area</vt:lpstr>
      <vt:lpstr>'Electric 2015 Rate Calc'!Print_Area</vt:lpstr>
      <vt:lpstr>'Nat Gas 2015carryover Rate Calc'!Print_Area</vt:lpstr>
      <vt:lpstr>'Nat Gas 2016 Rate Calc'!Print_Area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2017-08-28T20:32:51Z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0x0101006E56B4D1795A2E4DB2F0B01679ED314A00BCBB5A9A69531142BCCD0B22C95C28DD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