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WP CBR\WWP 2016-12 CBR\CBR - Power Supply\"/>
    </mc:Choice>
  </mc:AlternateContent>
  <bookViews>
    <workbookView xWindow="0" yWindow="0" windowWidth="23040" windowHeight="9408"/>
  </bookViews>
  <sheets>
    <sheet name="Normalize PS - 12.2016" sheetId="20" r:id="rId1"/>
    <sheet name="Index" sheetId="17" state="hidden" r:id="rId2"/>
    <sheet name="WGJ-2" sheetId="1" r:id="rId3"/>
    <sheet name="WGJ-4" sheetId="16" state="hidden" r:id="rId4"/>
    <sheet name="WGJ-5" sheetId="19" state="hidden" r:id="rId5"/>
    <sheet name="Aurora" sheetId="18" state="hidden" r:id="rId6"/>
  </sheets>
  <definedNames>
    <definedName name="_xlnm.Print_Area" localSheetId="1">Index!$A$23:$O$58</definedName>
    <definedName name="_xlnm.Print_Area" localSheetId="2">'WGJ-2'!$A$1:$F$112,'WGJ-2'!$X$1:$AC$36</definedName>
    <definedName name="_xlnm.Print_Area" localSheetId="3">'WGJ-4'!$A$1:$O$57</definedName>
    <definedName name="_xlnm.Print_Titles" localSheetId="2">'WGJ-2'!$1:$7</definedName>
  </definedNames>
  <calcPr calcId="152511"/>
</workbook>
</file>

<file path=xl/calcChain.xml><?xml version="1.0" encoding="utf-8"?>
<calcChain xmlns="http://schemas.openxmlformats.org/spreadsheetml/2006/main">
  <c r="E119" i="1" l="1"/>
  <c r="D29" i="20"/>
  <c r="D28" i="20"/>
  <c r="D27" i="20"/>
  <c r="D23" i="20"/>
  <c r="D22" i="20"/>
  <c r="D21" i="20"/>
  <c r="D19" i="20"/>
  <c r="D15" i="20"/>
  <c r="D14" i="20" s="1"/>
  <c r="D12" i="20"/>
  <c r="D11" i="20"/>
  <c r="F118" i="1" l="1"/>
  <c r="C119" i="1"/>
  <c r="C120" i="1" s="1"/>
  <c r="C118" i="1"/>
  <c r="D103" i="1" l="1"/>
  <c r="D115" i="1" s="1"/>
  <c r="D118" i="1"/>
  <c r="E35" i="1"/>
  <c r="F103" i="1" l="1"/>
  <c r="E102" i="1"/>
  <c r="F96" i="1"/>
  <c r="D96" i="1"/>
  <c r="E95" i="1"/>
  <c r="F77" i="1"/>
  <c r="D77" i="1"/>
  <c r="E76" i="1"/>
  <c r="F59" i="1"/>
  <c r="E59" i="1" s="1"/>
  <c r="E44" i="1"/>
  <c r="A28" i="1"/>
  <c r="AB33" i="1"/>
  <c r="AB34" i="1" s="1"/>
  <c r="AC17" i="1"/>
  <c r="AC18" i="1"/>
  <c r="AC19" i="1"/>
  <c r="Y30" i="1"/>
  <c r="Z29" i="1"/>
  <c r="AB29" i="1" s="1"/>
  <c r="AB27" i="1"/>
  <c r="AB23" i="1"/>
  <c r="Z20" i="1"/>
  <c r="Z22" i="1" s="1"/>
  <c r="Z26" i="1" s="1"/>
  <c r="Y20" i="1"/>
  <c r="Y22" i="1" s="1"/>
  <c r="AB16" i="1"/>
  <c r="AB15" i="1"/>
  <c r="AB14" i="1"/>
  <c r="AB13" i="1"/>
  <c r="AB12" i="1"/>
  <c r="AB11" i="1"/>
  <c r="AB10" i="1"/>
  <c r="Z6" i="1"/>
  <c r="Y6" i="1"/>
  <c r="F34" i="1"/>
  <c r="E27" i="1"/>
  <c r="E34" i="1" l="1"/>
  <c r="AA29" i="1"/>
  <c r="AC29" i="1" s="1"/>
  <c r="AA33" i="1"/>
  <c r="AA28" i="1"/>
  <c r="AA22" i="1"/>
  <c r="AA15" i="1"/>
  <c r="AC15" i="1" s="1"/>
  <c r="AA27" i="1"/>
  <c r="AC27" i="1" s="1"/>
  <c r="AB20" i="1"/>
  <c r="AB22" i="1" s="1"/>
  <c r="AB26" i="1" s="1"/>
  <c r="AB28" i="1" s="1"/>
  <c r="AA14" i="1"/>
  <c r="AC14" i="1" s="1"/>
  <c r="AA31" i="1"/>
  <c r="AB30" i="1"/>
  <c r="AB32" i="1" s="1"/>
  <c r="AA10" i="1"/>
  <c r="AC10" i="1" s="1"/>
  <c r="AA13" i="1"/>
  <c r="AC13" i="1" s="1"/>
  <c r="AA23" i="1"/>
  <c r="AC23" i="1" s="1"/>
  <c r="AA11" i="1"/>
  <c r="AA16" i="1"/>
  <c r="AC16" i="1" s="1"/>
  <c r="AA12" i="1"/>
  <c r="AC12" i="1" s="1"/>
  <c r="AA24" i="1"/>
  <c r="AC24" i="1" s="1"/>
  <c r="Y26" i="1"/>
  <c r="Z30" i="1"/>
  <c r="AA30" i="1" s="1"/>
  <c r="AB35" i="1" l="1"/>
  <c r="AC33" i="1"/>
  <c r="AA34" i="1"/>
  <c r="AC30" i="1"/>
  <c r="AA20" i="1"/>
  <c r="AA21" i="1" s="1"/>
  <c r="AC11" i="1"/>
  <c r="AC20" i="1" s="1"/>
  <c r="AC22" i="1" s="1"/>
  <c r="AC26" i="1" s="1"/>
  <c r="AC28" i="1" s="1"/>
  <c r="AA32" i="1"/>
  <c r="AC32" i="1" s="1"/>
  <c r="AA26" i="1"/>
  <c r="AA35" i="1" l="1"/>
  <c r="AC34" i="1"/>
  <c r="AC35" i="1" s="1"/>
  <c r="AC36" i="1" s="1"/>
  <c r="E26" i="1" l="1"/>
  <c r="E25" i="1"/>
  <c r="F29" i="20"/>
  <c r="H29" i="20" s="1"/>
  <c r="F27" i="20"/>
  <c r="H27" i="20" s="1"/>
  <c r="F26" i="20"/>
  <c r="H26" i="20" s="1"/>
  <c r="H25" i="20"/>
  <c r="F25" i="20"/>
  <c r="F24" i="20"/>
  <c r="H24" i="20" s="1"/>
  <c r="F23" i="20"/>
  <c r="H23" i="20" s="1"/>
  <c r="F22" i="20"/>
  <c r="H22" i="20" s="1"/>
  <c r="F21" i="20"/>
  <c r="H21" i="20" s="1"/>
  <c r="F20" i="20"/>
  <c r="H20" i="20" s="1"/>
  <c r="F13" i="20"/>
  <c r="H13" i="20" s="1"/>
  <c r="F12" i="20"/>
  <c r="H12" i="20" s="1"/>
  <c r="F11" i="20"/>
  <c r="J9" i="20"/>
  <c r="J29" i="20" s="1"/>
  <c r="D30" i="20" l="1"/>
  <c r="H11" i="20"/>
  <c r="J11" i="20"/>
  <c r="E15" i="20"/>
  <c r="J25" i="20"/>
  <c r="F19" i="20"/>
  <c r="J24" i="20"/>
  <c r="E28" i="20"/>
  <c r="J26" i="20"/>
  <c r="J13" i="20"/>
  <c r="J20" i="20"/>
  <c r="J21" i="20"/>
  <c r="J22" i="20"/>
  <c r="J23" i="20"/>
  <c r="J12" i="20"/>
  <c r="J27" i="20"/>
  <c r="H19" i="20" l="1"/>
  <c r="E30" i="20"/>
  <c r="H28" i="20"/>
  <c r="H15" i="20"/>
  <c r="E16" i="20"/>
  <c r="F15" i="20"/>
  <c r="J19" i="20"/>
  <c r="J30" i="20" s="1"/>
  <c r="F28" i="20"/>
  <c r="F30" i="20" s="1"/>
  <c r="F14" i="20"/>
  <c r="D16" i="20"/>
  <c r="D32" i="20" s="1"/>
  <c r="J92" i="1"/>
  <c r="L73" i="1"/>
  <c r="M73" i="1"/>
  <c r="N73" i="1"/>
  <c r="O73" i="1"/>
  <c r="P73" i="1"/>
  <c r="Q73" i="1"/>
  <c r="R73" i="1"/>
  <c r="S73" i="1"/>
  <c r="T73" i="1"/>
  <c r="U73" i="1"/>
  <c r="V73" i="1"/>
  <c r="K73" i="1"/>
  <c r="L67" i="1"/>
  <c r="M67" i="1"/>
  <c r="N67" i="1"/>
  <c r="O67" i="1"/>
  <c r="P67" i="1"/>
  <c r="Q67" i="1"/>
  <c r="R67" i="1"/>
  <c r="S67" i="1"/>
  <c r="T67" i="1"/>
  <c r="U67" i="1"/>
  <c r="V67" i="1"/>
  <c r="K67" i="1"/>
  <c r="L52" i="1"/>
  <c r="M52" i="1"/>
  <c r="N52" i="1"/>
  <c r="O52" i="1"/>
  <c r="P52" i="1"/>
  <c r="Q52" i="1"/>
  <c r="R52" i="1"/>
  <c r="S52" i="1"/>
  <c r="T52" i="1"/>
  <c r="U52" i="1"/>
  <c r="V52" i="1"/>
  <c r="K52" i="1"/>
  <c r="E32" i="20" l="1"/>
  <c r="H30" i="20"/>
  <c r="H14" i="20"/>
  <c r="H16" i="20" s="1"/>
  <c r="F16" i="20"/>
  <c r="F32" i="20" s="1"/>
  <c r="J14" i="20"/>
  <c r="J16" i="20" s="1"/>
  <c r="J32" i="20" s="1"/>
  <c r="L53" i="1"/>
  <c r="M53" i="1"/>
  <c r="N53" i="1"/>
  <c r="O53" i="1"/>
  <c r="P53" i="1"/>
  <c r="Q53" i="1"/>
  <c r="R53" i="1"/>
  <c r="S53" i="1"/>
  <c r="T53" i="1"/>
  <c r="U53" i="1"/>
  <c r="V53" i="1"/>
  <c r="K53" i="1"/>
  <c r="L54" i="1"/>
  <c r="M54" i="1"/>
  <c r="N54" i="1"/>
  <c r="O54" i="1"/>
  <c r="P54" i="1"/>
  <c r="Q54" i="1"/>
  <c r="R54" i="1"/>
  <c r="S54" i="1"/>
  <c r="T54" i="1"/>
  <c r="U54" i="1"/>
  <c r="V54" i="1"/>
  <c r="K54" i="1"/>
  <c r="H32" i="20" l="1"/>
  <c r="H36" i="20" s="1"/>
  <c r="H38" i="20" s="1"/>
  <c r="H40" i="20" s="1"/>
  <c r="J34" i="20"/>
  <c r="J36" i="20" s="1"/>
  <c r="L31" i="1"/>
  <c r="M31" i="1"/>
  <c r="N31" i="1"/>
  <c r="O31" i="1"/>
  <c r="P31" i="1"/>
  <c r="Q31" i="1"/>
  <c r="R31" i="1"/>
  <c r="S31" i="1"/>
  <c r="T31" i="1"/>
  <c r="U31" i="1"/>
  <c r="V31" i="1"/>
  <c r="K31" i="1"/>
  <c r="J38" i="20" l="1"/>
  <c r="J40" i="20" s="1"/>
  <c r="E93" i="1"/>
  <c r="E19" i="17"/>
  <c r="F19" i="17"/>
  <c r="G19" i="17"/>
  <c r="H19" i="17"/>
  <c r="I19" i="17"/>
  <c r="J19" i="17"/>
  <c r="K19" i="17"/>
  <c r="L19" i="17"/>
  <c r="M19" i="17"/>
  <c r="N19" i="17"/>
  <c r="O19" i="17"/>
  <c r="D19" i="17"/>
  <c r="E33" i="1" l="1"/>
  <c r="L105" i="1" l="1"/>
  <c r="M105" i="1"/>
  <c r="N105" i="1"/>
  <c r="O105" i="1"/>
  <c r="P105" i="1"/>
  <c r="Q105" i="1"/>
  <c r="R105" i="1"/>
  <c r="S105" i="1"/>
  <c r="T105" i="1"/>
  <c r="U105" i="1"/>
  <c r="V105" i="1"/>
  <c r="K105" i="1"/>
  <c r="L79" i="1"/>
  <c r="M79" i="1"/>
  <c r="N79" i="1"/>
  <c r="O79" i="1"/>
  <c r="P79" i="1"/>
  <c r="Q79" i="1"/>
  <c r="R79" i="1"/>
  <c r="S79" i="1"/>
  <c r="T79" i="1"/>
  <c r="U79" i="1"/>
  <c r="V79" i="1"/>
  <c r="K79" i="1"/>
  <c r="J79" i="1" l="1"/>
  <c r="J105" i="1"/>
  <c r="C19" i="17"/>
  <c r="E20" i="17"/>
  <c r="E21" i="17" s="1"/>
  <c r="L91" i="1" s="1"/>
  <c r="F20" i="17"/>
  <c r="F21" i="17" s="1"/>
  <c r="M91" i="1" s="1"/>
  <c r="G20" i="17"/>
  <c r="G21" i="17" s="1"/>
  <c r="N91" i="1" s="1"/>
  <c r="H20" i="17"/>
  <c r="H21" i="17" s="1"/>
  <c r="O91" i="1" s="1"/>
  <c r="I20" i="17"/>
  <c r="I21" i="17" s="1"/>
  <c r="P91" i="1" s="1"/>
  <c r="J20" i="17"/>
  <c r="J21" i="17" s="1"/>
  <c r="Q91" i="1" s="1"/>
  <c r="K20" i="17"/>
  <c r="K21" i="17" s="1"/>
  <c r="R91" i="1" s="1"/>
  <c r="L20" i="17"/>
  <c r="L21" i="17" s="1"/>
  <c r="S91" i="1" s="1"/>
  <c r="M20" i="17"/>
  <c r="M21" i="17" s="1"/>
  <c r="T91" i="1" s="1"/>
  <c r="N20" i="17"/>
  <c r="N21" i="17" s="1"/>
  <c r="U91" i="1" s="1"/>
  <c r="O20" i="17"/>
  <c r="O21" i="17" s="1"/>
  <c r="V91" i="1" s="1"/>
  <c r="D20" i="17"/>
  <c r="D21" i="17" s="1"/>
  <c r="K91" i="1" s="1"/>
  <c r="C11" i="17"/>
  <c r="C21" i="17" l="1"/>
  <c r="L37" i="1" l="1"/>
  <c r="M37" i="1"/>
  <c r="N37" i="1"/>
  <c r="O37" i="1"/>
  <c r="P37" i="1"/>
  <c r="Q37" i="1"/>
  <c r="R37" i="1"/>
  <c r="S37" i="1"/>
  <c r="T37" i="1"/>
  <c r="U37" i="1"/>
  <c r="V37" i="1"/>
  <c r="K37" i="1"/>
  <c r="J37" i="1" l="1"/>
  <c r="L72" i="1" l="1"/>
  <c r="M72" i="1"/>
  <c r="N72" i="1"/>
  <c r="O72" i="1"/>
  <c r="P72" i="1"/>
  <c r="Q72" i="1"/>
  <c r="R72" i="1"/>
  <c r="S72" i="1"/>
  <c r="T72" i="1"/>
  <c r="U72" i="1"/>
  <c r="V72" i="1"/>
  <c r="K72" i="1"/>
  <c r="L66" i="1" l="1"/>
  <c r="M66" i="1"/>
  <c r="N66" i="1"/>
  <c r="O66" i="1"/>
  <c r="P66" i="1"/>
  <c r="Q66" i="1"/>
  <c r="R66" i="1"/>
  <c r="S66" i="1"/>
  <c r="T66" i="1"/>
  <c r="U66" i="1"/>
  <c r="V66" i="1"/>
  <c r="K66" i="1"/>
  <c r="L51" i="1" l="1"/>
  <c r="M51" i="1"/>
  <c r="N51" i="1"/>
  <c r="O51" i="1"/>
  <c r="P51" i="1"/>
  <c r="Q51" i="1"/>
  <c r="R51" i="1"/>
  <c r="S51" i="1"/>
  <c r="T51" i="1"/>
  <c r="U51" i="1"/>
  <c r="V51" i="1"/>
  <c r="K51" i="1"/>
  <c r="L41" i="1"/>
  <c r="M41" i="1"/>
  <c r="N41" i="1"/>
  <c r="O41" i="1"/>
  <c r="P41" i="1"/>
  <c r="Q41" i="1"/>
  <c r="R41" i="1"/>
  <c r="S41" i="1"/>
  <c r="T41" i="1"/>
  <c r="U41" i="1"/>
  <c r="V41" i="1"/>
  <c r="K41" i="1"/>
  <c r="J23" i="1"/>
  <c r="J24" i="1"/>
  <c r="J25" i="1"/>
  <c r="J27" i="1"/>
  <c r="E54" i="1" l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5" i="17" l="1"/>
  <c r="E16" i="17" s="1"/>
  <c r="F15" i="17"/>
  <c r="F16" i="17" s="1"/>
  <c r="G15" i="17"/>
  <c r="G16" i="17" s="1"/>
  <c r="M15" i="17"/>
  <c r="M16" i="17" s="1"/>
  <c r="N15" i="17"/>
  <c r="N16" i="17" s="1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100" i="1" l="1"/>
  <c r="E32" i="1"/>
  <c r="E36" i="1"/>
  <c r="E23" i="1" l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0" i="19"/>
  <c r="E30" i="19"/>
  <c r="F30" i="19"/>
  <c r="G30" i="19"/>
  <c r="H30" i="19"/>
  <c r="I30" i="19"/>
  <c r="J30" i="19"/>
  <c r="K30" i="19"/>
  <c r="L30" i="19"/>
  <c r="M30" i="19"/>
  <c r="N30" i="19"/>
  <c r="C30" i="19"/>
  <c r="L98" i="1" l="1"/>
  <c r="M98" i="1"/>
  <c r="N98" i="1"/>
  <c r="O98" i="1"/>
  <c r="P98" i="1"/>
  <c r="Q98" i="1"/>
  <c r="R98" i="1"/>
  <c r="S98" i="1"/>
  <c r="T98" i="1"/>
  <c r="U98" i="1"/>
  <c r="V98" i="1"/>
  <c r="K98" i="1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V19" i="1"/>
  <c r="U19" i="1"/>
  <c r="T19" i="1"/>
  <c r="S19" i="1"/>
  <c r="R19" i="1"/>
  <c r="Q19" i="1"/>
  <c r="P19" i="1"/>
  <c r="O19" i="1"/>
  <c r="N19" i="1"/>
  <c r="M19" i="1"/>
  <c r="L19" i="1"/>
  <c r="K19" i="1"/>
  <c r="E55" i="1" l="1"/>
  <c r="E12" i="1"/>
  <c r="J52" i="1" l="1"/>
  <c r="E53" i="1"/>
  <c r="B24" i="19"/>
  <c r="J86" i="1"/>
  <c r="E87" i="1"/>
  <c r="A9" i="1"/>
  <c r="A10" i="1" s="1"/>
  <c r="A11" i="1" s="1"/>
  <c r="A12" i="1" s="1"/>
  <c r="D33" i="16"/>
  <c r="K17" i="1" s="1"/>
  <c r="E33" i="16"/>
  <c r="L17" i="1" s="1"/>
  <c r="F33" i="16"/>
  <c r="M17" i="1" s="1"/>
  <c r="G33" i="16"/>
  <c r="N17" i="1" s="1"/>
  <c r="H33" i="16"/>
  <c r="O17" i="1" s="1"/>
  <c r="I33" i="16"/>
  <c r="P17" i="1" s="1"/>
  <c r="J33" i="16"/>
  <c r="Q17" i="1" s="1"/>
  <c r="K33" i="16"/>
  <c r="R17" i="1" s="1"/>
  <c r="L33" i="16"/>
  <c r="S17" i="1" s="1"/>
  <c r="M33" i="16"/>
  <c r="T17" i="1" s="1"/>
  <c r="N33" i="16"/>
  <c r="U17" i="1" s="1"/>
  <c r="O33" i="16"/>
  <c r="V17" i="1" s="1"/>
  <c r="E36" i="17"/>
  <c r="D6" i="17"/>
  <c r="D15" i="17" s="1"/>
  <c r="D16" i="17" s="1"/>
  <c r="K88" i="1" s="1"/>
  <c r="H6" i="17"/>
  <c r="H15" i="17" s="1"/>
  <c r="I6" i="17"/>
  <c r="I15" i="17" s="1"/>
  <c r="I16" i="17" s="1"/>
  <c r="P88" i="1" s="1"/>
  <c r="J6" i="17"/>
  <c r="J15" i="17" s="1"/>
  <c r="K6" i="17"/>
  <c r="K15" i="17" s="1"/>
  <c r="K16" i="17" s="1"/>
  <c r="R88" i="1" s="1"/>
  <c r="L6" i="17"/>
  <c r="L15" i="17" s="1"/>
  <c r="O6" i="17"/>
  <c r="O15" i="17" s="1"/>
  <c r="O16" i="17" s="1"/>
  <c r="V88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L76" i="1"/>
  <c r="D20" i="19" s="1"/>
  <c r="M76" i="1"/>
  <c r="E20" i="19" s="1"/>
  <c r="N76" i="1"/>
  <c r="F20" i="19" s="1"/>
  <c r="O76" i="1"/>
  <c r="G20" i="19" s="1"/>
  <c r="P76" i="1"/>
  <c r="H20" i="19" s="1"/>
  <c r="Q76" i="1"/>
  <c r="I20" i="19" s="1"/>
  <c r="R76" i="1"/>
  <c r="J20" i="19" s="1"/>
  <c r="S76" i="1"/>
  <c r="K20" i="19" s="1"/>
  <c r="T76" i="1"/>
  <c r="L20" i="19" s="1"/>
  <c r="U76" i="1"/>
  <c r="M20" i="19" s="1"/>
  <c r="V76" i="1"/>
  <c r="N20" i="19" s="1"/>
  <c r="K76" i="1"/>
  <c r="C20" i="19" s="1"/>
  <c r="B22" i="19"/>
  <c r="J93" i="1"/>
  <c r="J85" i="1"/>
  <c r="J16" i="1"/>
  <c r="J18" i="1"/>
  <c r="J11" i="1"/>
  <c r="E35" i="16"/>
  <c r="L50" i="1" s="1"/>
  <c r="F35" i="16"/>
  <c r="M50" i="1" s="1"/>
  <c r="G35" i="16"/>
  <c r="N50" i="1" s="1"/>
  <c r="H35" i="16"/>
  <c r="O50" i="1" s="1"/>
  <c r="I35" i="16"/>
  <c r="P50" i="1" s="1"/>
  <c r="J35" i="16"/>
  <c r="Q50" i="1" s="1"/>
  <c r="K35" i="16"/>
  <c r="R50" i="1" s="1"/>
  <c r="L35" i="16"/>
  <c r="S50" i="1" s="1"/>
  <c r="M35" i="16"/>
  <c r="T50" i="1" s="1"/>
  <c r="N35" i="16"/>
  <c r="U50" i="1" s="1"/>
  <c r="O35" i="16"/>
  <c r="V50" i="1" s="1"/>
  <c r="D35" i="16"/>
  <c r="K50" i="1" s="1"/>
  <c r="J51" i="1"/>
  <c r="C29" i="17"/>
  <c r="C28" i="17"/>
  <c r="E11" i="1"/>
  <c r="D23" i="16"/>
  <c r="K42" i="1" s="1"/>
  <c r="D27" i="16"/>
  <c r="D31" i="16"/>
  <c r="K48" i="1" s="1"/>
  <c r="D39" i="16"/>
  <c r="D43" i="16"/>
  <c r="K59" i="1" s="1"/>
  <c r="D47" i="16"/>
  <c r="K55" i="1" s="1"/>
  <c r="D51" i="16"/>
  <c r="K56" i="1" s="1"/>
  <c r="E23" i="16"/>
  <c r="L42" i="1" s="1"/>
  <c r="E27" i="16"/>
  <c r="L40" i="1" s="1"/>
  <c r="E31" i="16"/>
  <c r="L48" i="1" s="1"/>
  <c r="E39" i="16"/>
  <c r="E43" i="16"/>
  <c r="L59" i="1" s="1"/>
  <c r="E47" i="16"/>
  <c r="L55" i="1" s="1"/>
  <c r="E51" i="16"/>
  <c r="L56" i="1" s="1"/>
  <c r="F23" i="16"/>
  <c r="M42" i="1" s="1"/>
  <c r="F27" i="16"/>
  <c r="F31" i="16"/>
  <c r="M48" i="1" s="1"/>
  <c r="F39" i="16"/>
  <c r="F43" i="16"/>
  <c r="M59" i="1" s="1"/>
  <c r="F47" i="16"/>
  <c r="M55" i="1" s="1"/>
  <c r="F51" i="16"/>
  <c r="M56" i="1" s="1"/>
  <c r="G23" i="16"/>
  <c r="G27" i="16"/>
  <c r="N40" i="1" s="1"/>
  <c r="G31" i="16"/>
  <c r="G39" i="16"/>
  <c r="N57" i="1" s="1"/>
  <c r="G43" i="16"/>
  <c r="G47" i="16"/>
  <c r="N55" i="1" s="1"/>
  <c r="G51" i="16"/>
  <c r="N56" i="1" s="1"/>
  <c r="H23" i="16"/>
  <c r="O42" i="1" s="1"/>
  <c r="H27" i="16"/>
  <c r="O40" i="1" s="1"/>
  <c r="H31" i="16"/>
  <c r="O48" i="1" s="1"/>
  <c r="H39" i="16"/>
  <c r="O57" i="1" s="1"/>
  <c r="H43" i="16"/>
  <c r="O59" i="1" s="1"/>
  <c r="H47" i="16"/>
  <c r="H51" i="16"/>
  <c r="O56" i="1" s="1"/>
  <c r="I23" i="16"/>
  <c r="P42" i="1" s="1"/>
  <c r="I27" i="16"/>
  <c r="P40" i="1" s="1"/>
  <c r="I31" i="16"/>
  <c r="I39" i="16"/>
  <c r="P57" i="1" s="1"/>
  <c r="I43" i="16"/>
  <c r="I47" i="16"/>
  <c r="P55" i="1" s="1"/>
  <c r="I51" i="16"/>
  <c r="P56" i="1" s="1"/>
  <c r="J23" i="16"/>
  <c r="Q42" i="1" s="1"/>
  <c r="J27" i="16"/>
  <c r="Q40" i="1" s="1"/>
  <c r="J31" i="16"/>
  <c r="Q48" i="1" s="1"/>
  <c r="J39" i="16"/>
  <c r="Q57" i="1" s="1"/>
  <c r="J43" i="16"/>
  <c r="Q59" i="1" s="1"/>
  <c r="J47" i="16"/>
  <c r="Q55" i="1" s="1"/>
  <c r="J51" i="16"/>
  <c r="Q56" i="1" s="1"/>
  <c r="L23" i="16"/>
  <c r="S42" i="1" s="1"/>
  <c r="L27" i="16"/>
  <c r="S40" i="1" s="1"/>
  <c r="L31" i="16"/>
  <c r="L39" i="16"/>
  <c r="L43" i="16"/>
  <c r="L47" i="16"/>
  <c r="L51" i="16"/>
  <c r="M23" i="16"/>
  <c r="T42" i="1" s="1"/>
  <c r="M27" i="16"/>
  <c r="M31" i="16"/>
  <c r="T48" i="1" s="1"/>
  <c r="M39" i="16"/>
  <c r="T57" i="1" s="1"/>
  <c r="M43" i="16"/>
  <c r="T59" i="1" s="1"/>
  <c r="M47" i="16"/>
  <c r="M51" i="16"/>
  <c r="T56" i="1" s="1"/>
  <c r="N23" i="16"/>
  <c r="U42" i="1" s="1"/>
  <c r="N27" i="16"/>
  <c r="N31" i="16"/>
  <c r="N39" i="16"/>
  <c r="U57" i="1" s="1"/>
  <c r="N43" i="16"/>
  <c r="N47" i="16"/>
  <c r="U55" i="1" s="1"/>
  <c r="N51" i="16"/>
  <c r="U56" i="1" s="1"/>
  <c r="O23" i="16"/>
  <c r="O27" i="16"/>
  <c r="V40" i="1" s="1"/>
  <c r="O31" i="16"/>
  <c r="V48" i="1" s="1"/>
  <c r="O39" i="16"/>
  <c r="O43" i="16"/>
  <c r="V59" i="1" s="1"/>
  <c r="O47" i="16"/>
  <c r="V55" i="1" s="1"/>
  <c r="O51" i="16"/>
  <c r="V56" i="1" s="1"/>
  <c r="K23" i="16"/>
  <c r="R42" i="1" s="1"/>
  <c r="K27" i="16"/>
  <c r="R40" i="1" s="1"/>
  <c r="K31" i="16"/>
  <c r="K39" i="16"/>
  <c r="R57" i="1" s="1"/>
  <c r="K43" i="16"/>
  <c r="K47" i="16"/>
  <c r="R55" i="1" s="1"/>
  <c r="K51" i="16"/>
  <c r="E16" i="1"/>
  <c r="E52" i="1"/>
  <c r="K34" i="16"/>
  <c r="E44" i="17"/>
  <c r="F44" i="17"/>
  <c r="G44" i="17"/>
  <c r="H44" i="17"/>
  <c r="I44" i="17"/>
  <c r="J44" i="17"/>
  <c r="K44" i="17"/>
  <c r="L44" i="17"/>
  <c r="M44" i="17"/>
  <c r="N44" i="17"/>
  <c r="O44" i="17"/>
  <c r="D44" i="17"/>
  <c r="B32" i="19"/>
  <c r="D21" i="16"/>
  <c r="E21" i="16"/>
  <c r="E22" i="16" s="1"/>
  <c r="F21" i="16"/>
  <c r="G21" i="16"/>
  <c r="H21" i="16"/>
  <c r="I21" i="16"/>
  <c r="I22" i="16" s="1"/>
  <c r="J21" i="16"/>
  <c r="K21" i="16"/>
  <c r="L21" i="16"/>
  <c r="M21" i="16"/>
  <c r="N21" i="16"/>
  <c r="O21" i="16"/>
  <c r="E86" i="1"/>
  <c r="E10" i="1"/>
  <c r="E94" i="1"/>
  <c r="D13" i="16"/>
  <c r="K9" i="1" s="1"/>
  <c r="K40" i="1"/>
  <c r="K44" i="1"/>
  <c r="K57" i="1"/>
  <c r="K49" i="1"/>
  <c r="D9" i="16"/>
  <c r="K84" i="1" s="1"/>
  <c r="K89" i="1"/>
  <c r="K90" i="1"/>
  <c r="E13" i="16"/>
  <c r="L9" i="1" s="1"/>
  <c r="L44" i="1"/>
  <c r="L57" i="1"/>
  <c r="L49" i="1"/>
  <c r="E9" i="16"/>
  <c r="L84" i="1" s="1"/>
  <c r="L88" i="1"/>
  <c r="L89" i="1"/>
  <c r="L90" i="1"/>
  <c r="F13" i="16"/>
  <c r="M9" i="1" s="1"/>
  <c r="M40" i="1"/>
  <c r="M44" i="1"/>
  <c r="M57" i="1"/>
  <c r="M49" i="1"/>
  <c r="F9" i="16"/>
  <c r="M84" i="1" s="1"/>
  <c r="M88" i="1"/>
  <c r="M89" i="1"/>
  <c r="M90" i="1"/>
  <c r="G13" i="16"/>
  <c r="N9" i="1" s="1"/>
  <c r="N42" i="1"/>
  <c r="N44" i="1"/>
  <c r="N48" i="1"/>
  <c r="N59" i="1"/>
  <c r="N49" i="1"/>
  <c r="G9" i="16"/>
  <c r="N84" i="1" s="1"/>
  <c r="N88" i="1"/>
  <c r="N89" i="1"/>
  <c r="N90" i="1"/>
  <c r="H13" i="16"/>
  <c r="O9" i="1" s="1"/>
  <c r="O44" i="1"/>
  <c r="O55" i="1"/>
  <c r="O49" i="1"/>
  <c r="H9" i="16"/>
  <c r="O84" i="1" s="1"/>
  <c r="O89" i="1"/>
  <c r="O90" i="1"/>
  <c r="I13" i="16"/>
  <c r="P9" i="1" s="1"/>
  <c r="P44" i="1"/>
  <c r="P48" i="1"/>
  <c r="P59" i="1"/>
  <c r="P49" i="1"/>
  <c r="I9" i="16"/>
  <c r="P84" i="1" s="1"/>
  <c r="P89" i="1"/>
  <c r="P90" i="1"/>
  <c r="J13" i="16"/>
  <c r="Q9" i="1" s="1"/>
  <c r="Q44" i="1"/>
  <c r="Q49" i="1"/>
  <c r="J9" i="16"/>
  <c r="Q84" i="1" s="1"/>
  <c r="Q89" i="1"/>
  <c r="Q90" i="1"/>
  <c r="K13" i="16"/>
  <c r="R9" i="1" s="1"/>
  <c r="R44" i="1"/>
  <c r="R48" i="1"/>
  <c r="R56" i="1"/>
  <c r="R59" i="1"/>
  <c r="R49" i="1"/>
  <c r="K9" i="16"/>
  <c r="R84" i="1" s="1"/>
  <c r="R89" i="1"/>
  <c r="R90" i="1"/>
  <c r="L13" i="16"/>
  <c r="S9" i="1" s="1"/>
  <c r="S44" i="1"/>
  <c r="S48" i="1"/>
  <c r="S55" i="1"/>
  <c r="S56" i="1"/>
  <c r="S57" i="1"/>
  <c r="S59" i="1"/>
  <c r="S49" i="1"/>
  <c r="L9" i="16"/>
  <c r="S84" i="1" s="1"/>
  <c r="S89" i="1"/>
  <c r="S90" i="1"/>
  <c r="M13" i="16"/>
  <c r="T9" i="1" s="1"/>
  <c r="T40" i="1"/>
  <c r="T44" i="1"/>
  <c r="T55" i="1"/>
  <c r="T49" i="1"/>
  <c r="M9" i="16"/>
  <c r="T84" i="1" s="1"/>
  <c r="T88" i="1"/>
  <c r="T89" i="1"/>
  <c r="T90" i="1"/>
  <c r="N13" i="16"/>
  <c r="U9" i="1" s="1"/>
  <c r="U40" i="1"/>
  <c r="U44" i="1"/>
  <c r="U48" i="1"/>
  <c r="U59" i="1"/>
  <c r="U49" i="1"/>
  <c r="N9" i="16"/>
  <c r="U84" i="1" s="1"/>
  <c r="U88" i="1"/>
  <c r="U89" i="1"/>
  <c r="U90" i="1"/>
  <c r="O13" i="16"/>
  <c r="V9" i="1" s="1"/>
  <c r="V44" i="1"/>
  <c r="V57" i="1"/>
  <c r="V49" i="1"/>
  <c r="O9" i="16"/>
  <c r="V84" i="1" s="1"/>
  <c r="V89" i="1"/>
  <c r="V90" i="1"/>
  <c r="F38" i="1"/>
  <c r="F115" i="1" s="1"/>
  <c r="E115" i="1" s="1"/>
  <c r="D28" i="1"/>
  <c r="D38" i="1"/>
  <c r="D46" i="1"/>
  <c r="D61" i="1"/>
  <c r="J36" i="1"/>
  <c r="J31" i="1"/>
  <c r="E99" i="1"/>
  <c r="J67" i="1"/>
  <c r="J68" i="1"/>
  <c r="J69" i="1"/>
  <c r="J70" i="1"/>
  <c r="J71" i="1"/>
  <c r="J72" i="1"/>
  <c r="J73" i="1"/>
  <c r="J74" i="1"/>
  <c r="J66" i="1"/>
  <c r="J91" i="1"/>
  <c r="E92" i="1"/>
  <c r="J15" i="1"/>
  <c r="E73" i="1"/>
  <c r="E15" i="1"/>
  <c r="J13" i="1"/>
  <c r="J19" i="1"/>
  <c r="J20" i="1"/>
  <c r="J21" i="1"/>
  <c r="J41" i="1"/>
  <c r="E50" i="1"/>
  <c r="E71" i="1"/>
  <c r="E72" i="1"/>
  <c r="E67" i="1"/>
  <c r="E68" i="1"/>
  <c r="E69" i="1"/>
  <c r="E70" i="1"/>
  <c r="E74" i="1"/>
  <c r="E75" i="1"/>
  <c r="E24" i="1"/>
  <c r="E21" i="1"/>
  <c r="E45" i="1"/>
  <c r="E13" i="1"/>
  <c r="E18" i="1"/>
  <c r="E19" i="1"/>
  <c r="E20" i="1"/>
  <c r="E22" i="1"/>
  <c r="E37" i="1"/>
  <c r="E80" i="1"/>
  <c r="E88" i="1"/>
  <c r="E90" i="1"/>
  <c r="E91" i="1"/>
  <c r="E101" i="1"/>
  <c r="E106" i="1"/>
  <c r="E42" i="1"/>
  <c r="E31" i="1"/>
  <c r="N32" i="18"/>
  <c r="N33" i="18"/>
  <c r="N6" i="18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N18" i="18"/>
  <c r="N19" i="18"/>
  <c r="O19" i="18" s="1"/>
  <c r="N20" i="18"/>
  <c r="O20" i="18" s="1"/>
  <c r="N21" i="18"/>
  <c r="O21" i="18" s="1"/>
  <c r="N23" i="18"/>
  <c r="N24" i="18"/>
  <c r="N17" i="18"/>
  <c r="P7" i="18"/>
  <c r="N30" i="18"/>
  <c r="O30" i="18" s="1"/>
  <c r="N15" i="18"/>
  <c r="O6" i="18"/>
  <c r="E29" i="16"/>
  <c r="F29" i="16"/>
  <c r="G29" i="16"/>
  <c r="H29" i="16"/>
  <c r="I29" i="16"/>
  <c r="J29" i="16"/>
  <c r="K29" i="16"/>
  <c r="L29" i="16"/>
  <c r="L30" i="16" s="1"/>
  <c r="M29" i="16"/>
  <c r="N29" i="16"/>
  <c r="O29" i="16"/>
  <c r="D29" i="16"/>
  <c r="E10" i="16"/>
  <c r="E11" i="16" s="1"/>
  <c r="F10" i="16"/>
  <c r="G10" i="16"/>
  <c r="G11" i="16" s="1"/>
  <c r="H10" i="16"/>
  <c r="H11" i="16" s="1"/>
  <c r="I10" i="16"/>
  <c r="I11" i="16" s="1"/>
  <c r="J10" i="16"/>
  <c r="J11" i="16" s="1"/>
  <c r="K10" i="16"/>
  <c r="L10" i="16"/>
  <c r="L11" i="16" s="1"/>
  <c r="M10" i="16"/>
  <c r="M11" i="16" s="1"/>
  <c r="N10" i="16"/>
  <c r="O10" i="16"/>
  <c r="F11" i="16"/>
  <c r="E14" i="16"/>
  <c r="E16" i="16" s="1"/>
  <c r="F14" i="16"/>
  <c r="G14" i="16"/>
  <c r="G16" i="16" s="1"/>
  <c r="H14" i="16"/>
  <c r="I14" i="16"/>
  <c r="J14" i="16"/>
  <c r="K14" i="16"/>
  <c r="K16" i="16" s="1"/>
  <c r="L14" i="16"/>
  <c r="L16" i="16" s="1"/>
  <c r="M14" i="16"/>
  <c r="M16" i="16" s="1"/>
  <c r="N14" i="16"/>
  <c r="O14" i="16"/>
  <c r="D14" i="16"/>
  <c r="D10" i="16"/>
  <c r="D12" i="16" s="1"/>
  <c r="D37" i="16"/>
  <c r="D38" i="16" s="1"/>
  <c r="E37" i="16"/>
  <c r="E38" i="16" s="1"/>
  <c r="F37" i="16"/>
  <c r="G37" i="16"/>
  <c r="G38" i="16" s="1"/>
  <c r="H37" i="16"/>
  <c r="H38" i="16" s="1"/>
  <c r="I37" i="16"/>
  <c r="I38" i="16" s="1"/>
  <c r="J37" i="16"/>
  <c r="K37" i="16"/>
  <c r="K38" i="16" s="1"/>
  <c r="L37" i="16"/>
  <c r="M37" i="16"/>
  <c r="M38" i="16" s="1"/>
  <c r="N37" i="16"/>
  <c r="O37" i="16"/>
  <c r="O38" i="16" s="1"/>
  <c r="D41" i="16"/>
  <c r="E41" i="16"/>
  <c r="E42" i="16" s="1"/>
  <c r="F41" i="16"/>
  <c r="G41" i="16"/>
  <c r="G42" i="16" s="1"/>
  <c r="H41" i="16"/>
  <c r="I41" i="16"/>
  <c r="I42" i="16" s="1"/>
  <c r="J41" i="16"/>
  <c r="K41" i="16"/>
  <c r="K42" i="16" s="1"/>
  <c r="L41" i="16"/>
  <c r="L42" i="16" s="1"/>
  <c r="M41" i="16"/>
  <c r="M42" i="16" s="1"/>
  <c r="N41" i="16"/>
  <c r="O41" i="16"/>
  <c r="O42" i="16" s="1"/>
  <c r="D45" i="16"/>
  <c r="D46" i="16" s="1"/>
  <c r="E45" i="16"/>
  <c r="E46" i="16" s="1"/>
  <c r="F45" i="16"/>
  <c r="G45" i="16"/>
  <c r="G46" i="16" s="1"/>
  <c r="H45" i="16"/>
  <c r="H46" i="16" s="1"/>
  <c r="I45" i="16"/>
  <c r="I46" i="16" s="1"/>
  <c r="J45" i="16"/>
  <c r="K45" i="16"/>
  <c r="K46" i="16" s="1"/>
  <c r="L45" i="16"/>
  <c r="M45" i="16"/>
  <c r="N45" i="16"/>
  <c r="O45" i="16"/>
  <c r="D49" i="16"/>
  <c r="E49" i="16"/>
  <c r="E50" i="16" s="1"/>
  <c r="F49" i="16"/>
  <c r="F50" i="16" s="1"/>
  <c r="G49" i="16"/>
  <c r="G50" i="16" s="1"/>
  <c r="H49" i="16"/>
  <c r="I49" i="16"/>
  <c r="I50" i="16" s="1"/>
  <c r="J49" i="16"/>
  <c r="K49" i="16"/>
  <c r="K50" i="16" s="1"/>
  <c r="L49" i="16"/>
  <c r="L50" i="16" s="1"/>
  <c r="M49" i="16"/>
  <c r="M50" i="16" s="1"/>
  <c r="N49" i="16"/>
  <c r="O49" i="16"/>
  <c r="O50" i="16" s="1"/>
  <c r="D25" i="16"/>
  <c r="E25" i="16"/>
  <c r="F25" i="16"/>
  <c r="F26" i="16" s="1"/>
  <c r="G25" i="16"/>
  <c r="H25" i="16"/>
  <c r="H26" i="16" s="1"/>
  <c r="I25" i="16"/>
  <c r="J25" i="16"/>
  <c r="K25" i="16"/>
  <c r="L25" i="16"/>
  <c r="M25" i="16"/>
  <c r="M26" i="16" s="1"/>
  <c r="N25" i="16"/>
  <c r="O25" i="16"/>
  <c r="O26" i="16" s="1"/>
  <c r="N50" i="16"/>
  <c r="J46" i="16"/>
  <c r="N42" i="16"/>
  <c r="F42" i="16"/>
  <c r="F38" i="16"/>
  <c r="J38" i="16"/>
  <c r="E30" i="16"/>
  <c r="G30" i="16"/>
  <c r="I30" i="16"/>
  <c r="K30" i="16"/>
  <c r="N30" i="16"/>
  <c r="G22" i="16"/>
  <c r="K22" i="16"/>
  <c r="J26" i="16"/>
  <c r="D26" i="16"/>
  <c r="G19" i="16"/>
  <c r="C14" i="16"/>
  <c r="O16" i="16"/>
  <c r="O15" i="16"/>
  <c r="H17" i="16"/>
  <c r="H18" i="16" s="1"/>
  <c r="I15" i="16"/>
  <c r="C9" i="17"/>
  <c r="C44" i="17"/>
  <c r="J10" i="1"/>
  <c r="D117" i="1" l="1"/>
  <c r="D119" i="1" s="1"/>
  <c r="C37" i="16"/>
  <c r="P37" i="16" s="1"/>
  <c r="D16" i="16"/>
  <c r="N17" i="16"/>
  <c r="N18" i="16" s="1"/>
  <c r="F17" i="16"/>
  <c r="F18" i="16" s="1"/>
  <c r="O34" i="16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82" i="1"/>
  <c r="J49" i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4" i="1"/>
  <c r="J89" i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E58" i="1" s="1"/>
  <c r="C27" i="16"/>
  <c r="E41" i="1" s="1"/>
  <c r="C13" i="16"/>
  <c r="E9" i="1" s="1"/>
  <c r="F46" i="16"/>
  <c r="O46" i="16"/>
  <c r="M46" i="16"/>
  <c r="C47" i="16"/>
  <c r="E56" i="1" s="1"/>
  <c r="D34" i="16"/>
  <c r="N34" i="16"/>
  <c r="L34" i="16"/>
  <c r="H34" i="16"/>
  <c r="M22" i="16"/>
  <c r="F34" i="16"/>
  <c r="T45" i="1"/>
  <c r="L12" i="19" s="1"/>
  <c r="L45" i="1"/>
  <c r="D12" i="19" s="1"/>
  <c r="O22" i="16"/>
  <c r="N26" i="16"/>
  <c r="E53" i="16"/>
  <c r="C23" i="16"/>
  <c r="E43" i="1" s="1"/>
  <c r="V42" i="1"/>
  <c r="V45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E60" i="1" s="1"/>
  <c r="C51" i="16"/>
  <c r="E57" i="1" s="1"/>
  <c r="J22" i="16"/>
  <c r="H22" i="16"/>
  <c r="F22" i="16"/>
  <c r="D22" i="16"/>
  <c r="J53" i="16"/>
  <c r="I53" i="16"/>
  <c r="N53" i="16"/>
  <c r="L26" i="16"/>
  <c r="K26" i="16"/>
  <c r="G26" i="16"/>
  <c r="E26" i="16"/>
  <c r="U60" i="1"/>
  <c r="M14" i="19" s="1"/>
  <c r="R60" i="1"/>
  <c r="J14" i="19" s="1"/>
  <c r="Q60" i="1"/>
  <c r="I14" i="19" s="1"/>
  <c r="S60" i="1"/>
  <c r="K14" i="19" s="1"/>
  <c r="P60" i="1"/>
  <c r="H14" i="19" s="1"/>
  <c r="N60" i="1"/>
  <c r="F14" i="19" s="1"/>
  <c r="M60" i="1"/>
  <c r="E14" i="19" s="1"/>
  <c r="O53" i="16"/>
  <c r="G53" i="16"/>
  <c r="K53" i="16"/>
  <c r="I34" i="16"/>
  <c r="G34" i="16"/>
  <c r="E34" i="16"/>
  <c r="C35" i="16"/>
  <c r="E51" i="1" s="1"/>
  <c r="N22" i="16"/>
  <c r="L22" i="16"/>
  <c r="J34" i="16"/>
  <c r="L16" i="17"/>
  <c r="S88" i="1" s="1"/>
  <c r="S95" i="1" s="1"/>
  <c r="K16" i="19" s="1"/>
  <c r="J16" i="17"/>
  <c r="Q88" i="1" s="1"/>
  <c r="H16" i="17"/>
  <c r="O88" i="1" s="1"/>
  <c r="O95" i="1" s="1"/>
  <c r="G16" i="19" s="1"/>
  <c r="C25" i="16"/>
  <c r="P25" i="16" s="1"/>
  <c r="J59" i="1"/>
  <c r="K15" i="16"/>
  <c r="M15" i="16"/>
  <c r="H16" i="16"/>
  <c r="F16" i="16"/>
  <c r="N19" i="16"/>
  <c r="J19" i="16"/>
  <c r="H19" i="16"/>
  <c r="F19" i="16"/>
  <c r="N12" i="16"/>
  <c r="H12" i="16"/>
  <c r="F12" i="16"/>
  <c r="N25" i="18"/>
  <c r="C38" i="16"/>
  <c r="N13" i="18"/>
  <c r="O13" i="18" s="1"/>
  <c r="C21" i="16"/>
  <c r="C41" i="16"/>
  <c r="C42" i="16" s="1"/>
  <c r="C29" i="16"/>
  <c r="P29" i="16" s="1"/>
  <c r="E77" i="1"/>
  <c r="P45" i="1"/>
  <c r="M45" i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K60" i="1"/>
  <c r="C14" i="19" s="1"/>
  <c r="J56" i="1"/>
  <c r="L60" i="1"/>
  <c r="D14" i="19" s="1"/>
  <c r="H53" i="16"/>
  <c r="D109" i="1"/>
  <c r="E103" i="1"/>
  <c r="E38" i="1"/>
  <c r="R45" i="1"/>
  <c r="N45" i="1"/>
  <c r="J90" i="1"/>
  <c r="J87" i="1"/>
  <c r="J22" i="1"/>
  <c r="J57" i="1"/>
  <c r="J55" i="1"/>
  <c r="J40" i="1"/>
  <c r="J76" i="1"/>
  <c r="S45" i="1"/>
  <c r="P95" i="1"/>
  <c r="H16" i="19" s="1"/>
  <c r="N95" i="1"/>
  <c r="F16" i="19" s="1"/>
  <c r="J48" i="1"/>
  <c r="D53" i="16"/>
  <c r="M53" i="16"/>
  <c r="O30" i="16"/>
  <c r="M30" i="16"/>
  <c r="C31" i="16"/>
  <c r="E49" i="1" s="1"/>
  <c r="K45" i="1"/>
  <c r="C12" i="19" s="1"/>
  <c r="M48" i="17"/>
  <c r="V95" i="1"/>
  <c r="N16" i="19" s="1"/>
  <c r="I48" i="17"/>
  <c r="Q45" i="1"/>
  <c r="O45" i="1"/>
  <c r="O48" i="17"/>
  <c r="K48" i="17"/>
  <c r="G48" i="17"/>
  <c r="D48" i="17"/>
  <c r="V60" i="1"/>
  <c r="N14" i="19" s="1"/>
  <c r="K95" i="1"/>
  <c r="C16" i="19" s="1"/>
  <c r="C36" i="17"/>
  <c r="J50" i="1"/>
  <c r="B20" i="19"/>
  <c r="U45" i="1"/>
  <c r="T95" i="1"/>
  <c r="L16" i="19" s="1"/>
  <c r="R95" i="1"/>
  <c r="J16" i="19" s="1"/>
  <c r="M95" i="1"/>
  <c r="E16" i="19" s="1"/>
  <c r="N48" i="17"/>
  <c r="L48" i="17"/>
  <c r="J48" i="17"/>
  <c r="H48" i="17"/>
  <c r="F48" i="17"/>
  <c r="C33" i="16"/>
  <c r="C46" i="16"/>
  <c r="C17" i="16"/>
  <c r="C18" i="16" s="1"/>
  <c r="C15" i="16"/>
  <c r="C16" i="16"/>
  <c r="M12" i="16"/>
  <c r="K12" i="16"/>
  <c r="E12" i="16"/>
  <c r="C9" i="16"/>
  <c r="C19" i="16" s="1"/>
  <c r="U95" i="1"/>
  <c r="M16" i="19" s="1"/>
  <c r="J84" i="1"/>
  <c r="L95" i="1"/>
  <c r="C56" i="17"/>
  <c r="D34" i="17" s="1"/>
  <c r="J17" i="1"/>
  <c r="J9" i="1"/>
  <c r="J42" i="1" l="1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6" i="1"/>
  <c r="E46" i="1" s="1"/>
  <c r="C50" i="16"/>
  <c r="I12" i="19"/>
  <c r="K12" i="19"/>
  <c r="M12" i="19"/>
  <c r="G12" i="19"/>
  <c r="J12" i="19"/>
  <c r="H12" i="19"/>
  <c r="F12" i="19"/>
  <c r="N12" i="19"/>
  <c r="E12" i="19"/>
  <c r="J88" i="1"/>
  <c r="Q95" i="1"/>
  <c r="I16" i="19" s="1"/>
  <c r="C16" i="17"/>
  <c r="E89" i="1" s="1"/>
  <c r="P41" i="16"/>
  <c r="Q37" i="16" s="1"/>
  <c r="N36" i="18"/>
  <c r="C37" i="17"/>
  <c r="C30" i="16"/>
  <c r="C22" i="16"/>
  <c r="P21" i="16"/>
  <c r="Q21" i="16" s="1"/>
  <c r="P33" i="16"/>
  <c r="D111" i="1"/>
  <c r="J45" i="1"/>
  <c r="J54" i="1"/>
  <c r="C53" i="16"/>
  <c r="C55" i="16" s="1"/>
  <c r="A13" i="1"/>
  <c r="F61" i="1"/>
  <c r="E61" i="1" s="1"/>
  <c r="C48" i="17"/>
  <c r="E17" i="1"/>
  <c r="C34" i="16"/>
  <c r="C11" i="16"/>
  <c r="C12" i="16"/>
  <c r="C58" i="17"/>
  <c r="D16" i="19"/>
  <c r="A14" i="1" l="1"/>
  <c r="A15" i="1" s="1"/>
  <c r="A16" i="1" s="1"/>
  <c r="A17" i="1" s="1"/>
  <c r="A18" i="1" s="1"/>
  <c r="O39" i="17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95" i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H45" i="17"/>
  <c r="J45" i="17"/>
  <c r="L45" i="17"/>
  <c r="N45" i="17"/>
  <c r="D45" i="17"/>
  <c r="E45" i="17"/>
  <c r="G45" i="17"/>
  <c r="I45" i="17"/>
  <c r="K45" i="17"/>
  <c r="M45" i="17"/>
  <c r="O45" i="17"/>
  <c r="E85" i="1"/>
  <c r="F109" i="1"/>
  <c r="E46" i="17"/>
  <c r="G46" i="17"/>
  <c r="I46" i="17"/>
  <c r="K46" i="17"/>
  <c r="M46" i="17"/>
  <c r="O46" i="17"/>
  <c r="F46" i="17"/>
  <c r="H46" i="17"/>
  <c r="J46" i="17"/>
  <c r="L46" i="17"/>
  <c r="N46" i="17"/>
  <c r="D46" i="17"/>
  <c r="A19" i="1" l="1"/>
  <c r="A20" i="1" s="1"/>
  <c r="A21" i="1" s="1"/>
  <c r="A22" i="1" s="1"/>
  <c r="A23" i="1" s="1"/>
  <c r="A24" i="1" s="1"/>
  <c r="A25" i="1" s="1"/>
  <c r="C46" i="17"/>
  <c r="E109" i="1"/>
  <c r="E96" i="1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O14" i="1" s="1"/>
  <c r="O28" i="1" s="1"/>
  <c r="L53" i="17"/>
  <c r="S14" i="1" s="1"/>
  <c r="S28" i="1" s="1"/>
  <c r="S116" i="1" s="1"/>
  <c r="S118" i="1" s="1"/>
  <c r="G53" i="17"/>
  <c r="N14" i="1" s="1"/>
  <c r="N28" i="1" s="1"/>
  <c r="N116" i="1" s="1"/>
  <c r="N118" i="1" s="1"/>
  <c r="K53" i="17"/>
  <c r="R14" i="1" s="1"/>
  <c r="R28" i="1" s="1"/>
  <c r="R116" i="1" s="1"/>
  <c r="R118" i="1" s="1"/>
  <c r="O53" i="17"/>
  <c r="V14" i="1" s="1"/>
  <c r="V28" i="1" s="1"/>
  <c r="V116" i="1" s="1"/>
  <c r="V118" i="1" s="1"/>
  <c r="F53" i="17"/>
  <c r="M14" i="1" s="1"/>
  <c r="M28" i="1" s="1"/>
  <c r="M116" i="1" s="1"/>
  <c r="M118" i="1" s="1"/>
  <c r="J53" i="17"/>
  <c r="Q14" i="1" s="1"/>
  <c r="Q28" i="1" s="1"/>
  <c r="Q116" i="1" s="1"/>
  <c r="Q118" i="1" s="1"/>
  <c r="N53" i="17"/>
  <c r="U14" i="1" s="1"/>
  <c r="U28" i="1" s="1"/>
  <c r="U116" i="1" s="1"/>
  <c r="U118" i="1" s="1"/>
  <c r="E53" i="17"/>
  <c r="L14" i="1" s="1"/>
  <c r="L28" i="1" s="1"/>
  <c r="L116" i="1" s="1"/>
  <c r="L118" i="1" s="1"/>
  <c r="I53" i="17"/>
  <c r="P14" i="1" s="1"/>
  <c r="P28" i="1" s="1"/>
  <c r="P116" i="1" s="1"/>
  <c r="P118" i="1" s="1"/>
  <c r="M53" i="17"/>
  <c r="T14" i="1" s="1"/>
  <c r="T28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K14" i="1" s="1"/>
  <c r="K10" i="19" l="1"/>
  <c r="K18" i="19" s="1"/>
  <c r="G10" i="19"/>
  <c r="L10" i="19"/>
  <c r="H10" i="19"/>
  <c r="H18" i="19" s="1"/>
  <c r="M10" i="19"/>
  <c r="M18" i="19" s="1"/>
  <c r="I10" i="19"/>
  <c r="I18" i="19" s="1"/>
  <c r="E10" i="19"/>
  <c r="E18" i="19" s="1"/>
  <c r="D42" i="17"/>
  <c r="C41" i="17"/>
  <c r="C42" i="17" s="1"/>
  <c r="N10" i="19"/>
  <c r="N18" i="19" s="1"/>
  <c r="F10" i="19"/>
  <c r="F18" i="19" s="1"/>
  <c r="D10" i="19"/>
  <c r="D18" i="19" s="1"/>
  <c r="J10" i="19"/>
  <c r="J18" i="19" s="1"/>
  <c r="A31" i="1" l="1"/>
  <c r="A32" i="1" s="1"/>
  <c r="A33" i="1" s="1"/>
  <c r="A36" i="1" s="1"/>
  <c r="C53" i="17"/>
  <c r="A37" i="1" l="1"/>
  <c r="A38" i="1" s="1"/>
  <c r="A41" i="1" s="1"/>
  <c r="A42" i="1" s="1"/>
  <c r="J14" i="1"/>
  <c r="K28" i="1"/>
  <c r="C54" i="17"/>
  <c r="A43" i="1" l="1"/>
  <c r="A44" i="1"/>
  <c r="A46" i="1" s="1"/>
  <c r="F28" i="1"/>
  <c r="E14" i="1"/>
  <c r="K116" i="1"/>
  <c r="K118" i="1" s="1"/>
  <c r="C10" i="19"/>
  <c r="C18" i="19" s="1"/>
  <c r="J28" i="1"/>
  <c r="F82" i="1" l="1"/>
  <c r="F117" i="1"/>
  <c r="F119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80" i="1" s="1"/>
  <c r="A82" i="1" s="1"/>
  <c r="A85" i="1" s="1"/>
  <c r="A86" i="1" s="1"/>
  <c r="A87" i="1" s="1"/>
  <c r="A88" i="1" s="1"/>
  <c r="A89" i="1" s="1"/>
  <c r="A90" i="1" s="1"/>
  <c r="A91" i="1" s="1"/>
  <c r="E28" i="1"/>
  <c r="B10" i="19"/>
  <c r="A92" i="1" l="1"/>
  <c r="E82" i="1"/>
  <c r="F111" i="1"/>
  <c r="E113" i="1" l="1"/>
  <c r="A93" i="1"/>
  <c r="A94" i="1" s="1"/>
  <c r="A96" i="1" s="1"/>
  <c r="A99" i="1" s="1"/>
  <c r="A100" i="1" s="1"/>
  <c r="A101" i="1" s="1"/>
  <c r="A103" i="1" s="1"/>
  <c r="A106" i="1" s="1"/>
  <c r="A109" i="1" s="1"/>
  <c r="A111" i="1" s="1"/>
  <c r="E111" i="1"/>
  <c r="O60" i="1"/>
  <c r="O116" i="1" s="1"/>
  <c r="O118" i="1" s="1"/>
  <c r="J53" i="1"/>
  <c r="J60" i="1" s="1"/>
  <c r="G14" i="19" l="1"/>
  <c r="G18" i="19" s="1"/>
  <c r="T60" i="1"/>
  <c r="T116" i="1" s="1"/>
  <c r="T118" i="1" s="1"/>
  <c r="J118" i="1" s="1"/>
  <c r="J116" i="1" l="1"/>
  <c r="L14" i="19"/>
  <c r="L18" i="19" s="1"/>
  <c r="B18" i="19" l="1"/>
  <c r="B26" i="19" s="1"/>
  <c r="B14" i="19"/>
</calcChain>
</file>

<file path=xl/comments1.xml><?xml version="1.0" encoding="utf-8"?>
<comments xmlns="http://schemas.openxmlformats.org/spreadsheetml/2006/main">
  <authors>
    <author>Author</author>
  </authors>
  <commentList>
    <comment ref="Y21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10 days at 2015 authorized per Docket No. UE-140188 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21 days at 2016 authorized per Docket No. UE-150204</t>
        </r>
      </text>
    </comment>
    <comment ref="AB21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2016 authorized per Docket No. UE-150204</t>
        </r>
      </text>
    </comment>
  </commentList>
</comments>
</file>

<file path=xl/sharedStrings.xml><?xml version="1.0" encoding="utf-8"?>
<sst xmlns="http://schemas.openxmlformats.org/spreadsheetml/2006/main" count="379" uniqueCount="319">
  <si>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</si>
  <si>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</si>
  <si>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</si>
  <si>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</si>
  <si>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</si>
  <si>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</si>
  <si>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</si>
  <si>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</si>
  <si>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</si>
  <si>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</si>
  <si>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</si>
  <si>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</si>
  <si>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</si>
  <si>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</si>
  <si>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</si>
  <si>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</si>
  <si>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</si>
  <si>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</si>
  <si>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</si>
  <si>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</si>
  <si>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</si>
  <si>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</si>
  <si>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</si>
  <si>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</si>
  <si>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</si>
  <si>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</si>
  <si>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</si>
  <si>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</si>
  <si>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</si>
  <si>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</si>
  <si>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</si>
  <si>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</si>
  <si>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</si>
  <si>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</si>
  <si>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</si>
  <si>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</si>
  <si>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</si>
  <si>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</si>
  <si>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</si>
  <si>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</si>
  <si>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</si>
  <si>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</si>
  <si>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</si>
  <si>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</si>
  <si>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</si>
  <si>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</si>
  <si>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</si>
  <si>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</si>
  <si>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</si>
  <si>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</si>
  <si>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</si>
  <si>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</si>
  <si>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</si>
  <si>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</si>
  <si>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</si>
  <si>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</si>
  <si>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</si>
  <si>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</si>
  <si>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</si>
  <si>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</si>
  <si>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</si>
  <si>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</si>
  <si>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</si>
  <si>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</si>
  <si>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</si>
  <si>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</si>
  <si>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</si>
  <si>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</si>
  <si>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</si>
  <si>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</si>
  <si>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</si>
  <si>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</si>
  <si>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</si>
  <si>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</si>
  <si>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</si>
  <si>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</si>
  <si>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</si>
  <si>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</si>
  <si>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</si>
  <si>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</si>
  <si>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</si>
  <si>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</si>
  <si>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</si>
  <si>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</si>
  <si>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</si>
  <si>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</si>
  <si>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</si>
  <si>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</si>
  <si>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</si>
  <si>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</si>
  <si>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</si>
  <si>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</si>
  <si>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</si>
  <si>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</si>
  <si>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</si>
  <si>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</si>
  <si>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</si>
  <si>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</si>
  <si>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</si>
  <si>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</si>
  <si>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</si>
  <si>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</si>
  <si>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</si>
  <si>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</si>
  <si>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</si>
  <si>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</si>
  <si>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</si>
  <si>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</si>
  <si>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</si>
  <si>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</si>
  <si>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</si>
  <si>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</si>
  <si>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</si>
  <si>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</si>
  <si>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</si>
  <si>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</si>
  <si>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</si>
  <si>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</si>
  <si>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</si>
  <si>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</si>
  <si>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</si>
  <si>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</si>
  <si>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</si>
  <si>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</si>
  <si>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</si>
  <si>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</si>
  <si>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</si>
  <si>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</si>
  <si>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</si>
  <si>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</si>
  <si>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</si>
  <si>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</si>
  <si>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</si>
  <si>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</si>
  <si>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</si>
  <si>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</si>
  <si>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</si>
  <si>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</si>
  <si>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</si>
  <si>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</si>
  <si>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</si>
  <si>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</si>
  <si>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</si>
  <si>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</si>
  <si>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</si>
  <si>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</si>
  <si>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</si>
  <si>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</si>
  <si>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</si>
  <si>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</si>
  <si>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</si>
  <si>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</si>
  <si>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</si>
  <si>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</si>
  <si>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</si>
  <si>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</si>
  <si>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</si>
  <si>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</si>
  <si>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</si>
  <si>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</si>
  <si>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</si>
  <si>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</si>
  <si>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</si>
  <si>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</si>
  <si>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</si>
  <si>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</si>
  <si>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</si>
  <si>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</si>
  <si>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</si>
  <si>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</si>
  <si>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</si>
  <si>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</si>
  <si>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</si>
  <si>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</si>
  <si>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</si>
  <si>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</si>
  <si>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</si>
  <si>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</si>
  <si>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</si>
  <si>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</si>
  <si>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</si>
  <si>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</si>
  <si>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</si>
  <si>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</si>
  <si>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</si>
  <si>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</si>
  <si>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</si>
  <si>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</si>
  <si>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</si>
  <si>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</si>
  <si>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</si>
  <si>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</si>
  <si>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</si>
  <si>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</si>
  <si>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</si>
  <si>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</si>
  <si>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</si>
  <si>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</si>
  <si>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</si>
  <si>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</si>
  <si>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</si>
  <si>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</si>
  <si>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</si>
  <si>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</si>
  <si>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</si>
  <si>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</si>
  <si>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</si>
  <si>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</si>
  <si>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Washington Normalized January 2015 - December 2015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</si>
  <si>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</si>
  <si>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</si>
  <si>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</si>
  <si>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</si>
  <si>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</si>
  <si>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</si>
  <si>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</si>
  <si>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</si>
  <si>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(1)  Multiply system numbers by 65.01% to determine Washington share.</t>
  </si>
  <si>
    <t>Transmission Revenue</t>
  </si>
  <si>
    <t>Total Retail Sales, MWh (2)</t>
  </si>
  <si>
    <t>Pro forma January 2015 - December 2015</t>
  </si>
  <si>
    <t>July 2012 - June 2013 Historic Normalized Loads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</si>
  <si>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</si>
  <si>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</si>
  <si>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</si>
  <si>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</si>
  <si>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</si>
  <si>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</si>
  <si>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</si>
  <si>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ERM Accounts</t>
  </si>
  <si>
    <t>All Accounts</t>
  </si>
  <si>
    <t>Rathdrum Solar, Buck-a-Block</t>
  </si>
  <si>
    <t>REC Expenses (offset to REC Revenue)</t>
  </si>
  <si>
    <t>COB Optimization</t>
  </si>
  <si>
    <t>PGE Capacity Sale</t>
  </si>
  <si>
    <t>Avista Corporation</t>
  </si>
  <si>
    <t>WA Power Supply Adjustment</t>
  </si>
  <si>
    <t xml:space="preserve">Less </t>
  </si>
  <si>
    <t>System</t>
  </si>
  <si>
    <t>Power</t>
  </si>
  <si>
    <t>Idaho Direct</t>
  </si>
  <si>
    <t>Net Power</t>
  </si>
  <si>
    <t>Supply</t>
  </si>
  <si>
    <t>Clearwater Paper</t>
  </si>
  <si>
    <t>Washington</t>
  </si>
  <si>
    <t>Idaho</t>
  </si>
  <si>
    <r>
      <t xml:space="preserve">Adjustment </t>
    </r>
    <r>
      <rPr>
        <b/>
        <u/>
        <sz val="10"/>
        <rFont val="Arial"/>
        <family val="2"/>
      </rPr>
      <t>(1) (2)</t>
    </r>
  </si>
  <si>
    <t>P/T Allocation Percentages</t>
  </si>
  <si>
    <t>447 Sales for Resale</t>
  </si>
  <si>
    <t>453 Sales of Water and Water Power</t>
  </si>
  <si>
    <t>454 Misc Rents</t>
  </si>
  <si>
    <t>456 Other Electric Revenue</t>
  </si>
  <si>
    <t>456 Other Electric Revenue - 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</si>
  <si>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</si>
  <si>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</si>
  <si>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</si>
  <si>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</si>
  <si>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</si>
  <si>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</si>
  <si>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</si>
  <si>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</si>
  <si>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</si>
  <si>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</si>
  <si>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557 Other Expenses - Direct WA</t>
  </si>
  <si>
    <t>565 Trans. of Elec. by Others</t>
  </si>
  <si>
    <t xml:space="preserve">   Total Expense</t>
  </si>
  <si>
    <t>Net Income Before Income Taxes</t>
  </si>
  <si>
    <t>Idaho State Income Tax</t>
  </si>
  <si>
    <t>Net Income before FIT</t>
  </si>
  <si>
    <t>Federal Income Tax</t>
  </si>
  <si>
    <t>Net Income</t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</si>
  <si>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The 10-Year contract with Clearwater Paper cogeneration ended June 2013. Customer now generates into own load. Previously purchase was directly assigned to Idaho. </t>
    </r>
  </si>
  <si>
    <r>
      <rPr>
        <b/>
        <sz val="10"/>
        <rFont val="Arial"/>
        <family val="2"/>
      </rPr>
      <t>(2)</t>
    </r>
    <r>
      <rPr>
        <sz val="10"/>
        <rFont val="Geneva"/>
      </rPr>
      <t xml:space="preserve"> EIA Rec Purchases are direct assigned to WA </t>
    </r>
  </si>
  <si>
    <t>If in the future it was determined necessary to normalize the Clearwater Paper cogeneration amount, any adjustment would be directly assigned to Idaho.</t>
  </si>
  <si>
    <t>Commission Basis Weather Normalized - December 31, 2016</t>
  </si>
  <si>
    <t>Normalized</t>
  </si>
  <si>
    <t>Authorized Purchased Power</t>
  </si>
  <si>
    <t>System Numbers - 2016 Actual and 2016 Normalized</t>
  </si>
  <si>
    <t>Weather Adjusted Retail Load Adjustment (100% WA Alloc)</t>
  </si>
  <si>
    <t>Pro-Rated</t>
  </si>
  <si>
    <t>Jan 1 - 10</t>
  </si>
  <si>
    <t>Jan 11 - 31</t>
  </si>
  <si>
    <t>Feb - Dec</t>
  </si>
  <si>
    <t>UE-140188</t>
  </si>
  <si>
    <t>UE-150204</t>
  </si>
  <si>
    <t xml:space="preserve">ERM Accounts </t>
  </si>
  <si>
    <t>Account 447 - Sales for Resale</t>
  </si>
  <si>
    <t>Account 565 - Transmission Expense</t>
  </si>
  <si>
    <t>Account 456 - Transmission Revenue</t>
  </si>
  <si>
    <t>Account 557 - Broker Fees</t>
  </si>
  <si>
    <t>Account 557 - Resource Opt Expense</t>
  </si>
  <si>
    <t>Account 456 - Resource Opt Revenue</t>
  </si>
  <si>
    <t>Account 456 - REC Sales</t>
  </si>
  <si>
    <t>Production/Transmission Ratio</t>
  </si>
  <si>
    <t>Washington Allocation</t>
  </si>
  <si>
    <t>Washington Settlement Adjustment</t>
  </si>
  <si>
    <t>Washington EIA REC Purchase/Sales</t>
  </si>
  <si>
    <t>Total Washington ERM Cost</t>
  </si>
  <si>
    <t>Washington Authorized Sales (MWhs)</t>
  </si>
  <si>
    <t>Retail Revenue Credit at Authorized Sales</t>
  </si>
  <si>
    <t>Actual  Sales (MWhs)</t>
  </si>
  <si>
    <t>Load Difference</t>
  </si>
  <si>
    <t>Retail Revenue Adjustment rate for Incremental Sales</t>
  </si>
  <si>
    <t>CB Load Change Adjustment to Authorized</t>
  </si>
  <si>
    <t>Normalized Power Supply Cost</t>
  </si>
  <si>
    <t>Weather Adjustment (MWhs)</t>
  </si>
  <si>
    <t>Weather Adjustment Power Cost</t>
  </si>
  <si>
    <t>Authorized Thermal Fuel Expense</t>
  </si>
  <si>
    <t>Authorized Other Fuel Expense</t>
  </si>
  <si>
    <t>Authorized Transmission of Electricity By Others</t>
  </si>
  <si>
    <t>Authorized Sales for Resale</t>
  </si>
  <si>
    <t>Authorized Transmission Revenue</t>
  </si>
  <si>
    <t>2016 Normalized Power Supply</t>
  </si>
  <si>
    <t>WA Settlement Adjustment (100% WA Allocation)</t>
  </si>
  <si>
    <t>REC Deferral</t>
  </si>
  <si>
    <t>ERM Deferral at 100%</t>
  </si>
  <si>
    <t>Weather Norm Cost</t>
  </si>
  <si>
    <t>WNP 3 actuals difference</t>
  </si>
  <si>
    <t>PT ratio and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</si>
</sst>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  <numFmt numFmtId="169" formatCode="0.0000%"/>
    <numFmt numFmtId="170" formatCode="_(* #,##0_);_(* \(#,##0\);_(* &quot;-&quot;??_);_(@_)"/>
  </numFmts>
  <fonts count="23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sz val="10"/>
      <color rgb="FF0000FF"/>
      <name val="Geneva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5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7" fillId="0" borderId="9" xfId="0" applyNumberFormat="1" applyFont="1" applyBorder="1"/>
    <xf numFmtId="167" fontId="0" fillId="0" borderId="9" xfId="0" applyNumberFormat="1" applyBorder="1"/>
    <xf numFmtId="167" fontId="6" fillId="0" borderId="9" xfId="0" applyNumberFormat="1" applyFont="1" applyBorder="1"/>
    <xf numFmtId="167" fontId="0" fillId="0" borderId="0" xfId="0" applyNumberFormat="1"/>
    <xf numFmtId="167" fontId="8" fillId="0" borderId="0" xfId="0" applyNumberFormat="1" applyFont="1"/>
    <xf numFmtId="167" fontId="6" fillId="0" borderId="0" xfId="0" applyNumberFormat="1" applyFont="1"/>
    <xf numFmtId="3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6" fillId="0" borderId="0" xfId="0" applyNumberFormat="1" applyFont="1"/>
    <xf numFmtId="38" fontId="8" fillId="0" borderId="0" xfId="0" applyNumberFormat="1" applyFont="1"/>
    <xf numFmtId="38" fontId="8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8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center"/>
    </xf>
    <xf numFmtId="166" fontId="0" fillId="0" borderId="1" xfId="0" applyNumberFormat="1" applyBorder="1"/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0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1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166" fontId="0" fillId="0" borderId="0" xfId="0" applyNumberFormat="1" applyFill="1"/>
    <xf numFmtId="0" fontId="0" fillId="0" borderId="0" xfId="0" quotePrefix="1" applyFill="1"/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0" fontId="0" fillId="0" borderId="0" xfId="0" applyFont="1"/>
    <xf numFmtId="0" fontId="6" fillId="0" borderId="0" xfId="4" applyAlignment="1">
      <alignment horizontal="centerContinuous"/>
    </xf>
    <xf numFmtId="0" fontId="8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6" fillId="0" borderId="0" xfId="4"/>
    <xf numFmtId="0" fontId="6" fillId="0" borderId="0" xfId="4" applyBorder="1"/>
    <xf numFmtId="0" fontId="6" fillId="0" borderId="0" xfId="4" applyAlignment="1">
      <alignment horizontal="center"/>
    </xf>
    <xf numFmtId="0" fontId="6" fillId="0" borderId="0" xfId="4" applyFont="1" applyAlignment="1">
      <alignment horizontal="center"/>
    </xf>
    <xf numFmtId="0" fontId="15" fillId="0" borderId="0" xfId="4" applyFont="1" applyAlignment="1">
      <alignment horizontal="center"/>
    </xf>
    <xf numFmtId="0" fontId="15" fillId="0" borderId="0" xfId="4" applyFont="1" applyBorder="1" applyAlignment="1">
      <alignment horizontal="center"/>
    </xf>
    <xf numFmtId="10" fontId="0" fillId="0" borderId="0" xfId="5" applyNumberFormat="1" applyFont="1" applyAlignment="1">
      <alignment horizontal="center"/>
    </xf>
    <xf numFmtId="10" fontId="0" fillId="0" borderId="0" xfId="5" applyNumberFormat="1" applyFont="1" applyBorder="1" applyAlignment="1">
      <alignment horizontal="center"/>
    </xf>
    <xf numFmtId="10" fontId="0" fillId="0" borderId="0" xfId="5" applyNumberFormat="1" applyFont="1" applyFill="1" applyAlignment="1">
      <alignment horizontal="center"/>
    </xf>
    <xf numFmtId="165" fontId="6" fillId="0" borderId="0" xfId="4" applyNumberFormat="1"/>
    <xf numFmtId="165" fontId="6" fillId="0" borderId="0" xfId="4" applyNumberFormat="1" applyBorder="1"/>
    <xf numFmtId="3" fontId="6" fillId="0" borderId="0" xfId="4" applyNumberFormat="1"/>
    <xf numFmtId="3" fontId="6" fillId="0" borderId="0" xfId="4" applyNumberFormat="1" applyBorder="1"/>
    <xf numFmtId="3" fontId="6" fillId="0" borderId="1" xfId="4" applyNumberFormat="1" applyBorder="1"/>
    <xf numFmtId="3" fontId="6" fillId="0" borderId="1" xfId="4" applyNumberFormat="1" applyFill="1" applyBorder="1"/>
    <xf numFmtId="3" fontId="6" fillId="0" borderId="0" xfId="4" applyNumberFormat="1" applyFill="1"/>
    <xf numFmtId="0" fontId="6" fillId="0" borderId="0" xfId="4" applyFill="1"/>
    <xf numFmtId="165" fontId="6" fillId="0" borderId="0" xfId="4" applyNumberFormat="1" applyFill="1"/>
    <xf numFmtId="3" fontId="6" fillId="0" borderId="0" xfId="4" applyNumberFormat="1" applyFill="1" applyBorder="1"/>
    <xf numFmtId="0" fontId="6" fillId="0" borderId="0" xfId="4" applyFont="1" applyFill="1"/>
    <xf numFmtId="3" fontId="6" fillId="0" borderId="6" xfId="4" applyNumberFormat="1" applyBorder="1"/>
    <xf numFmtId="9" fontId="6" fillId="0" borderId="0" xfId="4" applyNumberFormat="1"/>
    <xf numFmtId="0" fontId="6" fillId="0" borderId="0" xfId="4" applyFont="1"/>
    <xf numFmtId="0" fontId="6" fillId="0" borderId="0" xfId="6" applyFont="1" applyAlignment="1">
      <alignment horizontal="left" wrapText="1"/>
    </xf>
    <xf numFmtId="0" fontId="6" fillId="6" borderId="0" xfId="4" applyFont="1" applyFill="1"/>
    <xf numFmtId="0" fontId="6" fillId="6" borderId="0" xfId="4" applyFill="1"/>
    <xf numFmtId="0" fontId="6" fillId="0" borderId="0" xfId="4" applyFont="1" applyAlignment="1">
      <alignment horizontal="left" wrapText="1"/>
    </xf>
    <xf numFmtId="0" fontId="8" fillId="0" borderId="0" xfId="4" applyFont="1" applyAlignment="1">
      <alignment horizontal="center" wrapText="1"/>
    </xf>
    <xf numFmtId="170" fontId="0" fillId="0" borderId="0" xfId="1" applyNumberFormat="1" applyFont="1"/>
    <xf numFmtId="170" fontId="0" fillId="0" borderId="2" xfId="1" applyNumberFormat="1" applyFont="1" applyBorder="1"/>
    <xf numFmtId="10" fontId="16" fillId="0" borderId="0" xfId="2" applyNumberFormat="1" applyFont="1" applyBorder="1"/>
    <xf numFmtId="170" fontId="14" fillId="0" borderId="2" xfId="1" applyNumberFormat="1" applyFont="1" applyBorder="1"/>
    <xf numFmtId="44" fontId="0" fillId="0" borderId="0" xfId="3" applyFont="1"/>
    <xf numFmtId="170" fontId="17" fillId="0" borderId="0" xfId="7" applyNumberFormat="1" applyFont="1" applyFill="1" applyAlignment="1">
      <alignment vertical="center"/>
    </xf>
    <xf numFmtId="166" fontId="18" fillId="0" borderId="0" xfId="4" applyNumberFormat="1" applyFont="1"/>
    <xf numFmtId="170" fontId="14" fillId="0" borderId="0" xfId="1" applyNumberFormat="1" applyFont="1"/>
    <xf numFmtId="170" fontId="19" fillId="0" borderId="0" xfId="1" applyNumberFormat="1" applyFont="1"/>
    <xf numFmtId="170" fontId="14" fillId="0" borderId="0" xfId="0" applyNumberFormat="1" applyFont="1"/>
    <xf numFmtId="0" fontId="14" fillId="0" borderId="0" xfId="0" applyFont="1"/>
    <xf numFmtId="43" fontId="0" fillId="0" borderId="0" xfId="0" applyNumberFormat="1"/>
    <xf numFmtId="170" fontId="0" fillId="0" borderId="0" xfId="0" applyNumberFormat="1"/>
    <xf numFmtId="10" fontId="16" fillId="0" borderId="0" xfId="2" applyNumberFormat="1" applyFont="1" applyFill="1" applyBorder="1"/>
    <xf numFmtId="170" fontId="22" fillId="0" borderId="0" xfId="1" applyNumberFormat="1" applyFont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0" fontId="0" fillId="0" borderId="1" xfId="0" applyFont="1" applyBorder="1"/>
    <xf numFmtId="1" fontId="0" fillId="0" borderId="0" xfId="0" applyNumberFormat="1" applyBorder="1"/>
    <xf numFmtId="0" fontId="0" fillId="0" borderId="0" xfId="0" applyFill="1" applyBorder="1"/>
    <xf numFmtId="10" fontId="8" fillId="0" borderId="0" xfId="5" applyNumberFormat="1" applyFont="1" applyFill="1" applyAlignment="1">
      <alignment horizontal="center"/>
    </xf>
    <xf numFmtId="169" fontId="0" fillId="5" borderId="0" xfId="5" applyNumberFormat="1" applyFont="1" applyFill="1"/>
  </cellXfs>
  <cellStyles count="8">
    <cellStyle name="Comma" xfId="1" builtinId="3"/>
    <cellStyle name="Comma 2" xfId="7"/>
    <cellStyle name="Currency" xfId="3" builtinId="4"/>
    <cellStyle name="Normal" xfId="0" builtinId="0"/>
    <cellStyle name="Normal 2" xfId="4"/>
    <cellStyle name="Normal 3" xfId="6"/>
    <cellStyle name="Percent" xfId="2" builtinId="5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4" workbookViewId="0">
      <selection activeCell="C34" sqref="C34"/>
    </sheetView>
  </sheetViews>
  <sheetFormatPr defaultRowHeight="13.2"/>
  <cols>
    <col min="2" max="2" width="12.21875" customWidth="1"/>
    <col min="3" max="3" width="17" customWidth="1"/>
    <col min="4" max="4" width="10.5546875" customWidth="1"/>
    <col min="5" max="5" width="15.5546875" customWidth="1"/>
    <col min="6" max="6" width="11.21875" customWidth="1"/>
    <col min="8" max="8" width="10.77734375" customWidth="1"/>
  </cols>
  <sheetData>
    <row r="1" spans="1:10">
      <c r="A1" s="144" t="s">
        <v>235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>
      <c r="A2" s="145" t="s">
        <v>236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>
      <c r="A3" s="146" t="s">
        <v>274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>
      <c r="A4" s="147"/>
      <c r="B4" s="147"/>
      <c r="C4" s="147"/>
      <c r="D4" s="147"/>
      <c r="E4" s="147"/>
      <c r="F4" s="147"/>
      <c r="G4" s="147"/>
      <c r="H4" s="147"/>
      <c r="I4" s="148"/>
      <c r="J4" s="147"/>
    </row>
    <row r="5" spans="1:10">
      <c r="A5" s="147"/>
      <c r="B5" s="147"/>
      <c r="C5" s="147"/>
      <c r="D5" s="147"/>
      <c r="E5" s="149" t="s">
        <v>237</v>
      </c>
      <c r="F5" s="149" t="s">
        <v>238</v>
      </c>
      <c r="G5" s="147"/>
      <c r="H5" s="174"/>
      <c r="I5" s="148"/>
      <c r="J5" s="147"/>
    </row>
    <row r="6" spans="1:10">
      <c r="A6" s="147"/>
      <c r="B6" s="147"/>
      <c r="C6" s="147"/>
      <c r="D6" s="149" t="s">
        <v>239</v>
      </c>
      <c r="E6" s="149" t="s">
        <v>240</v>
      </c>
      <c r="F6" s="149" t="s">
        <v>241</v>
      </c>
      <c r="G6" s="149"/>
      <c r="H6" s="149" t="s">
        <v>32</v>
      </c>
      <c r="I6" s="148"/>
      <c r="J6" s="149" t="s">
        <v>32</v>
      </c>
    </row>
    <row r="7" spans="1:10">
      <c r="A7" s="147"/>
      <c r="B7" s="147"/>
      <c r="C7" s="147"/>
      <c r="D7" s="149" t="s">
        <v>242</v>
      </c>
      <c r="E7" s="150" t="s">
        <v>243</v>
      </c>
      <c r="F7" s="149" t="s">
        <v>242</v>
      </c>
      <c r="G7" s="149"/>
      <c r="H7" s="149" t="s">
        <v>244</v>
      </c>
      <c r="I7" s="148"/>
      <c r="J7" s="149" t="s">
        <v>245</v>
      </c>
    </row>
    <row r="8" spans="1:10">
      <c r="A8" s="147"/>
      <c r="B8" s="147"/>
      <c r="C8" s="147"/>
      <c r="D8" s="151" t="s">
        <v>3</v>
      </c>
      <c r="E8" s="151" t="s">
        <v>246</v>
      </c>
      <c r="F8" s="151" t="s">
        <v>3</v>
      </c>
      <c r="G8" s="151"/>
      <c r="H8" s="151" t="s">
        <v>3</v>
      </c>
      <c r="I8" s="152"/>
      <c r="J8" s="151" t="s">
        <v>3</v>
      </c>
    </row>
    <row r="9" spans="1:10">
      <c r="A9" s="147" t="s">
        <v>247</v>
      </c>
      <c r="B9" s="147"/>
      <c r="C9" s="147"/>
      <c r="D9" s="147"/>
      <c r="E9" s="147"/>
      <c r="F9" s="153"/>
      <c r="G9" s="153"/>
      <c r="H9" s="195">
        <v>0.6573</v>
      </c>
      <c r="I9" s="154"/>
      <c r="J9" s="155">
        <f>100%-H9</f>
        <v>0.3427</v>
      </c>
    </row>
    <row r="10" spans="1:10">
      <c r="A10" s="147"/>
      <c r="B10" s="147"/>
      <c r="C10" s="147"/>
      <c r="D10" s="147"/>
      <c r="E10" s="147"/>
      <c r="F10" s="147"/>
      <c r="G10" s="147"/>
      <c r="H10" s="147"/>
      <c r="I10" s="148"/>
      <c r="J10" s="147"/>
    </row>
    <row r="11" spans="1:10">
      <c r="A11" s="147" t="s">
        <v>248</v>
      </c>
      <c r="B11" s="147"/>
      <c r="C11" s="147"/>
      <c r="D11" s="156">
        <f>'WGJ-2'!E96</f>
        <v>-30798</v>
      </c>
      <c r="E11" s="156"/>
      <c r="F11" s="156">
        <f>SUM(D11:E11)</f>
        <v>-30798</v>
      </c>
      <c r="G11" s="156"/>
      <c r="H11" s="156">
        <f>H$9*F11</f>
        <v>-20243.525399999999</v>
      </c>
      <c r="I11" s="157"/>
      <c r="J11" s="156">
        <f>J$9*F11</f>
        <v>-10554.4746</v>
      </c>
    </row>
    <row r="12" spans="1:10">
      <c r="A12" s="147" t="s">
        <v>249</v>
      </c>
      <c r="B12" s="147"/>
      <c r="C12" s="147"/>
      <c r="D12" s="158">
        <f>'WGJ-2'!E106</f>
        <v>0</v>
      </c>
      <c r="E12" s="158"/>
      <c r="F12" s="156">
        <f>SUM(D12:E12)</f>
        <v>0</v>
      </c>
      <c r="G12" s="158"/>
      <c r="H12" s="158">
        <f>H$9*F12</f>
        <v>0</v>
      </c>
      <c r="I12" s="159"/>
      <c r="J12" s="158">
        <f>J$9*F12</f>
        <v>0</v>
      </c>
    </row>
    <row r="13" spans="1:10">
      <c r="A13" s="147" t="s">
        <v>250</v>
      </c>
      <c r="B13" s="147"/>
      <c r="C13" s="147"/>
      <c r="D13" s="158">
        <v>0</v>
      </c>
      <c r="E13" s="158"/>
      <c r="F13" s="158">
        <f>SUM(D13:E13)</f>
        <v>0</v>
      </c>
      <c r="G13" s="158"/>
      <c r="H13" s="158">
        <f>H$9*F13</f>
        <v>0</v>
      </c>
      <c r="I13" s="159"/>
      <c r="J13" s="158">
        <f>J$9*F13</f>
        <v>0</v>
      </c>
    </row>
    <row r="14" spans="1:10">
      <c r="A14" s="147" t="s">
        <v>251</v>
      </c>
      <c r="B14" s="147"/>
      <c r="C14" s="147"/>
      <c r="D14" s="158">
        <f>'WGJ-2'!E103-D15</f>
        <v>-86344</v>
      </c>
      <c r="E14" s="158"/>
      <c r="F14" s="158">
        <f>SUM(D14:E14)</f>
        <v>-86344</v>
      </c>
      <c r="G14" s="158"/>
      <c r="H14" s="158">
        <f>H$9*F14</f>
        <v>-56753.911200000002</v>
      </c>
      <c r="I14" s="159"/>
      <c r="J14" s="158">
        <f>J$9*F14</f>
        <v>-29590.088800000001</v>
      </c>
    </row>
    <row r="15" spans="1:10">
      <c r="A15" s="147" t="s">
        <v>252</v>
      </c>
      <c r="B15" s="147"/>
      <c r="C15" s="147"/>
      <c r="D15" s="160">
        <f>'WGJ-2'!E100</f>
        <v>0</v>
      </c>
      <c r="E15" s="160">
        <f>-D15</f>
        <v>0</v>
      </c>
      <c r="F15" s="160">
        <f>SUM(D15:E15)</f>
        <v>0</v>
      </c>
      <c r="G15" s="159"/>
      <c r="H15" s="161">
        <f>-E15</f>
        <v>0</v>
      </c>
      <c r="I15" s="159"/>
      <c r="J15" s="160">
        <v>0</v>
      </c>
    </row>
    <row r="16" spans="1:10">
      <c r="A16" s="147" t="s">
        <v>253</v>
      </c>
      <c r="B16" s="147"/>
      <c r="C16" s="147"/>
      <c r="D16" s="158">
        <f>SUM(D11:D15)</f>
        <v>-117142</v>
      </c>
      <c r="E16" s="158">
        <f>SUM(E11:E15)</f>
        <v>0</v>
      </c>
      <c r="F16" s="158">
        <f>SUM(F11:F15)</f>
        <v>-117142</v>
      </c>
      <c r="G16" s="159"/>
      <c r="H16" s="158">
        <f>SUM(H11:H15)</f>
        <v>-76997.436600000001</v>
      </c>
      <c r="I16" s="159"/>
      <c r="J16" s="158">
        <f>SUM(J11:J15)</f>
        <v>-40144.563399999999</v>
      </c>
    </row>
    <row r="17" spans="1:10">
      <c r="A17" s="147"/>
      <c r="B17" s="147"/>
      <c r="C17" s="147"/>
      <c r="D17" s="158"/>
      <c r="E17" s="158"/>
      <c r="F17" s="158"/>
      <c r="G17" s="159"/>
      <c r="H17" s="158"/>
      <c r="I17" s="159"/>
      <c r="J17" s="158"/>
    </row>
    <row r="18" spans="1:10">
      <c r="A18" s="147"/>
      <c r="B18" s="147"/>
      <c r="C18" s="147"/>
      <c r="D18" s="158"/>
      <c r="E18" s="158"/>
      <c r="F18" s="158"/>
      <c r="G18" s="159"/>
      <c r="H18" s="158"/>
      <c r="I18" s="159"/>
      <c r="J18" s="158"/>
    </row>
    <row r="19" spans="1:10">
      <c r="A19" s="147" t="s">
        <v>254</v>
      </c>
      <c r="B19" s="147"/>
      <c r="C19" s="147"/>
      <c r="D19" s="158">
        <f>'WGJ-2'!E46</f>
        <v>220</v>
      </c>
      <c r="E19" s="158"/>
      <c r="F19" s="156">
        <f>SUM(D19:E19)</f>
        <v>220</v>
      </c>
      <c r="G19" s="159"/>
      <c r="H19" s="158">
        <f t="shared" ref="H19:H26" si="0">H$9*F19</f>
        <v>144.60599999999999</v>
      </c>
      <c r="I19" s="159"/>
      <c r="J19" s="158">
        <f t="shared" ref="J19:J29" si="1">J$9*F19</f>
        <v>75.394000000000005</v>
      </c>
    </row>
    <row r="20" spans="1:10">
      <c r="A20" s="147" t="s">
        <v>255</v>
      </c>
      <c r="B20" s="147"/>
      <c r="C20" s="147"/>
      <c r="D20" s="158">
        <v>0</v>
      </c>
      <c r="E20" s="158"/>
      <c r="F20" s="156">
        <f>SUM(D20:E20)</f>
        <v>0</v>
      </c>
      <c r="G20" s="159"/>
      <c r="H20" s="158">
        <f t="shared" si="0"/>
        <v>0</v>
      </c>
      <c r="I20" s="159"/>
      <c r="J20" s="158">
        <f t="shared" si="1"/>
        <v>0</v>
      </c>
    </row>
    <row r="21" spans="1:10">
      <c r="A21" s="147" t="s">
        <v>256</v>
      </c>
      <c r="B21" s="147"/>
      <c r="C21" s="147"/>
      <c r="D21" s="158">
        <f>'WGJ-2'!E61</f>
        <v>626.02528666637954</v>
      </c>
      <c r="E21" s="158"/>
      <c r="F21" s="156">
        <f>SUM(D21:E21)</f>
        <v>626.02528666637954</v>
      </c>
      <c r="G21" s="159"/>
      <c r="H21" s="158">
        <f t="shared" si="0"/>
        <v>411.48642092581127</v>
      </c>
      <c r="I21" s="159"/>
      <c r="J21" s="158">
        <f t="shared" si="1"/>
        <v>214.53886574056827</v>
      </c>
    </row>
    <row r="22" spans="1:10">
      <c r="A22" s="147" t="s">
        <v>257</v>
      </c>
      <c r="B22" s="147"/>
      <c r="C22" s="147"/>
      <c r="D22" s="158">
        <f>'WGJ-2'!E80</f>
        <v>0</v>
      </c>
      <c r="E22" s="158"/>
      <c r="F22" s="156">
        <f>SUM(D22:E22)</f>
        <v>0</v>
      </c>
      <c r="G22" s="159"/>
      <c r="H22" s="158">
        <f t="shared" si="0"/>
        <v>0</v>
      </c>
      <c r="I22" s="159"/>
      <c r="J22" s="158">
        <f t="shared" si="1"/>
        <v>0</v>
      </c>
    </row>
    <row r="23" spans="1:10">
      <c r="A23" s="147" t="s">
        <v>258</v>
      </c>
      <c r="B23" s="147"/>
      <c r="C23" s="147"/>
      <c r="D23" s="158">
        <f>'WGJ-2'!E28</f>
        <v>-27351</v>
      </c>
      <c r="E23" s="162">
        <v>0</v>
      </c>
      <c r="F23" s="156">
        <f>D23-E23</f>
        <v>-27351</v>
      </c>
      <c r="G23" s="159"/>
      <c r="H23" s="158">
        <f t="shared" si="0"/>
        <v>-17977.812300000001</v>
      </c>
      <c r="I23" s="159"/>
      <c r="J23" s="158">
        <f>J$9*F23</f>
        <v>-9373.1877000000004</v>
      </c>
    </row>
    <row r="24" spans="1:10">
      <c r="A24" s="147" t="s">
        <v>259</v>
      </c>
      <c r="B24" s="147"/>
      <c r="C24" s="147"/>
      <c r="D24" s="158">
        <v>0</v>
      </c>
      <c r="E24" s="158"/>
      <c r="F24" s="156">
        <f t="shared" ref="F24:F29" si="2">SUM(D24:E24)</f>
        <v>0</v>
      </c>
      <c r="G24" s="159"/>
      <c r="H24" s="158">
        <f t="shared" si="0"/>
        <v>0</v>
      </c>
      <c r="I24" s="159"/>
      <c r="J24" s="158">
        <f t="shared" si="1"/>
        <v>0</v>
      </c>
    </row>
    <row r="25" spans="1:10">
      <c r="A25" s="147" t="s">
        <v>260</v>
      </c>
      <c r="B25" s="147"/>
      <c r="C25" s="147"/>
      <c r="D25" s="158">
        <v>0</v>
      </c>
      <c r="E25" s="158"/>
      <c r="F25" s="156">
        <f t="shared" si="2"/>
        <v>0</v>
      </c>
      <c r="G25" s="159"/>
      <c r="H25" s="158">
        <f t="shared" si="0"/>
        <v>0</v>
      </c>
      <c r="I25" s="159"/>
      <c r="J25" s="158">
        <f t="shared" si="1"/>
        <v>0</v>
      </c>
    </row>
    <row r="26" spans="1:10">
      <c r="A26" s="147" t="s">
        <v>261</v>
      </c>
      <c r="B26" s="147"/>
      <c r="C26" s="147"/>
      <c r="D26" s="158">
        <v>0</v>
      </c>
      <c r="E26" s="158"/>
      <c r="F26" s="156">
        <f t="shared" si="2"/>
        <v>0</v>
      </c>
      <c r="G26" s="159"/>
      <c r="H26" s="158">
        <f t="shared" si="0"/>
        <v>0</v>
      </c>
      <c r="I26" s="159"/>
      <c r="J26" s="158">
        <f t="shared" si="1"/>
        <v>0</v>
      </c>
    </row>
    <row r="27" spans="1:10">
      <c r="A27" s="163" t="s">
        <v>262</v>
      </c>
      <c r="B27" s="163"/>
      <c r="C27" s="163"/>
      <c r="D27" s="162">
        <f>'WGJ-2'!E38-D28</f>
        <v>-65873</v>
      </c>
      <c r="E27" s="162"/>
      <c r="F27" s="164">
        <f t="shared" si="2"/>
        <v>-65873</v>
      </c>
      <c r="G27" s="165"/>
      <c r="H27" s="162">
        <f>H$9*F27</f>
        <v>-43298.322899999999</v>
      </c>
      <c r="I27" s="165"/>
      <c r="J27" s="162">
        <f t="shared" si="1"/>
        <v>-22574.677100000001</v>
      </c>
    </row>
    <row r="28" spans="1:10">
      <c r="A28" s="166" t="s">
        <v>263</v>
      </c>
      <c r="B28" s="163"/>
      <c r="C28" s="163"/>
      <c r="D28" s="162">
        <f>'WGJ-2'!E32+'WGJ-2'!E34+'WGJ-2'!E35</f>
        <v>-1695</v>
      </c>
      <c r="E28" s="162">
        <f>-D28</f>
        <v>1695</v>
      </c>
      <c r="F28" s="164">
        <f t="shared" si="2"/>
        <v>0</v>
      </c>
      <c r="G28" s="165"/>
      <c r="H28" s="162">
        <f>-E28</f>
        <v>-1695</v>
      </c>
      <c r="I28" s="165"/>
      <c r="J28" s="162">
        <v>0</v>
      </c>
    </row>
    <row r="29" spans="1:10">
      <c r="A29" s="147" t="s">
        <v>264</v>
      </c>
      <c r="B29" s="147"/>
      <c r="C29" s="147"/>
      <c r="D29" s="158">
        <f>'WGJ-2'!E77</f>
        <v>-32</v>
      </c>
      <c r="E29" s="158"/>
      <c r="F29" s="164">
        <f t="shared" si="2"/>
        <v>-32</v>
      </c>
      <c r="G29" s="159"/>
      <c r="H29" s="158">
        <f>H$9*F29</f>
        <v>-21.0336</v>
      </c>
      <c r="I29" s="159"/>
      <c r="J29" s="158">
        <f t="shared" si="1"/>
        <v>-10.9664</v>
      </c>
    </row>
    <row r="30" spans="1:10">
      <c r="A30" s="147" t="s">
        <v>265</v>
      </c>
      <c r="B30" s="147"/>
      <c r="C30" s="147"/>
      <c r="D30" s="167">
        <f>SUM(D19:D29)</f>
        <v>-94104.97471333362</v>
      </c>
      <c r="E30" s="167">
        <f>SUM(E19:E29)</f>
        <v>1695</v>
      </c>
      <c r="F30" s="167">
        <f>SUM(F19:F29)</f>
        <v>-92409.97471333362</v>
      </c>
      <c r="G30" s="159"/>
      <c r="H30" s="167">
        <f>SUM(H19:H29)</f>
        <v>-62436.076379074191</v>
      </c>
      <c r="I30" s="159"/>
      <c r="J30" s="167">
        <f>SUM(J19:J29)</f>
        <v>-31668.898334259433</v>
      </c>
    </row>
    <row r="31" spans="1:10">
      <c r="A31" s="147"/>
      <c r="B31" s="147"/>
      <c r="C31" s="147"/>
      <c r="D31" s="147"/>
      <c r="E31" s="147"/>
      <c r="F31" s="147"/>
      <c r="G31" s="147"/>
      <c r="H31" s="147"/>
      <c r="I31" s="148"/>
      <c r="J31" s="147"/>
    </row>
    <row r="32" spans="1:10">
      <c r="A32" s="147" t="s">
        <v>266</v>
      </c>
      <c r="B32" s="147"/>
      <c r="C32" s="147"/>
      <c r="D32" s="158">
        <f>D16-D30</f>
        <v>-23037.02528666638</v>
      </c>
      <c r="E32" s="158">
        <f>E16-E30</f>
        <v>-1695</v>
      </c>
      <c r="F32" s="158">
        <f>F16-F30</f>
        <v>-24732.02528666638</v>
      </c>
      <c r="G32" s="158"/>
      <c r="H32" s="158">
        <f>H16-H30</f>
        <v>-14561.36022092581</v>
      </c>
      <c r="I32" s="159"/>
      <c r="J32" s="158">
        <f>J16-J30</f>
        <v>-8475.6650657405662</v>
      </c>
    </row>
    <row r="33" spans="1:10">
      <c r="A33" s="147"/>
      <c r="B33" s="147"/>
      <c r="C33" s="147"/>
      <c r="D33" s="147"/>
      <c r="E33" s="147"/>
      <c r="F33" s="158"/>
      <c r="G33" s="158"/>
      <c r="H33" s="158"/>
      <c r="I33" s="158"/>
      <c r="J33" s="158"/>
    </row>
    <row r="34" spans="1:10">
      <c r="A34" s="147" t="s">
        <v>267</v>
      </c>
      <c r="B34" s="147"/>
      <c r="C34" s="196">
        <v>1.142E-2</v>
      </c>
      <c r="D34" s="147"/>
      <c r="E34" s="147"/>
      <c r="F34" s="159"/>
      <c r="G34" s="159"/>
      <c r="H34" s="160"/>
      <c r="I34" s="159"/>
      <c r="J34" s="160">
        <f>C34*J32</f>
        <v>-96.792095050757268</v>
      </c>
    </row>
    <row r="35" spans="1:10">
      <c r="A35" s="147"/>
      <c r="B35" s="147"/>
      <c r="C35" s="147"/>
      <c r="D35" s="147"/>
      <c r="E35" s="147"/>
      <c r="F35" s="159"/>
      <c r="G35" s="159"/>
      <c r="H35" s="158"/>
      <c r="I35" s="158"/>
      <c r="J35" s="158"/>
    </row>
    <row r="36" spans="1:10">
      <c r="A36" s="147" t="s">
        <v>268</v>
      </c>
      <c r="B36" s="147"/>
      <c r="C36" s="147"/>
      <c r="D36" s="147"/>
      <c r="E36" s="147"/>
      <c r="F36" s="157"/>
      <c r="G36" s="157"/>
      <c r="H36" s="158">
        <f>H32-H34</f>
        <v>-14561.36022092581</v>
      </c>
      <c r="I36" s="156"/>
      <c r="J36" s="158">
        <f>J32-J34</f>
        <v>-8378.8729706898084</v>
      </c>
    </row>
    <row r="37" spans="1:10">
      <c r="A37" s="147"/>
      <c r="B37" s="147"/>
      <c r="C37" s="147"/>
      <c r="D37" s="147"/>
      <c r="E37" s="147"/>
      <c r="F37" s="157"/>
      <c r="G37" s="157"/>
      <c r="H37" s="156"/>
      <c r="I37" s="156"/>
      <c r="J37" s="156"/>
    </row>
    <row r="38" spans="1:10">
      <c r="A38" s="147" t="s">
        <v>269</v>
      </c>
      <c r="B38" s="147"/>
      <c r="C38" s="168">
        <v>0.35</v>
      </c>
      <c r="D38" s="147"/>
      <c r="E38" s="147"/>
      <c r="F38" s="157"/>
      <c r="G38" s="157"/>
      <c r="H38" s="160">
        <f>C38*H36</f>
        <v>-5096.4760773240332</v>
      </c>
      <c r="I38" s="156"/>
      <c r="J38" s="160">
        <f>C38*J36</f>
        <v>-2932.6055397414329</v>
      </c>
    </row>
    <row r="39" spans="1:10">
      <c r="A39" s="147"/>
      <c r="B39" s="147"/>
      <c r="C39" s="147"/>
      <c r="D39" s="147"/>
      <c r="E39" s="147"/>
      <c r="F39" s="157"/>
      <c r="G39" s="157"/>
      <c r="H39" s="156"/>
      <c r="I39" s="156"/>
      <c r="J39" s="156"/>
    </row>
    <row r="40" spans="1:10">
      <c r="A40" s="147" t="s">
        <v>270</v>
      </c>
      <c r="B40" s="147"/>
      <c r="C40" s="147"/>
      <c r="D40" s="147"/>
      <c r="E40" s="147"/>
      <c r="F40" s="158"/>
      <c r="G40" s="158"/>
      <c r="H40" s="156">
        <f>H36-H38</f>
        <v>-9464.8841436017756</v>
      </c>
      <c r="I40" s="158"/>
      <c r="J40" s="156">
        <f>J36-J38</f>
        <v>-5446.2674309483755</v>
      </c>
    </row>
    <row r="41" spans="1:10">
      <c r="A41" s="147"/>
      <c r="B41" s="147"/>
      <c r="C41" s="147"/>
      <c r="D41" s="147"/>
      <c r="E41" s="147"/>
      <c r="F41" s="158"/>
      <c r="G41" s="158"/>
      <c r="H41" s="158"/>
      <c r="I41" s="158"/>
      <c r="J41" s="158"/>
    </row>
    <row r="42" spans="1:10">
      <c r="A42" s="169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>
      <c r="A44" s="170" t="s">
        <v>271</v>
      </c>
      <c r="B44" s="170"/>
      <c r="C44" s="170"/>
      <c r="D44" s="170"/>
      <c r="E44" s="170"/>
      <c r="F44" s="170"/>
      <c r="G44" s="170"/>
      <c r="H44" s="170"/>
      <c r="I44" s="170"/>
      <c r="J44" s="170"/>
    </row>
    <row r="45" spans="1:10">
      <c r="A45" s="171" t="s">
        <v>272</v>
      </c>
      <c r="B45" s="172"/>
      <c r="C45" s="172"/>
      <c r="D45" s="147"/>
      <c r="E45" s="147"/>
      <c r="F45" s="147"/>
      <c r="G45" s="147"/>
      <c r="H45" s="147"/>
      <c r="I45" s="147"/>
      <c r="J45" s="147"/>
    </row>
    <row r="46" spans="1:10" ht="25.8" customHeight="1">
      <c r="A46" s="173" t="s">
        <v>273</v>
      </c>
      <c r="B46" s="173"/>
      <c r="C46" s="173"/>
      <c r="D46" s="173"/>
      <c r="E46" s="173"/>
      <c r="F46" s="173"/>
      <c r="G46" s="173"/>
      <c r="H46" s="173"/>
      <c r="I46" s="173"/>
      <c r="J46" s="173"/>
    </row>
  </sheetData>
  <mergeCells count="2">
    <mergeCell ref="A44:J44"/>
    <mergeCell ref="A46:J46"/>
  </mergeCells>
  <printOptions horizontalCentered="1"/>
  <pageMargins left="0.7" right="0.7" top="0.75" bottom="0.75" header="0.3" footer="0.3"/>
  <pageSetup scale="85" orientation="landscape" r:id="rId1"/>
  <headerFooter>
    <oddFooter>&amp;L&amp;F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workbookViewId="0"/>
  </sheetViews>
  <sheetFormatPr defaultRowHeight="13.2"/>
  <cols>
    <col min="1" max="1" width="6.77734375" customWidth="1"/>
    <col min="2" max="2" width="36.77734375" customWidth="1"/>
    <col min="3" max="3" width="13.77734375" customWidth="1"/>
    <col min="4" max="10" width="10.77734375" customWidth="1"/>
    <col min="11" max="11" width="11.77734375" customWidth="1"/>
    <col min="12" max="15" width="10.77734375" customWidth="1"/>
  </cols>
  <sheetData>
    <row r="3" spans="1:15">
      <c r="D3" s="2" t="s">
        <v>209</v>
      </c>
    </row>
    <row r="6" spans="1:15">
      <c r="C6" s="36">
        <f>SUM(D6:O6)</f>
        <v>8760</v>
      </c>
      <c r="D6" s="45">
        <f>'WGJ-4'!D6</f>
        <v>744</v>
      </c>
      <c r="E6" s="45">
        <v>672</v>
      </c>
      <c r="F6" s="45">
        <v>743</v>
      </c>
      <c r="G6" s="45">
        <v>720</v>
      </c>
      <c r="H6" s="45">
        <f>'WGJ-4'!H6</f>
        <v>744</v>
      </c>
      <c r="I6" s="45">
        <f>'WGJ-4'!I6</f>
        <v>720</v>
      </c>
      <c r="J6" s="45">
        <f>'WGJ-4'!J6</f>
        <v>744</v>
      </c>
      <c r="K6" s="45">
        <f>'WGJ-4'!K6</f>
        <v>744</v>
      </c>
      <c r="L6" s="45">
        <f>'WGJ-4'!L6</f>
        <v>720</v>
      </c>
      <c r="M6" s="45">
        <v>744</v>
      </c>
      <c r="N6" s="45">
        <v>721</v>
      </c>
      <c r="O6" s="45">
        <f>'WGJ-4'!O6</f>
        <v>744</v>
      </c>
    </row>
    <row r="7" spans="1:15">
      <c r="C7" s="85" t="s">
        <v>32</v>
      </c>
      <c r="D7" s="46">
        <v>41274</v>
      </c>
      <c r="E7" s="46">
        <v>41305</v>
      </c>
      <c r="F7" s="46">
        <v>41333</v>
      </c>
      <c r="G7" s="46">
        <v>41364</v>
      </c>
      <c r="H7" s="46">
        <v>41394</v>
      </c>
      <c r="I7" s="46">
        <v>41425</v>
      </c>
      <c r="J7" s="46">
        <v>41455</v>
      </c>
      <c r="K7" s="46">
        <v>41486</v>
      </c>
      <c r="L7" s="46">
        <v>41517</v>
      </c>
      <c r="M7" s="46">
        <v>41547</v>
      </c>
      <c r="N7" s="46">
        <v>41578</v>
      </c>
      <c r="O7" s="46">
        <v>41608</v>
      </c>
    </row>
    <row r="8" spans="1:15">
      <c r="C8" s="1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>
      <c r="A9" s="2" t="s">
        <v>210</v>
      </c>
      <c r="C9" s="120">
        <f>AVERAGE(D9:O9)</f>
        <v>27.263046896457649</v>
      </c>
      <c r="D9" s="96">
        <v>28.711086297035187</v>
      </c>
      <c r="E9" s="96">
        <v>26.464070570468881</v>
      </c>
      <c r="F9" s="96">
        <v>24.985817688703509</v>
      </c>
      <c r="G9" s="96">
        <v>21.527304130792594</v>
      </c>
      <c r="H9" s="96">
        <v>20.87425732612607</v>
      </c>
      <c r="I9" s="96">
        <v>21.093090987205471</v>
      </c>
      <c r="J9" s="96">
        <v>30.080394601821876</v>
      </c>
      <c r="K9" s="96">
        <v>33.634082198142991</v>
      </c>
      <c r="L9" s="96">
        <v>29.996613121032691</v>
      </c>
      <c r="M9" s="96">
        <v>26.505273783206917</v>
      </c>
      <c r="N9" s="96">
        <v>29.62859535217283</v>
      </c>
      <c r="O9" s="96">
        <v>33.655976700782759</v>
      </c>
    </row>
    <row r="10" spans="1:15">
      <c r="A10" s="2" t="s">
        <v>211</v>
      </c>
      <c r="C10" s="120">
        <f>AVERAGE(D10:O10)</f>
        <v>20.671533562196394</v>
      </c>
      <c r="D10" s="96">
        <v>24.649756520986536</v>
      </c>
      <c r="E10" s="96">
        <v>22.693053884804222</v>
      </c>
      <c r="F10" s="96">
        <v>21.620197418332079</v>
      </c>
      <c r="G10" s="96">
        <v>16.881057935953113</v>
      </c>
      <c r="H10" s="96">
        <v>12.182536230981322</v>
      </c>
      <c r="I10" s="96">
        <v>10.366980483569183</v>
      </c>
      <c r="J10" s="96">
        <v>18.570965594053238</v>
      </c>
      <c r="K10" s="96">
        <v>23.366109442710854</v>
      </c>
      <c r="L10" s="96">
        <v>24.05587847232816</v>
      </c>
      <c r="M10" s="96">
        <v>23.0788350343704</v>
      </c>
      <c r="N10" s="96">
        <v>23.723137617111181</v>
      </c>
      <c r="O10" s="96">
        <v>26.869894111156441</v>
      </c>
    </row>
    <row r="11" spans="1:15">
      <c r="A11" s="2" t="s">
        <v>226</v>
      </c>
      <c r="C11" s="120">
        <f>AVERAGE(D11:O11)</f>
        <v>24.434652961790533</v>
      </c>
      <c r="D11" s="96">
        <v>26.920607650279969</v>
      </c>
      <c r="E11" s="96">
        <v>24.847920811176273</v>
      </c>
      <c r="F11" s="96">
        <v>23.574428361654256</v>
      </c>
      <c r="G11" s="96">
        <v>19.462305819988217</v>
      </c>
      <c r="H11" s="96">
        <v>17.229341900348622</v>
      </c>
      <c r="I11" s="96">
        <v>16.564288711547825</v>
      </c>
      <c r="J11" s="96">
        <v>25.006345272064188</v>
      </c>
      <c r="K11" s="96">
        <v>29.328158116340614</v>
      </c>
      <c r="L11" s="96">
        <v>27.488302850723244</v>
      </c>
      <c r="M11" s="96">
        <v>24.994693279266325</v>
      </c>
      <c r="N11" s="96">
        <v>27.135179877281168</v>
      </c>
      <c r="O11" s="96">
        <v>30.664262890815717</v>
      </c>
    </row>
    <row r="12" spans="1:15">
      <c r="C12" s="11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2" t="s">
        <v>41</v>
      </c>
      <c r="C13" s="11"/>
      <c r="D13">
        <v>-5.766</v>
      </c>
      <c r="E13">
        <v>-5.2080000000000002</v>
      </c>
      <c r="F13">
        <v>-5.766</v>
      </c>
      <c r="G13">
        <v>-5.58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-5.58</v>
      </c>
      <c r="O13">
        <v>-5.766</v>
      </c>
    </row>
    <row r="14" spans="1:15">
      <c r="B14" t="s">
        <v>40</v>
      </c>
      <c r="C14" s="11"/>
    </row>
    <row r="15" spans="1:15">
      <c r="B15" t="s">
        <v>92</v>
      </c>
      <c r="C15" s="118">
        <f>SUM(D15:O15)</f>
        <v>59130</v>
      </c>
      <c r="D15" s="3">
        <f>-D13*1000-D6</f>
        <v>5022</v>
      </c>
      <c r="E15" s="3">
        <f t="shared" ref="E15:O15" si="0">-E13*1000-E6</f>
        <v>4536</v>
      </c>
      <c r="F15" s="3">
        <f t="shared" si="0"/>
        <v>5023</v>
      </c>
      <c r="G15" s="3">
        <f t="shared" si="0"/>
        <v>4860</v>
      </c>
      <c r="H15" s="3">
        <f t="shared" si="0"/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f t="shared" si="0"/>
        <v>4859</v>
      </c>
      <c r="O15" s="3">
        <f t="shared" si="0"/>
        <v>5022</v>
      </c>
    </row>
    <row r="16" spans="1:15">
      <c r="B16" t="s">
        <v>104</v>
      </c>
      <c r="C16" s="100">
        <f>SUM(D16:O16)</f>
        <v>1317705.3800199404</v>
      </c>
      <c r="D16" s="24">
        <f>((D9*0.57+D10*0.43)-2.16)*D15</f>
        <v>124569.27618552468</v>
      </c>
      <c r="E16" s="24">
        <f t="shared" ref="E16:O16" si="1">((E9*0.57+E10*0.43)-2.16)*E15</f>
        <v>102887.97148259163</v>
      </c>
      <c r="F16" s="24">
        <f t="shared" si="1"/>
        <v>107384.71268458519</v>
      </c>
      <c r="G16" s="24">
        <f t="shared" si="1"/>
        <v>84415.372777676443</v>
      </c>
      <c r="H16" s="24">
        <f t="shared" si="1"/>
        <v>75213.576255683845</v>
      </c>
      <c r="I16" s="24">
        <f t="shared" si="1"/>
        <v>69599.396467319471</v>
      </c>
      <c r="J16" s="24">
        <f t="shared" si="1"/>
        <v>115362.0701252334</v>
      </c>
      <c r="K16" s="24">
        <f t="shared" si="1"/>
        <v>135889.5643526286</v>
      </c>
      <c r="L16" s="24">
        <f t="shared" si="1"/>
        <v>122870.99249935614</v>
      </c>
      <c r="M16" s="24">
        <f t="shared" si="1"/>
        <v>114862.70751870262</v>
      </c>
      <c r="N16" s="24">
        <f t="shared" si="1"/>
        <v>121131.21858830201</v>
      </c>
      <c r="O16" s="24">
        <f t="shared" si="1"/>
        <v>143518.52108233658</v>
      </c>
    </row>
    <row r="17" spans="1:15">
      <c r="C17" s="11"/>
    </row>
    <row r="18" spans="1:15">
      <c r="B18" t="s">
        <v>228</v>
      </c>
      <c r="C18" s="11"/>
      <c r="D18">
        <v>-37.200000000000003</v>
      </c>
      <c r="E18">
        <v>-33.6</v>
      </c>
      <c r="F18">
        <v>-37.200000000000003</v>
      </c>
      <c r="G18">
        <v>-36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18">
        <f>SUM(D19:O19)</f>
        <v>438000</v>
      </c>
      <c r="D19" s="142">
        <f>-D18*1000</f>
        <v>37200</v>
      </c>
      <c r="E19" s="142">
        <f t="shared" ref="E19:O19" si="2">-E18*1000</f>
        <v>33600</v>
      </c>
      <c r="F19" s="142">
        <f t="shared" si="2"/>
        <v>37200</v>
      </c>
      <c r="G19" s="142">
        <f t="shared" si="2"/>
        <v>36000</v>
      </c>
      <c r="H19" s="142">
        <f t="shared" si="2"/>
        <v>37200</v>
      </c>
      <c r="I19" s="142">
        <f t="shared" si="2"/>
        <v>36000</v>
      </c>
      <c r="J19" s="142">
        <f t="shared" si="2"/>
        <v>37200</v>
      </c>
      <c r="K19" s="142">
        <f t="shared" si="2"/>
        <v>37200</v>
      </c>
      <c r="L19" s="142">
        <f t="shared" si="2"/>
        <v>36000</v>
      </c>
      <c r="M19" s="142">
        <f t="shared" si="2"/>
        <v>37200</v>
      </c>
      <c r="N19" s="142">
        <f t="shared" si="2"/>
        <v>36000</v>
      </c>
      <c r="O19" s="142">
        <f t="shared" si="2"/>
        <v>37200</v>
      </c>
    </row>
    <row r="20" spans="1:15">
      <c r="B20" t="s">
        <v>227</v>
      </c>
      <c r="D20" s="28">
        <f>D11+3</f>
        <v>29.920607650279969</v>
      </c>
      <c r="E20" s="28">
        <f t="shared" ref="E20:O20" si="3">E11+3</f>
        <v>27.847920811176273</v>
      </c>
      <c r="F20" s="28">
        <f t="shared" si="3"/>
        <v>26.574428361654256</v>
      </c>
      <c r="G20" s="28">
        <f t="shared" si="3"/>
        <v>22.462305819988217</v>
      </c>
      <c r="H20" s="28">
        <f t="shared" si="3"/>
        <v>20.229341900348622</v>
      </c>
      <c r="I20" s="28">
        <f t="shared" si="3"/>
        <v>19.564288711547825</v>
      </c>
      <c r="J20" s="28">
        <f t="shared" si="3"/>
        <v>28.006345272064188</v>
      </c>
      <c r="K20" s="28">
        <f t="shared" si="3"/>
        <v>32.328158116340617</v>
      </c>
      <c r="L20" s="28">
        <f t="shared" si="3"/>
        <v>30.488302850723244</v>
      </c>
      <c r="M20" s="28">
        <f t="shared" si="3"/>
        <v>27.994693279266325</v>
      </c>
      <c r="N20" s="28">
        <f t="shared" si="3"/>
        <v>30.135179877281168</v>
      </c>
      <c r="O20" s="28">
        <f t="shared" si="3"/>
        <v>33.664262890815721</v>
      </c>
    </row>
    <row r="21" spans="1:15">
      <c r="B21" t="s">
        <v>104</v>
      </c>
      <c r="C21" s="100">
        <f>SUM(D21:O21)</f>
        <v>12023396.474511612</v>
      </c>
      <c r="D21" s="24">
        <f>D19*D20</f>
        <v>1113046.6045904148</v>
      </c>
      <c r="E21" s="24">
        <f t="shared" ref="E21:O21" si="4">E19*E20</f>
        <v>935690.13925552275</v>
      </c>
      <c r="F21" s="24">
        <f t="shared" si="4"/>
        <v>988568.73505353834</v>
      </c>
      <c r="G21" s="24">
        <f t="shared" si="4"/>
        <v>808643.00951957575</v>
      </c>
      <c r="H21" s="24">
        <f t="shared" si="4"/>
        <v>752531.51869296876</v>
      </c>
      <c r="I21" s="24">
        <f t="shared" si="4"/>
        <v>704314.39361572172</v>
      </c>
      <c r="J21" s="24">
        <f t="shared" si="4"/>
        <v>1041836.0441207878</v>
      </c>
      <c r="K21" s="24">
        <f t="shared" si="4"/>
        <v>1202607.481927871</v>
      </c>
      <c r="L21" s="24">
        <f t="shared" si="4"/>
        <v>1097578.9026260367</v>
      </c>
      <c r="M21" s="24">
        <f t="shared" si="4"/>
        <v>1041402.5899887073</v>
      </c>
      <c r="N21" s="24">
        <f t="shared" si="4"/>
        <v>1084866.4755821221</v>
      </c>
      <c r="O21" s="24">
        <f t="shared" si="4"/>
        <v>1252310.5795383449</v>
      </c>
    </row>
    <row r="22" spans="1:15">
      <c r="C22" s="104"/>
      <c r="K22" s="28"/>
      <c r="L22" s="28"/>
      <c r="M22" s="24"/>
    </row>
    <row r="23" spans="1:15">
      <c r="A23" s="2" t="s">
        <v>147</v>
      </c>
      <c r="C23" s="104"/>
      <c r="K23" s="28"/>
      <c r="L23" s="28"/>
      <c r="M23" s="24"/>
    </row>
    <row r="24" spans="1:15">
      <c r="C24" s="119" t="s">
        <v>32</v>
      </c>
      <c r="D24" s="108">
        <f>D7</f>
        <v>41274</v>
      </c>
      <c r="E24" s="108">
        <f t="shared" ref="E24:O24" si="5">E7</f>
        <v>41305</v>
      </c>
      <c r="F24" s="108">
        <f t="shared" si="5"/>
        <v>41333</v>
      </c>
      <c r="G24" s="108">
        <f t="shared" si="5"/>
        <v>41364</v>
      </c>
      <c r="H24" s="108">
        <f t="shared" si="5"/>
        <v>41394</v>
      </c>
      <c r="I24" s="108">
        <f t="shared" si="5"/>
        <v>41425</v>
      </c>
      <c r="J24" s="108">
        <f t="shared" si="5"/>
        <v>41455</v>
      </c>
      <c r="K24" s="108">
        <f t="shared" si="5"/>
        <v>41486</v>
      </c>
      <c r="L24" s="108">
        <f t="shared" si="5"/>
        <v>41517</v>
      </c>
      <c r="M24" s="108">
        <f t="shared" si="5"/>
        <v>41547</v>
      </c>
      <c r="N24" s="108">
        <f t="shared" si="5"/>
        <v>41578</v>
      </c>
      <c r="O24" s="108">
        <f t="shared" si="5"/>
        <v>41608</v>
      </c>
    </row>
    <row r="25" spans="1:15">
      <c r="A25" s="2"/>
      <c r="C25" s="104"/>
      <c r="K25" s="28"/>
      <c r="L25" s="28"/>
      <c r="M25" s="24"/>
    </row>
    <row r="26" spans="1:15">
      <c r="B26" t="s">
        <v>212</v>
      </c>
      <c r="C26" s="104"/>
      <c r="D26" s="96">
        <f>0.65*D9+0.35*D10+5</f>
        <v>32.289620875418159</v>
      </c>
      <c r="E26" s="96">
        <f t="shared" ref="E26:O26" si="6">0.65*E9+0.35*E10+5</f>
        <v>30.144214730486247</v>
      </c>
      <c r="F26" s="96">
        <f t="shared" si="6"/>
        <v>28.807850594073507</v>
      </c>
      <c r="G26" s="96">
        <f t="shared" si="6"/>
        <v>24.901117962598775</v>
      </c>
      <c r="H26" s="96">
        <f t="shared" si="6"/>
        <v>22.832154942825408</v>
      </c>
      <c r="I26" s="96">
        <f t="shared" si="6"/>
        <v>22.338952310932772</v>
      </c>
      <c r="J26" s="96">
        <f t="shared" si="6"/>
        <v>31.052094449102853</v>
      </c>
      <c r="K26" s="96">
        <f t="shared" si="6"/>
        <v>35.040291733741739</v>
      </c>
      <c r="L26" s="96">
        <f t="shared" si="6"/>
        <v>32.917355993986106</v>
      </c>
      <c r="M26" s="96">
        <f t="shared" si="6"/>
        <v>30.306020221114135</v>
      </c>
      <c r="N26" s="96">
        <f t="shared" si="6"/>
        <v>32.561685144901254</v>
      </c>
      <c r="O26" s="96">
        <f t="shared" si="6"/>
        <v>36.280847794413546</v>
      </c>
    </row>
    <row r="27" spans="1:15">
      <c r="C27" s="10"/>
      <c r="K27" s="28"/>
      <c r="L27" s="28"/>
      <c r="M27" s="24"/>
    </row>
    <row r="28" spans="1:15">
      <c r="B28" t="s">
        <v>159</v>
      </c>
      <c r="C28" s="118">
        <f>SUM(D28:O28)</f>
        <v>170920.48250122069</v>
      </c>
      <c r="D28" s="124">
        <v>16082.035986328097</v>
      </c>
      <c r="E28" s="124">
        <v>13675.3127502441</v>
      </c>
      <c r="F28" s="124">
        <v>13712.052185058601</v>
      </c>
      <c r="G28" s="124">
        <v>14590.818084716801</v>
      </c>
      <c r="H28" s="124">
        <v>17601.611364746099</v>
      </c>
      <c r="I28" s="124">
        <v>16754.994854736298</v>
      </c>
      <c r="J28" s="124">
        <v>15677.038232421901</v>
      </c>
      <c r="K28" s="124">
        <v>13024.965344238301</v>
      </c>
      <c r="L28" s="124">
        <v>10412.902880859399</v>
      </c>
      <c r="M28" s="124">
        <v>10606.779675293001</v>
      </c>
      <c r="N28" s="124">
        <v>13477.5066040039</v>
      </c>
      <c r="O28" s="124">
        <v>15304.464538574201</v>
      </c>
    </row>
    <row r="29" spans="1:15">
      <c r="B29" t="s">
        <v>160</v>
      </c>
      <c r="C29" s="118">
        <f>SUM(D29:O29)</f>
        <v>162340.86307373052</v>
      </c>
      <c r="D29" s="124">
        <v>15001.8740661621</v>
      </c>
      <c r="E29" s="124">
        <v>12583.879370117198</v>
      </c>
      <c r="F29" s="124">
        <v>12650.914453125</v>
      </c>
      <c r="G29" s="124">
        <v>14341.7871520996</v>
      </c>
      <c r="H29" s="124">
        <v>17510.654772949201</v>
      </c>
      <c r="I29" s="124">
        <v>16850.928302002001</v>
      </c>
      <c r="J29" s="124">
        <v>15723.584777831999</v>
      </c>
      <c r="K29" s="124">
        <v>13607.529205322302</v>
      </c>
      <c r="L29" s="124">
        <v>8998.70536499023</v>
      </c>
      <c r="M29" s="124">
        <v>8996.8272583007802</v>
      </c>
      <c r="N29" s="124">
        <v>12098.888397216801</v>
      </c>
      <c r="O29" s="124">
        <v>13975.289953613299</v>
      </c>
    </row>
    <row r="30" spans="1:15">
      <c r="B30" t="s">
        <v>133</v>
      </c>
      <c r="C30" s="99"/>
      <c r="D30" s="99">
        <v>3.3000000000000002E-2</v>
      </c>
      <c r="E30" s="99">
        <v>3.3000000000000002E-2</v>
      </c>
      <c r="F30" s="99">
        <v>3.3000000000000002E-2</v>
      </c>
      <c r="G30" s="99">
        <v>3.3000000000000002E-2</v>
      </c>
      <c r="H30" s="99">
        <v>3.3000000000000002E-2</v>
      </c>
      <c r="I30" s="99">
        <v>3.3000000000000002E-2</v>
      </c>
      <c r="J30" s="99">
        <v>3.3000000000000002E-2</v>
      </c>
      <c r="K30" s="99">
        <v>3.3000000000000002E-2</v>
      </c>
      <c r="L30" s="99">
        <v>3.3000000000000002E-2</v>
      </c>
      <c r="M30" s="99">
        <v>3.3000000000000002E-2</v>
      </c>
      <c r="N30" s="99">
        <v>3.3000000000000002E-2</v>
      </c>
      <c r="O30" s="99">
        <v>3.3000000000000002E-2</v>
      </c>
    </row>
    <row r="31" spans="1:15">
      <c r="B31" t="s">
        <v>158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</row>
    <row r="32" spans="1:15">
      <c r="B32" t="s">
        <v>134</v>
      </c>
      <c r="C32" s="99"/>
      <c r="D32" s="99">
        <v>4.8999999999999998E-3</v>
      </c>
      <c r="E32" s="99">
        <v>4.8999999999999998E-3</v>
      </c>
      <c r="F32" s="99">
        <v>4.8999999999999998E-3</v>
      </c>
      <c r="G32" s="99">
        <v>4.8999999999999998E-3</v>
      </c>
      <c r="H32" s="99">
        <v>4.8999999999999998E-3</v>
      </c>
      <c r="I32" s="99">
        <v>4.8999999999999998E-3</v>
      </c>
      <c r="J32" s="99">
        <v>4.8999999999999998E-3</v>
      </c>
      <c r="K32" s="99">
        <v>4.8999999999999998E-3</v>
      </c>
      <c r="L32" s="99">
        <v>4.8999999999999998E-3</v>
      </c>
      <c r="M32" s="99">
        <v>4.8999999999999998E-3</v>
      </c>
      <c r="N32" s="99">
        <v>4.8999999999999998E-3</v>
      </c>
      <c r="O32" s="99">
        <v>4.8999999999999998E-3</v>
      </c>
    </row>
    <row r="33" spans="2:15">
      <c r="B33" t="s">
        <v>137</v>
      </c>
      <c r="C33" s="99"/>
      <c r="D33" s="99">
        <f>D30+D31+D32</f>
        <v>3.7900000000000003E-2</v>
      </c>
      <c r="E33" s="99">
        <f t="shared" ref="E33:O33" si="7">E30+E31+E32</f>
        <v>3.7900000000000003E-2</v>
      </c>
      <c r="F33" s="99">
        <f t="shared" si="7"/>
        <v>3.7900000000000003E-2</v>
      </c>
      <c r="G33" s="99">
        <f t="shared" si="7"/>
        <v>3.7900000000000003E-2</v>
      </c>
      <c r="H33" s="99">
        <f t="shared" si="7"/>
        <v>3.7900000000000003E-2</v>
      </c>
      <c r="I33" s="99">
        <f t="shared" si="7"/>
        <v>3.7900000000000003E-2</v>
      </c>
      <c r="J33" s="99">
        <f t="shared" si="7"/>
        <v>3.7900000000000003E-2</v>
      </c>
      <c r="K33" s="99">
        <f t="shared" si="7"/>
        <v>3.7900000000000003E-2</v>
      </c>
      <c r="L33" s="99">
        <f t="shared" si="7"/>
        <v>3.7900000000000003E-2</v>
      </c>
      <c r="M33" s="99">
        <f t="shared" si="7"/>
        <v>3.7900000000000003E-2</v>
      </c>
      <c r="N33" s="99">
        <f t="shared" si="7"/>
        <v>3.7900000000000003E-2</v>
      </c>
      <c r="O33" s="99">
        <f t="shared" si="7"/>
        <v>3.7900000000000003E-2</v>
      </c>
    </row>
    <row r="34" spans="2:15">
      <c r="B34" t="s">
        <v>145</v>
      </c>
      <c r="C34" s="99"/>
      <c r="D34" s="105">
        <f>150/((C56/8760)*0.3)</f>
        <v>0.49811357423888758</v>
      </c>
      <c r="E34" s="105">
        <f>D34</f>
        <v>0.49811357423888758</v>
      </c>
      <c r="F34" s="105">
        <f t="shared" ref="F34:O34" si="8">E34</f>
        <v>0.49811357423888758</v>
      </c>
      <c r="G34" s="105">
        <f t="shared" si="8"/>
        <v>0.49811357423888758</v>
      </c>
      <c r="H34" s="105">
        <f t="shared" si="8"/>
        <v>0.49811357423888758</v>
      </c>
      <c r="I34" s="105">
        <f t="shared" si="8"/>
        <v>0.49811357423888758</v>
      </c>
      <c r="J34" s="105">
        <f t="shared" si="8"/>
        <v>0.49811357423888758</v>
      </c>
      <c r="K34" s="105">
        <f t="shared" si="8"/>
        <v>0.49811357423888758</v>
      </c>
      <c r="L34" s="105">
        <f t="shared" si="8"/>
        <v>0.49811357423888758</v>
      </c>
      <c r="M34" s="105">
        <f t="shared" si="8"/>
        <v>0.49811357423888758</v>
      </c>
      <c r="N34" s="105">
        <f t="shared" si="8"/>
        <v>0.49811357423888758</v>
      </c>
      <c r="O34" s="105">
        <f t="shared" si="8"/>
        <v>0.49811357423888758</v>
      </c>
    </row>
    <row r="35" spans="2:15">
      <c r="C35" s="98"/>
    </row>
    <row r="36" spans="2:15">
      <c r="B36" t="s">
        <v>127</v>
      </c>
      <c r="C36" s="98">
        <f>SUM(D36:O36)</f>
        <v>290174.78638452216</v>
      </c>
      <c r="D36" s="3">
        <f>(D28+D29)*(D30/D33)</f>
        <v>27065.145955994099</v>
      </c>
      <c r="E36" s="3">
        <f t="shared" ref="E36:O36" si="9">(E28+E29)*(E30/E33)</f>
        <v>22864.204220895059</v>
      </c>
      <c r="F36" s="3">
        <f t="shared" si="9"/>
        <v>22954.561980476483</v>
      </c>
      <c r="G36" s="3">
        <f t="shared" si="9"/>
        <v>25191.978174536707</v>
      </c>
      <c r="H36" s="3">
        <f t="shared" si="9"/>
        <v>30572.685555249209</v>
      </c>
      <c r="I36" s="3">
        <f t="shared" si="9"/>
        <v>29261.094041487169</v>
      </c>
      <c r="J36" s="3">
        <f t="shared" si="9"/>
        <v>27340.911855893894</v>
      </c>
      <c r="K36" s="3">
        <f t="shared" si="9"/>
        <v>23189.243275343</v>
      </c>
      <c r="L36" s="3">
        <f t="shared" si="9"/>
        <v>16901.928024090706</v>
      </c>
      <c r="M36" s="3">
        <f t="shared" si="9"/>
        <v>17069.103662495902</v>
      </c>
      <c r="N36" s="3">
        <f t="shared" si="9"/>
        <v>22269.684301854431</v>
      </c>
      <c r="O36" s="3">
        <f t="shared" si="9"/>
        <v>25494.245336205477</v>
      </c>
    </row>
    <row r="37" spans="2:15">
      <c r="B37" t="s">
        <v>128</v>
      </c>
      <c r="C37" s="97">
        <f>SUM(D37:O37)</f>
        <v>8588734.3661506083</v>
      </c>
      <c r="D37" s="24">
        <f>D36*D26</f>
        <v>873923.30185690639</v>
      </c>
      <c r="E37" s="24">
        <f t="shared" ref="E37:O37" si="10">E36*E26</f>
        <v>689223.4816763507</v>
      </c>
      <c r="F37" s="24">
        <f t="shared" si="10"/>
        <v>661271.59198596654</v>
      </c>
      <c r="G37" s="24">
        <f t="shared" si="10"/>
        <v>627308.42023535236</v>
      </c>
      <c r="H37" s="24">
        <f t="shared" si="10"/>
        <v>698040.29361573013</v>
      </c>
      <c r="I37" s="24">
        <f t="shared" si="10"/>
        <v>653662.18435850099</v>
      </c>
      <c r="J37" s="24">
        <f t="shared" si="10"/>
        <v>848992.57727381319</v>
      </c>
      <c r="K37" s="24">
        <f t="shared" si="10"/>
        <v>812557.84945272759</v>
      </c>
      <c r="L37" s="24">
        <f t="shared" si="10"/>
        <v>556366.78175372398</v>
      </c>
      <c r="M37" s="24">
        <f t="shared" si="10"/>
        <v>517296.60075189412</v>
      </c>
      <c r="N37" s="24">
        <f t="shared" si="10"/>
        <v>725138.44851333415</v>
      </c>
      <c r="O37" s="24">
        <f t="shared" si="10"/>
        <v>924952.83467630832</v>
      </c>
    </row>
    <row r="38" spans="2:15">
      <c r="D38" s="24"/>
    </row>
    <row r="39" spans="2:15">
      <c r="B39" t="s">
        <v>129</v>
      </c>
      <c r="C39" s="97">
        <f>SUM(D39:O39)</f>
        <v>1323844.4313513797</v>
      </c>
      <c r="D39" s="24">
        <f>((D36*10.66/11.03)*(D26-$C58))*(1-D34)</f>
        <v>158806.58267126305</v>
      </c>
      <c r="E39" s="24">
        <f t="shared" ref="E39:O39" si="11">((E36*10.66/11.03)*(E26-$C58))*(1-E34)</f>
        <v>110364.0772472789</v>
      </c>
      <c r="F39" s="24">
        <f t="shared" si="11"/>
        <v>95920.981106324383</v>
      </c>
      <c r="G39" s="24">
        <f t="shared" si="11"/>
        <v>57532.668301802107</v>
      </c>
      <c r="H39" s="24">
        <f t="shared" si="11"/>
        <v>39139.684057068873</v>
      </c>
      <c r="I39" s="24">
        <f t="shared" si="11"/>
        <v>30460.48042365583</v>
      </c>
      <c r="J39" s="24">
        <f t="shared" si="11"/>
        <v>144012.91818994316</v>
      </c>
      <c r="K39" s="24">
        <f t="shared" si="11"/>
        <v>167003.89298250584</v>
      </c>
      <c r="L39" s="24">
        <f t="shared" si="11"/>
        <v>104319.56686617259</v>
      </c>
      <c r="M39" s="24">
        <f t="shared" si="11"/>
        <v>83731.140222639704</v>
      </c>
      <c r="N39" s="24">
        <f t="shared" si="11"/>
        <v>133607.7037553096</v>
      </c>
      <c r="O39" s="24">
        <f t="shared" si="11"/>
        <v>198944.7355274155</v>
      </c>
    </row>
    <row r="41" spans="2:15">
      <c r="B41" t="s">
        <v>130</v>
      </c>
      <c r="C41" s="121">
        <f>SUM(D41:O41)</f>
        <v>7264889.9347992297</v>
      </c>
      <c r="D41" s="24">
        <f>D37-D39</f>
        <v>715116.71918564336</v>
      </c>
      <c r="E41" s="24">
        <f t="shared" ref="E41:O41" si="12">E37-E39</f>
        <v>578859.40442907182</v>
      </c>
      <c r="F41" s="24">
        <f t="shared" si="12"/>
        <v>565350.61087964219</v>
      </c>
      <c r="G41" s="24">
        <f t="shared" si="12"/>
        <v>569775.75193355023</v>
      </c>
      <c r="H41" s="24">
        <f t="shared" si="12"/>
        <v>658900.60955866124</v>
      </c>
      <c r="I41" s="24">
        <f t="shared" si="12"/>
        <v>623201.70393484517</v>
      </c>
      <c r="J41" s="24">
        <f t="shared" si="12"/>
        <v>704979.65908387001</v>
      </c>
      <c r="K41" s="24">
        <f t="shared" si="12"/>
        <v>645553.95647022175</v>
      </c>
      <c r="L41" s="24">
        <f t="shared" si="12"/>
        <v>452047.21488755138</v>
      </c>
      <c r="M41" s="24">
        <f t="shared" si="12"/>
        <v>433565.4605292544</v>
      </c>
      <c r="N41" s="24">
        <f t="shared" si="12"/>
        <v>591530.74475802458</v>
      </c>
      <c r="O41" s="24">
        <f t="shared" si="12"/>
        <v>726008.0991488928</v>
      </c>
    </row>
    <row r="42" spans="2:15">
      <c r="B42" t="s">
        <v>131</v>
      </c>
      <c r="C42" s="109">
        <f t="shared" ref="C42:O42" si="13">C41/C36</f>
        <v>25.03625495969948</v>
      </c>
      <c r="D42" s="28">
        <f t="shared" si="13"/>
        <v>26.42205293658381</v>
      </c>
      <c r="E42" s="28">
        <f t="shared" si="13"/>
        <v>25.317277559131746</v>
      </c>
      <c r="F42" s="28">
        <f t="shared" si="13"/>
        <v>24.629117791944328</v>
      </c>
      <c r="G42" s="28">
        <f t="shared" si="13"/>
        <v>22.617348585569289</v>
      </c>
      <c r="H42" s="28">
        <f t="shared" si="13"/>
        <v>21.551937541369526</v>
      </c>
      <c r="I42" s="28">
        <f t="shared" si="13"/>
        <v>21.297963194788718</v>
      </c>
      <c r="J42" s="28">
        <f t="shared" si="13"/>
        <v>25.784789578329196</v>
      </c>
      <c r="K42" s="28">
        <f t="shared" si="13"/>
        <v>27.838508950252631</v>
      </c>
      <c r="L42" s="28">
        <f t="shared" si="13"/>
        <v>26.745304692058689</v>
      </c>
      <c r="M42" s="28">
        <f t="shared" si="13"/>
        <v>25.400599182128172</v>
      </c>
      <c r="N42" s="28">
        <f t="shared" si="13"/>
        <v>26.562152239794745</v>
      </c>
      <c r="O42" s="28">
        <f t="shared" si="13"/>
        <v>28.477332416577063</v>
      </c>
    </row>
    <row r="44" spans="2:15">
      <c r="B44" t="s">
        <v>161</v>
      </c>
      <c r="C44" s="98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146</v>
      </c>
      <c r="D45" s="107">
        <f>$C58</f>
        <v>20.192807380016191</v>
      </c>
      <c r="E45" s="107">
        <f t="shared" ref="E45:O45" si="15">$C58</f>
        <v>20.192807380016191</v>
      </c>
      <c r="F45" s="107">
        <f t="shared" si="15"/>
        <v>20.192807380016191</v>
      </c>
      <c r="G45" s="107">
        <f t="shared" si="15"/>
        <v>20.192807380016191</v>
      </c>
      <c r="H45" s="107">
        <f t="shared" si="15"/>
        <v>20.192807380016191</v>
      </c>
      <c r="I45" s="107">
        <f t="shared" si="15"/>
        <v>20.192807380016191</v>
      </c>
      <c r="J45" s="107">
        <f t="shared" si="15"/>
        <v>20.192807380016191</v>
      </c>
      <c r="K45" s="107">
        <f t="shared" si="15"/>
        <v>20.192807380016191</v>
      </c>
      <c r="L45" s="107">
        <f t="shared" si="15"/>
        <v>20.192807380016191</v>
      </c>
      <c r="M45" s="107">
        <f t="shared" si="15"/>
        <v>20.192807380016191</v>
      </c>
      <c r="N45" s="107">
        <f t="shared" si="15"/>
        <v>20.192807380016191</v>
      </c>
      <c r="O45" s="107">
        <f t="shared" si="15"/>
        <v>20.192807380016191</v>
      </c>
    </row>
    <row r="46" spans="2:15">
      <c r="B46" t="s">
        <v>162</v>
      </c>
      <c r="C46" s="122">
        <f>SUM(D46:O46)</f>
        <v>0</v>
      </c>
      <c r="D46" s="24">
        <f>D44*D45</f>
        <v>0</v>
      </c>
      <c r="E46" s="24">
        <f t="shared" ref="E46:O46" si="16">E44*E45</f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</row>
    <row r="47" spans="2:15">
      <c r="C47" s="109"/>
      <c r="D47" s="24"/>
    </row>
    <row r="48" spans="2:15">
      <c r="B48" t="s">
        <v>136</v>
      </c>
      <c r="C48" s="98">
        <f>SUM(D48:O48)</f>
        <v>43086.559190429049</v>
      </c>
      <c r="D48" s="3">
        <f>(D28+D29)*(D32/D33)</f>
        <v>4018.7640964960938</v>
      </c>
      <c r="E48" s="3">
        <f t="shared" ref="E48:O48" si="17">(E28+E29)*(E32/E33)</f>
        <v>3394.9878994662363</v>
      </c>
      <c r="F48" s="3">
        <f t="shared" si="17"/>
        <v>3408.4046577071144</v>
      </c>
      <c r="G48" s="3">
        <f t="shared" si="17"/>
        <v>3740.6270622796928</v>
      </c>
      <c r="H48" s="3">
        <f t="shared" si="17"/>
        <v>4539.580582446094</v>
      </c>
      <c r="I48" s="3">
        <f t="shared" si="17"/>
        <v>4344.8291152511247</v>
      </c>
      <c r="J48" s="3">
        <f t="shared" si="17"/>
        <v>4059.7111543600022</v>
      </c>
      <c r="K48" s="3">
        <f t="shared" si="17"/>
        <v>3443.2512742175973</v>
      </c>
      <c r="L48" s="3">
        <f t="shared" si="17"/>
        <v>2509.6802217589229</v>
      </c>
      <c r="M48" s="3">
        <f t="shared" si="17"/>
        <v>2534.5032710978762</v>
      </c>
      <c r="N48" s="3">
        <f t="shared" si="17"/>
        <v>3306.7106993662642</v>
      </c>
      <c r="O48" s="3">
        <f t="shared" si="17"/>
        <v>3785.5091559820248</v>
      </c>
    </row>
    <row r="49" spans="2:15">
      <c r="B49" t="s">
        <v>146</v>
      </c>
      <c r="D49" s="107">
        <f>$C58</f>
        <v>20.192807380016191</v>
      </c>
      <c r="E49" s="107">
        <f t="shared" ref="E49:O49" si="18">$C58</f>
        <v>20.192807380016191</v>
      </c>
      <c r="F49" s="107">
        <f t="shared" si="18"/>
        <v>20.192807380016191</v>
      </c>
      <c r="G49" s="107">
        <f t="shared" si="18"/>
        <v>20.192807380016191</v>
      </c>
      <c r="H49" s="107">
        <f t="shared" si="18"/>
        <v>20.192807380016191</v>
      </c>
      <c r="I49" s="107">
        <f t="shared" si="18"/>
        <v>20.192807380016191</v>
      </c>
      <c r="J49" s="107">
        <f t="shared" si="18"/>
        <v>20.192807380016191</v>
      </c>
      <c r="K49" s="107">
        <f t="shared" si="18"/>
        <v>20.192807380016191</v>
      </c>
      <c r="L49" s="107">
        <f t="shared" si="18"/>
        <v>20.192807380016191</v>
      </c>
      <c r="M49" s="107">
        <f t="shared" si="18"/>
        <v>20.192807380016191</v>
      </c>
      <c r="N49" s="107">
        <f t="shared" si="18"/>
        <v>20.192807380016191</v>
      </c>
      <c r="O49" s="107">
        <f t="shared" si="18"/>
        <v>20.192807380016191</v>
      </c>
    </row>
    <row r="50" spans="2:15">
      <c r="B50" t="s">
        <v>135</v>
      </c>
      <c r="C50" s="122">
        <f>SUM(D50:O50)</f>
        <v>870038.5904000001</v>
      </c>
      <c r="D50" s="24">
        <f>D48*D49</f>
        <v>81150.129306270421</v>
      </c>
      <c r="E50" s="24">
        <f t="shared" ref="E50:O50" si="19">E48*E49</f>
        <v>68554.336711407479</v>
      </c>
      <c r="F50" s="24">
        <f t="shared" si="19"/>
        <v>68825.258726229775</v>
      </c>
      <c r="G50" s="24">
        <f t="shared" si="19"/>
        <v>75533.761749089666</v>
      </c>
      <c r="H50" s="24">
        <f t="shared" si="19"/>
        <v>91666.876287395688</v>
      </c>
      <c r="I50" s="24">
        <f t="shared" si="19"/>
        <v>87734.297423352124</v>
      </c>
      <c r="J50" s="24">
        <f t="shared" si="19"/>
        <v>81976.965358494708</v>
      </c>
      <c r="K50" s="24">
        <f t="shared" si="19"/>
        <v>69528.909741271258</v>
      </c>
      <c r="L50" s="24">
        <f t="shared" si="19"/>
        <v>50677.489303414251</v>
      </c>
      <c r="M50" s="24">
        <f t="shared" si="19"/>
        <v>51178.736357300375</v>
      </c>
      <c r="N50" s="24">
        <f t="shared" si="19"/>
        <v>66771.772213741599</v>
      </c>
      <c r="O50" s="24">
        <f t="shared" si="19"/>
        <v>76440.057222032687</v>
      </c>
    </row>
    <row r="51" spans="2:15">
      <c r="B51" t="s">
        <v>148</v>
      </c>
      <c r="C51" s="109">
        <f>C50/C48</f>
        <v>20.192807380016191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2:15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2:15">
      <c r="B53" t="s">
        <v>149</v>
      </c>
      <c r="C53" s="122">
        <f>SUM(D53:O53)</f>
        <v>8134928.5251992289</v>
      </c>
      <c r="D53" s="24">
        <f>D41+D46+D50</f>
        <v>796266.84849191376</v>
      </c>
      <c r="E53" s="24">
        <f t="shared" ref="E53:O53" si="20">E41+E46+E50</f>
        <v>647413.74114047934</v>
      </c>
      <c r="F53" s="24">
        <f t="shared" si="20"/>
        <v>634175.86960587197</v>
      </c>
      <c r="G53" s="24">
        <f t="shared" si="20"/>
        <v>645309.51368263992</v>
      </c>
      <c r="H53" s="24">
        <f t="shared" si="20"/>
        <v>750567.48584605695</v>
      </c>
      <c r="I53" s="24">
        <f t="shared" si="20"/>
        <v>710936.0013581973</v>
      </c>
      <c r="J53" s="24">
        <f t="shared" si="20"/>
        <v>786956.62444236467</v>
      </c>
      <c r="K53" s="24">
        <f t="shared" si="20"/>
        <v>715082.86621149303</v>
      </c>
      <c r="L53" s="24">
        <f t="shared" si="20"/>
        <v>502724.70419096563</v>
      </c>
      <c r="M53" s="24">
        <f t="shared" si="20"/>
        <v>484744.19688655477</v>
      </c>
      <c r="N53" s="24">
        <f t="shared" si="20"/>
        <v>658302.51697176613</v>
      </c>
      <c r="O53" s="24">
        <f t="shared" si="20"/>
        <v>802448.15637092548</v>
      </c>
    </row>
    <row r="54" spans="2:15">
      <c r="B54" t="s">
        <v>150</v>
      </c>
      <c r="C54" s="109">
        <f>C53/(C28+C29)</f>
        <v>24.410057251508235</v>
      </c>
    </row>
    <row r="56" spans="2:15">
      <c r="B56" t="s">
        <v>186</v>
      </c>
      <c r="C56" s="104">
        <f>SUM(D56:O56)</f>
        <v>8793175.3449855186</v>
      </c>
      <c r="D56" s="55">
        <f>(D28+D29)/D33</f>
        <v>820155.9380604272</v>
      </c>
      <c r="E56" s="55">
        <f>(E28+E29)/E33</f>
        <v>692854.67336045636</v>
      </c>
      <c r="F56" s="55">
        <f t="shared" ref="F56:O56" si="21">(F28+F29)/F33</f>
        <v>695592.78728716611</v>
      </c>
      <c r="G56" s="55">
        <f t="shared" si="21"/>
        <v>763393.27801626385</v>
      </c>
      <c r="H56" s="55">
        <f t="shared" si="21"/>
        <v>926445.01682573359</v>
      </c>
      <c r="I56" s="55">
        <f t="shared" si="21"/>
        <v>886699.81943900511</v>
      </c>
      <c r="J56" s="55">
        <f t="shared" si="21"/>
        <v>828512.4804816331</v>
      </c>
      <c r="K56" s="55">
        <f t="shared" si="21"/>
        <v>702704.3416770607</v>
      </c>
      <c r="L56" s="55">
        <f t="shared" si="21"/>
        <v>512179.63709365774</v>
      </c>
      <c r="M56" s="55">
        <f t="shared" si="21"/>
        <v>517245.56553017884</v>
      </c>
      <c r="N56" s="55">
        <f t="shared" si="21"/>
        <v>674838.91823801305</v>
      </c>
      <c r="O56" s="55">
        <f t="shared" si="21"/>
        <v>772552.88897592342</v>
      </c>
    </row>
    <row r="57" spans="2:15">
      <c r="B57" t="s">
        <v>149</v>
      </c>
      <c r="C57" s="106">
        <v>177558896</v>
      </c>
    </row>
    <row r="58" spans="2:15">
      <c r="B58" t="s">
        <v>188</v>
      </c>
      <c r="C58" s="28">
        <f>C57/C56</f>
        <v>20.192807380016191</v>
      </c>
    </row>
  </sheetData>
  <phoneticPr fontId="5" type="noConversion"/>
  <pageMargins left="0.75" right="0.75" top="1" bottom="1" header="0.5" footer="0.5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D689"/>
  <sheetViews>
    <sheetView workbookViewId="0"/>
  </sheetViews>
  <sheetFormatPr defaultColWidth="11.44140625" defaultRowHeight="13.2"/>
  <cols>
    <col min="1" max="1" width="6.21875" style="4" customWidth="1"/>
    <col min="2" max="2" width="39.21875" customWidth="1"/>
    <col min="3" max="3" width="9" customWidth="1"/>
    <col min="4" max="4" width="15.21875" customWidth="1"/>
    <col min="5" max="5" width="13" customWidth="1"/>
    <col min="6" max="6" width="15.77734375" style="3" customWidth="1"/>
    <col min="7" max="7" width="13.21875" style="3" hidden="1" customWidth="1"/>
    <col min="8" max="8" width="14.77734375" style="3" hidden="1" customWidth="1"/>
    <col min="9" max="9" width="18.77734375" style="19" hidden="1" customWidth="1"/>
    <col min="10" max="10" width="15.77734375" hidden="1" customWidth="1"/>
    <col min="11" max="11" width="12" hidden="1" customWidth="1"/>
    <col min="12" max="22" width="0" hidden="1" customWidth="1"/>
    <col min="24" max="24" width="36.5546875" customWidth="1"/>
    <col min="25" max="25" width="13" customWidth="1"/>
    <col min="26" max="26" width="13.88671875" customWidth="1"/>
    <col min="27" max="27" width="12" customWidth="1"/>
    <col min="28" max="28" width="13.109375" customWidth="1"/>
    <col min="29" max="29" width="15.21875" customWidth="1"/>
  </cols>
  <sheetData>
    <row r="1" spans="1:29">
      <c r="A1" s="7"/>
      <c r="B1" s="7"/>
      <c r="C1" s="13" t="s">
        <v>31</v>
      </c>
      <c r="F1"/>
      <c r="G1"/>
      <c r="H1"/>
      <c r="I1"/>
      <c r="X1" t="s">
        <v>312</v>
      </c>
    </row>
    <row r="2" spans="1:29">
      <c r="A2" s="7"/>
      <c r="B2" s="7"/>
      <c r="C2" s="13" t="s">
        <v>171</v>
      </c>
      <c r="F2"/>
      <c r="G2"/>
      <c r="H2"/>
      <c r="I2"/>
    </row>
    <row r="3" spans="1:29">
      <c r="A3" s="9"/>
      <c r="B3" s="7"/>
      <c r="C3" s="13" t="s">
        <v>277</v>
      </c>
      <c r="F3"/>
      <c r="G3"/>
      <c r="H3"/>
      <c r="I3" s="71"/>
    </row>
    <row r="4" spans="1:29">
      <c r="A4" s="9"/>
      <c r="B4" s="7"/>
      <c r="C4" s="123"/>
      <c r="F4"/>
      <c r="G4"/>
      <c r="H4"/>
      <c r="I4" s="71"/>
    </row>
    <row r="5" spans="1:29" ht="12.75" customHeight="1">
      <c r="A5" s="5"/>
      <c r="C5" s="123"/>
      <c r="D5" s="10"/>
      <c r="E5" s="10"/>
      <c r="F5" s="10"/>
      <c r="G5" s="10"/>
      <c r="H5" s="10" t="s">
        <v>125</v>
      </c>
      <c r="I5" s="81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9">
      <c r="A6" s="5" t="s">
        <v>0</v>
      </c>
      <c r="D6" s="10">
        <v>2016</v>
      </c>
      <c r="E6" s="10"/>
      <c r="F6" s="10">
        <v>2016</v>
      </c>
      <c r="G6" s="52"/>
      <c r="H6" s="52" t="s">
        <v>124</v>
      </c>
      <c r="I6" s="82"/>
      <c r="Y6" s="141">
        <f>10/31</f>
        <v>0.32258064516129031</v>
      </c>
      <c r="Z6" s="141">
        <f>21/31</f>
        <v>0.67741935483870963</v>
      </c>
      <c r="AA6" s="115" t="s">
        <v>279</v>
      </c>
    </row>
    <row r="7" spans="1:29">
      <c r="A7" s="44" t="s">
        <v>1</v>
      </c>
      <c r="D7" s="14" t="s">
        <v>2</v>
      </c>
      <c r="E7" s="1" t="s">
        <v>3</v>
      </c>
      <c r="F7" s="14" t="s">
        <v>275</v>
      </c>
      <c r="G7" s="14"/>
      <c r="H7" s="14" t="s">
        <v>152</v>
      </c>
      <c r="I7" s="85" t="s">
        <v>115</v>
      </c>
      <c r="J7" s="78" t="s">
        <v>32</v>
      </c>
      <c r="K7" s="46">
        <v>41639</v>
      </c>
      <c r="L7" s="46">
        <v>41670</v>
      </c>
      <c r="M7" s="46">
        <v>41698</v>
      </c>
      <c r="N7" s="46">
        <v>41729</v>
      </c>
      <c r="O7" s="46">
        <v>41759</v>
      </c>
      <c r="P7" s="46">
        <v>41790</v>
      </c>
      <c r="Q7" s="46">
        <v>41820</v>
      </c>
      <c r="R7" s="46">
        <v>41851</v>
      </c>
      <c r="S7" s="46">
        <v>41882</v>
      </c>
      <c r="T7" s="46">
        <v>41912</v>
      </c>
      <c r="U7" s="46">
        <v>41943</v>
      </c>
      <c r="V7" s="46">
        <v>41973</v>
      </c>
      <c r="Y7" s="5" t="s">
        <v>280</v>
      </c>
      <c r="Z7" s="5" t="s">
        <v>281</v>
      </c>
      <c r="AA7" s="5" t="s">
        <v>190</v>
      </c>
      <c r="AB7" s="5" t="s">
        <v>282</v>
      </c>
    </row>
    <row r="8" spans="1:29">
      <c r="A8" s="5"/>
      <c r="B8" s="6" t="s">
        <v>4</v>
      </c>
      <c r="D8" s="8"/>
      <c r="E8" s="11"/>
      <c r="F8" s="8"/>
      <c r="G8" s="8"/>
      <c r="H8" s="8"/>
      <c r="I8" s="18"/>
      <c r="Y8" s="5" t="s">
        <v>283</v>
      </c>
      <c r="Z8" s="5" t="s">
        <v>284</v>
      </c>
      <c r="AA8" s="5"/>
      <c r="AB8" s="5" t="s">
        <v>284</v>
      </c>
      <c r="AC8" s="5">
        <v>2016</v>
      </c>
    </row>
    <row r="9" spans="1:29">
      <c r="A9" s="5">
        <f t="shared" ref="A9:A15" si="0">A8+1</f>
        <v>1</v>
      </c>
      <c r="B9" t="s">
        <v>214</v>
      </c>
      <c r="D9" s="17">
        <v>0</v>
      </c>
      <c r="E9" s="17">
        <f t="shared" ref="E9:E14" si="1">F9-D9</f>
        <v>0</v>
      </c>
      <c r="F9" s="17">
        <v>0</v>
      </c>
      <c r="G9" s="17"/>
      <c r="H9" s="17">
        <v>20917.018981429192</v>
      </c>
      <c r="I9" s="93" t="s">
        <v>120</v>
      </c>
      <c r="J9" s="3">
        <f t="shared" ref="J9:J13" si="2">SUM(K9:V9)/1000</f>
        <v>6493.5845668410038</v>
      </c>
      <c r="K9" s="55">
        <f>'WGJ-4'!D13</f>
        <v>278587.28761039599</v>
      </c>
      <c r="L9" s="55">
        <f>'WGJ-4'!E13</f>
        <v>384582.43190646102</v>
      </c>
      <c r="M9" s="55">
        <f>'WGJ-4'!F13</f>
        <v>332034.20101609</v>
      </c>
      <c r="N9" s="55">
        <f>'WGJ-4'!G13</f>
        <v>51347.39433676</v>
      </c>
      <c r="O9" s="55">
        <f>'WGJ-4'!H13</f>
        <v>14245.3725124709</v>
      </c>
      <c r="P9" s="55">
        <f>'WGJ-4'!I13</f>
        <v>375181.923155486</v>
      </c>
      <c r="Q9" s="55">
        <f>'WGJ-4'!J13</f>
        <v>704803.26130390097</v>
      </c>
      <c r="R9" s="55">
        <f>'WGJ-4'!K13</f>
        <v>1638561.01512908</v>
      </c>
      <c r="S9" s="55">
        <f>'WGJ-4'!L13</f>
        <v>763024.433270865</v>
      </c>
      <c r="T9" s="55">
        <f>'WGJ-4'!M13</f>
        <v>849668.47098618699</v>
      </c>
      <c r="U9" s="55">
        <f>'WGJ-4'!N13</f>
        <v>675421.80030345905</v>
      </c>
      <c r="V9" s="55">
        <f>'WGJ-4'!O13</f>
        <v>426126.97530984797</v>
      </c>
      <c r="X9" t="s">
        <v>285</v>
      </c>
      <c r="Y9" s="5" t="s">
        <v>125</v>
      </c>
      <c r="Z9" s="5" t="s">
        <v>125</v>
      </c>
      <c r="AA9" s="5"/>
      <c r="AB9" s="5" t="s">
        <v>125</v>
      </c>
      <c r="AC9" s="5" t="s">
        <v>275</v>
      </c>
    </row>
    <row r="10" spans="1:29">
      <c r="A10" s="5">
        <f t="shared" si="0"/>
        <v>2</v>
      </c>
      <c r="B10" t="s">
        <v>215</v>
      </c>
      <c r="D10" s="87">
        <v>50274</v>
      </c>
      <c r="E10" s="18">
        <f t="shared" si="1"/>
        <v>-50274</v>
      </c>
      <c r="F10" s="125">
        <v>0</v>
      </c>
      <c r="G10" s="17"/>
      <c r="H10" s="17"/>
      <c r="I10" s="93"/>
      <c r="J10" s="3">
        <f t="shared" si="2"/>
        <v>0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X10" t="s">
        <v>143</v>
      </c>
      <c r="Y10" s="175">
        <v>14241308</v>
      </c>
      <c r="Z10" s="175">
        <v>12127251</v>
      </c>
      <c r="AA10" s="175">
        <f>Y10*$Y$6+Z10*$Z$6</f>
        <v>12809204.870967742</v>
      </c>
      <c r="AB10" s="175">
        <f>119195328-Z10</f>
        <v>107068077</v>
      </c>
      <c r="AC10" s="187">
        <f>AA10+AB10</f>
        <v>119877281.87096775</v>
      </c>
    </row>
    <row r="11" spans="1:29">
      <c r="A11" s="5">
        <f t="shared" si="0"/>
        <v>3</v>
      </c>
      <c r="B11" t="s">
        <v>216</v>
      </c>
      <c r="D11" s="87">
        <v>0</v>
      </c>
      <c r="E11" s="18">
        <f t="shared" si="1"/>
        <v>0</v>
      </c>
      <c r="F11" s="125">
        <v>0</v>
      </c>
      <c r="G11" s="17"/>
      <c r="H11" s="17"/>
      <c r="I11" s="93"/>
      <c r="J11" s="3">
        <f t="shared" si="2"/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X11" t="s">
        <v>142</v>
      </c>
      <c r="Y11" s="175">
        <v>2663532</v>
      </c>
      <c r="Z11" s="175">
        <v>2667343</v>
      </c>
      <c r="AA11" s="175">
        <f t="shared" ref="AA11:AA16" si="3">Y11*$Y$6+Z11*$Z$6</f>
        <v>2666113.6451612902</v>
      </c>
      <c r="AB11" s="175">
        <f>29123409-Z11</f>
        <v>26456066</v>
      </c>
      <c r="AC11" s="187">
        <f t="shared" ref="AC11:AC19" si="4">AA11+AB11</f>
        <v>29122179.64516129</v>
      </c>
    </row>
    <row r="12" spans="1:29">
      <c r="A12" s="5">
        <f t="shared" si="0"/>
        <v>4</v>
      </c>
      <c r="B12" t="s">
        <v>185</v>
      </c>
      <c r="D12" s="87">
        <v>12044</v>
      </c>
      <c r="E12" s="18">
        <f t="shared" si="1"/>
        <v>-12044</v>
      </c>
      <c r="F12" s="87">
        <v>0</v>
      </c>
      <c r="G12" s="21"/>
      <c r="H12" s="21"/>
      <c r="I12" s="18"/>
      <c r="J12" s="3">
        <f t="shared" si="2"/>
        <v>13873.093199999998</v>
      </c>
      <c r="K12" s="54">
        <v>1156091.0999999999</v>
      </c>
      <c r="L12" s="54">
        <v>1156091.0999999999</v>
      </c>
      <c r="M12" s="54">
        <v>1156091.0999999999</v>
      </c>
      <c r="N12" s="54">
        <v>1156091.0999999999</v>
      </c>
      <c r="O12" s="54">
        <v>1156091.0999999999</v>
      </c>
      <c r="P12" s="54">
        <v>1156091.0999999999</v>
      </c>
      <c r="Q12" s="54">
        <v>1156091.0999999999</v>
      </c>
      <c r="R12" s="54">
        <v>1156091.0999999999</v>
      </c>
      <c r="S12" s="54">
        <v>1156091.0999999999</v>
      </c>
      <c r="T12" s="54">
        <v>1156091.0999999999</v>
      </c>
      <c r="U12" s="54">
        <v>1156091.0999999999</v>
      </c>
      <c r="V12" s="54">
        <v>1156091.0999999999</v>
      </c>
      <c r="X12" t="s">
        <v>183</v>
      </c>
      <c r="Y12" s="175">
        <v>10133311</v>
      </c>
      <c r="Z12" s="175">
        <v>8481668</v>
      </c>
      <c r="AA12" s="175">
        <f t="shared" si="3"/>
        <v>9014456.064516129</v>
      </c>
      <c r="AB12" s="175">
        <f>77293435-Z12</f>
        <v>68811767</v>
      </c>
      <c r="AC12" s="187">
        <f t="shared" si="4"/>
        <v>77826223.064516127</v>
      </c>
    </row>
    <row r="13" spans="1:29">
      <c r="A13" s="5">
        <f t="shared" si="0"/>
        <v>5</v>
      </c>
      <c r="B13" t="s">
        <v>174</v>
      </c>
      <c r="D13" s="87">
        <v>1772</v>
      </c>
      <c r="E13" s="18">
        <f t="shared" si="1"/>
        <v>-1772</v>
      </c>
      <c r="F13" s="87">
        <v>0</v>
      </c>
      <c r="G13" s="21"/>
      <c r="H13" s="21">
        <v>1177</v>
      </c>
      <c r="I13" s="18"/>
      <c r="J13" s="3">
        <f t="shared" si="2"/>
        <v>1857.8737066666665</v>
      </c>
      <c r="K13" s="54">
        <v>154313.52333333335</v>
      </c>
      <c r="L13" s="54">
        <v>154313.52333333335</v>
      </c>
      <c r="M13" s="54">
        <v>154313.52333333335</v>
      </c>
      <c r="N13" s="54">
        <v>154313.52333333335</v>
      </c>
      <c r="O13" s="54">
        <v>154313.52333333335</v>
      </c>
      <c r="P13" s="54">
        <v>154313.52333333335</v>
      </c>
      <c r="Q13" s="54">
        <v>154313.52333333335</v>
      </c>
      <c r="R13" s="54">
        <v>154313.52333333335</v>
      </c>
      <c r="S13" s="54">
        <v>155841.38</v>
      </c>
      <c r="T13" s="54">
        <v>155841.38</v>
      </c>
      <c r="U13" s="54">
        <v>155841.38</v>
      </c>
      <c r="V13" s="54">
        <v>155841.38</v>
      </c>
      <c r="X13" t="s">
        <v>286</v>
      </c>
      <c r="Y13" s="175">
        <v>-5385864</v>
      </c>
      <c r="Z13" s="175">
        <v>-7154528</v>
      </c>
      <c r="AA13" s="175">
        <f t="shared" si="3"/>
        <v>-6583991.2258064505</v>
      </c>
      <c r="AB13" s="175">
        <f>-88588364-Z13</f>
        <v>-81433836</v>
      </c>
      <c r="AC13" s="187">
        <f t="shared" si="4"/>
        <v>-88017827.225806445</v>
      </c>
    </row>
    <row r="14" spans="1:29">
      <c r="A14" s="5">
        <f t="shared" si="0"/>
        <v>6</v>
      </c>
      <c r="B14" t="s">
        <v>147</v>
      </c>
      <c r="D14" s="87">
        <v>6801</v>
      </c>
      <c r="E14" s="18">
        <f t="shared" si="1"/>
        <v>-6801</v>
      </c>
      <c r="F14" s="87">
        <v>0</v>
      </c>
      <c r="G14" s="92"/>
      <c r="H14" s="18">
        <v>0</v>
      </c>
      <c r="I14" s="92" t="s">
        <v>132</v>
      </c>
      <c r="J14" s="3">
        <f t="shared" ref="J14:J28" si="5">SUM(K14:V14)/1000</f>
        <v>8134.9285251992287</v>
      </c>
      <c r="K14" s="54">
        <f>Index!D53</f>
        <v>796266.84849191376</v>
      </c>
      <c r="L14" s="54">
        <f>Index!E53</f>
        <v>647413.74114047934</v>
      </c>
      <c r="M14" s="54">
        <f>Index!F53</f>
        <v>634175.86960587197</v>
      </c>
      <c r="N14" s="54">
        <f>Index!G53</f>
        <v>645309.51368263992</v>
      </c>
      <c r="O14" s="54">
        <f>Index!H53</f>
        <v>750567.48584605695</v>
      </c>
      <c r="P14" s="54">
        <f>Index!I53</f>
        <v>710936.0013581973</v>
      </c>
      <c r="Q14" s="54">
        <f>Index!J53</f>
        <v>786956.62444236467</v>
      </c>
      <c r="R14" s="54">
        <f>Index!K53</f>
        <v>715082.86621149303</v>
      </c>
      <c r="S14" s="54">
        <f>Index!L53</f>
        <v>502724.70419096563</v>
      </c>
      <c r="T14" s="54">
        <f>Index!M53</f>
        <v>484744.19688655477</v>
      </c>
      <c r="U14" s="54">
        <f>Index!N53</f>
        <v>658302.51697176613</v>
      </c>
      <c r="V14" s="54">
        <f>Index!O53</f>
        <v>802448.15637092548</v>
      </c>
      <c r="X14" t="s">
        <v>287</v>
      </c>
      <c r="Y14" s="175">
        <v>1447542</v>
      </c>
      <c r="Z14" s="175">
        <v>1503379</v>
      </c>
      <c r="AA14" s="175">
        <f t="shared" si="3"/>
        <v>1485367.064516129</v>
      </c>
      <c r="AB14" s="175">
        <f>17237232-Z14</f>
        <v>15733853</v>
      </c>
      <c r="AC14" s="187">
        <f t="shared" si="4"/>
        <v>17219220.064516127</v>
      </c>
    </row>
    <row r="15" spans="1:29">
      <c r="A15" s="5">
        <f t="shared" si="0"/>
        <v>7</v>
      </c>
      <c r="B15" t="s">
        <v>118</v>
      </c>
      <c r="D15" s="87">
        <v>1081</v>
      </c>
      <c r="E15" s="87">
        <f t="shared" ref="E15:E23" si="6">F15-D15</f>
        <v>-1081</v>
      </c>
      <c r="F15" s="87">
        <v>0</v>
      </c>
      <c r="G15" s="87" t="s">
        <v>156</v>
      </c>
      <c r="H15" s="89">
        <v>5512</v>
      </c>
      <c r="I15" s="18"/>
      <c r="J15" s="3">
        <f t="shared" si="5"/>
        <v>1234.8103949999997</v>
      </c>
      <c r="K15" s="54">
        <v>49173.119999999995</v>
      </c>
      <c r="L15" s="54">
        <v>37218.239999999998</v>
      </c>
      <c r="M15" s="54">
        <v>87602.553</v>
      </c>
      <c r="N15" s="54">
        <v>156229.92000000001</v>
      </c>
      <c r="O15" s="54">
        <v>194293.34399999998</v>
      </c>
      <c r="P15" s="54">
        <v>210072.24</v>
      </c>
      <c r="Q15" s="54">
        <v>178908</v>
      </c>
      <c r="R15" s="54">
        <v>127452.74400000001</v>
      </c>
      <c r="S15" s="54">
        <v>52231.44</v>
      </c>
      <c r="T15" s="54">
        <v>57140.423999999999</v>
      </c>
      <c r="U15" s="54">
        <v>39909.713999999993</v>
      </c>
      <c r="V15" s="54">
        <v>44578.656000000003</v>
      </c>
      <c r="X15" t="s">
        <v>288</v>
      </c>
      <c r="Y15" s="175">
        <v>-1304329</v>
      </c>
      <c r="Z15" s="175">
        <v>-1306342</v>
      </c>
      <c r="AA15" s="175">
        <f t="shared" si="3"/>
        <v>-1305692.6451612902</v>
      </c>
      <c r="AB15" s="175">
        <f>-15802275-Z15</f>
        <v>-14495933</v>
      </c>
      <c r="AC15" s="187">
        <f t="shared" si="4"/>
        <v>-15801625.64516129</v>
      </c>
    </row>
    <row r="16" spans="1:29">
      <c r="A16" s="5">
        <f t="shared" ref="A16:A25" si="7">A15+1</f>
        <v>8</v>
      </c>
      <c r="B16" t="s">
        <v>169</v>
      </c>
      <c r="D16" s="87">
        <v>22657</v>
      </c>
      <c r="E16" s="87">
        <f t="shared" si="6"/>
        <v>-22657</v>
      </c>
      <c r="F16" s="89">
        <v>0</v>
      </c>
      <c r="G16" s="89"/>
      <c r="H16" s="89"/>
      <c r="I16" s="18"/>
      <c r="J16" s="3">
        <f t="shared" si="5"/>
        <v>23585.839952999995</v>
      </c>
      <c r="K16" s="54">
        <v>1965486.6627500001</v>
      </c>
      <c r="L16" s="54">
        <v>1965486.6627500001</v>
      </c>
      <c r="M16" s="54">
        <v>1965486.6627500001</v>
      </c>
      <c r="N16" s="54">
        <v>1965486.6627500001</v>
      </c>
      <c r="O16" s="54">
        <v>1965486.6627500001</v>
      </c>
      <c r="P16" s="54">
        <v>1965486.6627500001</v>
      </c>
      <c r="Q16" s="54">
        <v>1965486.6627500001</v>
      </c>
      <c r="R16" s="54">
        <v>1965486.6627500001</v>
      </c>
      <c r="S16" s="54">
        <v>1965486.6627500001</v>
      </c>
      <c r="T16" s="54">
        <v>1965486.6627500001</v>
      </c>
      <c r="U16" s="54">
        <v>1965486.6627500001</v>
      </c>
      <c r="V16" s="54">
        <v>1965486.6627500001</v>
      </c>
      <c r="X16" t="s">
        <v>289</v>
      </c>
      <c r="Y16" s="175">
        <v>89667</v>
      </c>
      <c r="Z16" s="175">
        <v>57500</v>
      </c>
      <c r="AA16" s="175">
        <f t="shared" si="3"/>
        <v>67876.451612903213</v>
      </c>
      <c r="AB16" s="175">
        <f>690000-Z16</f>
        <v>632500</v>
      </c>
      <c r="AC16" s="187">
        <f t="shared" si="4"/>
        <v>700376.45161290327</v>
      </c>
    </row>
    <row r="17" spans="1:30">
      <c r="A17" s="5">
        <f t="shared" si="7"/>
        <v>9</v>
      </c>
      <c r="B17" t="s">
        <v>168</v>
      </c>
      <c r="D17" s="87">
        <v>2701</v>
      </c>
      <c r="E17" s="87">
        <f t="shared" si="6"/>
        <v>-2701</v>
      </c>
      <c r="F17" s="89">
        <v>0</v>
      </c>
      <c r="G17" s="89"/>
      <c r="H17" s="89"/>
      <c r="I17" s="18"/>
      <c r="J17" s="3">
        <f t="shared" si="5"/>
        <v>3427.3360544670118</v>
      </c>
      <c r="K17" s="54">
        <f>'WGJ-4'!D33*2.134</f>
        <v>380922.63608383591</v>
      </c>
      <c r="L17" s="54">
        <f>'WGJ-4'!E33*2.134</f>
        <v>303520.18256108277</v>
      </c>
      <c r="M17" s="54">
        <f>'WGJ-4'!F33*2.134</f>
        <v>330061.23707036092</v>
      </c>
      <c r="N17" s="54">
        <f>'WGJ-4'!G33*2.134</f>
        <v>256765.73674531802</v>
      </c>
      <c r="O17" s="54">
        <f>'WGJ-4'!H33*2.134</f>
        <v>144121.24697728874</v>
      </c>
      <c r="P17" s="54">
        <f>'WGJ-4'!I33*2.134</f>
        <v>99921.657283157241</v>
      </c>
      <c r="Q17" s="54">
        <f>'WGJ-4'!J33*2.134</f>
        <v>228847.3785321039</v>
      </c>
      <c r="R17" s="54">
        <f>'WGJ-4'!K33*2.134</f>
        <v>302142.65800038952</v>
      </c>
      <c r="S17" s="54">
        <f>'WGJ-4'!L33*2.134</f>
        <v>316676.68846601452</v>
      </c>
      <c r="T17" s="54">
        <f>'WGJ-4'!M33*2.134</f>
        <v>337829.67879374995</v>
      </c>
      <c r="U17" s="54">
        <f>'WGJ-4'!N33*2.134</f>
        <v>338235.01042031246</v>
      </c>
      <c r="V17" s="54">
        <f>'WGJ-4'!O33*2.134</f>
        <v>388291.94353339786</v>
      </c>
      <c r="X17" t="s">
        <v>290</v>
      </c>
      <c r="Y17" s="175"/>
      <c r="Z17" s="175"/>
      <c r="AA17" s="175"/>
      <c r="AB17" s="175"/>
      <c r="AC17" s="187">
        <f t="shared" si="4"/>
        <v>0</v>
      </c>
    </row>
    <row r="18" spans="1:30">
      <c r="A18" s="5">
        <f t="shared" si="7"/>
        <v>10</v>
      </c>
      <c r="B18" t="s">
        <v>5</v>
      </c>
      <c r="D18" s="87">
        <v>15637</v>
      </c>
      <c r="E18" s="18">
        <f t="shared" si="6"/>
        <v>-15637</v>
      </c>
      <c r="F18" s="87">
        <v>0</v>
      </c>
      <c r="G18" s="18" t="s">
        <v>156</v>
      </c>
      <c r="H18" s="18">
        <v>-2690</v>
      </c>
      <c r="I18" s="94" t="s">
        <v>157</v>
      </c>
      <c r="J18" s="3">
        <f t="shared" si="5"/>
        <v>17857.553444352005</v>
      </c>
      <c r="K18" s="55">
        <v>3641832.8064000006</v>
      </c>
      <c r="L18" s="55">
        <v>3249377.2800000003</v>
      </c>
      <c r="M18" s="55">
        <v>1799986.3296000003</v>
      </c>
      <c r="N18" s="55">
        <v>1769845.2480000004</v>
      </c>
      <c r="O18" s="55"/>
      <c r="P18" s="55"/>
      <c r="Q18" s="55"/>
      <c r="R18" s="55"/>
      <c r="S18" s="55"/>
      <c r="T18" s="55"/>
      <c r="U18" s="55">
        <v>3638840.005632001</v>
      </c>
      <c r="V18" s="55">
        <v>3757671.774720001</v>
      </c>
      <c r="X18" t="s">
        <v>291</v>
      </c>
      <c r="Y18" s="175"/>
      <c r="Z18" s="175"/>
      <c r="AA18" s="175"/>
      <c r="AB18" s="175"/>
      <c r="AC18" s="187">
        <f t="shared" si="4"/>
        <v>0</v>
      </c>
    </row>
    <row r="19" spans="1:30">
      <c r="A19" s="5">
        <f t="shared" si="7"/>
        <v>11</v>
      </c>
      <c r="B19" t="s">
        <v>6</v>
      </c>
      <c r="D19" s="87">
        <v>8</v>
      </c>
      <c r="E19" s="18">
        <f t="shared" si="6"/>
        <v>-8</v>
      </c>
      <c r="F19" s="18">
        <v>0</v>
      </c>
      <c r="G19" s="18"/>
      <c r="H19" s="18">
        <v>6679.5</v>
      </c>
      <c r="I19" s="18"/>
      <c r="J19" s="3">
        <f t="shared" si="5"/>
        <v>0</v>
      </c>
      <c r="K19" s="54">
        <f t="shared" ref="K19:V19" si="8">$F19/12*1000</f>
        <v>0</v>
      </c>
      <c r="L19" s="54">
        <f t="shared" si="8"/>
        <v>0</v>
      </c>
      <c r="M19" s="54">
        <f t="shared" si="8"/>
        <v>0</v>
      </c>
      <c r="N19" s="54">
        <f t="shared" si="8"/>
        <v>0</v>
      </c>
      <c r="O19" s="54">
        <f t="shared" si="8"/>
        <v>0</v>
      </c>
      <c r="P19" s="54">
        <f t="shared" si="8"/>
        <v>0</v>
      </c>
      <c r="Q19" s="54">
        <f t="shared" si="8"/>
        <v>0</v>
      </c>
      <c r="R19" s="54">
        <f t="shared" si="8"/>
        <v>0</v>
      </c>
      <c r="S19" s="54">
        <f t="shared" si="8"/>
        <v>0</v>
      </c>
      <c r="T19" s="54">
        <f t="shared" si="8"/>
        <v>0</v>
      </c>
      <c r="U19" s="54">
        <f t="shared" si="8"/>
        <v>0</v>
      </c>
      <c r="V19" s="54">
        <f t="shared" si="8"/>
        <v>0</v>
      </c>
      <c r="X19" t="s">
        <v>292</v>
      </c>
      <c r="Y19" s="175"/>
      <c r="Z19" s="175"/>
      <c r="AA19" s="175"/>
      <c r="AB19" s="175"/>
      <c r="AC19" s="187">
        <f t="shared" si="4"/>
        <v>0</v>
      </c>
    </row>
    <row r="20" spans="1:30">
      <c r="A20" s="5">
        <f t="shared" si="7"/>
        <v>12</v>
      </c>
      <c r="B20" t="s">
        <v>126</v>
      </c>
      <c r="D20" s="87">
        <v>1362</v>
      </c>
      <c r="E20" s="18">
        <f t="shared" si="6"/>
        <v>-1362</v>
      </c>
      <c r="F20" s="89">
        <v>0</v>
      </c>
      <c r="G20" s="18" t="s">
        <v>156</v>
      </c>
      <c r="H20" s="89">
        <v>6132</v>
      </c>
      <c r="I20" s="18"/>
      <c r="J20" s="3">
        <f t="shared" si="5"/>
        <v>1358.4641244904462</v>
      </c>
      <c r="K20" s="54">
        <v>101777.21716415261</v>
      </c>
      <c r="L20" s="54">
        <v>122124.18402414545</v>
      </c>
      <c r="M20" s="54">
        <v>156259.97529834532</v>
      </c>
      <c r="N20" s="54">
        <v>174470.60051249905</v>
      </c>
      <c r="O20" s="54">
        <v>168952.86594441361</v>
      </c>
      <c r="P20" s="54">
        <v>147730.86448487977</v>
      </c>
      <c r="Q20" s="54">
        <v>128692.68468434841</v>
      </c>
      <c r="R20" s="54">
        <v>78476.746595809935</v>
      </c>
      <c r="S20" s="54">
        <v>53427.096850076006</v>
      </c>
      <c r="T20" s="54">
        <v>57263.917042848785</v>
      </c>
      <c r="U20" s="54">
        <v>75352.367671043787</v>
      </c>
      <c r="V20" s="54">
        <v>93935.604217883098</v>
      </c>
      <c r="Y20" s="176">
        <f>SUM(Y10:Y16)</f>
        <v>21885167</v>
      </c>
      <c r="Z20" s="176">
        <f>SUM(Z10:Z16)</f>
        <v>16376271</v>
      </c>
      <c r="AA20" s="176">
        <f>SUM(AA10:AA16)</f>
        <v>18153334.225806449</v>
      </c>
      <c r="AB20" s="176">
        <f>SUM(AB10:AB16)</f>
        <v>122772494</v>
      </c>
      <c r="AC20" s="176">
        <f>SUM(AC10:AC16)</f>
        <v>140925828.22580644</v>
      </c>
    </row>
    <row r="21" spans="1:30" ht="14.4">
      <c r="A21" s="5">
        <f t="shared" si="7"/>
        <v>13</v>
      </c>
      <c r="B21" t="s">
        <v>144</v>
      </c>
      <c r="D21" s="87">
        <v>1856</v>
      </c>
      <c r="E21" s="18">
        <f t="shared" si="6"/>
        <v>-1856</v>
      </c>
      <c r="F21" s="125">
        <v>0</v>
      </c>
      <c r="G21" s="18" t="s">
        <v>156</v>
      </c>
      <c r="H21" s="87">
        <v>6132</v>
      </c>
      <c r="I21" s="94" t="s">
        <v>122</v>
      </c>
      <c r="J21" s="3">
        <f t="shared" si="5"/>
        <v>2042.9974663549795</v>
      </c>
      <c r="K21" s="54">
        <v>185068.50880371063</v>
      </c>
      <c r="L21" s="54">
        <v>161879.95904296878</v>
      </c>
      <c r="M21" s="54">
        <v>126130.54419433593</v>
      </c>
      <c r="N21" s="54">
        <v>112531.4590283203</v>
      </c>
      <c r="O21" s="54">
        <v>140145.05048583957</v>
      </c>
      <c r="P21" s="54">
        <v>107399.74097167968</v>
      </c>
      <c r="Q21" s="54">
        <v>200653.23071777317</v>
      </c>
      <c r="R21" s="54">
        <v>218186.04287109381</v>
      </c>
      <c r="S21" s="54">
        <v>183340.37119628876</v>
      </c>
      <c r="T21" s="54">
        <v>206497.5014355469</v>
      </c>
      <c r="U21" s="54">
        <v>194180.53760742192</v>
      </c>
      <c r="V21" s="54">
        <v>206984.52000000002</v>
      </c>
      <c r="X21" t="s">
        <v>293</v>
      </c>
      <c r="Y21" s="177">
        <v>0.65190000000000003</v>
      </c>
      <c r="Z21" s="177">
        <v>0.64710000000000001</v>
      </c>
      <c r="AA21" s="177">
        <f>AA22/AA20</f>
        <v>0.64896669345543012</v>
      </c>
      <c r="AB21" s="177">
        <v>0.64710000000000001</v>
      </c>
      <c r="AC21" s="188">
        <v>0.6573</v>
      </c>
    </row>
    <row r="22" spans="1:30">
      <c r="A22" s="5">
        <f t="shared" si="7"/>
        <v>14</v>
      </c>
      <c r="B22" t="s">
        <v>7</v>
      </c>
      <c r="D22" s="87">
        <v>3002</v>
      </c>
      <c r="E22" s="18">
        <f t="shared" si="6"/>
        <v>-3002</v>
      </c>
      <c r="F22" s="87">
        <v>0</v>
      </c>
      <c r="G22" s="18" t="s">
        <v>156</v>
      </c>
      <c r="H22" s="18">
        <v>6953.25</v>
      </c>
      <c r="I22" s="18"/>
      <c r="J22" s="3">
        <f t="shared" si="5"/>
        <v>2870.0777956958027</v>
      </c>
      <c r="K22" s="54">
        <v>351340.85650390631</v>
      </c>
      <c r="L22" s="54">
        <v>351203.12511474651</v>
      </c>
      <c r="M22" s="54">
        <v>473037.6889111331</v>
      </c>
      <c r="N22" s="54">
        <v>369796.11731404619</v>
      </c>
      <c r="O22" s="54">
        <v>342852.57934366894</v>
      </c>
      <c r="P22" s="54">
        <v>264551.06925374374</v>
      </c>
      <c r="Q22" s="54">
        <v>94880.820286458329</v>
      </c>
      <c r="R22" s="54">
        <v>-33904.298968098956</v>
      </c>
      <c r="S22" s="54">
        <v>8925.8123209635414</v>
      </c>
      <c r="T22" s="54">
        <v>107947.21971354166</v>
      </c>
      <c r="U22" s="54">
        <v>205954.81366699244</v>
      </c>
      <c r="V22" s="54">
        <v>333491.99223470083</v>
      </c>
      <c r="X22" t="s">
        <v>294</v>
      </c>
      <c r="Y22" s="175">
        <f>Y20*Y21</f>
        <v>14266940.3673</v>
      </c>
      <c r="Z22" s="175">
        <f>Z20*Z21</f>
        <v>10597084.9641</v>
      </c>
      <c r="AA22" s="175">
        <f t="shared" ref="AA22:AA24" si="9">Y22*$Y$6+Z22*$Z$6</f>
        <v>11780909.287712902</v>
      </c>
      <c r="AB22" s="175">
        <f>AB20*AB21</f>
        <v>79446080.867400005</v>
      </c>
      <c r="AC22" s="175">
        <f>AC20*AC21</f>
        <v>92630546.892822579</v>
      </c>
    </row>
    <row r="23" spans="1:30">
      <c r="A23" s="5">
        <f t="shared" si="7"/>
        <v>15</v>
      </c>
      <c r="B23" t="s">
        <v>204</v>
      </c>
      <c r="D23" s="87">
        <v>5664</v>
      </c>
      <c r="E23" s="18">
        <f t="shared" si="6"/>
        <v>-5664</v>
      </c>
      <c r="F23" s="87">
        <v>0</v>
      </c>
      <c r="G23" s="18" t="s">
        <v>156</v>
      </c>
      <c r="H23" s="18"/>
      <c r="I23" s="18"/>
      <c r="J23" s="3">
        <f t="shared" si="5"/>
        <v>6317.0099181225441</v>
      </c>
      <c r="K23" s="54">
        <v>507486.46364587406</v>
      </c>
      <c r="L23" s="54">
        <v>504989.29648803675</v>
      </c>
      <c r="M23" s="54">
        <v>461586.11395788298</v>
      </c>
      <c r="N23" s="54">
        <v>472591.65381969843</v>
      </c>
      <c r="O23" s="54">
        <v>488344.6847548809</v>
      </c>
      <c r="P23" s="54">
        <v>427274.59018847457</v>
      </c>
      <c r="Q23" s="54">
        <v>533290.85440172988</v>
      </c>
      <c r="R23" s="54">
        <v>619305.51740234368</v>
      </c>
      <c r="S23" s="54">
        <v>574355.96270507807</v>
      </c>
      <c r="T23" s="54">
        <v>636508.46778320312</v>
      </c>
      <c r="U23" s="54">
        <v>549383.94918945315</v>
      </c>
      <c r="V23" s="54">
        <v>541892.36378588679</v>
      </c>
      <c r="X23" t="s">
        <v>295</v>
      </c>
      <c r="Y23" s="175"/>
      <c r="Z23" s="175">
        <v>-125000</v>
      </c>
      <c r="AA23" s="175">
        <f t="shared" si="9"/>
        <v>-84677.419354838697</v>
      </c>
      <c r="AB23" s="175">
        <f>-1500000-Z23</f>
        <v>-1375000</v>
      </c>
      <c r="AC23" s="187">
        <f t="shared" ref="AC23:AC24" si="10">AA23+AB23</f>
        <v>-1459677.4193548388</v>
      </c>
    </row>
    <row r="24" spans="1:30">
      <c r="A24" s="5">
        <f t="shared" si="7"/>
        <v>16</v>
      </c>
      <c r="B24" t="s">
        <v>49</v>
      </c>
      <c r="D24" s="87">
        <v>21</v>
      </c>
      <c r="E24" s="18">
        <f t="shared" ref="E24:E28" si="11">F24-D24</f>
        <v>-21</v>
      </c>
      <c r="F24" s="18">
        <v>0</v>
      </c>
      <c r="G24" s="18"/>
      <c r="H24" s="18">
        <v>921</v>
      </c>
      <c r="I24" s="92" t="s">
        <v>114</v>
      </c>
      <c r="J24" s="3">
        <f t="shared" si="5"/>
        <v>0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X24" t="s">
        <v>296</v>
      </c>
      <c r="Y24" s="175">
        <v>181250</v>
      </c>
      <c r="Z24" s="175">
        <v>0</v>
      </c>
      <c r="AA24" s="175">
        <f t="shared" si="9"/>
        <v>58467.741935483871</v>
      </c>
      <c r="AB24" s="175">
        <v>0</v>
      </c>
      <c r="AC24" s="187">
        <f t="shared" si="10"/>
        <v>58467.741935483871</v>
      </c>
    </row>
    <row r="25" spans="1:30">
      <c r="A25" s="5">
        <f t="shared" si="7"/>
        <v>17</v>
      </c>
      <c r="B25" t="s">
        <v>140</v>
      </c>
      <c r="D25" s="87">
        <v>1823</v>
      </c>
      <c r="E25" s="18">
        <f t="shared" si="11"/>
        <v>-1823</v>
      </c>
      <c r="F25" s="18">
        <v>0</v>
      </c>
      <c r="G25" s="18"/>
      <c r="H25" s="18"/>
      <c r="I25" s="18"/>
      <c r="J25" s="3">
        <f t="shared" si="5"/>
        <v>0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Y25" s="175"/>
      <c r="Z25" s="175"/>
      <c r="AA25" s="175"/>
      <c r="AB25" s="175"/>
    </row>
    <row r="26" spans="1:30" ht="14.4">
      <c r="A26" s="5">
        <v>18</v>
      </c>
      <c r="B26" s="11" t="s">
        <v>203</v>
      </c>
      <c r="C26" s="11"/>
      <c r="D26" s="87">
        <v>20525</v>
      </c>
      <c r="E26" s="18">
        <f t="shared" ref="E26" si="12">F26-D26</f>
        <v>-20525</v>
      </c>
      <c r="F26" s="87">
        <v>0</v>
      </c>
      <c r="G26" s="18"/>
      <c r="H26" s="18"/>
      <c r="I26" s="18"/>
      <c r="J26" s="3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X26" s="185" t="s">
        <v>297</v>
      </c>
      <c r="Y26" s="178">
        <f>SUM(Y22:Y24)</f>
        <v>14448190.3673</v>
      </c>
      <c r="Z26" s="178">
        <f>SUM(Z22:Z24)</f>
        <v>10472084.9641</v>
      </c>
      <c r="AA26" s="178">
        <f>SUM(AA22:AA24)</f>
        <v>11754699.610293547</v>
      </c>
      <c r="AB26" s="178">
        <f>SUM(AB22:AB24)</f>
        <v>78071080.867400005</v>
      </c>
      <c r="AC26" s="178">
        <f>SUM(AC22:AC24)</f>
        <v>91229337.215403214</v>
      </c>
    </row>
    <row r="27" spans="1:30">
      <c r="A27" s="5"/>
      <c r="B27" s="16" t="s">
        <v>276</v>
      </c>
      <c r="C27" s="16"/>
      <c r="D27" s="88">
        <v>0</v>
      </c>
      <c r="E27" s="38">
        <f t="shared" si="11"/>
        <v>119877</v>
      </c>
      <c r="F27" s="88">
        <v>119877</v>
      </c>
      <c r="G27" s="18" t="s">
        <v>156</v>
      </c>
      <c r="H27" s="18"/>
      <c r="I27" s="18"/>
      <c r="J27" s="3">
        <f t="shared" si="5"/>
        <v>20721.590181093754</v>
      </c>
      <c r="K27" s="54">
        <v>2321260.3050000002</v>
      </c>
      <c r="L27" s="54">
        <v>1812340.69453125</v>
      </c>
      <c r="M27" s="54">
        <v>2126185.3396875001</v>
      </c>
      <c r="N27" s="54">
        <v>1817524.2210937501</v>
      </c>
      <c r="O27" s="54">
        <v>1599399.1771874998</v>
      </c>
      <c r="P27" s="54">
        <v>1282675.1681250001</v>
      </c>
      <c r="Q27" s="54">
        <v>1098639.9450000001</v>
      </c>
      <c r="R27" s="54">
        <v>1155240.9984375001</v>
      </c>
      <c r="S27" s="54">
        <v>1332899.80078125</v>
      </c>
      <c r="T27" s="54">
        <v>1638197.4740625003</v>
      </c>
      <c r="U27" s="54">
        <v>2113291.4765625</v>
      </c>
      <c r="V27" s="54">
        <v>2423935.5806249999</v>
      </c>
      <c r="X27" t="s">
        <v>298</v>
      </c>
      <c r="Y27" s="162">
        <v>545205</v>
      </c>
      <c r="Z27" s="162">
        <v>555937</v>
      </c>
      <c r="AA27" s="175">
        <f t="shared" ref="AA27:AA31" si="13">Y27*$Y$6+Z27*$Z$6</f>
        <v>552475.06451612897</v>
      </c>
      <c r="AB27" s="162">
        <f>5653834-Z27</f>
        <v>5097897</v>
      </c>
      <c r="AC27" s="187">
        <f t="shared" ref="AC27" si="14">AA27+AB27</f>
        <v>5650372.064516129</v>
      </c>
    </row>
    <row r="28" spans="1:30">
      <c r="A28" s="5">
        <f>A26+1</f>
        <v>19</v>
      </c>
      <c r="B28" t="s">
        <v>8</v>
      </c>
      <c r="D28" s="87">
        <f>SUM(D9:D27)</f>
        <v>147228</v>
      </c>
      <c r="E28" s="18">
        <f t="shared" si="11"/>
        <v>-27351</v>
      </c>
      <c r="F28" s="18">
        <f>SUM(F9:F27)</f>
        <v>119877</v>
      </c>
      <c r="G28" s="18"/>
      <c r="H28" s="18">
        <v>0</v>
      </c>
      <c r="I28" s="18"/>
      <c r="J28" s="3">
        <f t="shared" si="5"/>
        <v>109775.15933128344</v>
      </c>
      <c r="K28" s="24">
        <f>SUM(K9:K27)</f>
        <v>11889607.335787123</v>
      </c>
      <c r="L28" s="24">
        <f>SUM(L9:L27)</f>
        <v>10850540.420892507</v>
      </c>
      <c r="M28" s="24">
        <f>SUM(M9:M27)</f>
        <v>9802951.1384248547</v>
      </c>
      <c r="N28" s="24">
        <f>SUM(N9:N27)</f>
        <v>9102303.1506163664</v>
      </c>
      <c r="O28" s="24">
        <f>SUM(O9:O27)</f>
        <v>7118813.0931354528</v>
      </c>
      <c r="P28" s="24">
        <f>SUM(P9:P27)</f>
        <v>6901634.540903952</v>
      </c>
      <c r="Q28" s="24">
        <f>SUM(Q9:Q27)</f>
        <v>7231564.0854520136</v>
      </c>
      <c r="R28" s="24">
        <f>SUM(R9:R27)</f>
        <v>8096435.5757629443</v>
      </c>
      <c r="S28" s="24">
        <f>SUM(S9:S27)</f>
        <v>7065025.4525314998</v>
      </c>
      <c r="T28" s="24">
        <f>SUM(T9:T27)</f>
        <v>7653216.4934541332</v>
      </c>
      <c r="U28" s="24">
        <f>SUM(U9:U27)</f>
        <v>11766291.334774949</v>
      </c>
      <c r="V28" s="24">
        <f>SUM(V9:V27)</f>
        <v>12296776.709547644</v>
      </c>
      <c r="X28" t="s">
        <v>299</v>
      </c>
      <c r="Y28" s="179">
        <v>20.12</v>
      </c>
      <c r="Z28" s="179">
        <v>15.66</v>
      </c>
      <c r="AA28" s="179">
        <f t="shared" si="13"/>
        <v>17.098709677419354</v>
      </c>
      <c r="AB28" s="179">
        <f>(AB26+Z26)/(AB27+Z27)</f>
        <v>15.66072966265016</v>
      </c>
      <c r="AC28" s="179">
        <f>AC26/AC27</f>
        <v>16.145722117719632</v>
      </c>
    </row>
    <row r="29" spans="1:30">
      <c r="A29" s="5"/>
      <c r="D29" s="87">
        <v>147227</v>
      </c>
      <c r="E29" s="18"/>
      <c r="F29" s="18"/>
      <c r="G29" s="18"/>
      <c r="H29" s="38">
        <v>3186</v>
      </c>
      <c r="I29" s="18"/>
      <c r="J29" s="3"/>
      <c r="X29" t="s">
        <v>300</v>
      </c>
      <c r="Y29" s="180">
        <v>547928</v>
      </c>
      <c r="Z29" s="180">
        <f>547928</f>
        <v>547928</v>
      </c>
      <c r="AA29" s="175">
        <f t="shared" si="13"/>
        <v>547928</v>
      </c>
      <c r="AB29" s="180">
        <f>5578340-Z29</f>
        <v>5030412</v>
      </c>
      <c r="AC29" s="187">
        <f>AA29+AB29</f>
        <v>5578340</v>
      </c>
    </row>
    <row r="30" spans="1:30">
      <c r="A30" s="5"/>
      <c r="B30" s="6" t="s">
        <v>26</v>
      </c>
      <c r="D30" s="18"/>
      <c r="E30" s="18"/>
      <c r="F30" s="18"/>
      <c r="G30" s="18"/>
      <c r="H30" s="18">
        <v>0</v>
      </c>
      <c r="I30" s="18"/>
      <c r="J30" s="3"/>
      <c r="X30" t="s">
        <v>301</v>
      </c>
      <c r="Y30" s="175">
        <f>Y29-Y27</f>
        <v>2723</v>
      </c>
      <c r="Z30" s="175">
        <f>Z29-Z27</f>
        <v>-8009</v>
      </c>
      <c r="AA30" s="175">
        <f t="shared" si="13"/>
        <v>-4547.0645161290322</v>
      </c>
      <c r="AB30" s="175">
        <f>AB29-AB27</f>
        <v>-67485</v>
      </c>
      <c r="AC30" s="187">
        <f>AA30+AB30</f>
        <v>-72032.06451612903</v>
      </c>
    </row>
    <row r="31" spans="1:30">
      <c r="A31" s="5">
        <f>A28+1</f>
        <v>20</v>
      </c>
      <c r="B31" t="s">
        <v>12</v>
      </c>
      <c r="D31" s="87">
        <v>411</v>
      </c>
      <c r="E31" s="87">
        <f>F31-D31</f>
        <v>289</v>
      </c>
      <c r="F31" s="125">
        <v>700</v>
      </c>
      <c r="G31" s="92"/>
      <c r="H31" s="88">
        <v>150</v>
      </c>
      <c r="I31" s="92"/>
      <c r="J31" s="3">
        <f>SUM(K31:V31)/1000</f>
        <v>407.00000000000006</v>
      </c>
      <c r="K31" s="54">
        <f>407000/12</f>
        <v>33916.666666666664</v>
      </c>
      <c r="L31" s="54">
        <f t="shared" ref="L31:V31" si="15">407000/12</f>
        <v>33916.666666666664</v>
      </c>
      <c r="M31" s="54">
        <f t="shared" si="15"/>
        <v>33916.666666666664</v>
      </c>
      <c r="N31" s="54">
        <f t="shared" si="15"/>
        <v>33916.666666666664</v>
      </c>
      <c r="O31" s="54">
        <f t="shared" si="15"/>
        <v>33916.666666666664</v>
      </c>
      <c r="P31" s="54">
        <f t="shared" si="15"/>
        <v>33916.666666666664</v>
      </c>
      <c r="Q31" s="54">
        <f t="shared" si="15"/>
        <v>33916.666666666664</v>
      </c>
      <c r="R31" s="54">
        <f t="shared" si="15"/>
        <v>33916.666666666664</v>
      </c>
      <c r="S31" s="54">
        <f t="shared" si="15"/>
        <v>33916.666666666664</v>
      </c>
      <c r="T31" s="54">
        <f t="shared" si="15"/>
        <v>33916.666666666664</v>
      </c>
      <c r="U31" s="54">
        <f t="shared" si="15"/>
        <v>33916.666666666664</v>
      </c>
      <c r="V31" s="54">
        <f t="shared" si="15"/>
        <v>33916.666666666664</v>
      </c>
      <c r="X31" s="112" t="s">
        <v>302</v>
      </c>
      <c r="Y31" s="181">
        <v>20.12</v>
      </c>
      <c r="Z31" s="181">
        <v>15.66</v>
      </c>
      <c r="AA31" s="179">
        <f t="shared" si="13"/>
        <v>17.098709677419354</v>
      </c>
      <c r="AB31" s="181">
        <v>15.66</v>
      </c>
      <c r="AD31" s="186"/>
    </row>
    <row r="32" spans="1:30" ht="14.4">
      <c r="A32" s="5">
        <f>A31+1</f>
        <v>21</v>
      </c>
      <c r="B32" t="s">
        <v>206</v>
      </c>
      <c r="D32" s="87">
        <v>437</v>
      </c>
      <c r="E32" s="87">
        <f t="shared" ref="E32:E36" si="16">F32-D32</f>
        <v>-379</v>
      </c>
      <c r="F32" s="87">
        <v>58</v>
      </c>
      <c r="G32" s="87"/>
      <c r="H32" s="87"/>
      <c r="I32" s="18"/>
      <c r="J32" s="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X32" s="185" t="s">
        <v>303</v>
      </c>
      <c r="Y32" s="182"/>
      <c r="Z32" s="182"/>
      <c r="AA32" s="182">
        <f>AA30*AA31</f>
        <v>-77748.936045785638</v>
      </c>
      <c r="AB32" s="182">
        <f t="shared" ref="AB32" si="17">AB30*AB31</f>
        <v>-1056815.1000000001</v>
      </c>
      <c r="AC32" s="182">
        <f>AA32+AB32</f>
        <v>-1134564.0360457858</v>
      </c>
      <c r="AD32" s="179"/>
    </row>
    <row r="33" spans="1:30">
      <c r="A33" s="5">
        <f>A32+1</f>
        <v>22</v>
      </c>
      <c r="B33" t="s">
        <v>232</v>
      </c>
      <c r="D33" s="87">
        <v>51</v>
      </c>
      <c r="E33" s="87">
        <f t="shared" si="16"/>
        <v>-51</v>
      </c>
      <c r="F33" s="87">
        <v>0</v>
      </c>
      <c r="G33" s="87"/>
      <c r="H33" s="87"/>
      <c r="I33" s="18"/>
      <c r="J33" s="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X33" t="s">
        <v>305</v>
      </c>
      <c r="Y33" s="189">
        <v>8597.6749999999993</v>
      </c>
      <c r="Z33" s="189">
        <v>8597.6749999999993</v>
      </c>
      <c r="AA33" s="175">
        <f t="shared" ref="AA33" si="18">Y33*$Y$6+Z33*$Z$6</f>
        <v>8597.6749999999993</v>
      </c>
      <c r="AB33" s="189">
        <f>80859.543-Z33</f>
        <v>72261.868000000002</v>
      </c>
      <c r="AC33" s="187">
        <f>AA33+AB33</f>
        <v>80859.543000000005</v>
      </c>
      <c r="AD33" s="179"/>
    </row>
    <row r="34" spans="1:30" ht="14.4">
      <c r="A34" s="5"/>
      <c r="B34" t="s">
        <v>278</v>
      </c>
      <c r="D34" s="87">
        <v>0</v>
      </c>
      <c r="E34" s="87">
        <f t="shared" si="16"/>
        <v>144</v>
      </c>
      <c r="F34" s="87">
        <f>-1135+1279</f>
        <v>144</v>
      </c>
      <c r="G34" s="87"/>
      <c r="H34" s="87"/>
      <c r="I34" s="18"/>
      <c r="J34" s="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X34" s="183" t="s">
        <v>306</v>
      </c>
      <c r="Y34" s="183"/>
      <c r="Z34" s="183"/>
      <c r="AA34" s="183">
        <f>AA33*AA31</f>
        <v>147009.14872580644</v>
      </c>
      <c r="AB34" s="183">
        <f>AB33*AB31</f>
        <v>1131620.8528800001</v>
      </c>
      <c r="AC34" s="183">
        <f>AA34+AB34</f>
        <v>1278630.0016058066</v>
      </c>
      <c r="AD34" s="179"/>
    </row>
    <row r="35" spans="1:30" ht="14.4">
      <c r="A35" s="5"/>
      <c r="B35" t="s">
        <v>313</v>
      </c>
      <c r="D35" s="87">
        <v>0</v>
      </c>
      <c r="E35" s="87">
        <f t="shared" si="16"/>
        <v>-1460</v>
      </c>
      <c r="F35" s="87">
        <v>-1460</v>
      </c>
      <c r="G35" s="87"/>
      <c r="H35" s="87"/>
      <c r="I35" s="18"/>
      <c r="J35" s="3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X35" s="185" t="s">
        <v>304</v>
      </c>
      <c r="Y35" s="184"/>
      <c r="Z35" s="184"/>
      <c r="AA35" s="184">
        <f>AA26+AA32+AA34</f>
        <v>11823959.822973566</v>
      </c>
      <c r="AB35" s="184">
        <f>AB26+AB32+AB34</f>
        <v>78145886.620280012</v>
      </c>
      <c r="AC35" s="184">
        <f>AC26+AC32+AC34</f>
        <v>91373403.180963233</v>
      </c>
    </row>
    <row r="36" spans="1:30">
      <c r="A36" s="5">
        <f>A33+1</f>
        <v>23</v>
      </c>
      <c r="B36" t="s">
        <v>231</v>
      </c>
      <c r="D36" s="87">
        <v>1</v>
      </c>
      <c r="E36" s="87">
        <f t="shared" si="16"/>
        <v>-1</v>
      </c>
      <c r="F36" s="87">
        <v>0</v>
      </c>
      <c r="G36" s="18"/>
      <c r="H36" s="18">
        <v>152</v>
      </c>
      <c r="I36" s="92" t="s">
        <v>121</v>
      </c>
      <c r="J36" s="3">
        <f>SUM(K36:V36)/1000</f>
        <v>0</v>
      </c>
      <c r="AC36" s="186">
        <f>AC35/(AC29+AC33)</f>
        <v>16.145994232344254</v>
      </c>
    </row>
    <row r="37" spans="1:30">
      <c r="A37" s="5">
        <f t="shared" ref="A37" si="19">A36+1</f>
        <v>24</v>
      </c>
      <c r="B37" s="16" t="s">
        <v>153</v>
      </c>
      <c r="C37" s="16"/>
      <c r="D37" s="87">
        <v>66110</v>
      </c>
      <c r="E37" s="38">
        <f>F37-D37</f>
        <v>-66110</v>
      </c>
      <c r="F37" s="18">
        <v>0</v>
      </c>
      <c r="G37" s="18"/>
      <c r="H37" s="18"/>
      <c r="I37" s="18"/>
      <c r="J37" s="3">
        <f>SUM(K37:V37)/1000</f>
        <v>407.00000000000006</v>
      </c>
      <c r="K37" s="55">
        <f t="shared" ref="K37:V37" si="20">SUM(K31:K36)</f>
        <v>33916.666666666664</v>
      </c>
      <c r="L37" s="55">
        <f t="shared" si="20"/>
        <v>33916.666666666664</v>
      </c>
      <c r="M37" s="55">
        <f t="shared" si="20"/>
        <v>33916.666666666664</v>
      </c>
      <c r="N37" s="55">
        <f t="shared" si="20"/>
        <v>33916.666666666664</v>
      </c>
      <c r="O37" s="55">
        <f t="shared" si="20"/>
        <v>33916.666666666664</v>
      </c>
      <c r="P37" s="55">
        <f t="shared" si="20"/>
        <v>33916.666666666664</v>
      </c>
      <c r="Q37" s="55">
        <f t="shared" si="20"/>
        <v>33916.666666666664</v>
      </c>
      <c r="R37" s="55">
        <f t="shared" si="20"/>
        <v>33916.666666666664</v>
      </c>
      <c r="S37" s="55">
        <f t="shared" si="20"/>
        <v>33916.666666666664</v>
      </c>
      <c r="T37" s="55">
        <f t="shared" si="20"/>
        <v>33916.666666666664</v>
      </c>
      <c r="U37" s="55">
        <f t="shared" si="20"/>
        <v>33916.666666666664</v>
      </c>
      <c r="V37" s="55">
        <f t="shared" si="20"/>
        <v>33916.666666666664</v>
      </c>
    </row>
    <row r="38" spans="1:30">
      <c r="A38" s="5">
        <f>A37+1</f>
        <v>25</v>
      </c>
      <c r="B38" t="s">
        <v>13</v>
      </c>
      <c r="D38" s="102">
        <f>SUM(D31:D37)</f>
        <v>67010</v>
      </c>
      <c r="E38" s="18">
        <f>F38-D38</f>
        <v>-67568</v>
      </c>
      <c r="F38" s="20">
        <f>SUM(F31:F37)</f>
        <v>-558</v>
      </c>
      <c r="G38" s="18"/>
      <c r="H38" s="18"/>
      <c r="I38" s="18"/>
      <c r="J38" s="3"/>
    </row>
    <row r="39" spans="1:30">
      <c r="A39" s="5"/>
      <c r="D39" s="18"/>
      <c r="E39" s="18"/>
      <c r="F39" s="18"/>
      <c r="G39" s="18"/>
      <c r="H39" s="18">
        <v>78</v>
      </c>
      <c r="I39" s="18"/>
      <c r="J39" s="3"/>
    </row>
    <row r="40" spans="1:30">
      <c r="A40" s="5"/>
      <c r="B40" s="6" t="s">
        <v>47</v>
      </c>
      <c r="D40" s="18"/>
      <c r="E40" s="18"/>
      <c r="F40" s="18"/>
      <c r="G40" s="87"/>
      <c r="H40" s="88">
        <v>0</v>
      </c>
      <c r="I40" s="92" t="s">
        <v>120</v>
      </c>
      <c r="J40" s="3">
        <f>SUM(K40:V40)/1000</f>
        <v>5468.924741029733</v>
      </c>
      <c r="K40" s="24">
        <f>'WGJ-4'!D27</f>
        <v>563944.72770690906</v>
      </c>
      <c r="L40" s="24">
        <f>'WGJ-4'!E27</f>
        <v>481397.09529876697</v>
      </c>
      <c r="M40" s="24">
        <f>'WGJ-4'!F27</f>
        <v>475423.15025329497</v>
      </c>
      <c r="N40" s="24">
        <f>'WGJ-4'!G27</f>
        <v>399959.8903656</v>
      </c>
      <c r="O40" s="24">
        <f>'WGJ-4'!H27</f>
        <v>289292.750549316</v>
      </c>
      <c r="P40" s="24">
        <f>'WGJ-4'!I27</f>
        <v>15654.236459731999</v>
      </c>
      <c r="Q40" s="24">
        <f>'WGJ-4'!J27</f>
        <v>418520.77522277803</v>
      </c>
      <c r="R40" s="24">
        <f>'WGJ-4'!K27</f>
        <v>554292.63610839797</v>
      </c>
      <c r="S40" s="24">
        <f>'WGJ-4'!L27</f>
        <v>563600.61264037993</v>
      </c>
      <c r="T40" s="24">
        <f>'WGJ-4'!M27</f>
        <v>557676.30691528297</v>
      </c>
      <c r="U40" s="24">
        <f>'WGJ-4'!N27</f>
        <v>549035.95046997</v>
      </c>
      <c r="V40" s="24">
        <f>'WGJ-4'!O27</f>
        <v>600126.60903930606</v>
      </c>
    </row>
    <row r="41" spans="1:30">
      <c r="A41" s="5">
        <f>A38+1</f>
        <v>26</v>
      </c>
      <c r="B41" t="s">
        <v>45</v>
      </c>
      <c r="C41" s="12"/>
      <c r="D41" s="87">
        <v>6318</v>
      </c>
      <c r="E41" s="18">
        <f>F41-D41</f>
        <v>-6318</v>
      </c>
      <c r="F41" s="87">
        <v>0</v>
      </c>
      <c r="G41" s="18"/>
      <c r="H41" s="18">
        <v>78</v>
      </c>
      <c r="I41" s="18"/>
      <c r="J41" s="3">
        <f>SUM(K41:V41)/1000</f>
        <v>0</v>
      </c>
      <c r="K41" s="17">
        <f>$F42/12*1000</f>
        <v>0</v>
      </c>
      <c r="L41" s="17">
        <f>$F42/12*1000</f>
        <v>0</v>
      </c>
      <c r="M41" s="17">
        <f>$F42/12*1000</f>
        <v>0</v>
      </c>
      <c r="N41" s="17">
        <f>$F42/12*1000</f>
        <v>0</v>
      </c>
      <c r="O41" s="17">
        <f>$F42/12*1000</f>
        <v>0</v>
      </c>
      <c r="P41" s="17">
        <f>$F42/12*1000</f>
        <v>0</v>
      </c>
      <c r="Q41" s="17">
        <f>$F42/12*1000</f>
        <v>0</v>
      </c>
      <c r="R41" s="17">
        <f>$F42/12*1000</f>
        <v>0</v>
      </c>
      <c r="S41" s="17">
        <f>$F42/12*1000</f>
        <v>0</v>
      </c>
      <c r="T41" s="17">
        <f>$F42/12*1000</f>
        <v>0</v>
      </c>
      <c r="U41" s="17">
        <f>$F42/12*1000</f>
        <v>0</v>
      </c>
      <c r="V41" s="17">
        <f>$F42/12*1000</f>
        <v>0</v>
      </c>
    </row>
    <row r="42" spans="1:30">
      <c r="A42" s="5">
        <f>A41+1</f>
        <v>27</v>
      </c>
      <c r="B42" t="s">
        <v>170</v>
      </c>
      <c r="C42" s="12"/>
      <c r="D42" s="89">
        <v>14</v>
      </c>
      <c r="E42" s="18">
        <f>F42-D42</f>
        <v>-14</v>
      </c>
      <c r="F42" s="18">
        <v>0</v>
      </c>
      <c r="G42" s="87"/>
      <c r="H42" s="87"/>
      <c r="I42" s="92" t="s">
        <v>120</v>
      </c>
      <c r="J42" s="3">
        <f>SUM(K42:V42)/1000</f>
        <v>23513.563713332624</v>
      </c>
      <c r="K42" s="79">
        <f>'WGJ-4'!D23</f>
        <v>2072471.9850438018</v>
      </c>
      <c r="L42" s="79">
        <f>'WGJ-4'!E23</f>
        <v>1927609.4327824498</v>
      </c>
      <c r="M42" s="79">
        <f>'WGJ-4'!F23</f>
        <v>2051075.4373448268</v>
      </c>
      <c r="N42" s="79">
        <f>'WGJ-4'!G23</f>
        <v>1895315.9292118917</v>
      </c>
      <c r="O42" s="79">
        <f>'WGJ-4'!H23</f>
        <v>1703457.5265782245</v>
      </c>
      <c r="P42" s="79">
        <f>'WGJ-4'!I23</f>
        <v>1580391.7016880887</v>
      </c>
      <c r="Q42" s="79">
        <f>'WGJ-4'!J23</f>
        <v>1987604.6304600609</v>
      </c>
      <c r="R42" s="79">
        <f>'WGJ-4'!K23</f>
        <v>2059937.7004521266</v>
      </c>
      <c r="S42" s="79">
        <f>'WGJ-4'!L23</f>
        <v>2041763.0666630638</v>
      </c>
      <c r="T42" s="79">
        <f>'WGJ-4'!M23</f>
        <v>2078044.6622746368</v>
      </c>
      <c r="U42" s="79">
        <f>'WGJ-4'!N23</f>
        <v>2034885.0164311298</v>
      </c>
      <c r="V42" s="79">
        <f>'WGJ-4'!O23</f>
        <v>2081006.6244023219</v>
      </c>
    </row>
    <row r="43" spans="1:30">
      <c r="A43" s="5">
        <f>A42+1</f>
        <v>28</v>
      </c>
      <c r="B43" s="11" t="s">
        <v>46</v>
      </c>
      <c r="C43" s="10"/>
      <c r="D43" s="87">
        <v>22371</v>
      </c>
      <c r="E43" s="18">
        <f>F43-D43</f>
        <v>-22371</v>
      </c>
      <c r="F43" s="87">
        <v>0</v>
      </c>
      <c r="G43" s="87"/>
      <c r="H43" s="87"/>
      <c r="I43" s="92"/>
      <c r="J43" s="3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1:30">
      <c r="A44" s="5">
        <f>A42+1</f>
        <v>28</v>
      </c>
      <c r="B44" s="11" t="s">
        <v>189</v>
      </c>
      <c r="C44" s="190"/>
      <c r="D44" s="89">
        <v>199</v>
      </c>
      <c r="E44" s="18">
        <f>F44-D44</f>
        <v>-199</v>
      </c>
      <c r="F44" s="87">
        <v>0</v>
      </c>
      <c r="G44" s="18"/>
      <c r="H44" s="18"/>
      <c r="I44" s="18"/>
      <c r="J44" s="3">
        <f>SUM(K44:V44)/1000</f>
        <v>29121.999999999996</v>
      </c>
      <c r="K44" s="103">
        <f>$F45/12*1000</f>
        <v>2426833.3333333335</v>
      </c>
      <c r="L44" s="103">
        <f>$F45/12*1000</f>
        <v>2426833.3333333335</v>
      </c>
      <c r="M44" s="103">
        <f>$F45/12*1000</f>
        <v>2426833.3333333335</v>
      </c>
      <c r="N44" s="103">
        <f>$F45/12*1000</f>
        <v>2426833.3333333335</v>
      </c>
      <c r="O44" s="103">
        <f>$F45/12*1000</f>
        <v>2426833.3333333335</v>
      </c>
      <c r="P44" s="103">
        <f>$F45/12*1000</f>
        <v>2426833.3333333335</v>
      </c>
      <c r="Q44" s="103">
        <f>$F45/12*1000</f>
        <v>2426833.3333333335</v>
      </c>
      <c r="R44" s="103">
        <f>$F45/12*1000</f>
        <v>2426833.3333333335</v>
      </c>
      <c r="S44" s="103">
        <f>$F45/12*1000</f>
        <v>2426833.3333333335</v>
      </c>
      <c r="T44" s="103">
        <f>$F45/12*1000</f>
        <v>2426833.3333333335</v>
      </c>
      <c r="U44" s="103">
        <f>$F45/12*1000</f>
        <v>2426833.3333333335</v>
      </c>
      <c r="V44" s="103">
        <f>$F45/12*1000</f>
        <v>2426833.3333333335</v>
      </c>
    </row>
    <row r="45" spans="1:30">
      <c r="A45" s="5"/>
      <c r="B45" s="16" t="s">
        <v>307</v>
      </c>
      <c r="C45" s="39"/>
      <c r="D45" s="140">
        <v>0</v>
      </c>
      <c r="E45" s="38">
        <f>F45-D45</f>
        <v>29122</v>
      </c>
      <c r="F45" s="88">
        <v>29122</v>
      </c>
      <c r="G45" s="18"/>
      <c r="H45" s="18">
        <v>8095.4688974966612</v>
      </c>
      <c r="I45" s="18"/>
      <c r="J45" s="3">
        <f>SUM(K45:V45)/1000</f>
        <v>58104.488454362363</v>
      </c>
      <c r="K45" s="24">
        <f>SUM(K40:K44)</f>
        <v>5063250.0460840445</v>
      </c>
      <c r="L45" s="24">
        <f t="shared" ref="L45:V45" si="21">SUM(L40:L44)</f>
        <v>4835839.8614145499</v>
      </c>
      <c r="M45" s="24">
        <f t="shared" si="21"/>
        <v>4953331.9209314547</v>
      </c>
      <c r="N45" s="24">
        <f t="shared" si="21"/>
        <v>4722109.1529108249</v>
      </c>
      <c r="O45" s="24">
        <f t="shared" si="21"/>
        <v>4419583.6104608737</v>
      </c>
      <c r="P45" s="24">
        <f t="shared" si="21"/>
        <v>4022879.2714811545</v>
      </c>
      <c r="Q45" s="24">
        <f t="shared" si="21"/>
        <v>4832958.7390161725</v>
      </c>
      <c r="R45" s="24">
        <f t="shared" si="21"/>
        <v>5041063.669893858</v>
      </c>
      <c r="S45" s="24">
        <f t="shared" si="21"/>
        <v>5032197.012636777</v>
      </c>
      <c r="T45" s="24">
        <f t="shared" si="21"/>
        <v>5062554.3025232535</v>
      </c>
      <c r="U45" s="24">
        <f t="shared" si="21"/>
        <v>5010754.3002344333</v>
      </c>
      <c r="V45" s="24">
        <f t="shared" si="21"/>
        <v>5107966.5667749615</v>
      </c>
    </row>
    <row r="46" spans="1:30">
      <c r="A46" s="10">
        <f>A44+1</f>
        <v>29</v>
      </c>
      <c r="B46" t="s">
        <v>22</v>
      </c>
      <c r="D46" s="87">
        <f>SUM(D41:D45)</f>
        <v>28902</v>
      </c>
      <c r="E46" s="18">
        <f>F46-D46</f>
        <v>220</v>
      </c>
      <c r="F46" s="18">
        <f>SUM(F41:F45)</f>
        <v>29122</v>
      </c>
      <c r="G46" s="18"/>
      <c r="H46" s="18">
        <v>0</v>
      </c>
      <c r="I46" s="18"/>
      <c r="J46" s="3"/>
    </row>
    <row r="47" spans="1:30">
      <c r="A47" s="5"/>
      <c r="D47" s="18"/>
      <c r="E47" s="18"/>
      <c r="F47" s="18"/>
      <c r="G47" s="18"/>
      <c r="H47" s="18">
        <v>10682.990036010742</v>
      </c>
      <c r="I47" s="18"/>
      <c r="J47" s="3"/>
    </row>
    <row r="48" spans="1:30">
      <c r="A48" s="5"/>
      <c r="B48" s="6" t="s">
        <v>48</v>
      </c>
      <c r="D48" s="18"/>
      <c r="E48" s="18"/>
      <c r="F48" s="18"/>
      <c r="G48" s="87"/>
      <c r="H48" s="88">
        <v>188</v>
      </c>
      <c r="I48" s="92" t="s">
        <v>120</v>
      </c>
      <c r="J48" s="3">
        <f t="shared" ref="J48:J59" si="22">SUM(K48:V48)/1000</f>
        <v>35109.435718181674</v>
      </c>
      <c r="K48" s="24">
        <f>'WGJ-4'!D31</f>
        <v>3912754.2232421404</v>
      </c>
      <c r="L48" s="24">
        <f>'WGJ-4'!E31</f>
        <v>3151626.2165694116</v>
      </c>
      <c r="M48" s="24">
        <f>'WGJ-4'!F31</f>
        <v>3349033.1939916951</v>
      </c>
      <c r="N48" s="24">
        <f>'WGJ-4'!G31</f>
        <v>2322855.4371337607</v>
      </c>
      <c r="O48" s="24">
        <f>'WGJ-4'!H31</f>
        <v>1371668.786784152</v>
      </c>
      <c r="P48" s="24">
        <f>'WGJ-4'!I31</f>
        <v>866875.4244879235</v>
      </c>
      <c r="Q48" s="24">
        <f>'WGJ-4'!J31</f>
        <v>2426949.4677620521</v>
      </c>
      <c r="R48" s="24">
        <f>'WGJ-4'!K31</f>
        <v>3294625.0499735642</v>
      </c>
      <c r="S48" s="24">
        <f>'WGJ-4'!L31</f>
        <v>3364610.7474835087</v>
      </c>
      <c r="T48" s="24">
        <f>'WGJ-4'!M31</f>
        <v>3292024.4895748389</v>
      </c>
      <c r="U48" s="24">
        <f>'WGJ-4'!N31</f>
        <v>3477660.6980995308</v>
      </c>
      <c r="V48" s="24">
        <f>'WGJ-4'!O31</f>
        <v>4278751.9830791047</v>
      </c>
    </row>
    <row r="49" spans="1:22">
      <c r="A49" s="5">
        <f>A46+1</f>
        <v>30</v>
      </c>
      <c r="B49" s="15" t="s">
        <v>57</v>
      </c>
      <c r="D49" s="87">
        <v>36449</v>
      </c>
      <c r="E49" s="18">
        <f t="shared" ref="E49:E60" si="23">F49-D49</f>
        <v>-36449</v>
      </c>
      <c r="F49" s="87">
        <v>0</v>
      </c>
      <c r="G49" s="18"/>
      <c r="H49" s="18">
        <v>18966.458933507405</v>
      </c>
      <c r="I49" s="18"/>
      <c r="J49" s="3">
        <f t="shared" si="22"/>
        <v>0</v>
      </c>
      <c r="K49" s="80">
        <f>$F50/12*1000</f>
        <v>0</v>
      </c>
      <c r="L49" s="80">
        <f>$F50/12*1000</f>
        <v>0</v>
      </c>
      <c r="M49" s="80">
        <f>$F50/12*1000</f>
        <v>0</v>
      </c>
      <c r="N49" s="80">
        <f>$F50/12*1000</f>
        <v>0</v>
      </c>
      <c r="O49" s="80">
        <f>$F50/12*1000</f>
        <v>0</v>
      </c>
      <c r="P49" s="80">
        <f>$F50/12*1000</f>
        <v>0</v>
      </c>
      <c r="Q49" s="80">
        <f>$F50/12*1000</f>
        <v>0</v>
      </c>
      <c r="R49" s="80">
        <f>$F50/12*1000</f>
        <v>0</v>
      </c>
      <c r="S49" s="80">
        <f>$F50/12*1000</f>
        <v>0</v>
      </c>
      <c r="T49" s="80">
        <f>$F50/12*1000</f>
        <v>0</v>
      </c>
      <c r="U49" s="80">
        <f>$F50/12*1000</f>
        <v>0</v>
      </c>
      <c r="V49" s="80">
        <f>$F50/12*1000</f>
        <v>0</v>
      </c>
    </row>
    <row r="50" spans="1:22">
      <c r="A50" s="5">
        <f>A49+1</f>
        <v>31</v>
      </c>
      <c r="B50" s="15" t="s">
        <v>176</v>
      </c>
      <c r="D50" s="87">
        <v>5716</v>
      </c>
      <c r="E50" s="18">
        <f t="shared" si="23"/>
        <v>-5716</v>
      </c>
      <c r="F50" s="87">
        <v>0</v>
      </c>
      <c r="G50" s="18"/>
      <c r="H50" s="18"/>
      <c r="I50" s="18"/>
      <c r="J50" s="3">
        <f t="shared" si="22"/>
        <v>32410.938321802867</v>
      </c>
      <c r="K50" s="80">
        <f>'WGJ-4'!D35</f>
        <v>3691599.136372</v>
      </c>
      <c r="L50" s="80">
        <f>'WGJ-4'!E35</f>
        <v>2940952.456096665</v>
      </c>
      <c r="M50" s="80">
        <f>'WGJ-4'!F35</f>
        <v>3148424.67326209</v>
      </c>
      <c r="N50" s="80">
        <f>'WGJ-4'!G35</f>
        <v>2222690.1716095814</v>
      </c>
      <c r="O50" s="80">
        <f>'WGJ-4'!H35</f>
        <v>1264540.2657170147</v>
      </c>
      <c r="P50" s="80">
        <f>'WGJ-4'!I35</f>
        <v>896608.53242968465</v>
      </c>
      <c r="Q50" s="80">
        <f>'WGJ-4'!J35</f>
        <v>2120761.4816806205</v>
      </c>
      <c r="R50" s="80">
        <f>'WGJ-4'!K35</f>
        <v>2819149.6793990224</v>
      </c>
      <c r="S50" s="80">
        <f>'WGJ-4'!L35</f>
        <v>2936904.8125248998</v>
      </c>
      <c r="T50" s="80">
        <f>'WGJ-4'!M35</f>
        <v>3122452.1307323161</v>
      </c>
      <c r="U50" s="80">
        <f>'WGJ-4'!N35</f>
        <v>3277819.7112992764</v>
      </c>
      <c r="V50" s="80">
        <f>'WGJ-4'!O35</f>
        <v>3969035.2706796946</v>
      </c>
    </row>
    <row r="51" spans="1:22">
      <c r="A51" s="5">
        <f t="shared" ref="A51:A59" si="24">A50+1</f>
        <v>32</v>
      </c>
      <c r="B51" s="15" t="s">
        <v>163</v>
      </c>
      <c r="D51" s="87">
        <v>27817</v>
      </c>
      <c r="E51" s="18">
        <f t="shared" si="23"/>
        <v>-27817</v>
      </c>
      <c r="F51" s="87">
        <v>0</v>
      </c>
      <c r="G51" s="18"/>
      <c r="H51" s="18"/>
      <c r="I51" s="18"/>
      <c r="J51" s="3">
        <f t="shared" si="22"/>
        <v>0</v>
      </c>
      <c r="K51" s="80">
        <f>$F52/12*1000</f>
        <v>0</v>
      </c>
      <c r="L51" s="80">
        <f>$F52/12*1000</f>
        <v>0</v>
      </c>
      <c r="M51" s="80">
        <f>$F52/12*1000</f>
        <v>0</v>
      </c>
      <c r="N51" s="80">
        <f>$F52/12*1000</f>
        <v>0</v>
      </c>
      <c r="O51" s="80">
        <f>$F52/12*1000</f>
        <v>0</v>
      </c>
      <c r="P51" s="80">
        <f>$F52/12*1000</f>
        <v>0</v>
      </c>
      <c r="Q51" s="80">
        <f>$F52/12*1000</f>
        <v>0</v>
      </c>
      <c r="R51" s="80">
        <f>$F52/12*1000</f>
        <v>0</v>
      </c>
      <c r="S51" s="80">
        <f>$F52/12*1000</f>
        <v>0</v>
      </c>
      <c r="T51" s="80">
        <f>$F52/12*1000</f>
        <v>0</v>
      </c>
      <c r="U51" s="80">
        <f>$F52/12*1000</f>
        <v>0</v>
      </c>
      <c r="V51" s="80">
        <f>$F52/12*1000</f>
        <v>0</v>
      </c>
    </row>
    <row r="52" spans="1:22">
      <c r="A52" s="5">
        <f t="shared" si="24"/>
        <v>33</v>
      </c>
      <c r="B52" s="15" t="s">
        <v>175</v>
      </c>
      <c r="D52" s="87">
        <v>4922</v>
      </c>
      <c r="E52" s="18">
        <f t="shared" si="23"/>
        <v>-4922</v>
      </c>
      <c r="F52" s="87">
        <v>0</v>
      </c>
      <c r="G52" s="18"/>
      <c r="H52" s="18"/>
      <c r="I52" s="18"/>
      <c r="J52" s="3">
        <f t="shared" si="22"/>
        <v>1876.0520000000001</v>
      </c>
      <c r="K52" s="80">
        <f>1876052/12</f>
        <v>156337.66666666666</v>
      </c>
      <c r="L52" s="80">
        <f t="shared" ref="L52:V52" si="25">1876052/12</f>
        <v>156337.66666666666</v>
      </c>
      <c r="M52" s="80">
        <f t="shared" si="25"/>
        <v>156337.66666666666</v>
      </c>
      <c r="N52" s="80">
        <f t="shared" si="25"/>
        <v>156337.66666666666</v>
      </c>
      <c r="O52" s="80">
        <f t="shared" si="25"/>
        <v>156337.66666666666</v>
      </c>
      <c r="P52" s="80">
        <f t="shared" si="25"/>
        <v>156337.66666666666</v>
      </c>
      <c r="Q52" s="80">
        <f t="shared" si="25"/>
        <v>156337.66666666666</v>
      </c>
      <c r="R52" s="80">
        <f t="shared" si="25"/>
        <v>156337.66666666666</v>
      </c>
      <c r="S52" s="80">
        <f t="shared" si="25"/>
        <v>156337.66666666666</v>
      </c>
      <c r="T52" s="80">
        <f t="shared" si="25"/>
        <v>156337.66666666666</v>
      </c>
      <c r="U52" s="80">
        <f t="shared" si="25"/>
        <v>156337.66666666666</v>
      </c>
      <c r="V52" s="80">
        <f t="shared" si="25"/>
        <v>156337.66666666666</v>
      </c>
    </row>
    <row r="53" spans="1:22">
      <c r="A53" s="5">
        <f t="shared" si="24"/>
        <v>34</v>
      </c>
      <c r="B53" t="s">
        <v>182</v>
      </c>
      <c r="D53" s="87">
        <v>0</v>
      </c>
      <c r="E53" s="18">
        <f t="shared" si="23"/>
        <v>0</v>
      </c>
      <c r="F53" s="125">
        <v>0</v>
      </c>
      <c r="G53" s="18"/>
      <c r="H53" s="18"/>
      <c r="I53" s="18"/>
      <c r="J53" s="3">
        <f t="shared" si="22"/>
        <v>0</v>
      </c>
      <c r="K53" s="80">
        <f>$F54*1000/12</f>
        <v>0</v>
      </c>
      <c r="L53" s="80">
        <f>$F54*1000/12</f>
        <v>0</v>
      </c>
      <c r="M53" s="80">
        <f>$F54*1000/12</f>
        <v>0</v>
      </c>
      <c r="N53" s="80">
        <f>$F54*1000/12</f>
        <v>0</v>
      </c>
      <c r="O53" s="80">
        <f>$F54*1000/12</f>
        <v>0</v>
      </c>
      <c r="P53" s="80">
        <f>$F54*1000/12</f>
        <v>0</v>
      </c>
      <c r="Q53" s="80">
        <f>$F54*1000/12</f>
        <v>0</v>
      </c>
      <c r="R53" s="80">
        <f>$F54*1000/12</f>
        <v>0</v>
      </c>
      <c r="S53" s="80">
        <f>$F54*1000/12</f>
        <v>0</v>
      </c>
      <c r="T53" s="80">
        <f>$F54*1000/12</f>
        <v>0</v>
      </c>
      <c r="U53" s="80">
        <f>$F54*1000/12</f>
        <v>0</v>
      </c>
      <c r="V53" s="80">
        <f>$F54*1000/12</f>
        <v>0</v>
      </c>
    </row>
    <row r="54" spans="1:22">
      <c r="A54" s="5">
        <f t="shared" si="24"/>
        <v>35</v>
      </c>
      <c r="B54" t="s">
        <v>207</v>
      </c>
      <c r="D54" s="87">
        <v>0</v>
      </c>
      <c r="E54" s="18">
        <f t="shared" si="23"/>
        <v>0</v>
      </c>
      <c r="F54" s="87">
        <v>0</v>
      </c>
      <c r="G54" s="18"/>
      <c r="H54" s="18"/>
      <c r="I54" s="18"/>
      <c r="J54" s="3">
        <f t="shared" si="22"/>
        <v>52.999999999999993</v>
      </c>
      <c r="K54" s="127">
        <f>53000/12</f>
        <v>4416.666666666667</v>
      </c>
      <c r="L54" s="127">
        <f t="shared" ref="L54:V54" si="26">53000/12</f>
        <v>4416.666666666667</v>
      </c>
      <c r="M54" s="127">
        <f t="shared" si="26"/>
        <v>4416.666666666667</v>
      </c>
      <c r="N54" s="127">
        <f t="shared" si="26"/>
        <v>4416.666666666667</v>
      </c>
      <c r="O54" s="127">
        <f t="shared" si="26"/>
        <v>4416.666666666667</v>
      </c>
      <c r="P54" s="127">
        <f t="shared" si="26"/>
        <v>4416.666666666667</v>
      </c>
      <c r="Q54" s="127">
        <f t="shared" si="26"/>
        <v>4416.666666666667</v>
      </c>
      <c r="R54" s="127">
        <f t="shared" si="26"/>
        <v>4416.666666666667</v>
      </c>
      <c r="S54" s="127">
        <f t="shared" si="26"/>
        <v>4416.666666666667</v>
      </c>
      <c r="T54" s="127">
        <f t="shared" si="26"/>
        <v>4416.666666666667</v>
      </c>
      <c r="U54" s="127">
        <f t="shared" si="26"/>
        <v>4416.666666666667</v>
      </c>
      <c r="V54" s="127">
        <f t="shared" si="26"/>
        <v>4416.666666666667</v>
      </c>
    </row>
    <row r="55" spans="1:22">
      <c r="A55" s="5">
        <f t="shared" si="24"/>
        <v>36</v>
      </c>
      <c r="B55" t="s">
        <v>187</v>
      </c>
      <c r="D55" s="87">
        <v>46</v>
      </c>
      <c r="E55" s="18">
        <f t="shared" si="23"/>
        <v>-46</v>
      </c>
      <c r="F55" s="125">
        <v>0</v>
      </c>
      <c r="G55" s="87"/>
      <c r="H55" s="87"/>
      <c r="I55" s="92" t="s">
        <v>120</v>
      </c>
      <c r="J55" s="3">
        <f t="shared" si="22"/>
        <v>2027.4616091895475</v>
      </c>
      <c r="K55" s="24">
        <f>'WGJ-4'!D47</f>
        <v>118963.08623099315</v>
      </c>
      <c r="L55" s="24">
        <f>'WGJ-4'!E47</f>
        <v>80117.031277942602</v>
      </c>
      <c r="M55" s="24">
        <f>'WGJ-4'!F47</f>
        <v>6006.8128417968601</v>
      </c>
      <c r="N55" s="24">
        <f>'WGJ-4'!G47</f>
        <v>3664.5131330489976</v>
      </c>
      <c r="O55" s="24">
        <f>'WGJ-4'!H47</f>
        <v>2344.080625963205</v>
      </c>
      <c r="P55" s="24">
        <f>'WGJ-4'!I47</f>
        <v>52685.613557696313</v>
      </c>
      <c r="Q55" s="24">
        <f>'WGJ-4'!J47</f>
        <v>312156.6140420608</v>
      </c>
      <c r="R55" s="24">
        <f>'WGJ-4'!K47</f>
        <v>701245.6624404894</v>
      </c>
      <c r="S55" s="24">
        <f>'WGJ-4'!L47</f>
        <v>249302.71271274021</v>
      </c>
      <c r="T55" s="24">
        <f>'WGJ-4'!M47</f>
        <v>45095.798382163004</v>
      </c>
      <c r="U55" s="24">
        <f>'WGJ-4'!N47</f>
        <v>107324.47718596447</v>
      </c>
      <c r="V55" s="24">
        <f>'WGJ-4'!O47</f>
        <v>348555.20675868879</v>
      </c>
    </row>
    <row r="56" spans="1:22">
      <c r="A56" s="5">
        <f t="shared" si="24"/>
        <v>37</v>
      </c>
      <c r="B56" s="11" t="s">
        <v>61</v>
      </c>
      <c r="C56" s="11"/>
      <c r="D56" s="87">
        <v>1556</v>
      </c>
      <c r="E56" s="18">
        <f t="shared" si="23"/>
        <v>-1556</v>
      </c>
      <c r="F56" s="87">
        <v>0</v>
      </c>
      <c r="G56" s="87"/>
      <c r="H56" s="87"/>
      <c r="I56" s="92" t="s">
        <v>120</v>
      </c>
      <c r="J56" s="3">
        <f t="shared" si="22"/>
        <v>130.16668289974311</v>
      </c>
      <c r="K56" s="24">
        <f>'WGJ-4'!D51</f>
        <v>5922.2077637910807</v>
      </c>
      <c r="L56" s="24">
        <f>'WGJ-4'!E51</f>
        <v>3697.2898483276203</v>
      </c>
      <c r="M56" s="24">
        <f>'WGJ-4'!F51</f>
        <v>0</v>
      </c>
      <c r="N56" s="24">
        <f>'WGJ-4'!G51</f>
        <v>0</v>
      </c>
      <c r="O56" s="24">
        <f>'WGJ-4'!H51</f>
        <v>0</v>
      </c>
      <c r="P56" s="24">
        <f>'WGJ-4'!I51</f>
        <v>4699.5632410049402</v>
      </c>
      <c r="Q56" s="24">
        <f>'WGJ-4'!J51</f>
        <v>16278.33171188831</v>
      </c>
      <c r="R56" s="24">
        <f>'WGJ-4'!K51</f>
        <v>70579.886247217495</v>
      </c>
      <c r="S56" s="24">
        <f>'WGJ-4'!L51</f>
        <v>10112.445612251751</v>
      </c>
      <c r="T56" s="24">
        <f>'WGJ-4'!M51</f>
        <v>824.82577040791409</v>
      </c>
      <c r="U56" s="24">
        <f>'WGJ-4'!N51</f>
        <v>1589.6598786115642</v>
      </c>
      <c r="V56" s="24">
        <f>'WGJ-4'!O51</f>
        <v>16462.47282624244</v>
      </c>
    </row>
    <row r="57" spans="1:22">
      <c r="A57" s="5">
        <f t="shared" si="24"/>
        <v>38</v>
      </c>
      <c r="B57" t="s">
        <v>60</v>
      </c>
      <c r="D57" s="87">
        <v>44</v>
      </c>
      <c r="E57" s="18">
        <f t="shared" si="23"/>
        <v>-44</v>
      </c>
      <c r="F57" s="87">
        <v>0</v>
      </c>
      <c r="G57" s="87"/>
      <c r="H57" s="87">
        <v>59394.366704579188</v>
      </c>
      <c r="I57" s="92" t="s">
        <v>120</v>
      </c>
      <c r="J57" s="3">
        <f t="shared" si="22"/>
        <v>801.07837331630117</v>
      </c>
      <c r="K57" s="24">
        <f>'WGJ-4'!D39</f>
        <v>77045.542311668396</v>
      </c>
      <c r="L57" s="24">
        <f>'WGJ-4'!E39</f>
        <v>44262.278789281801</v>
      </c>
      <c r="M57" s="24">
        <f>'WGJ-4'!F39</f>
        <v>32825.655031204202</v>
      </c>
      <c r="N57" s="24">
        <f>'WGJ-4'!G39</f>
        <v>17862.1154733002</v>
      </c>
      <c r="O57" s="24">
        <f>'WGJ-4'!H39</f>
        <v>10943.5888539999</v>
      </c>
      <c r="P57" s="24">
        <f>'WGJ-4'!I39</f>
        <v>22623.347054421898</v>
      </c>
      <c r="Q57" s="24">
        <f>'WGJ-4'!J39</f>
        <v>107305.66711425701</v>
      </c>
      <c r="R57" s="24">
        <f>'WGJ-4'!K39</f>
        <v>146979.28237914998</v>
      </c>
      <c r="S57" s="24">
        <f>'WGJ-4'!L39</f>
        <v>89984.589350223498</v>
      </c>
      <c r="T57" s="24">
        <f>'WGJ-4'!M39</f>
        <v>39479.195079207399</v>
      </c>
      <c r="U57" s="24">
        <f>'WGJ-4'!N39</f>
        <v>81701.994854211807</v>
      </c>
      <c r="V57" s="24">
        <f>'WGJ-4'!O39</f>
        <v>130065.117025375</v>
      </c>
    </row>
    <row r="58" spans="1:22">
      <c r="A58" s="5">
        <f t="shared" si="24"/>
        <v>39</v>
      </c>
      <c r="B58" t="s">
        <v>58</v>
      </c>
      <c r="D58" s="87">
        <v>528</v>
      </c>
      <c r="E58" s="18">
        <f t="shared" si="23"/>
        <v>-528</v>
      </c>
      <c r="F58" s="87">
        <v>0</v>
      </c>
      <c r="G58" s="87"/>
      <c r="H58" s="87"/>
      <c r="I58" s="92"/>
      <c r="J58" s="3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>
      <c r="A59" s="5">
        <f t="shared" si="24"/>
        <v>40</v>
      </c>
      <c r="B59" s="191" t="s">
        <v>59</v>
      </c>
      <c r="C59" s="11"/>
      <c r="D59" s="87">
        <v>122</v>
      </c>
      <c r="E59" s="18">
        <f t="shared" ref="E59" si="27">F59-D59</f>
        <v>-121.9747133336144</v>
      </c>
      <c r="F59" s="87">
        <f>'WGJ-4'!C42/1000</f>
        <v>2.5286666385597102E-2</v>
      </c>
      <c r="G59" s="87"/>
      <c r="H59" s="87">
        <v>6240</v>
      </c>
      <c r="I59" s="92" t="s">
        <v>120</v>
      </c>
      <c r="J59" s="83">
        <f t="shared" si="22"/>
        <v>244.38803515285221</v>
      </c>
      <c r="K59" s="117">
        <f>'WGJ-4'!D43</f>
        <v>15011.5569785237</v>
      </c>
      <c r="L59" s="117">
        <f>'WGJ-4'!E43</f>
        <v>10020.820826292</v>
      </c>
      <c r="M59" s="117">
        <f>'WGJ-4'!F43</f>
        <v>3009.3554474413299</v>
      </c>
      <c r="N59" s="117">
        <f>'WGJ-4'!G43</f>
        <v>1478.31971347332</v>
      </c>
      <c r="O59" s="117">
        <f>'WGJ-4'!H43</f>
        <v>1562.7778384834501</v>
      </c>
      <c r="P59" s="117">
        <f>'WGJ-4'!I43</f>
        <v>8094.1903095692296</v>
      </c>
      <c r="Q59" s="117">
        <f>'WGJ-4'!J43</f>
        <v>35334.506844729098</v>
      </c>
      <c r="R59" s="117">
        <f>'WGJ-4'!K43</f>
        <v>61424.9718248844</v>
      </c>
      <c r="S59" s="117">
        <f>'WGJ-4'!L43</f>
        <v>34283.374915271997</v>
      </c>
      <c r="T59" s="117">
        <f>'WGJ-4'!M43</f>
        <v>11626.196282356901</v>
      </c>
      <c r="U59" s="117">
        <f>'WGJ-4'!N43</f>
        <v>20357.256922125798</v>
      </c>
      <c r="V59" s="117">
        <f>'WGJ-4'!O43</f>
        <v>42184.707249701001</v>
      </c>
    </row>
    <row r="60" spans="1:22">
      <c r="A60" s="5"/>
      <c r="B60" s="192" t="s">
        <v>308</v>
      </c>
      <c r="C60" s="16"/>
      <c r="D60" s="88">
        <v>0</v>
      </c>
      <c r="E60" s="38">
        <f t="shared" si="23"/>
        <v>77826</v>
      </c>
      <c r="F60" s="88">
        <v>77826</v>
      </c>
      <c r="G60" s="18"/>
      <c r="H60" s="18">
        <v>0.11360950271288535</v>
      </c>
      <c r="I60" s="18"/>
      <c r="J60" s="3">
        <f t="shared" ref="J60:V60" si="28">SUM(J48:J59)</f>
        <v>72652.520740542968</v>
      </c>
      <c r="K60" s="24">
        <f t="shared" si="28"/>
        <v>7982050.0862324508</v>
      </c>
      <c r="L60" s="24">
        <f t="shared" si="28"/>
        <v>6391430.4267412545</v>
      </c>
      <c r="M60" s="24">
        <f t="shared" si="28"/>
        <v>6700054.0239075618</v>
      </c>
      <c r="N60" s="24">
        <f t="shared" si="28"/>
        <v>4729304.8903964981</v>
      </c>
      <c r="O60" s="24">
        <f t="shared" si="28"/>
        <v>2811813.8331529466</v>
      </c>
      <c r="P60" s="24">
        <f t="shared" si="28"/>
        <v>2012341.0044136341</v>
      </c>
      <c r="Q60" s="24">
        <f t="shared" si="28"/>
        <v>5179540.4024889413</v>
      </c>
      <c r="R60" s="24">
        <f t="shared" si="28"/>
        <v>7254758.8655976625</v>
      </c>
      <c r="S60" s="24">
        <f t="shared" si="28"/>
        <v>6845953.0159322303</v>
      </c>
      <c r="T60" s="24">
        <f t="shared" si="28"/>
        <v>6672256.9691546243</v>
      </c>
      <c r="U60" s="24">
        <f t="shared" si="28"/>
        <v>7127208.1315730549</v>
      </c>
      <c r="V60" s="24">
        <f t="shared" si="28"/>
        <v>8945809.0909521393</v>
      </c>
    </row>
    <row r="61" spans="1:22">
      <c r="A61" s="5">
        <f>A59+1</f>
        <v>41</v>
      </c>
      <c r="B61" t="s">
        <v>44</v>
      </c>
      <c r="D61" s="87">
        <f>SUM(D49:D60)</f>
        <v>77200</v>
      </c>
      <c r="E61" s="18">
        <f>F61-D61</f>
        <v>626.02528666637954</v>
      </c>
      <c r="F61" s="18">
        <f>SUM(F49:F60)</f>
        <v>77826.02528666638</v>
      </c>
      <c r="G61" s="18"/>
      <c r="H61" s="18">
        <v>3237.8010523088278</v>
      </c>
      <c r="I61" s="18"/>
      <c r="J61" s="3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>
      <c r="A62" s="5"/>
      <c r="D62" s="18">
        <v>77200</v>
      </c>
      <c r="E62" s="18"/>
      <c r="F62" s="18"/>
      <c r="G62" s="18"/>
      <c r="H62" s="18"/>
      <c r="I62" s="18"/>
      <c r="J62" s="3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>
      <c r="A63" s="5"/>
      <c r="D63" s="18"/>
      <c r="E63" s="18"/>
      <c r="F63" s="18"/>
      <c r="G63" s="18"/>
      <c r="H63" s="18"/>
      <c r="I63" s="18"/>
      <c r="J63" s="3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>
      <c r="A64" s="5"/>
      <c r="D64" s="18"/>
      <c r="E64" s="18"/>
      <c r="F64" s="18"/>
      <c r="G64" s="18"/>
      <c r="H64" s="18">
        <v>592.63582339628294</v>
      </c>
      <c r="I64" s="18"/>
      <c r="J64" s="3"/>
    </row>
    <row r="65" spans="1:22">
      <c r="A65" s="5"/>
      <c r="D65" s="18"/>
      <c r="E65" s="18"/>
      <c r="F65" s="18"/>
      <c r="G65" s="18"/>
      <c r="H65" s="38">
        <v>480</v>
      </c>
      <c r="I65" s="18"/>
      <c r="J65" s="3"/>
    </row>
    <row r="66" spans="1:22">
      <c r="A66" s="5"/>
      <c r="B66" s="6" t="s">
        <v>10</v>
      </c>
      <c r="D66" s="18"/>
      <c r="E66" s="18" t="s">
        <v>9</v>
      </c>
      <c r="F66" s="18"/>
      <c r="G66" s="18"/>
      <c r="H66" s="18">
        <v>70026.232758276092</v>
      </c>
      <c r="I66" s="18"/>
      <c r="J66" s="3">
        <f t="shared" ref="J66:J76" si="29">SUM(K66:V66)/1000</f>
        <v>0</v>
      </c>
      <c r="K66" s="55">
        <f>$F67*1000/12</f>
        <v>0</v>
      </c>
      <c r="L66" s="55">
        <f>$F67*1000/12</f>
        <v>0</v>
      </c>
      <c r="M66" s="55">
        <f>$F67*1000/12</f>
        <v>0</v>
      </c>
      <c r="N66" s="55">
        <f>$F67*1000/12</f>
        <v>0</v>
      </c>
      <c r="O66" s="55">
        <f>$F67*1000/12</f>
        <v>0</v>
      </c>
      <c r="P66" s="55">
        <f>$F67*1000/12</f>
        <v>0</v>
      </c>
      <c r="Q66" s="55">
        <f>$F67*1000/12</f>
        <v>0</v>
      </c>
      <c r="R66" s="55">
        <f>$F67*1000/12</f>
        <v>0</v>
      </c>
      <c r="S66" s="55">
        <f>$F67*1000/12</f>
        <v>0</v>
      </c>
      <c r="T66" s="55">
        <f>$F67*1000/12</f>
        <v>0</v>
      </c>
      <c r="U66" s="55">
        <f>$F67*1000/12</f>
        <v>0</v>
      </c>
      <c r="V66" s="55">
        <f>$F67*1000/12</f>
        <v>0</v>
      </c>
    </row>
    <row r="67" spans="1:22">
      <c r="A67" s="5">
        <f>A61+1</f>
        <v>42</v>
      </c>
      <c r="B67" t="s">
        <v>5</v>
      </c>
      <c r="C67" s="11"/>
      <c r="D67" s="87">
        <v>943</v>
      </c>
      <c r="E67" s="18">
        <f t="shared" ref="E67:E75" si="30">F67-D67</f>
        <v>-943</v>
      </c>
      <c r="F67" s="87">
        <v>0</v>
      </c>
      <c r="G67" s="18"/>
      <c r="H67" s="18"/>
      <c r="I67" s="18"/>
      <c r="J67" s="3">
        <f t="shared" si="29"/>
        <v>0</v>
      </c>
      <c r="K67" s="55">
        <f>$F68*1000/12</f>
        <v>0</v>
      </c>
      <c r="L67" s="55">
        <f>$F68*1000/12</f>
        <v>0</v>
      </c>
      <c r="M67" s="55">
        <f>$F68*1000/12</f>
        <v>0</v>
      </c>
      <c r="N67" s="55">
        <f>$F68*1000/12</f>
        <v>0</v>
      </c>
      <c r="O67" s="55">
        <f>$F68*1000/12</f>
        <v>0</v>
      </c>
      <c r="P67" s="55">
        <f>$F68*1000/12</f>
        <v>0</v>
      </c>
      <c r="Q67" s="55">
        <f>$F68*1000/12</f>
        <v>0</v>
      </c>
      <c r="R67" s="55">
        <f>$F68*1000/12</f>
        <v>0</v>
      </c>
      <c r="S67" s="55">
        <f>$F68*1000/12</f>
        <v>0</v>
      </c>
      <c r="T67" s="55">
        <f>$F68*1000/12</f>
        <v>0</v>
      </c>
      <c r="U67" s="55">
        <f>$F68*1000/12</f>
        <v>0</v>
      </c>
      <c r="V67" s="55">
        <f>$F68*1000/12</f>
        <v>0</v>
      </c>
    </row>
    <row r="68" spans="1:22">
      <c r="A68" s="5">
        <f>A67+1</f>
        <v>43</v>
      </c>
      <c r="B68" t="s">
        <v>223</v>
      </c>
      <c r="D68" s="87">
        <v>38</v>
      </c>
      <c r="E68" s="18">
        <f t="shared" si="30"/>
        <v>-38</v>
      </c>
      <c r="F68" s="87">
        <v>0</v>
      </c>
      <c r="G68" s="87"/>
      <c r="H68" s="87">
        <v>772</v>
      </c>
      <c r="I68" s="90"/>
      <c r="J68" s="3">
        <f t="shared" si="29"/>
        <v>12354</v>
      </c>
      <c r="K68" s="55">
        <v>1016720</v>
      </c>
      <c r="L68" s="55">
        <v>1016720</v>
      </c>
      <c r="M68" s="55">
        <v>1016720</v>
      </c>
      <c r="N68" s="55">
        <v>1016720</v>
      </c>
      <c r="O68" s="55">
        <v>1016720</v>
      </c>
      <c r="P68" s="55">
        <v>1016720</v>
      </c>
      <c r="Q68" s="55">
        <v>1016720</v>
      </c>
      <c r="R68" s="55">
        <v>1016720</v>
      </c>
      <c r="S68" s="55">
        <v>1016720</v>
      </c>
      <c r="T68" s="55">
        <v>1067840</v>
      </c>
      <c r="U68" s="55">
        <v>1067840</v>
      </c>
      <c r="V68" s="55">
        <v>1067840</v>
      </c>
    </row>
    <row r="69" spans="1:22">
      <c r="A69" s="5">
        <f t="shared" ref="A69:A75" si="31">A68+1</f>
        <v>44</v>
      </c>
      <c r="B69" t="s">
        <v>201</v>
      </c>
      <c r="D69" s="87">
        <v>12249</v>
      </c>
      <c r="E69" s="18">
        <f t="shared" si="30"/>
        <v>-12249</v>
      </c>
      <c r="F69" s="87">
        <v>0</v>
      </c>
      <c r="G69" s="18" t="s">
        <v>155</v>
      </c>
      <c r="H69" s="18">
        <v>49</v>
      </c>
      <c r="I69" s="18"/>
      <c r="J69" s="3">
        <f t="shared" si="29"/>
        <v>1526.5624499999997</v>
      </c>
      <c r="K69" s="55">
        <v>125643</v>
      </c>
      <c r="L69" s="55">
        <v>125643</v>
      </c>
      <c r="M69" s="55">
        <v>125643</v>
      </c>
      <c r="N69" s="55">
        <v>125643</v>
      </c>
      <c r="O69" s="55">
        <v>125643</v>
      </c>
      <c r="P69" s="55">
        <v>125643</v>
      </c>
      <c r="Q69" s="55">
        <v>125643</v>
      </c>
      <c r="R69" s="55">
        <v>125643</v>
      </c>
      <c r="S69" s="55">
        <v>125643</v>
      </c>
      <c r="T69" s="55">
        <v>131925.15</v>
      </c>
      <c r="U69" s="55">
        <v>131925.15</v>
      </c>
      <c r="V69" s="55">
        <v>131925.15</v>
      </c>
    </row>
    <row r="70" spans="1:22">
      <c r="A70" s="5">
        <f t="shared" si="31"/>
        <v>45</v>
      </c>
      <c r="B70" t="s">
        <v>24</v>
      </c>
      <c r="D70" s="87">
        <v>1499</v>
      </c>
      <c r="E70" s="18">
        <f t="shared" si="30"/>
        <v>-1499</v>
      </c>
      <c r="F70" s="87">
        <v>0</v>
      </c>
      <c r="G70" s="92"/>
      <c r="H70" s="18">
        <v>348</v>
      </c>
      <c r="I70" s="18"/>
      <c r="J70" s="3">
        <f t="shared" si="29"/>
        <v>1418.1357588420003</v>
      </c>
      <c r="K70" s="55">
        <v>152421.69840000002</v>
      </c>
      <c r="L70" s="55">
        <v>133564.00443200002</v>
      </c>
      <c r="M70" s="55">
        <v>121321.00700800002</v>
      </c>
      <c r="N70" s="55">
        <v>127511.46372000001</v>
      </c>
      <c r="O70" s="55">
        <v>111882.20964</v>
      </c>
      <c r="P70" s="55">
        <v>83672.462360000005</v>
      </c>
      <c r="Q70" s="55">
        <v>132712.63364000001</v>
      </c>
      <c r="R70" s="55">
        <v>127312.81360000001</v>
      </c>
      <c r="S70" s="55">
        <v>108514.70956000002</v>
      </c>
      <c r="T70" s="55">
        <v>83647.210961999997</v>
      </c>
      <c r="U70" s="55">
        <v>90670.44381360001</v>
      </c>
      <c r="V70" s="55">
        <v>144905.10170639999</v>
      </c>
    </row>
    <row r="71" spans="1:22">
      <c r="A71" s="5">
        <f t="shared" si="31"/>
        <v>46</v>
      </c>
      <c r="B71" t="s">
        <v>94</v>
      </c>
      <c r="D71" s="87">
        <v>1285</v>
      </c>
      <c r="E71" s="18">
        <f t="shared" si="30"/>
        <v>-1285</v>
      </c>
      <c r="F71" s="87">
        <v>0</v>
      </c>
      <c r="G71" s="18"/>
      <c r="H71" s="18">
        <v>8315</v>
      </c>
      <c r="I71" s="18"/>
      <c r="J71" s="3">
        <f t="shared" si="29"/>
        <v>45.222000000000001</v>
      </c>
      <c r="K71" s="55">
        <v>3768.5</v>
      </c>
      <c r="L71" s="55">
        <v>3768.5</v>
      </c>
      <c r="M71" s="55">
        <v>3768.5</v>
      </c>
      <c r="N71" s="55">
        <v>3768.5</v>
      </c>
      <c r="O71" s="55">
        <v>3768.5</v>
      </c>
      <c r="P71" s="55">
        <v>3768.5</v>
      </c>
      <c r="Q71" s="55">
        <v>3768.5</v>
      </c>
      <c r="R71" s="55">
        <v>3768.5</v>
      </c>
      <c r="S71" s="55">
        <v>3768.5</v>
      </c>
      <c r="T71" s="55">
        <v>3768.5</v>
      </c>
      <c r="U71" s="55">
        <v>3768.5</v>
      </c>
      <c r="V71" s="55">
        <v>3768.5</v>
      </c>
    </row>
    <row r="72" spans="1:22">
      <c r="A72" s="5">
        <f t="shared" si="31"/>
        <v>47</v>
      </c>
      <c r="B72" t="s">
        <v>93</v>
      </c>
      <c r="D72" s="87">
        <v>45</v>
      </c>
      <c r="E72" s="18">
        <f t="shared" si="30"/>
        <v>-45</v>
      </c>
      <c r="F72" s="87">
        <v>0</v>
      </c>
      <c r="G72" s="18"/>
      <c r="H72" s="18">
        <v>1245</v>
      </c>
      <c r="I72" s="18"/>
      <c r="J72" s="3">
        <f t="shared" si="29"/>
        <v>0</v>
      </c>
      <c r="K72" s="55">
        <f>$F73*1000/12</f>
        <v>0</v>
      </c>
      <c r="L72" s="55">
        <f>$F73*1000/12</f>
        <v>0</v>
      </c>
      <c r="M72" s="55">
        <f>$F73*1000/12</f>
        <v>0</v>
      </c>
      <c r="N72" s="55">
        <f>$F73*1000/12</f>
        <v>0</v>
      </c>
      <c r="O72" s="55">
        <f>$F73*1000/12</f>
        <v>0</v>
      </c>
      <c r="P72" s="55">
        <f>$F73*1000/12</f>
        <v>0</v>
      </c>
      <c r="Q72" s="55">
        <f>$F73*1000/12</f>
        <v>0</v>
      </c>
      <c r="R72" s="55">
        <f>$F73*1000/12</f>
        <v>0</v>
      </c>
      <c r="S72" s="55">
        <f>$F73*1000/12</f>
        <v>0</v>
      </c>
      <c r="T72" s="55">
        <f>$F73*1000/12</f>
        <v>0</v>
      </c>
      <c r="U72" s="55">
        <f>$F73*1000/12</f>
        <v>0</v>
      </c>
      <c r="V72" s="55">
        <f>$F73*1000/12</f>
        <v>0</v>
      </c>
    </row>
    <row r="73" spans="1:22">
      <c r="A73" s="5">
        <f t="shared" si="31"/>
        <v>48</v>
      </c>
      <c r="B73" t="s">
        <v>123</v>
      </c>
      <c r="D73" s="87">
        <v>134</v>
      </c>
      <c r="E73" s="18">
        <f t="shared" si="30"/>
        <v>-134</v>
      </c>
      <c r="F73" s="87">
        <v>0</v>
      </c>
      <c r="G73" s="92"/>
      <c r="H73" s="18">
        <v>1689</v>
      </c>
      <c r="I73" s="18"/>
      <c r="J73" s="3">
        <f t="shared" si="29"/>
        <v>558</v>
      </c>
      <c r="K73" s="55">
        <f>558000/12</f>
        <v>46500</v>
      </c>
      <c r="L73" s="55">
        <f t="shared" ref="L73:V73" si="32">558000/12</f>
        <v>46500</v>
      </c>
      <c r="M73" s="55">
        <f t="shared" si="32"/>
        <v>46500</v>
      </c>
      <c r="N73" s="55">
        <f t="shared" si="32"/>
        <v>46500</v>
      </c>
      <c r="O73" s="55">
        <f t="shared" si="32"/>
        <v>46500</v>
      </c>
      <c r="P73" s="55">
        <f t="shared" si="32"/>
        <v>46500</v>
      </c>
      <c r="Q73" s="55">
        <f t="shared" si="32"/>
        <v>46500</v>
      </c>
      <c r="R73" s="55">
        <f t="shared" si="32"/>
        <v>46500</v>
      </c>
      <c r="S73" s="55">
        <f t="shared" si="32"/>
        <v>46500</v>
      </c>
      <c r="T73" s="55">
        <f t="shared" si="32"/>
        <v>46500</v>
      </c>
      <c r="U73" s="55">
        <f t="shared" si="32"/>
        <v>46500</v>
      </c>
      <c r="V73" s="55">
        <f t="shared" si="32"/>
        <v>46500</v>
      </c>
    </row>
    <row r="74" spans="1:22">
      <c r="A74" s="5">
        <f t="shared" si="31"/>
        <v>49</v>
      </c>
      <c r="B74" t="s">
        <v>202</v>
      </c>
      <c r="C74" s="11"/>
      <c r="D74" s="87">
        <v>415</v>
      </c>
      <c r="E74" s="18">
        <f t="shared" si="30"/>
        <v>-415</v>
      </c>
      <c r="F74" s="87">
        <v>0</v>
      </c>
      <c r="G74" s="18"/>
      <c r="H74" s="18">
        <v>32.112000000000002</v>
      </c>
      <c r="I74" s="18"/>
      <c r="J74" s="83">
        <f t="shared" si="29"/>
        <v>642.58799999999997</v>
      </c>
      <c r="K74" s="101">
        <v>53549</v>
      </c>
      <c r="L74" s="101">
        <v>53549</v>
      </c>
      <c r="M74" s="101">
        <v>53549</v>
      </c>
      <c r="N74" s="101">
        <v>53549</v>
      </c>
      <c r="O74" s="101">
        <v>53549</v>
      </c>
      <c r="P74" s="101">
        <v>53549</v>
      </c>
      <c r="Q74" s="101">
        <v>53549</v>
      </c>
      <c r="R74" s="101">
        <v>53549</v>
      </c>
      <c r="S74" s="101">
        <v>53549</v>
      </c>
      <c r="T74" s="101">
        <v>53549</v>
      </c>
      <c r="U74" s="101">
        <v>53549</v>
      </c>
      <c r="V74" s="101">
        <v>53549</v>
      </c>
    </row>
    <row r="75" spans="1:22">
      <c r="A75" s="5">
        <f t="shared" si="31"/>
        <v>50</v>
      </c>
      <c r="B75" s="11" t="s">
        <v>28</v>
      </c>
      <c r="C75" s="11"/>
      <c r="D75" s="87">
        <v>643</v>
      </c>
      <c r="E75" s="18">
        <f t="shared" si="30"/>
        <v>-643</v>
      </c>
      <c r="F75" s="87">
        <v>0</v>
      </c>
      <c r="G75" s="18"/>
      <c r="H75" s="18"/>
      <c r="I75" s="18"/>
      <c r="J75" s="8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</row>
    <row r="76" spans="1:22">
      <c r="A76" s="5"/>
      <c r="B76" s="194" t="s">
        <v>309</v>
      </c>
      <c r="C76" s="11"/>
      <c r="D76" s="87">
        <v>0</v>
      </c>
      <c r="E76" s="18">
        <f t="shared" ref="E76" si="33">F76-D76</f>
        <v>17219</v>
      </c>
      <c r="F76" s="87">
        <v>17219</v>
      </c>
      <c r="G76" s="18"/>
      <c r="H76" s="18">
        <v>214</v>
      </c>
      <c r="I76" s="18"/>
      <c r="J76" s="3">
        <f t="shared" si="29"/>
        <v>16544.508208842002</v>
      </c>
      <c r="K76" s="24">
        <f t="shared" ref="K76:V76" si="34">SUM(K66:K74)</f>
        <v>1398602.1984000001</v>
      </c>
      <c r="L76" s="24">
        <f t="shared" si="34"/>
        <v>1379744.504432</v>
      </c>
      <c r="M76" s="24">
        <f t="shared" si="34"/>
        <v>1367501.507008</v>
      </c>
      <c r="N76" s="24">
        <f t="shared" si="34"/>
        <v>1373691.9637200001</v>
      </c>
      <c r="O76" s="24">
        <f t="shared" si="34"/>
        <v>1358062.70964</v>
      </c>
      <c r="P76" s="24">
        <f t="shared" si="34"/>
        <v>1329852.96236</v>
      </c>
      <c r="Q76" s="24">
        <f t="shared" si="34"/>
        <v>1378893.1336400001</v>
      </c>
      <c r="R76" s="24">
        <f t="shared" si="34"/>
        <v>1373493.3136</v>
      </c>
      <c r="S76" s="24">
        <f t="shared" si="34"/>
        <v>1354695.2095600001</v>
      </c>
      <c r="T76" s="24">
        <f t="shared" si="34"/>
        <v>1387229.860962</v>
      </c>
      <c r="U76" s="24">
        <f t="shared" si="34"/>
        <v>1394253.0938136</v>
      </c>
      <c r="V76" s="24">
        <f t="shared" si="34"/>
        <v>1448487.7517064</v>
      </c>
    </row>
    <row r="77" spans="1:22" ht="13.05" customHeight="1">
      <c r="A77" s="5">
        <f>A75+1</f>
        <v>51</v>
      </c>
      <c r="B77" t="s">
        <v>11</v>
      </c>
      <c r="D77" s="102">
        <f>SUM(D67:D76)</f>
        <v>17251</v>
      </c>
      <c r="E77" s="20">
        <f>F77-D77</f>
        <v>-32</v>
      </c>
      <c r="F77" s="20">
        <f>SUM(F67:F76)</f>
        <v>17219</v>
      </c>
      <c r="G77" s="18"/>
      <c r="H77" s="38">
        <v>643</v>
      </c>
      <c r="I77" s="18"/>
      <c r="J77" s="3"/>
    </row>
    <row r="78" spans="1:22" ht="12" customHeight="1">
      <c r="A78" s="5"/>
      <c r="D78" s="18">
        <v>17251</v>
      </c>
      <c r="E78" s="18"/>
      <c r="F78" s="18"/>
      <c r="G78" s="18"/>
      <c r="H78" s="18">
        <v>13307.111999999999</v>
      </c>
      <c r="I78" s="18"/>
      <c r="J78" s="3"/>
    </row>
    <row r="79" spans="1:22" ht="12" customHeight="1">
      <c r="A79" s="5"/>
      <c r="B79" s="6" t="s">
        <v>14</v>
      </c>
      <c r="D79" s="18"/>
      <c r="E79" s="18"/>
      <c r="F79" s="18"/>
      <c r="G79" s="87"/>
      <c r="H79" s="87"/>
      <c r="I79" s="18"/>
      <c r="J79" s="3">
        <f t="shared" ref="J79" si="35">SUM(K79:V79)/1000</f>
        <v>988.99999999999989</v>
      </c>
      <c r="K79" s="55">
        <f>$F80*1000/12</f>
        <v>82416.666666666672</v>
      </c>
      <c r="L79" s="55">
        <f>$F80*1000/12</f>
        <v>82416.666666666672</v>
      </c>
      <c r="M79" s="55">
        <f>$F80*1000/12</f>
        <v>82416.666666666672</v>
      </c>
      <c r="N79" s="55">
        <f>$F80*1000/12</f>
        <v>82416.666666666672</v>
      </c>
      <c r="O79" s="55">
        <f>$F80*1000/12</f>
        <v>82416.666666666672</v>
      </c>
      <c r="P79" s="55">
        <f>$F80*1000/12</f>
        <v>82416.666666666672</v>
      </c>
      <c r="Q79" s="55">
        <f>$F80*1000/12</f>
        <v>82416.666666666672</v>
      </c>
      <c r="R79" s="55">
        <f>$F80*1000/12</f>
        <v>82416.666666666672</v>
      </c>
      <c r="S79" s="55">
        <f>$F80*1000/12</f>
        <v>82416.666666666672</v>
      </c>
      <c r="T79" s="55">
        <f>$F80*1000/12</f>
        <v>82416.666666666672</v>
      </c>
      <c r="U79" s="55">
        <f>$F80*1000/12</f>
        <v>82416.666666666672</v>
      </c>
      <c r="V79" s="55">
        <f>$F80*1000/12</f>
        <v>82416.666666666672</v>
      </c>
    </row>
    <row r="80" spans="1:22" ht="12" customHeight="1">
      <c r="A80" s="5">
        <f>A77+1</f>
        <v>52</v>
      </c>
      <c r="B80" t="s">
        <v>103</v>
      </c>
      <c r="D80" s="87">
        <v>989</v>
      </c>
      <c r="E80" s="87">
        <f>F80-D80</f>
        <v>0</v>
      </c>
      <c r="F80" s="87">
        <v>989</v>
      </c>
      <c r="G80" s="18"/>
      <c r="H80" s="18"/>
      <c r="I80" s="18"/>
      <c r="J80" s="3"/>
    </row>
    <row r="81" spans="1:22" ht="12" customHeight="1">
      <c r="A81" s="5"/>
      <c r="D81" s="18"/>
      <c r="E81" s="18"/>
      <c r="F81" s="18"/>
      <c r="G81" s="18"/>
      <c r="H81" s="18">
        <v>133</v>
      </c>
      <c r="I81" s="18"/>
      <c r="J81" s="3"/>
    </row>
    <row r="82" spans="1:22" ht="12" customHeight="1">
      <c r="A82" s="5">
        <f>A80+1</f>
        <v>53</v>
      </c>
      <c r="B82" s="40" t="s">
        <v>15</v>
      </c>
      <c r="C82" s="34"/>
      <c r="D82" s="41">
        <f>D28+D38+D46+D61+D77+D80</f>
        <v>338580</v>
      </c>
      <c r="E82" s="41">
        <f>F82-D82</f>
        <v>-94104.97471333362</v>
      </c>
      <c r="F82" s="42">
        <f>F28+F38+F46+F61+F77+F80</f>
        <v>244475.02528666638</v>
      </c>
      <c r="G82" s="18"/>
      <c r="H82" s="38"/>
      <c r="I82" s="18"/>
      <c r="J82" s="3"/>
    </row>
    <row r="83" spans="1:22" ht="12" customHeight="1">
      <c r="A83" s="5"/>
      <c r="B83" s="2"/>
      <c r="D83" s="18"/>
      <c r="E83" s="18"/>
      <c r="F83" s="18"/>
      <c r="G83" s="18"/>
      <c r="H83" s="41">
        <v>188457.26014905036</v>
      </c>
      <c r="I83" s="18"/>
      <c r="J83" s="3"/>
      <c r="K83" s="46">
        <v>41274</v>
      </c>
      <c r="L83" s="46">
        <v>41305</v>
      </c>
      <c r="M83" s="46">
        <v>41333</v>
      </c>
      <c r="N83" s="46">
        <v>41364</v>
      </c>
      <c r="O83" s="46">
        <v>41394</v>
      </c>
      <c r="P83" s="46">
        <v>41425</v>
      </c>
      <c r="Q83" s="46">
        <v>41455</v>
      </c>
      <c r="R83" s="46">
        <v>41486</v>
      </c>
      <c r="S83" s="46">
        <v>41517</v>
      </c>
      <c r="T83" s="46">
        <v>41547</v>
      </c>
      <c r="U83" s="46">
        <v>41578</v>
      </c>
      <c r="V83" s="46">
        <v>41608</v>
      </c>
    </row>
    <row r="84" spans="1:22" ht="13.05" customHeight="1">
      <c r="A84" s="5"/>
      <c r="B84" s="6" t="s">
        <v>16</v>
      </c>
      <c r="D84" s="18"/>
      <c r="E84" s="18"/>
      <c r="F84" s="18"/>
      <c r="G84" s="18"/>
      <c r="H84" s="18"/>
      <c r="I84" s="17"/>
      <c r="J84" s="3">
        <f>SUM(K84:V84)/1000</f>
        <v>39356.478197088414</v>
      </c>
      <c r="K84" s="24">
        <f>-'WGJ-4'!D9</f>
        <v>3351427.6340484601</v>
      </c>
      <c r="L84" s="24">
        <f>-'WGJ-4'!E9</f>
        <v>2457856.4855720801</v>
      </c>
      <c r="M84" s="24">
        <f>-'WGJ-4'!F9</f>
        <v>3082852.1832466098</v>
      </c>
      <c r="N84" s="24">
        <f>-'WGJ-4'!G9</f>
        <v>5214365.0466918899</v>
      </c>
      <c r="O84" s="24">
        <f>-'WGJ-4'!H9</f>
        <v>4477871.6865539504</v>
      </c>
      <c r="P84" s="24">
        <f>-'WGJ-4'!I9</f>
        <v>2412332.0132017103</v>
      </c>
      <c r="Q84" s="24">
        <f>-'WGJ-4'!J9</f>
        <v>3334983.9740753099</v>
      </c>
      <c r="R84" s="24">
        <f>-'WGJ-4'!K9</f>
        <v>2256416.1582946698</v>
      </c>
      <c r="S84" s="24">
        <f>-'WGJ-4'!L9</f>
        <v>2844487.78839111</v>
      </c>
      <c r="T84" s="24">
        <f>-'WGJ-4'!M9</f>
        <v>1915938.96694183</v>
      </c>
      <c r="U84" s="24">
        <f>-'WGJ-4'!N9</f>
        <v>3096587.5244140602</v>
      </c>
      <c r="V84" s="24">
        <f>-'WGJ-4'!O9</f>
        <v>4911358.7356567299</v>
      </c>
    </row>
    <row r="85" spans="1:22" ht="13.05" customHeight="1">
      <c r="A85" s="5">
        <f>A82+1</f>
        <v>54</v>
      </c>
      <c r="B85" t="s">
        <v>151</v>
      </c>
      <c r="D85" s="87">
        <v>0</v>
      </c>
      <c r="E85" s="18">
        <f t="shared" ref="E85:E94" si="36">F85-D85</f>
        <v>0</v>
      </c>
      <c r="F85" s="18">
        <v>0</v>
      </c>
      <c r="G85" s="18"/>
      <c r="H85" s="18"/>
      <c r="I85" s="17"/>
      <c r="J85" s="3">
        <f>SUM(K85:V85)/1000</f>
        <v>0</v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ht="13.05" customHeight="1">
      <c r="A86" s="5">
        <f t="shared" ref="A86:A94" si="37">A85+1</f>
        <v>55</v>
      </c>
      <c r="B86" t="s">
        <v>178</v>
      </c>
      <c r="D86" s="87">
        <v>82549</v>
      </c>
      <c r="E86" s="18">
        <f t="shared" si="36"/>
        <v>-82549</v>
      </c>
      <c r="F86" s="125">
        <v>0</v>
      </c>
      <c r="G86" s="18"/>
      <c r="H86" s="18"/>
      <c r="I86" s="17"/>
      <c r="J86" s="3">
        <f>SUM(K86:V86)/1000</f>
        <v>3554.4774946449015</v>
      </c>
      <c r="K86" s="24">
        <v>147609.98384451942</v>
      </c>
      <c r="L86" s="24">
        <v>200050.05664043096</v>
      </c>
      <c r="M86" s="24">
        <v>258562.30253074289</v>
      </c>
      <c r="N86" s="24">
        <v>454757.68638551026</v>
      </c>
      <c r="O86" s="24">
        <v>626631.0889244061</v>
      </c>
      <c r="P86" s="24">
        <v>679554.7420620881</v>
      </c>
      <c r="Q86" s="24">
        <v>396840.40910042811</v>
      </c>
      <c r="R86" s="24">
        <v>190471.73370886731</v>
      </c>
      <c r="S86" s="24">
        <v>159376.61876971816</v>
      </c>
      <c r="T86" s="24">
        <v>212017.76163480221</v>
      </c>
      <c r="U86" s="24">
        <v>172020.77126321368</v>
      </c>
      <c r="V86" s="24">
        <v>56584.339780174203</v>
      </c>
    </row>
    <row r="87" spans="1:22">
      <c r="A87" s="5">
        <f t="shared" si="37"/>
        <v>56</v>
      </c>
      <c r="B87" t="s">
        <v>177</v>
      </c>
      <c r="D87" s="87">
        <v>0</v>
      </c>
      <c r="E87" s="18">
        <f t="shared" si="36"/>
        <v>0</v>
      </c>
      <c r="F87" s="125">
        <v>0</v>
      </c>
      <c r="G87" s="18"/>
      <c r="H87" s="18"/>
      <c r="I87" s="18"/>
      <c r="J87" s="3">
        <f t="shared" ref="J87:J95" si="38">SUM(K87:V87)/1000</f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</row>
    <row r="88" spans="1:22">
      <c r="A88" s="5">
        <f t="shared" si="37"/>
        <v>57</v>
      </c>
      <c r="B88" s="143" t="s">
        <v>234</v>
      </c>
      <c r="D88" s="87">
        <v>19278</v>
      </c>
      <c r="E88" s="18">
        <f t="shared" si="36"/>
        <v>-19278</v>
      </c>
      <c r="F88" s="87">
        <v>0</v>
      </c>
      <c r="G88" s="114" t="s">
        <v>119</v>
      </c>
      <c r="H88" s="95">
        <v>1800</v>
      </c>
      <c r="I88" s="91" t="s">
        <v>119</v>
      </c>
      <c r="J88" s="3">
        <f t="shared" si="38"/>
        <v>1317.7053800199405</v>
      </c>
      <c r="K88" s="24">
        <f>Index!D16</f>
        <v>124569.27618552468</v>
      </c>
      <c r="L88" s="24">
        <f>Index!E16</f>
        <v>102887.97148259163</v>
      </c>
      <c r="M88" s="24">
        <f>Index!F16</f>
        <v>107384.71268458519</v>
      </c>
      <c r="N88" s="24">
        <f>Index!G16</f>
        <v>84415.372777676443</v>
      </c>
      <c r="O88" s="24">
        <f>Index!H16</f>
        <v>75213.576255683845</v>
      </c>
      <c r="P88" s="24">
        <f>Index!I16</f>
        <v>69599.396467319471</v>
      </c>
      <c r="Q88" s="24">
        <f>Index!J16</f>
        <v>115362.0701252334</v>
      </c>
      <c r="R88" s="24">
        <f>Index!K16</f>
        <v>135889.5643526286</v>
      </c>
      <c r="S88" s="24">
        <f>Index!L16</f>
        <v>122870.99249935614</v>
      </c>
      <c r="T88" s="24">
        <f>Index!M16</f>
        <v>114862.70751870262</v>
      </c>
      <c r="U88" s="24">
        <f>Index!N16</f>
        <v>121131.21858830201</v>
      </c>
      <c r="V88" s="24">
        <f>Index!O16</f>
        <v>143518.52108233658</v>
      </c>
    </row>
    <row r="89" spans="1:22">
      <c r="A89" s="5">
        <f t="shared" si="37"/>
        <v>58</v>
      </c>
      <c r="B89" t="s">
        <v>29</v>
      </c>
      <c r="D89" s="95">
        <v>953</v>
      </c>
      <c r="E89" s="18">
        <f t="shared" si="36"/>
        <v>-953</v>
      </c>
      <c r="F89" s="87">
        <v>0</v>
      </c>
      <c r="G89" s="19"/>
      <c r="H89" s="19">
        <v>-63</v>
      </c>
      <c r="J89" s="3">
        <f t="shared" si="38"/>
        <v>0</v>
      </c>
      <c r="K89" s="24">
        <f>$F90/12*1000</f>
        <v>0</v>
      </c>
      <c r="L89" s="24">
        <f>$F90/12*1000</f>
        <v>0</v>
      </c>
      <c r="M89" s="24">
        <f>$F90/12*1000</f>
        <v>0</v>
      </c>
      <c r="N89" s="24">
        <f>$F90/12*1000</f>
        <v>0</v>
      </c>
      <c r="O89" s="24">
        <f>$F90/12*1000</f>
        <v>0</v>
      </c>
      <c r="P89" s="24">
        <f>$F90/12*1000</f>
        <v>0</v>
      </c>
      <c r="Q89" s="24">
        <f>$F90/12*1000</f>
        <v>0</v>
      </c>
      <c r="R89" s="24">
        <f>$F90/12*1000</f>
        <v>0</v>
      </c>
      <c r="S89" s="24">
        <f>$F90/12*1000</f>
        <v>0</v>
      </c>
      <c r="T89" s="24">
        <f>$F90/12*1000</f>
        <v>0</v>
      </c>
      <c r="U89" s="24">
        <f>$F90/12*1000</f>
        <v>0</v>
      </c>
      <c r="V89" s="24">
        <f>$F90/12*1000</f>
        <v>0</v>
      </c>
    </row>
    <row r="90" spans="1:22">
      <c r="A90" s="5">
        <f t="shared" si="37"/>
        <v>59</v>
      </c>
      <c r="B90" t="s">
        <v>117</v>
      </c>
      <c r="D90" s="95">
        <v>150</v>
      </c>
      <c r="E90" s="18">
        <f t="shared" si="36"/>
        <v>-150</v>
      </c>
      <c r="F90" s="87">
        <v>0</v>
      </c>
      <c r="G90" s="76"/>
      <c r="H90" s="76">
        <v>272</v>
      </c>
      <c r="J90" s="3">
        <f t="shared" si="38"/>
        <v>0</v>
      </c>
      <c r="K90" s="24">
        <f>$F91/12*1000</f>
        <v>0</v>
      </c>
      <c r="L90" s="24">
        <f>$F91/12*1000</f>
        <v>0</v>
      </c>
      <c r="M90" s="24">
        <f>$F91/12*1000</f>
        <v>0</v>
      </c>
      <c r="N90" s="24">
        <f>$F91/12*1000</f>
        <v>0</v>
      </c>
      <c r="O90" s="24">
        <f>$F91/12*1000</f>
        <v>0</v>
      </c>
      <c r="P90" s="24">
        <f>$F91/12*1000</f>
        <v>0</v>
      </c>
      <c r="Q90" s="24">
        <f>$F91/12*1000</f>
        <v>0</v>
      </c>
      <c r="R90" s="24">
        <f>$F91/12*1000</f>
        <v>0</v>
      </c>
      <c r="S90" s="24">
        <f>$F91/12*1000</f>
        <v>0</v>
      </c>
      <c r="T90" s="24">
        <f>$F91/12*1000</f>
        <v>0</v>
      </c>
      <c r="U90" s="24">
        <f>$F91/12*1000</f>
        <v>0</v>
      </c>
      <c r="V90" s="24">
        <f>$F91/12*1000</f>
        <v>0</v>
      </c>
    </row>
    <row r="91" spans="1:22">
      <c r="A91" s="5">
        <f t="shared" si="37"/>
        <v>60</v>
      </c>
      <c r="B91" t="s">
        <v>30</v>
      </c>
      <c r="D91" s="95">
        <v>601</v>
      </c>
      <c r="E91" s="18">
        <f t="shared" si="36"/>
        <v>-601</v>
      </c>
      <c r="F91" s="87">
        <v>0</v>
      </c>
      <c r="G91" s="19"/>
      <c r="H91" s="19"/>
      <c r="J91" s="3">
        <f t="shared" si="38"/>
        <v>12023.396474511612</v>
      </c>
      <c r="K91" s="24">
        <f>Index!D21</f>
        <v>1113046.6045904148</v>
      </c>
      <c r="L91" s="24">
        <f>Index!E21</f>
        <v>935690.13925552275</v>
      </c>
      <c r="M91" s="24">
        <f>Index!F21</f>
        <v>988568.73505353834</v>
      </c>
      <c r="N91" s="24">
        <f>Index!G21</f>
        <v>808643.00951957575</v>
      </c>
      <c r="O91" s="24">
        <f>Index!H21</f>
        <v>752531.51869296876</v>
      </c>
      <c r="P91" s="24">
        <f>Index!I21</f>
        <v>704314.39361572172</v>
      </c>
      <c r="Q91" s="24">
        <f>Index!J21</f>
        <v>1041836.0441207878</v>
      </c>
      <c r="R91" s="24">
        <f>Index!K21</f>
        <v>1202607.481927871</v>
      </c>
      <c r="S91" s="24">
        <f>Index!L21</f>
        <v>1097578.9026260367</v>
      </c>
      <c r="T91" s="24">
        <f>Index!M21</f>
        <v>1041402.5899887073</v>
      </c>
      <c r="U91" s="24">
        <f>Index!N21</f>
        <v>1084866.4755821221</v>
      </c>
      <c r="V91" s="24">
        <f>Index!O21</f>
        <v>1252310.5795383449</v>
      </c>
    </row>
    <row r="92" spans="1:22">
      <c r="A92" s="5">
        <f t="shared" si="37"/>
        <v>61</v>
      </c>
      <c r="B92" t="s">
        <v>228</v>
      </c>
      <c r="D92" s="95">
        <v>13462</v>
      </c>
      <c r="E92" s="18">
        <f t="shared" si="36"/>
        <v>-13462</v>
      </c>
      <c r="F92" s="87">
        <v>0</v>
      </c>
      <c r="G92" s="19"/>
      <c r="H92" s="19"/>
      <c r="J92" s="3">
        <f t="shared" si="38"/>
        <v>525.64186768531602</v>
      </c>
      <c r="K92" s="24">
        <v>41169.02837753301</v>
      </c>
      <c r="L92" s="24">
        <v>36513.082122801992</v>
      </c>
      <c r="M92" s="24">
        <v>40991.740226746006</v>
      </c>
      <c r="N92" s="24">
        <v>39135.485935210992</v>
      </c>
      <c r="O92" s="24">
        <v>46221.640110015986</v>
      </c>
      <c r="P92" s="24">
        <v>64191.032075882009</v>
      </c>
      <c r="Q92" s="24">
        <v>50951.742553709977</v>
      </c>
      <c r="R92" s="24">
        <v>44806.467247008979</v>
      </c>
      <c r="S92" s="24">
        <v>39912.834739684993</v>
      </c>
      <c r="T92" s="24">
        <v>40562.511157990004</v>
      </c>
      <c r="U92" s="24">
        <v>39637.582778930009</v>
      </c>
      <c r="V92" s="24">
        <v>41548.720359801991</v>
      </c>
    </row>
    <row r="93" spans="1:22">
      <c r="A93" s="5">
        <f t="shared" si="37"/>
        <v>62</v>
      </c>
      <c r="B93" t="s">
        <v>233</v>
      </c>
      <c r="D93" s="95">
        <v>0</v>
      </c>
      <c r="E93" s="18">
        <f t="shared" si="36"/>
        <v>0</v>
      </c>
      <c r="F93" s="87">
        <v>0</v>
      </c>
      <c r="G93" s="19"/>
      <c r="H93" s="19"/>
      <c r="J93" s="3">
        <f t="shared" si="38"/>
        <v>0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>
      <c r="A94" s="5">
        <f t="shared" si="37"/>
        <v>63</v>
      </c>
      <c r="B94" s="11" t="s">
        <v>222</v>
      </c>
      <c r="C94" s="11"/>
      <c r="D94" s="87">
        <v>1823</v>
      </c>
      <c r="E94" s="18">
        <f t="shared" si="36"/>
        <v>-1823</v>
      </c>
      <c r="F94" s="18">
        <v>0</v>
      </c>
      <c r="G94" s="19"/>
      <c r="H94" s="19"/>
      <c r="J94" s="3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1:22">
      <c r="A95" s="5"/>
      <c r="B95" s="194" t="s">
        <v>310</v>
      </c>
      <c r="C95" s="11"/>
      <c r="D95" s="87">
        <v>0</v>
      </c>
      <c r="E95" s="18">
        <f t="shared" ref="E95" si="39">F95-D95</f>
        <v>88018</v>
      </c>
      <c r="F95" s="18">
        <v>88018</v>
      </c>
      <c r="G95" s="18"/>
      <c r="H95" s="38">
        <v>0</v>
      </c>
      <c r="I95" s="18"/>
      <c r="J95" s="3">
        <f t="shared" si="38"/>
        <v>56777.699413950191</v>
      </c>
      <c r="K95" s="24">
        <f t="shared" ref="K95:V95" si="40">SUM(K84:K93)</f>
        <v>4777822.5270464523</v>
      </c>
      <c r="L95" s="24">
        <f t="shared" si="40"/>
        <v>3732997.7350734272</v>
      </c>
      <c r="M95" s="24">
        <f t="shared" si="40"/>
        <v>4478359.6737422217</v>
      </c>
      <c r="N95" s="24">
        <f t="shared" si="40"/>
        <v>6601316.6013098639</v>
      </c>
      <c r="O95" s="24">
        <f t="shared" si="40"/>
        <v>5978469.5105370246</v>
      </c>
      <c r="P95" s="24">
        <f t="shared" si="40"/>
        <v>3929991.5774227218</v>
      </c>
      <c r="Q95" s="24">
        <f t="shared" si="40"/>
        <v>4939974.2399754692</v>
      </c>
      <c r="R95" s="24">
        <f t="shared" si="40"/>
        <v>3830191.4055310455</v>
      </c>
      <c r="S95" s="24">
        <f t="shared" si="40"/>
        <v>4264227.1370259058</v>
      </c>
      <c r="T95" s="24">
        <f t="shared" si="40"/>
        <v>3324784.5372420321</v>
      </c>
      <c r="U95" s="24">
        <f t="shared" si="40"/>
        <v>4514243.572626628</v>
      </c>
      <c r="V95" s="24">
        <f t="shared" si="40"/>
        <v>6405320.8964173887</v>
      </c>
    </row>
    <row r="96" spans="1:22">
      <c r="A96" s="5">
        <f>A94+1</f>
        <v>64</v>
      </c>
      <c r="B96" t="s">
        <v>17</v>
      </c>
      <c r="D96" s="20">
        <f>SUM(D85:D95)</f>
        <v>118816</v>
      </c>
      <c r="E96" s="20">
        <f>F96-D96</f>
        <v>-30798</v>
      </c>
      <c r="F96" s="20">
        <f>SUM(F85:F95)</f>
        <v>88018</v>
      </c>
      <c r="G96" s="18"/>
      <c r="H96" s="18">
        <v>62060.890920372694</v>
      </c>
      <c r="I96" s="1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>
      <c r="A97" s="5"/>
      <c r="D97" s="18">
        <v>118816</v>
      </c>
      <c r="E97" s="18"/>
      <c r="F97" s="18"/>
      <c r="G97" s="18"/>
      <c r="H97" s="18"/>
      <c r="I97" s="18"/>
      <c r="J97" s="3"/>
    </row>
    <row r="98" spans="1:22">
      <c r="A98" s="5"/>
      <c r="B98" s="6" t="s">
        <v>18</v>
      </c>
      <c r="D98" s="18"/>
      <c r="E98" s="18" t="s">
        <v>9</v>
      </c>
      <c r="F98" s="18"/>
      <c r="G98" s="87"/>
      <c r="H98" s="87"/>
      <c r="I98" s="18"/>
      <c r="J98" s="3"/>
      <c r="K98" s="24">
        <f>850000/12</f>
        <v>70833.333333333328</v>
      </c>
      <c r="L98" s="24">
        <f t="shared" ref="L98:V98" si="41">850000/12</f>
        <v>70833.333333333328</v>
      </c>
      <c r="M98" s="24">
        <f t="shared" si="41"/>
        <v>70833.333333333328</v>
      </c>
      <c r="N98" s="24">
        <f t="shared" si="41"/>
        <v>70833.333333333328</v>
      </c>
      <c r="O98" s="24">
        <f t="shared" si="41"/>
        <v>70833.333333333328</v>
      </c>
      <c r="P98" s="24">
        <f t="shared" si="41"/>
        <v>70833.333333333328</v>
      </c>
      <c r="Q98" s="24">
        <f t="shared" si="41"/>
        <v>70833.333333333328</v>
      </c>
      <c r="R98" s="24">
        <f t="shared" si="41"/>
        <v>70833.333333333328</v>
      </c>
      <c r="S98" s="24">
        <f t="shared" si="41"/>
        <v>70833.333333333328</v>
      </c>
      <c r="T98" s="24">
        <f t="shared" si="41"/>
        <v>70833.333333333328</v>
      </c>
      <c r="U98" s="24">
        <f t="shared" si="41"/>
        <v>70833.333333333328</v>
      </c>
      <c r="V98" s="24">
        <f t="shared" si="41"/>
        <v>70833.333333333328</v>
      </c>
    </row>
    <row r="99" spans="1:22">
      <c r="A99" s="5">
        <f>A96+1</f>
        <v>65</v>
      </c>
      <c r="B99" t="s">
        <v>205</v>
      </c>
      <c r="D99" s="87">
        <v>5355</v>
      </c>
      <c r="E99" s="87">
        <f>F99-D99</f>
        <v>-5355</v>
      </c>
      <c r="F99" s="87">
        <v>0</v>
      </c>
      <c r="G99" s="87"/>
      <c r="H99" s="87"/>
      <c r="I99" s="18"/>
      <c r="J99" s="3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</row>
    <row r="100" spans="1:22">
      <c r="A100" s="5">
        <f>A99+1</f>
        <v>66</v>
      </c>
      <c r="B100" t="s">
        <v>224</v>
      </c>
      <c r="D100" s="87">
        <v>0</v>
      </c>
      <c r="E100" s="87">
        <f>F100-D100</f>
        <v>0</v>
      </c>
      <c r="F100" s="87">
        <v>0</v>
      </c>
      <c r="G100" s="18"/>
      <c r="H100" s="18">
        <v>48</v>
      </c>
      <c r="I100" s="18"/>
      <c r="J100" s="3"/>
    </row>
    <row r="101" spans="1:22">
      <c r="A101" s="5">
        <f t="shared" ref="A101" si="42">A100+1</f>
        <v>67</v>
      </c>
      <c r="B101" s="11" t="s">
        <v>95</v>
      </c>
      <c r="C101" s="11"/>
      <c r="D101" s="87">
        <v>79528</v>
      </c>
      <c r="E101" s="18">
        <f>F101-D101</f>
        <v>-79528</v>
      </c>
      <c r="F101" s="18">
        <v>0</v>
      </c>
      <c r="G101" s="18"/>
      <c r="H101" s="18"/>
      <c r="I101" s="18"/>
      <c r="J101" s="3"/>
    </row>
    <row r="102" spans="1:22">
      <c r="A102" s="5"/>
      <c r="B102" s="194" t="s">
        <v>311</v>
      </c>
      <c r="C102" s="11"/>
      <c r="D102" s="87">
        <v>17263</v>
      </c>
      <c r="E102" s="18">
        <f>F102-D102</f>
        <v>-1461</v>
      </c>
      <c r="F102" s="18">
        <v>15802</v>
      </c>
      <c r="G102" s="18"/>
      <c r="H102" s="18">
        <v>0</v>
      </c>
      <c r="I102" s="18"/>
      <c r="J102" s="3"/>
    </row>
    <row r="103" spans="1:22" ht="13.2" customHeight="1">
      <c r="A103" s="5">
        <f>A101+1</f>
        <v>68</v>
      </c>
      <c r="B103" t="s">
        <v>19</v>
      </c>
      <c r="D103" s="102">
        <f>SUM(D99:D102)</f>
        <v>102146</v>
      </c>
      <c r="E103" s="20">
        <f>F103-D103</f>
        <v>-86344</v>
      </c>
      <c r="F103" s="20">
        <f>SUM(F99:F102)</f>
        <v>15802</v>
      </c>
      <c r="G103" s="18"/>
      <c r="H103" s="38">
        <v>0</v>
      </c>
      <c r="I103" s="18"/>
      <c r="J103" s="3"/>
    </row>
    <row r="104" spans="1:22">
      <c r="A104" s="5" t="s">
        <v>9</v>
      </c>
      <c r="D104" s="18"/>
      <c r="E104" s="18"/>
      <c r="F104" s="18"/>
      <c r="G104" s="18"/>
      <c r="H104" s="18">
        <v>48</v>
      </c>
      <c r="I104" s="18"/>
      <c r="J104" s="3"/>
    </row>
    <row r="105" spans="1:22">
      <c r="A105" s="5"/>
      <c r="B105" s="43" t="s">
        <v>27</v>
      </c>
      <c r="D105" s="18"/>
      <c r="E105" s="18"/>
      <c r="F105" s="18" t="s">
        <v>9</v>
      </c>
      <c r="G105" s="87"/>
      <c r="H105" s="87"/>
      <c r="I105" s="18"/>
      <c r="J105" s="3">
        <f t="shared" ref="J105" si="43">SUM(K105:V105)/1000</f>
        <v>357</v>
      </c>
      <c r="K105" s="55">
        <f>$F106*1000/12</f>
        <v>29750</v>
      </c>
      <c r="L105" s="55">
        <f>$F106*1000/12</f>
        <v>29750</v>
      </c>
      <c r="M105" s="55">
        <f>$F106*1000/12</f>
        <v>29750</v>
      </c>
      <c r="N105" s="55">
        <f>$F106*1000/12</f>
        <v>29750</v>
      </c>
      <c r="O105" s="55">
        <f>$F106*1000/12</f>
        <v>29750</v>
      </c>
      <c r="P105" s="55">
        <f>$F106*1000/12</f>
        <v>29750</v>
      </c>
      <c r="Q105" s="55">
        <f>$F106*1000/12</f>
        <v>29750</v>
      </c>
      <c r="R105" s="55">
        <f>$F106*1000/12</f>
        <v>29750</v>
      </c>
      <c r="S105" s="55">
        <f>$F106*1000/12</f>
        <v>29750</v>
      </c>
      <c r="T105" s="55">
        <f>$F106*1000/12</f>
        <v>29750</v>
      </c>
      <c r="U105" s="55">
        <f>$F106*1000/12</f>
        <v>29750</v>
      </c>
      <c r="V105" s="55">
        <f>$F106*1000/12</f>
        <v>29750</v>
      </c>
    </row>
    <row r="106" spans="1:22" ht="13.2" customHeight="1">
      <c r="A106" s="5">
        <f>A103+1</f>
        <v>69</v>
      </c>
      <c r="B106" t="s">
        <v>25</v>
      </c>
      <c r="D106" s="87">
        <v>357</v>
      </c>
      <c r="E106" s="87">
        <f>F106-D106</f>
        <v>0</v>
      </c>
      <c r="F106" s="87">
        <v>357</v>
      </c>
      <c r="G106" s="18"/>
      <c r="H106" s="18" t="s">
        <v>9</v>
      </c>
      <c r="I106" s="18"/>
      <c r="J106" s="3"/>
    </row>
    <row r="107" spans="1:22" ht="13.2" customHeight="1">
      <c r="A107" s="5"/>
      <c r="D107" s="87"/>
      <c r="E107" s="18"/>
      <c r="F107" s="87"/>
      <c r="G107" s="18"/>
      <c r="H107" s="18"/>
      <c r="I107" s="18"/>
      <c r="J107" s="3"/>
    </row>
    <row r="108" spans="1:22">
      <c r="A108" s="5"/>
      <c r="D108" s="18"/>
      <c r="E108" s="18"/>
      <c r="F108" s="18"/>
      <c r="G108" s="18"/>
      <c r="H108" s="18">
        <v>24</v>
      </c>
      <c r="I108" s="18"/>
      <c r="J108" s="3"/>
    </row>
    <row r="109" spans="1:22" ht="13.2" customHeight="1">
      <c r="A109" s="5">
        <f>A106+1</f>
        <v>70</v>
      </c>
      <c r="B109" s="40" t="s">
        <v>20</v>
      </c>
      <c r="C109" s="34"/>
      <c r="D109" s="41">
        <f>D96+D103+D106</f>
        <v>221319</v>
      </c>
      <c r="E109" s="41">
        <f>F109-D109</f>
        <v>-117142</v>
      </c>
      <c r="F109" s="42">
        <f>F96+F103+F106</f>
        <v>104177</v>
      </c>
      <c r="G109" s="18"/>
      <c r="H109" s="18"/>
      <c r="I109" s="18"/>
      <c r="J109" s="3"/>
    </row>
    <row r="110" spans="1:22">
      <c r="A110" s="5"/>
      <c r="D110" s="18"/>
      <c r="E110" s="18"/>
      <c r="F110" s="18"/>
      <c r="G110" s="18"/>
      <c r="H110" s="41">
        <v>62497.890920372694</v>
      </c>
      <c r="I110" s="18"/>
      <c r="J110" s="3"/>
    </row>
    <row r="111" spans="1:22" ht="13.2" customHeight="1">
      <c r="A111" s="5">
        <f>A109+1</f>
        <v>71</v>
      </c>
      <c r="B111" s="40" t="s">
        <v>139</v>
      </c>
      <c r="C111" s="34"/>
      <c r="D111" s="41">
        <f>D82-D109</f>
        <v>117261</v>
      </c>
      <c r="E111" s="41">
        <f>F111-D111</f>
        <v>23037.02528666638</v>
      </c>
      <c r="F111" s="42">
        <f>F82-F109</f>
        <v>140298.02528666638</v>
      </c>
      <c r="G111" s="18"/>
      <c r="H111" s="18"/>
      <c r="I111" s="18"/>
      <c r="J111" s="3"/>
    </row>
    <row r="112" spans="1:22" ht="12.75" customHeight="1">
      <c r="A112" s="5"/>
      <c r="D112" s="18"/>
      <c r="E112" s="18"/>
      <c r="F112" s="18"/>
      <c r="G112" s="18"/>
      <c r="H112" s="18"/>
      <c r="I112" s="18"/>
      <c r="J112" s="3"/>
    </row>
    <row r="113" spans="1:22" ht="13.8" customHeight="1">
      <c r="A113" s="5"/>
      <c r="B113" s="2"/>
      <c r="D113" s="18"/>
      <c r="E113" s="141">
        <f>F111/D111-1</f>
        <v>0.19645939644610211</v>
      </c>
      <c r="G113" s="18"/>
      <c r="H113" s="18"/>
      <c r="I113" s="18"/>
      <c r="J113" s="3"/>
    </row>
    <row r="114" spans="1:22" ht="12.75" customHeight="1">
      <c r="A114" s="5"/>
      <c r="D114" s="18"/>
      <c r="F114"/>
      <c r="J114" s="3"/>
    </row>
    <row r="115" spans="1:22">
      <c r="A115" s="5"/>
      <c r="B115" s="71" t="s">
        <v>315</v>
      </c>
      <c r="C115" s="142">
        <v>8427</v>
      </c>
      <c r="D115" s="3">
        <f>D28+D38-D32-D34-D35+D46+D61+D77-D96-D103</f>
        <v>116192</v>
      </c>
      <c r="E115" s="3">
        <f>F115-D115</f>
        <v>24732.02528666638</v>
      </c>
      <c r="F115" s="3">
        <f>F28+F38-F32-F34-F35+F46+F61+F77-F96-F103</f>
        <v>140924.02528666638</v>
      </c>
      <c r="J115" s="3"/>
    </row>
    <row r="116" spans="1:22">
      <c r="B116" s="71" t="s">
        <v>314</v>
      </c>
      <c r="C116" s="142">
        <v>3435</v>
      </c>
      <c r="D116">
        <v>0.6573</v>
      </c>
      <c r="F116">
        <v>0.6573</v>
      </c>
      <c r="I116" s="19" t="s">
        <v>229</v>
      </c>
      <c r="J116" s="24">
        <f>SUM(K116:V116)</f>
        <v>183754469.11223862</v>
      </c>
      <c r="K116" s="24">
        <f t="shared" ref="K116:V116" si="44">K28+K45+K60-K95</f>
        <v>20157084.941057164</v>
      </c>
      <c r="L116" s="24">
        <f t="shared" si="44"/>
        <v>18344812.973974884</v>
      </c>
      <c r="M116" s="24">
        <f t="shared" si="44"/>
        <v>16977977.409521647</v>
      </c>
      <c r="N116" s="24">
        <f t="shared" si="44"/>
        <v>11952400.592613826</v>
      </c>
      <c r="O116" s="24">
        <f t="shared" si="44"/>
        <v>8371741.026212249</v>
      </c>
      <c r="P116" s="24">
        <f t="shared" si="44"/>
        <v>9006863.2393760197</v>
      </c>
      <c r="Q116" s="24">
        <f t="shared" si="44"/>
        <v>12304088.986981658</v>
      </c>
      <c r="R116" s="24">
        <f t="shared" si="44"/>
        <v>16562066.70572342</v>
      </c>
      <c r="S116" s="24">
        <f t="shared" si="44"/>
        <v>14678948.344074601</v>
      </c>
      <c r="T116" s="24">
        <f t="shared" si="44"/>
        <v>16063243.227889977</v>
      </c>
      <c r="U116" s="24">
        <f t="shared" si="44"/>
        <v>19390010.193955809</v>
      </c>
      <c r="V116" s="24">
        <f t="shared" si="44"/>
        <v>19945231.470857359</v>
      </c>
    </row>
    <row r="117" spans="1:22">
      <c r="B117" s="71" t="s">
        <v>316</v>
      </c>
      <c r="C117" s="142">
        <v>1279</v>
      </c>
      <c r="D117" s="142">
        <f>D115*D116</f>
        <v>76373.001600000003</v>
      </c>
      <c r="F117" s="142">
        <f>F115*F116</f>
        <v>92629.361820925813</v>
      </c>
      <c r="J117" s="3"/>
    </row>
    <row r="118" spans="1:22">
      <c r="B118" s="71" t="s">
        <v>317</v>
      </c>
      <c r="C118" s="142">
        <f>1834*0.6471</f>
        <v>1186.7814000000001</v>
      </c>
      <c r="D118" s="3">
        <f>D32+D34+D35</f>
        <v>437</v>
      </c>
      <c r="F118" s="3">
        <f>F32+F34+F35</f>
        <v>-1258</v>
      </c>
      <c r="I118" s="19" t="s">
        <v>230</v>
      </c>
      <c r="J118" s="24">
        <f>SUM(K118:V118)</f>
        <v>201337977.3210806</v>
      </c>
      <c r="K118" s="24">
        <f t="shared" ref="K118:V118" si="45">K116+K37+K76+K79-K105</f>
        <v>21642270.472790498</v>
      </c>
      <c r="L118" s="24">
        <f t="shared" si="45"/>
        <v>19811140.81174022</v>
      </c>
      <c r="M118" s="24">
        <f t="shared" si="45"/>
        <v>18432062.249862984</v>
      </c>
      <c r="N118" s="24">
        <f t="shared" si="45"/>
        <v>13412675.889667157</v>
      </c>
      <c r="O118" s="24">
        <f t="shared" si="45"/>
        <v>9816387.0691855811</v>
      </c>
      <c r="P118" s="24">
        <f t="shared" si="45"/>
        <v>10423299.535069352</v>
      </c>
      <c r="Q118" s="24">
        <f t="shared" si="45"/>
        <v>13769565.453954991</v>
      </c>
      <c r="R118" s="24">
        <f t="shared" si="45"/>
        <v>18022143.352656756</v>
      </c>
      <c r="S118" s="24">
        <f t="shared" si="45"/>
        <v>16120226.886967933</v>
      </c>
      <c r="T118" s="24">
        <f t="shared" si="45"/>
        <v>17537056.422185313</v>
      </c>
      <c r="U118" s="24">
        <f t="shared" si="45"/>
        <v>20870846.621102747</v>
      </c>
      <c r="V118" s="24">
        <f t="shared" si="45"/>
        <v>21480302.555897094</v>
      </c>
    </row>
    <row r="119" spans="1:22">
      <c r="B119" s="71"/>
      <c r="C119" s="3">
        <f>SUM(C115:C118)</f>
        <v>14327.7814</v>
      </c>
      <c r="D119" s="3">
        <f>D117+D118</f>
        <v>76810.001600000003</v>
      </c>
      <c r="E119" s="3">
        <f>F119-D119</f>
        <v>14561.36022092581</v>
      </c>
      <c r="F119" s="3">
        <f>F117+F118</f>
        <v>91371.361820925813</v>
      </c>
      <c r="J119" s="3"/>
    </row>
    <row r="120" spans="1:22">
      <c r="B120" s="71" t="s">
        <v>318</v>
      </c>
      <c r="C120" s="3">
        <f>C119-E119</f>
        <v>-233.57882092580985</v>
      </c>
      <c r="D120" s="3"/>
      <c r="E120" s="3"/>
      <c r="J120" s="3"/>
    </row>
    <row r="121" spans="1:22">
      <c r="D121" s="3"/>
      <c r="E121" s="3"/>
      <c r="J121" s="3"/>
    </row>
    <row r="122" spans="1:22">
      <c r="J122" s="3"/>
    </row>
    <row r="123" spans="1:22">
      <c r="J123" s="3"/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4:10">
      <c r="D129" s="71"/>
      <c r="J129" s="3"/>
    </row>
    <row r="130" spans="4:10">
      <c r="J130" s="3"/>
    </row>
    <row r="131" spans="4:10">
      <c r="J131" s="3"/>
    </row>
    <row r="132" spans="4:10">
      <c r="J132" s="3"/>
    </row>
    <row r="133" spans="4:10">
      <c r="J133" s="3"/>
    </row>
    <row r="134" spans="4:10">
      <c r="J134" s="3"/>
    </row>
    <row r="135" spans="4:10">
      <c r="J135" s="3"/>
    </row>
    <row r="136" spans="4:10">
      <c r="J136" s="3"/>
    </row>
    <row r="137" spans="4:10">
      <c r="J137" s="3"/>
    </row>
    <row r="138" spans="4:10">
      <c r="J138" s="3"/>
    </row>
    <row r="139" spans="4:10">
      <c r="J139" s="3"/>
    </row>
    <row r="140" spans="4:10">
      <c r="J140" s="3"/>
    </row>
    <row r="141" spans="4:10">
      <c r="J141" s="3"/>
    </row>
    <row r="142" spans="4:10">
      <c r="J142" s="3"/>
    </row>
    <row r="143" spans="4:10">
      <c r="J143" s="3"/>
    </row>
    <row r="144" spans="4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</sheetData>
  <phoneticPr fontId="5" type="noConversion"/>
  <pageMargins left="0.75" right="0.75" top="1" bottom="1" header="0.5" footer="0.5"/>
  <pageSetup scale="80" orientation="portrait" verticalDpi="4294967292" r:id="rId1"/>
  <headerFooter alignWithMargins="0">
    <oddFooter>&amp;L&amp;F / &amp;A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workbookViewId="0"/>
  </sheetViews>
  <sheetFormatPr defaultColWidth="11.44140625" defaultRowHeight="13.2"/>
  <cols>
    <col min="1" max="1" width="46.21875" customWidth="1"/>
    <col min="2" max="2" width="2" hidden="1" customWidth="1"/>
    <col min="3" max="15" width="13.77734375" customWidth="1"/>
  </cols>
  <sheetData>
    <row r="1" spans="1:16" ht="17.399999999999999">
      <c r="A1" s="86" t="s">
        <v>31</v>
      </c>
    </row>
    <row r="2" spans="1:16" ht="17.399999999999999">
      <c r="A2" s="86" t="s">
        <v>116</v>
      </c>
    </row>
    <row r="3" spans="1:16" ht="17.399999999999999">
      <c r="A3" s="86" t="s">
        <v>208</v>
      </c>
      <c r="I3" s="13"/>
    </row>
    <row r="4" spans="1:16" ht="17.399999999999999">
      <c r="A4" s="86"/>
      <c r="B4" s="53"/>
      <c r="I4" s="13"/>
    </row>
    <row r="6" spans="1:16">
      <c r="C6" s="36"/>
      <c r="D6" s="36">
        <v>744</v>
      </c>
      <c r="E6" s="36">
        <v>672</v>
      </c>
      <c r="F6" s="36">
        <v>743</v>
      </c>
      <c r="G6" s="36">
        <v>720</v>
      </c>
      <c r="H6" s="36">
        <v>744</v>
      </c>
      <c r="I6" s="36">
        <v>720</v>
      </c>
      <c r="J6" s="36">
        <v>744</v>
      </c>
      <c r="K6" s="36">
        <v>744</v>
      </c>
      <c r="L6" s="36">
        <v>720</v>
      </c>
      <c r="M6" s="36">
        <v>744</v>
      </c>
      <c r="N6" s="36">
        <v>721</v>
      </c>
      <c r="O6" s="36">
        <v>744</v>
      </c>
    </row>
    <row r="7" spans="1:16">
      <c r="C7" s="22" t="s">
        <v>32</v>
      </c>
      <c r="D7" s="126">
        <v>41274</v>
      </c>
      <c r="E7" s="126">
        <v>41305</v>
      </c>
      <c r="F7" s="126">
        <v>41333</v>
      </c>
      <c r="G7" s="126">
        <v>41364</v>
      </c>
      <c r="H7" s="126">
        <v>41394</v>
      </c>
      <c r="I7" s="126">
        <v>41425</v>
      </c>
      <c r="J7" s="126">
        <v>41455</v>
      </c>
      <c r="K7" s="126">
        <v>41486</v>
      </c>
      <c r="L7" s="126">
        <v>41517</v>
      </c>
      <c r="M7" s="126">
        <v>41547</v>
      </c>
      <c r="N7" s="126">
        <v>41578</v>
      </c>
      <c r="O7" s="126">
        <v>41608</v>
      </c>
    </row>
    <row r="8" spans="1:16">
      <c r="C8" s="49"/>
    </row>
    <row r="9" spans="1:16">
      <c r="A9" t="s">
        <v>106</v>
      </c>
      <c r="B9" s="5" t="s">
        <v>50</v>
      </c>
      <c r="C9" s="37">
        <f>SUM(D9:O9)</f>
        <v>-39356478.197088413</v>
      </c>
      <c r="D9" s="24">
        <f>Aurora!B33*1000</f>
        <v>-3351427.6340484601</v>
      </c>
      <c r="E9" s="24">
        <f>Aurora!C33*1000</f>
        <v>-2457856.4855720801</v>
      </c>
      <c r="F9" s="24">
        <f>Aurora!D33*1000</f>
        <v>-3082852.1832466098</v>
      </c>
      <c r="G9" s="24">
        <f>Aurora!E33*1000</f>
        <v>-5214365.0466918899</v>
      </c>
      <c r="H9" s="24">
        <f>Aurora!F33*1000</f>
        <v>-4477871.6865539504</v>
      </c>
      <c r="I9" s="24">
        <f>Aurora!G33*1000</f>
        <v>-2412332.0132017103</v>
      </c>
      <c r="J9" s="24">
        <f>Aurora!H33*1000</f>
        <v>-3334983.9740753099</v>
      </c>
      <c r="K9" s="24">
        <f>Aurora!I33*1000</f>
        <v>-2256416.1582946698</v>
      </c>
      <c r="L9" s="24">
        <f>Aurora!J33*1000</f>
        <v>-2844487.78839111</v>
      </c>
      <c r="M9" s="24">
        <f>Aurora!K33*1000</f>
        <v>-1915938.96694183</v>
      </c>
      <c r="N9" s="24">
        <f>Aurora!L33*1000</f>
        <v>-3096587.5244140602</v>
      </c>
      <c r="O9" s="24">
        <f>Aurora!M33*1000</f>
        <v>-4911358.7356567299</v>
      </c>
      <c r="P9" s="24"/>
    </row>
    <row r="10" spans="1:16">
      <c r="A10" t="s">
        <v>107</v>
      </c>
      <c r="C10" s="25">
        <f>SUM(D10:O10)</f>
        <v>-1650336.0802056994</v>
      </c>
      <c r="D10" s="3">
        <f>Aurora!B29*1000</f>
        <v>-119677.377124023</v>
      </c>
      <c r="E10" s="3">
        <f>Aurora!C29*1000</f>
        <v>-93266.978057265194</v>
      </c>
      <c r="F10" s="3">
        <f>Aurora!D29*1000</f>
        <v>-124184.96118164</v>
      </c>
      <c r="G10" s="3">
        <f>Aurora!E29*1000</f>
        <v>-250658.61562500001</v>
      </c>
      <c r="H10" s="3">
        <f>Aurora!F29*1000</f>
        <v>-256440.11748046795</v>
      </c>
      <c r="I10" s="3">
        <f>Aurora!G29*1000</f>
        <v>-170882.09492187499</v>
      </c>
      <c r="J10" s="3">
        <f>Aurora!H29*1000</f>
        <v>-130457.57373046799</v>
      </c>
      <c r="K10" s="3">
        <f>Aurora!I29*1000</f>
        <v>-71685.591088867193</v>
      </c>
      <c r="L10" s="3">
        <f>Aurora!J29*1000</f>
        <v>-98623.202392578096</v>
      </c>
      <c r="M10" s="3">
        <f>Aurora!K29*1000</f>
        <v>-74273.213134765596</v>
      </c>
      <c r="N10" s="3">
        <f>Aurora!L29*1000</f>
        <v>-109328.89472656199</v>
      </c>
      <c r="O10" s="3">
        <f>Aurora!M29*1000</f>
        <v>-150857.46074218699</v>
      </c>
    </row>
    <row r="11" spans="1:16" hidden="1">
      <c r="A11" t="s">
        <v>51</v>
      </c>
      <c r="C11" s="27">
        <f>C9/C10</f>
        <v>23.847553640215505</v>
      </c>
      <c r="D11" s="28">
        <f>D9/D10</f>
        <v>28.003852646063077</v>
      </c>
      <c r="E11" s="28">
        <f t="shared" ref="E11:O11" si="0">E9/E10</f>
        <v>26.352912217901768</v>
      </c>
      <c r="F11" s="28">
        <f t="shared" si="0"/>
        <v>24.82468210250881</v>
      </c>
      <c r="G11" s="28">
        <f t="shared" si="0"/>
        <v>20.802656368663929</v>
      </c>
      <c r="H11" s="28">
        <f t="shared" si="0"/>
        <v>17.46166602382333</v>
      </c>
      <c r="I11" s="28">
        <f t="shared" si="0"/>
        <v>14.116938432341881</v>
      </c>
      <c r="J11" s="28">
        <f t="shared" si="0"/>
        <v>25.56374366555028</v>
      </c>
      <c r="K11" s="28">
        <f t="shared" si="0"/>
        <v>31.476564871975956</v>
      </c>
      <c r="L11" s="28">
        <f t="shared" si="0"/>
        <v>28.841973484782852</v>
      </c>
      <c r="M11" s="28">
        <f t="shared" si="0"/>
        <v>25.79582713710581</v>
      </c>
      <c r="N11" s="28">
        <f t="shared" si="0"/>
        <v>28.323596723069485</v>
      </c>
      <c r="O11" s="28">
        <f t="shared" si="0"/>
        <v>32.556286652936336</v>
      </c>
    </row>
    <row r="12" spans="1:16">
      <c r="A12" t="s">
        <v>105</v>
      </c>
      <c r="C12" s="50">
        <f>C9/C10</f>
        <v>23.847553640215505</v>
      </c>
      <c r="D12" s="48">
        <f>D9/D10</f>
        <v>28.003852646063077</v>
      </c>
      <c r="E12" s="48">
        <f t="shared" ref="E12:O12" si="1">E9/E10</f>
        <v>26.352912217901768</v>
      </c>
      <c r="F12" s="48">
        <f t="shared" si="1"/>
        <v>24.82468210250881</v>
      </c>
      <c r="G12" s="48">
        <f t="shared" si="1"/>
        <v>20.802656368663929</v>
      </c>
      <c r="H12" s="48">
        <f t="shared" si="1"/>
        <v>17.46166602382333</v>
      </c>
      <c r="I12" s="48">
        <f t="shared" si="1"/>
        <v>14.116938432341881</v>
      </c>
      <c r="J12" s="48">
        <f t="shared" si="1"/>
        <v>25.56374366555028</v>
      </c>
      <c r="K12" s="48">
        <f t="shared" si="1"/>
        <v>31.476564871975956</v>
      </c>
      <c r="L12" s="48">
        <f t="shared" si="1"/>
        <v>28.841973484782852</v>
      </c>
      <c r="M12" s="48">
        <f t="shared" si="1"/>
        <v>25.79582713710581</v>
      </c>
      <c r="N12" s="48">
        <f t="shared" si="1"/>
        <v>28.323596723069485</v>
      </c>
      <c r="O12" s="48">
        <f t="shared" si="1"/>
        <v>32.556286652936336</v>
      </c>
    </row>
    <row r="13" spans="1:16">
      <c r="A13" t="s">
        <v>108</v>
      </c>
      <c r="B13" s="5" t="s">
        <v>50</v>
      </c>
      <c r="C13" s="37">
        <f>SUM(D13:O13)</f>
        <v>6493584.5668410035</v>
      </c>
      <c r="D13" s="24">
        <f>Aurora!B32*1000</f>
        <v>278587.28761039599</v>
      </c>
      <c r="E13" s="24">
        <f>Aurora!C32*1000</f>
        <v>384582.43190646102</v>
      </c>
      <c r="F13" s="24">
        <f>Aurora!D32*1000</f>
        <v>332034.20101609</v>
      </c>
      <c r="G13" s="24">
        <f>Aurora!E32*1000</f>
        <v>51347.39433676</v>
      </c>
      <c r="H13" s="24">
        <f>Aurora!F32*1000</f>
        <v>14245.3725124709</v>
      </c>
      <c r="I13" s="24">
        <f>Aurora!G32*1000</f>
        <v>375181.923155486</v>
      </c>
      <c r="J13" s="24">
        <f>Aurora!H32*1000</f>
        <v>704803.26130390097</v>
      </c>
      <c r="K13" s="24">
        <f>Aurora!I32*1000</f>
        <v>1638561.01512908</v>
      </c>
      <c r="L13" s="24">
        <f>Aurora!J32*1000</f>
        <v>763024.433270865</v>
      </c>
      <c r="M13" s="24">
        <f>Aurora!K32*1000</f>
        <v>849668.47098618699</v>
      </c>
      <c r="N13" s="24">
        <f>Aurora!L32*1000</f>
        <v>675421.80030345905</v>
      </c>
      <c r="O13" s="24">
        <f>Aurora!M32*1000</f>
        <v>426126.97530984797</v>
      </c>
    </row>
    <row r="14" spans="1:16" s="3" customFormat="1">
      <c r="A14" s="3" t="s">
        <v>112</v>
      </c>
      <c r="C14" s="26">
        <f>SUM(D14:O14)</f>
        <v>261295.51596301899</v>
      </c>
      <c r="D14" s="3">
        <f>Aurora!B28*1000</f>
        <v>13413.681491959</v>
      </c>
      <c r="E14" s="3">
        <f>Aurora!C28*1000</f>
        <v>22107.443594646396</v>
      </c>
      <c r="F14" s="3">
        <f>Aurora!D28*1000</f>
        <v>19166.7219133377</v>
      </c>
      <c r="G14" s="3">
        <f>Aurora!E28*1000</f>
        <v>3135.4326173305499</v>
      </c>
      <c r="H14" s="3">
        <f>Aurora!F28*1000</f>
        <v>947.98612909913015</v>
      </c>
      <c r="I14" s="3">
        <f>Aurora!G28*1000</f>
        <v>16500.910222721101</v>
      </c>
      <c r="J14" s="3">
        <f>Aurora!H28*1000</f>
        <v>25333.1469154357</v>
      </c>
      <c r="K14" s="3">
        <f>Aurora!I28*1000</f>
        <v>59936.1343963623</v>
      </c>
      <c r="L14" s="3">
        <f>Aurora!J28*1000</f>
        <v>27292.485678215304</v>
      </c>
      <c r="M14" s="3">
        <f>Aurora!K28*1000</f>
        <v>32821.4868386745</v>
      </c>
      <c r="N14" s="3">
        <f>Aurora!L28*1000</f>
        <v>25348.121315002405</v>
      </c>
      <c r="O14" s="3">
        <f>Aurora!M28*1000</f>
        <v>15291.964850234899</v>
      </c>
    </row>
    <row r="15" spans="1:16" hidden="1">
      <c r="A15" s="3" t="s">
        <v>52</v>
      </c>
      <c r="C15" s="27">
        <f>C13/C14</f>
        <v>24.851496371487819</v>
      </c>
      <c r="D15" s="28">
        <f>D13/D14</f>
        <v>20.768890910179927</v>
      </c>
      <c r="E15" s="28">
        <f t="shared" ref="E15:O15" si="2">E13/E14</f>
        <v>17.396060754830678</v>
      </c>
      <c r="F15" s="28">
        <f t="shared" si="2"/>
        <v>17.32347359748746</v>
      </c>
      <c r="G15" s="28">
        <f t="shared" si="2"/>
        <v>16.376494284376054</v>
      </c>
      <c r="H15" s="28">
        <f t="shared" si="2"/>
        <v>15.026984124765894</v>
      </c>
      <c r="I15" s="28">
        <f t="shared" si="2"/>
        <v>22.737044083718203</v>
      </c>
      <c r="J15" s="28">
        <f t="shared" si="2"/>
        <v>27.821386093744966</v>
      </c>
      <c r="K15" s="28">
        <f t="shared" si="2"/>
        <v>27.338450029045067</v>
      </c>
      <c r="L15" s="28">
        <f t="shared" si="2"/>
        <v>27.957308186110232</v>
      </c>
      <c r="M15" s="28">
        <f t="shared" si="2"/>
        <v>25.887567957006695</v>
      </c>
      <c r="N15" s="28">
        <f t="shared" si="2"/>
        <v>26.645832719117827</v>
      </c>
      <c r="O15" s="28">
        <f t="shared" si="2"/>
        <v>27.866070807983988</v>
      </c>
    </row>
    <row r="16" spans="1:16">
      <c r="A16" s="3" t="s">
        <v>110</v>
      </c>
      <c r="C16" s="50">
        <f>C13/C14</f>
        <v>24.851496371487819</v>
      </c>
      <c r="D16" s="48">
        <f>D13/D14</f>
        <v>20.768890910179927</v>
      </c>
      <c r="E16" s="48">
        <f t="shared" ref="E16:O16" si="3">E13/E14</f>
        <v>17.396060754830678</v>
      </c>
      <c r="F16" s="48">
        <f t="shared" si="3"/>
        <v>17.32347359748746</v>
      </c>
      <c r="G16" s="48">
        <f t="shared" si="3"/>
        <v>16.376494284376054</v>
      </c>
      <c r="H16" s="48">
        <f t="shared" si="3"/>
        <v>15.026984124765894</v>
      </c>
      <c r="I16" s="48"/>
      <c r="J16" s="48">
        <f t="shared" si="3"/>
        <v>27.821386093744966</v>
      </c>
      <c r="K16" s="48">
        <f t="shared" si="3"/>
        <v>27.338450029045067</v>
      </c>
      <c r="L16" s="48">
        <f t="shared" si="3"/>
        <v>27.957308186110232</v>
      </c>
      <c r="M16" s="48">
        <f t="shared" si="3"/>
        <v>25.887567957006695</v>
      </c>
      <c r="N16" s="48">
        <f t="shared" si="3"/>
        <v>26.645832719117827</v>
      </c>
      <c r="O16" s="48">
        <f t="shared" si="3"/>
        <v>27.866070807983988</v>
      </c>
    </row>
    <row r="17" spans="1:17">
      <c r="A17" t="s">
        <v>109</v>
      </c>
      <c r="C17" s="26">
        <f>C14+C10</f>
        <v>-1389040.5642426806</v>
      </c>
      <c r="D17" s="18">
        <f>D14+D10</f>
        <v>-106263.695632064</v>
      </c>
      <c r="E17" s="18">
        <f>E14+E10</f>
        <v>-71159.534462618802</v>
      </c>
      <c r="F17" s="18">
        <f t="shared" ref="F17:O17" si="4">F14+F10</f>
        <v>-105018.23926830231</v>
      </c>
      <c r="G17" s="18">
        <f t="shared" si="4"/>
        <v>-247523.18300766946</v>
      </c>
      <c r="H17" s="18">
        <f t="shared" si="4"/>
        <v>-255492.13135136882</v>
      </c>
      <c r="I17" s="18">
        <f t="shared" si="4"/>
        <v>-154381.18469915388</v>
      </c>
      <c r="J17" s="18">
        <f t="shared" si="4"/>
        <v>-105124.42681503229</v>
      </c>
      <c r="K17" s="18">
        <f t="shared" si="4"/>
        <v>-11749.456692504893</v>
      </c>
      <c r="L17" s="18">
        <f t="shared" si="4"/>
        <v>-71330.716714362788</v>
      </c>
      <c r="M17" s="18">
        <f t="shared" si="4"/>
        <v>-41451.726296091096</v>
      </c>
      <c r="N17" s="18">
        <f t="shared" si="4"/>
        <v>-83980.773411559581</v>
      </c>
      <c r="O17" s="18">
        <f t="shared" si="4"/>
        <v>-135565.4958919521</v>
      </c>
    </row>
    <row r="18" spans="1:17">
      <c r="A18" t="s">
        <v>111</v>
      </c>
      <c r="C18" s="111">
        <f>C17/8760</f>
        <v>-158.566274456927</v>
      </c>
      <c r="D18" s="3">
        <f>D17/D6</f>
        <v>-142.82754789255915</v>
      </c>
      <c r="E18" s="3">
        <f t="shared" ref="E18:O18" si="5">E17/E6</f>
        <v>-105.89216437889702</v>
      </c>
      <c r="F18" s="3">
        <f t="shared" si="5"/>
        <v>-141.34352526016463</v>
      </c>
      <c r="G18" s="3">
        <f t="shared" si="5"/>
        <v>-343.78219862176314</v>
      </c>
      <c r="H18" s="3">
        <f t="shared" si="5"/>
        <v>-343.40340235399037</v>
      </c>
      <c r="I18" s="3">
        <f t="shared" si="5"/>
        <v>-214.41831208215817</v>
      </c>
      <c r="J18" s="3">
        <f t="shared" si="5"/>
        <v>-141.29627260084985</v>
      </c>
      <c r="K18" s="3">
        <f t="shared" si="5"/>
        <v>-15.79228050067862</v>
      </c>
      <c r="L18" s="3">
        <f t="shared" si="5"/>
        <v>-99.070439881059428</v>
      </c>
      <c r="M18" s="3">
        <f t="shared" si="5"/>
        <v>-55.714685881842868</v>
      </c>
      <c r="N18" s="3">
        <f t="shared" si="5"/>
        <v>-116.47818781076225</v>
      </c>
      <c r="O18" s="3">
        <f t="shared" si="5"/>
        <v>-182.21168802681734</v>
      </c>
    </row>
    <row r="19" spans="1:17">
      <c r="A19" t="s">
        <v>113</v>
      </c>
      <c r="C19" s="77">
        <f>(-C9+C13)/(-C10+C14)</f>
        <v>23.984779732570786</v>
      </c>
      <c r="D19" s="28">
        <f>(-D9+D13)/(-D10+D14)</f>
        <v>27.274671637655391</v>
      </c>
      <c r="E19" s="28">
        <f>(-E9+E13)/(-E10+E14)</f>
        <v>24.636647159578164</v>
      </c>
      <c r="F19" s="28">
        <f t="shared" ref="F19:O19" si="6">(-F9+F13)/(-F10+F14)</f>
        <v>23.821739030438629</v>
      </c>
      <c r="G19" s="28">
        <f t="shared" si="6"/>
        <v>20.74797449938929</v>
      </c>
      <c r="H19" s="28">
        <f t="shared" si="6"/>
        <v>17.452698846876505</v>
      </c>
      <c r="I19" s="28">
        <f t="shared" si="6"/>
        <v>14.876023224230936</v>
      </c>
      <c r="J19" s="28">
        <f t="shared" si="6"/>
        <v>25.930859159200065</v>
      </c>
      <c r="K19" s="28">
        <f t="shared" si="6"/>
        <v>29.592205686901149</v>
      </c>
      <c r="L19" s="28">
        <f t="shared" si="6"/>
        <v>28.650220452543838</v>
      </c>
      <c r="M19" s="28">
        <f t="shared" si="6"/>
        <v>25.82394309535298</v>
      </c>
      <c r="N19" s="28">
        <f t="shared" si="6"/>
        <v>28.007817782014051</v>
      </c>
      <c r="O19" s="28">
        <f t="shared" si="6"/>
        <v>32.124611276477516</v>
      </c>
    </row>
    <row r="20" spans="1:17">
      <c r="C20" s="2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7" s="3" customFormat="1">
      <c r="A21" s="3" t="s">
        <v>33</v>
      </c>
      <c r="C21" s="26">
        <f>SUM(D21:O21)</f>
        <v>1582193.7905029282</v>
      </c>
      <c r="D21" s="3">
        <f>Aurora!B6*1000</f>
        <v>144422.4904296874</v>
      </c>
      <c r="E21" s="3">
        <f>Aurora!C6*1000</f>
        <v>128677.9013916015</v>
      </c>
      <c r="F21" s="3">
        <f>Aurora!D6*1000</f>
        <v>141745.4063476561</v>
      </c>
      <c r="G21" s="3">
        <f>Aurora!E6*1000</f>
        <v>124715.76513671869</v>
      </c>
      <c r="H21" s="3">
        <f>Aurora!F6*1000</f>
        <v>103470.96489257799</v>
      </c>
      <c r="I21" s="3">
        <f>Aurora!G6*1000</f>
        <v>89721.693066406093</v>
      </c>
      <c r="J21" s="3">
        <f>Aurora!H6*1000</f>
        <v>134373.45195312501</v>
      </c>
      <c r="K21" s="3">
        <f>Aurora!I6*1000</f>
        <v>142975.93813476549</v>
      </c>
      <c r="L21" s="3">
        <f>Aurora!J6*1000</f>
        <v>141245.0988281249</v>
      </c>
      <c r="M21" s="3">
        <f>Aurora!K6*1000</f>
        <v>145063.31953124987</v>
      </c>
      <c r="N21" s="3">
        <f>Aurora!L6*1000</f>
        <v>140412.30888671859</v>
      </c>
      <c r="O21" s="3">
        <f>Aurora!M6*1000</f>
        <v>145369.45190429682</v>
      </c>
      <c r="P21" s="3">
        <f>C21/8784</f>
        <v>180.12224390971406</v>
      </c>
      <c r="Q21" s="110">
        <f>P21/230</f>
        <v>0.7831401909118002</v>
      </c>
    </row>
    <row r="22" spans="1:17">
      <c r="A22" s="3" t="s">
        <v>101</v>
      </c>
      <c r="C22" s="72">
        <f>C23/C21</f>
        <v>14.861367712648159</v>
      </c>
      <c r="D22" s="75">
        <f>D23/D21</f>
        <v>14.350064030039643</v>
      </c>
      <c r="E22" s="75">
        <f t="shared" ref="E22:O22" si="7">E23/E21</f>
        <v>14.980112450825688</v>
      </c>
      <c r="F22" s="75">
        <f t="shared" si="7"/>
        <v>14.470136917976696</v>
      </c>
      <c r="G22" s="75">
        <f t="shared" si="7"/>
        <v>15.197083761897835</v>
      </c>
      <c r="H22" s="75">
        <f t="shared" si="7"/>
        <v>16.463145273137528</v>
      </c>
      <c r="I22" s="75">
        <f t="shared" si="7"/>
        <v>17.614376720670961</v>
      </c>
      <c r="J22" s="75">
        <f t="shared" si="7"/>
        <v>14.791646724632923</v>
      </c>
      <c r="K22" s="75">
        <f t="shared" si="7"/>
        <v>14.407583033380636</v>
      </c>
      <c r="L22" s="75">
        <f t="shared" si="7"/>
        <v>14.455461347707347</v>
      </c>
      <c r="M22" s="75">
        <f t="shared" si="7"/>
        <v>14.325086927484653</v>
      </c>
      <c r="N22" s="75">
        <f t="shared" si="7"/>
        <v>14.492212488812701</v>
      </c>
      <c r="O22" s="75">
        <f t="shared" si="7"/>
        <v>14.315295250424011</v>
      </c>
    </row>
    <row r="23" spans="1:17">
      <c r="A23" t="s">
        <v>34</v>
      </c>
      <c r="C23" s="29">
        <f>SUM(D23:O23)</f>
        <v>23513563.713332623</v>
      </c>
      <c r="D23" s="30">
        <f>Aurora!B18*1000</f>
        <v>2072471.9850438018</v>
      </c>
      <c r="E23" s="30">
        <f>Aurora!C18*1000</f>
        <v>1927609.4327824498</v>
      </c>
      <c r="F23" s="30">
        <f>Aurora!D18*1000</f>
        <v>2051075.4373448268</v>
      </c>
      <c r="G23" s="30">
        <f>Aurora!E18*1000</f>
        <v>1895315.9292118917</v>
      </c>
      <c r="H23" s="30">
        <f>Aurora!F18*1000</f>
        <v>1703457.5265782245</v>
      </c>
      <c r="I23" s="30">
        <f>Aurora!G18*1000</f>
        <v>1580391.7016880887</v>
      </c>
      <c r="J23" s="30">
        <f>Aurora!H18*1000</f>
        <v>1987604.6304600609</v>
      </c>
      <c r="K23" s="30">
        <f>Aurora!I18*1000</f>
        <v>2059937.7004521266</v>
      </c>
      <c r="L23" s="30">
        <f>Aurora!J18*1000</f>
        <v>2041763.0666630638</v>
      </c>
      <c r="M23" s="30">
        <f>Aurora!K18*1000</f>
        <v>2078044.6622746368</v>
      </c>
      <c r="N23" s="30">
        <f>Aurora!L18*1000</f>
        <v>2034885.0164311298</v>
      </c>
      <c r="O23" s="30">
        <f>Aurora!M18*1000</f>
        <v>2081006.6244023219</v>
      </c>
    </row>
    <row r="24" spans="1:17">
      <c r="C24" s="27"/>
    </row>
    <row r="25" spans="1:17" s="3" customFormat="1">
      <c r="A25" s="3" t="s">
        <v>35</v>
      </c>
      <c r="C25" s="26">
        <f>SUM(D25:O25)</f>
        <v>290895.34135894704</v>
      </c>
      <c r="D25" s="3">
        <f>Aurora!B8*1000</f>
        <v>30175.968896484297</v>
      </c>
      <c r="E25" s="3">
        <f>Aurora!C8*1000</f>
        <v>25594.5598632812</v>
      </c>
      <c r="F25" s="3">
        <f>Aurora!D8*1000</f>
        <v>25204.305102539001</v>
      </c>
      <c r="G25" s="3">
        <f>Aurora!E8*1000</f>
        <v>20642.896582031201</v>
      </c>
      <c r="H25" s="3">
        <f>Aurora!F8*1000</f>
        <v>14826.854370117098</v>
      </c>
      <c r="I25" s="3">
        <f>Aurora!G8*1000</f>
        <v>810.277857971191</v>
      </c>
      <c r="J25" s="3">
        <f>Aurora!H8*1000</f>
        <v>22198.525463867099</v>
      </c>
      <c r="K25" s="3">
        <f>Aurora!I8*1000</f>
        <v>29704.573413085898</v>
      </c>
      <c r="L25" s="3">
        <f>Aurora!J8*1000</f>
        <v>30221.837646484299</v>
      </c>
      <c r="M25" s="3">
        <f>Aurora!K8*1000</f>
        <v>29819.654223632802</v>
      </c>
      <c r="N25" s="3">
        <f>Aurora!L8*1000</f>
        <v>29428.260717773399</v>
      </c>
      <c r="O25" s="3">
        <f>Aurora!M8*1000</f>
        <v>32267.627221679595</v>
      </c>
      <c r="P25" s="3">
        <f>C25/8760</f>
        <v>33.207230748738247</v>
      </c>
    </row>
    <row r="26" spans="1:17">
      <c r="A26" s="3" t="s">
        <v>100</v>
      </c>
      <c r="C26" s="72">
        <f t="shared" ref="C26:O26" si="8">C27/C25</f>
        <v>18.800317376968284</v>
      </c>
      <c r="D26" s="75">
        <f>D27/D25</f>
        <v>18.688537545934853</v>
      </c>
      <c r="E26" s="75">
        <f t="shared" si="8"/>
        <v>18.808570956885067</v>
      </c>
      <c r="F26" s="75">
        <f t="shared" si="8"/>
        <v>18.862775558347067</v>
      </c>
      <c r="G26" s="75">
        <f t="shared" si="8"/>
        <v>19.375182585265129</v>
      </c>
      <c r="H26" s="75">
        <f t="shared" si="8"/>
        <v>19.511404329455974</v>
      </c>
      <c r="I26" s="75"/>
      <c r="J26" s="75">
        <f t="shared" si="8"/>
        <v>18.853539434590424</v>
      </c>
      <c r="K26" s="75">
        <f t="shared" si="8"/>
        <v>18.660178296457634</v>
      </c>
      <c r="L26" s="75">
        <f t="shared" si="8"/>
        <v>18.64878698750946</v>
      </c>
      <c r="M26" s="75">
        <f t="shared" si="8"/>
        <v>18.701635596877946</v>
      </c>
      <c r="N26" s="75">
        <f t="shared" si="8"/>
        <v>18.656758404290471</v>
      </c>
      <c r="O26" s="75">
        <f t="shared" si="8"/>
        <v>18.598411495100578</v>
      </c>
    </row>
    <row r="27" spans="1:17">
      <c r="A27" t="s">
        <v>36</v>
      </c>
      <c r="C27" s="29">
        <f>SUM(D27:O27)</f>
        <v>5468924.7410297329</v>
      </c>
      <c r="D27" s="31">
        <f>Aurora!B20*1000</f>
        <v>563944.72770690906</v>
      </c>
      <c r="E27" s="31">
        <f>Aurora!C20*1000</f>
        <v>481397.09529876697</v>
      </c>
      <c r="F27" s="31">
        <f>Aurora!D20*1000</f>
        <v>475423.15025329497</v>
      </c>
      <c r="G27" s="31">
        <f>Aurora!E20*1000</f>
        <v>399959.8903656</v>
      </c>
      <c r="H27" s="31">
        <f>Aurora!F20*1000</f>
        <v>289292.750549316</v>
      </c>
      <c r="I27" s="31">
        <f>Aurora!G20*1000</f>
        <v>15654.236459731999</v>
      </c>
      <c r="J27" s="31">
        <f>Aurora!H20*1000</f>
        <v>418520.77522277803</v>
      </c>
      <c r="K27" s="31">
        <f>Aurora!I20*1000</f>
        <v>554292.63610839797</v>
      </c>
      <c r="L27" s="31">
        <f>Aurora!J20*1000</f>
        <v>563600.61264037993</v>
      </c>
      <c r="M27" s="31">
        <f>Aurora!K20*1000</f>
        <v>557676.30691528297</v>
      </c>
      <c r="N27" s="31">
        <f>Aurora!L20*1000</f>
        <v>549035.95046997</v>
      </c>
      <c r="O27" s="31">
        <f>Aurora!M20*1000</f>
        <v>600126.60903930606</v>
      </c>
    </row>
    <row r="28" spans="1:17">
      <c r="C28" s="77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7">
      <c r="A29" t="s">
        <v>89</v>
      </c>
      <c r="C29" s="26">
        <f>SUM(D29:O29)</f>
        <v>1797738.8041534377</v>
      </c>
      <c r="D29" s="3">
        <f>Aurora!B7*1000</f>
        <v>193997.49258422796</v>
      </c>
      <c r="E29" s="3">
        <f>Aurora!C7*1000</f>
        <v>156378.38282470699</v>
      </c>
      <c r="F29" s="3">
        <f>Aurora!D7*1000</f>
        <v>169431.57001953101</v>
      </c>
      <c r="G29" s="3">
        <f>Aurora!E7*1000</f>
        <v>130030.34741821201</v>
      </c>
      <c r="H29" s="3">
        <f>Aurora!F7*1000</f>
        <v>76367.618334960905</v>
      </c>
      <c r="I29" s="3">
        <f>Aurora!G7*1000</f>
        <v>47557.332583618103</v>
      </c>
      <c r="J29" s="3">
        <f>Aurora!H7*1000</f>
        <v>128006.82596435498</v>
      </c>
      <c r="K29" s="3">
        <f>Aurora!I7*1000</f>
        <v>172471.73422851501</v>
      </c>
      <c r="L29" s="3">
        <f>Aurora!J7*1000</f>
        <v>176544.29062499999</v>
      </c>
      <c r="M29" s="3">
        <f>Aurora!K7*1000</f>
        <v>172469.53457031201</v>
      </c>
      <c r="N29" s="3">
        <f>Aurora!L7*1000</f>
        <v>173062.64853515601</v>
      </c>
      <c r="O29" s="3">
        <f>Aurora!M7*1000</f>
        <v>201421.02646484296</v>
      </c>
      <c r="P29" s="3">
        <f>C29/8784</f>
        <v>204.66061067320558</v>
      </c>
    </row>
    <row r="30" spans="1:17">
      <c r="A30" t="s">
        <v>98</v>
      </c>
      <c r="C30" s="72">
        <f>C31/C29</f>
        <v>19.529775758895546</v>
      </c>
      <c r="D30" s="75">
        <f>D31/D29</f>
        <v>20.169096884297815</v>
      </c>
      <c r="E30" s="75">
        <f t="shared" ref="E30:O30" si="9">E31/E29</f>
        <v>20.153848374952439</v>
      </c>
      <c r="F30" s="75">
        <f t="shared" si="9"/>
        <v>19.766287909659574</v>
      </c>
      <c r="G30" s="75">
        <f t="shared" si="9"/>
        <v>17.863948557046015</v>
      </c>
      <c r="H30" s="75">
        <f t="shared" si="9"/>
        <v>17.961392756387763</v>
      </c>
      <c r="I30" s="75">
        <f t="shared" si="9"/>
        <v>18.228007699206682</v>
      </c>
      <c r="J30" s="75">
        <f t="shared" si="9"/>
        <v>18.959531645897265</v>
      </c>
      <c r="K30" s="75">
        <f t="shared" si="9"/>
        <v>19.102405763534435</v>
      </c>
      <c r="L30" s="75">
        <f t="shared" si="9"/>
        <v>19.058167984771153</v>
      </c>
      <c r="M30" s="75">
        <f t="shared" si="9"/>
        <v>19.087571018131051</v>
      </c>
      <c r="N30" s="75">
        <f t="shared" si="9"/>
        <v>20.09480802203878</v>
      </c>
      <c r="O30" s="75">
        <f t="shared" si="9"/>
        <v>21.242826819899758</v>
      </c>
    </row>
    <row r="31" spans="1:17">
      <c r="A31" t="s">
        <v>87</v>
      </c>
      <c r="C31" s="29">
        <f>SUM(D31:O31)</f>
        <v>35109435.718181677</v>
      </c>
      <c r="D31" s="24">
        <f>Aurora!B19*1000</f>
        <v>3912754.2232421404</v>
      </c>
      <c r="E31" s="24">
        <f>Aurora!C19*1000</f>
        <v>3151626.2165694116</v>
      </c>
      <c r="F31" s="24">
        <f>Aurora!D19*1000</f>
        <v>3349033.1939916951</v>
      </c>
      <c r="G31" s="24">
        <f>Aurora!E19*1000</f>
        <v>2322855.4371337607</v>
      </c>
      <c r="H31" s="24">
        <f>Aurora!F19*1000</f>
        <v>1371668.786784152</v>
      </c>
      <c r="I31" s="24">
        <f>Aurora!G19*1000</f>
        <v>866875.4244879235</v>
      </c>
      <c r="J31" s="24">
        <f>Aurora!H19*1000</f>
        <v>2426949.4677620521</v>
      </c>
      <c r="K31" s="24">
        <f>Aurora!I19*1000</f>
        <v>3294625.0499735642</v>
      </c>
      <c r="L31" s="24">
        <f>Aurora!J19*1000</f>
        <v>3364610.7474835087</v>
      </c>
      <c r="M31" s="24">
        <f>Aurora!K19*1000</f>
        <v>3292024.4895748389</v>
      </c>
      <c r="N31" s="24">
        <f>Aurora!L19*1000</f>
        <v>3477660.6980995308</v>
      </c>
      <c r="O31" s="24">
        <f>Aurora!M19*1000</f>
        <v>4278751.9830791047</v>
      </c>
    </row>
    <row r="32" spans="1:17"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7">
      <c r="A33" t="s">
        <v>165</v>
      </c>
      <c r="C33" s="26">
        <f>SUM(D33:O33)</f>
        <v>1606061.8811935389</v>
      </c>
      <c r="D33" s="3">
        <f>Aurora!B10*1000</f>
        <v>178501.70388183501</v>
      </c>
      <c r="E33" s="3">
        <f>Aurora!C10*1000</f>
        <v>142230.638500976</v>
      </c>
      <c r="F33" s="3">
        <f>Aurora!D10*1000</f>
        <v>154667.871166992</v>
      </c>
      <c r="G33" s="3">
        <f>Aurora!E10*1000</f>
        <v>120321.33868103</v>
      </c>
      <c r="H33" s="3">
        <f>Aurora!F10*1000</f>
        <v>67535.729605102504</v>
      </c>
      <c r="I33" s="3">
        <f>Aurora!G10*1000</f>
        <v>46823.644462585398</v>
      </c>
      <c r="J33" s="3">
        <f>Aurora!H10*1000</f>
        <v>107238.696594238</v>
      </c>
      <c r="K33" s="3">
        <f>Aurora!I10*1000</f>
        <v>141585.125585937</v>
      </c>
      <c r="L33" s="3">
        <f>Aurora!J10*1000</f>
        <v>148395.82402343699</v>
      </c>
      <c r="M33" s="3">
        <f>Aurora!K10*1000</f>
        <v>158308.19062499999</v>
      </c>
      <c r="N33" s="3">
        <f>Aurora!L10*1000</f>
        <v>158498.13046874999</v>
      </c>
      <c r="O33" s="3">
        <f>Aurora!M10*1000</f>
        <v>181954.987597656</v>
      </c>
      <c r="P33" s="3">
        <f>C33/8784</f>
        <v>182.83946734899123</v>
      </c>
    </row>
    <row r="34" spans="1:17">
      <c r="A34" t="s">
        <v>166</v>
      </c>
      <c r="C34" s="72">
        <f>C35/C33</f>
        <v>20.180379536632049</v>
      </c>
      <c r="D34" s="75">
        <f>D35/D33</f>
        <v>20.681030242802464</v>
      </c>
      <c r="E34" s="75">
        <f t="shared" ref="E34:O34" si="10">E35/E33</f>
        <v>20.677348334314647</v>
      </c>
      <c r="F34" s="75">
        <f t="shared" si="10"/>
        <v>20.356035481103859</v>
      </c>
      <c r="G34" s="75">
        <f t="shared" si="10"/>
        <v>18.472950816329419</v>
      </c>
      <c r="H34" s="75">
        <f t="shared" si="10"/>
        <v>18.724018724771064</v>
      </c>
      <c r="I34" s="75">
        <f t="shared" si="10"/>
        <v>19.148627637178539</v>
      </c>
      <c r="J34" s="75">
        <f t="shared" si="10"/>
        <v>19.776084091221321</v>
      </c>
      <c r="K34" s="75">
        <f t="shared" si="10"/>
        <v>19.911340741001084</v>
      </c>
      <c r="L34" s="75">
        <f t="shared" si="10"/>
        <v>19.791020615654642</v>
      </c>
      <c r="M34" s="75">
        <f t="shared" si="10"/>
        <v>19.723882374025564</v>
      </c>
      <c r="N34" s="75">
        <f t="shared" si="10"/>
        <v>20.680494474006064</v>
      </c>
      <c r="O34" s="75">
        <f t="shared" si="10"/>
        <v>21.813280982745784</v>
      </c>
    </row>
    <row r="35" spans="1:17">
      <c r="A35" t="s">
        <v>167</v>
      </c>
      <c r="C35" s="29">
        <f>SUM(D35:O35)</f>
        <v>32410938.321802866</v>
      </c>
      <c r="D35" s="24">
        <f>Aurora!B22*1000</f>
        <v>3691599.136372</v>
      </c>
      <c r="E35" s="24">
        <f>Aurora!C22*1000</f>
        <v>2940952.456096665</v>
      </c>
      <c r="F35" s="24">
        <f>Aurora!D22*1000</f>
        <v>3148424.67326209</v>
      </c>
      <c r="G35" s="24">
        <f>Aurora!E22*1000</f>
        <v>2222690.1716095814</v>
      </c>
      <c r="H35" s="24">
        <f>Aurora!F22*1000</f>
        <v>1264540.2657170147</v>
      </c>
      <c r="I35" s="24">
        <f>Aurora!G22*1000</f>
        <v>896608.53242968465</v>
      </c>
      <c r="J35" s="24">
        <f>Aurora!H22*1000</f>
        <v>2120761.4816806205</v>
      </c>
      <c r="K35" s="24">
        <f>Aurora!I22*1000</f>
        <v>2819149.6793990224</v>
      </c>
      <c r="L35" s="24">
        <f>Aurora!J22*1000</f>
        <v>2936904.8125248998</v>
      </c>
      <c r="M35" s="24">
        <f>Aurora!K22*1000</f>
        <v>3122452.1307323161</v>
      </c>
      <c r="N35" s="24">
        <f>Aurora!L22*1000</f>
        <v>3277819.7112992764</v>
      </c>
      <c r="O35" s="24">
        <f>Aurora!M22*1000</f>
        <v>3969035.2706796946</v>
      </c>
    </row>
    <row r="36" spans="1:17"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7">
      <c r="A37" t="s">
        <v>54</v>
      </c>
      <c r="C37" s="26">
        <f>SUM(D37:O37)</f>
        <v>30602.527949571559</v>
      </c>
      <c r="D37" s="3">
        <f>Aurora!B5*1000</f>
        <v>2837.9030563354399</v>
      </c>
      <c r="E37" s="3">
        <f>Aurora!C5*1000</f>
        <v>1630.5695512771599</v>
      </c>
      <c r="F37" s="3">
        <f>Aurora!D5*1000</f>
        <v>1240.92872533798</v>
      </c>
      <c r="G37" s="3">
        <f>Aurora!E5*1000</f>
        <v>747.31080260276701</v>
      </c>
      <c r="H37" s="3">
        <f>Aurora!F5*1000</f>
        <v>458.70669221878001</v>
      </c>
      <c r="I37" s="3">
        <f>Aurora!G5*1000</f>
        <v>932.09001588821388</v>
      </c>
      <c r="J37" s="3">
        <f>Aurora!H5*1000</f>
        <v>4274.9795913696198</v>
      </c>
      <c r="K37" s="3">
        <f>Aurora!I5*1000</f>
        <v>5790.1986694335901</v>
      </c>
      <c r="L37" s="3">
        <f>Aurora!J5*1000</f>
        <v>3546.2369098663298</v>
      </c>
      <c r="M37" s="3">
        <f>Aurora!K5*1000</f>
        <v>1545.36170578002</v>
      </c>
      <c r="N37" s="3">
        <f>Aurora!L5*1000</f>
        <v>3041.5967521667399</v>
      </c>
      <c r="O37" s="3">
        <f>Aurora!M5*1000</f>
        <v>4556.6454772949201</v>
      </c>
      <c r="P37" s="3">
        <f>C37/8760</f>
        <v>3.4934392636497211</v>
      </c>
      <c r="Q37" s="84">
        <f>SUM(P37:P49)</f>
        <v>11.76533710706993</v>
      </c>
    </row>
    <row r="38" spans="1:17">
      <c r="A38" t="s">
        <v>99</v>
      </c>
      <c r="C38" s="72">
        <f>C39/C37</f>
        <v>26.176869265060713</v>
      </c>
      <c r="D38" s="75">
        <f>IF(D37&gt;0,D39/D37,"")</f>
        <v>27.148757650360562</v>
      </c>
      <c r="E38" s="75">
        <f t="shared" ref="E38:O38" si="11">IF(E37&gt;0,E39/E37,"")</f>
        <v>27.145287212442383</v>
      </c>
      <c r="F38" s="75">
        <f t="shared" si="11"/>
        <v>26.452490268741091</v>
      </c>
      <c r="G38" s="75">
        <f t="shared" si="11"/>
        <v>23.901856377680126</v>
      </c>
      <c r="H38" s="75">
        <f t="shared" si="11"/>
        <v>23.857486798514721</v>
      </c>
      <c r="I38" s="75">
        <f t="shared" si="11"/>
        <v>24.271633285185978</v>
      </c>
      <c r="J38" s="75">
        <f t="shared" si="11"/>
        <v>25.100860675659593</v>
      </c>
      <c r="K38" s="75">
        <f t="shared" si="11"/>
        <v>25.384151869443162</v>
      </c>
      <c r="L38" s="75">
        <f t="shared" si="11"/>
        <v>25.374669441815531</v>
      </c>
      <c r="M38" s="75">
        <f t="shared" si="11"/>
        <v>25.546896193652159</v>
      </c>
      <c r="N38" s="75">
        <f t="shared" si="11"/>
        <v>26.861547243568637</v>
      </c>
      <c r="O38" s="75">
        <f t="shared" si="11"/>
        <v>28.544050151250506</v>
      </c>
    </row>
    <row r="39" spans="1:17">
      <c r="A39" t="s">
        <v>53</v>
      </c>
      <c r="C39" s="29">
        <f>SUM(D39:O39)</f>
        <v>801078.37331630115</v>
      </c>
      <c r="D39" s="24">
        <f>Aurora!B17*1000</f>
        <v>77045.542311668396</v>
      </c>
      <c r="E39" s="24">
        <f>Aurora!C17*1000</f>
        <v>44262.278789281801</v>
      </c>
      <c r="F39" s="24">
        <f>Aurora!D17*1000</f>
        <v>32825.655031204202</v>
      </c>
      <c r="G39" s="24">
        <f>Aurora!E17*1000</f>
        <v>17862.1154733002</v>
      </c>
      <c r="H39" s="24">
        <f>Aurora!F17*1000</f>
        <v>10943.5888539999</v>
      </c>
      <c r="I39" s="24">
        <f>Aurora!G17*1000</f>
        <v>22623.347054421898</v>
      </c>
      <c r="J39" s="24">
        <f>Aurora!H17*1000</f>
        <v>107305.66711425701</v>
      </c>
      <c r="K39" s="24">
        <f>Aurora!I17*1000</f>
        <v>146979.28237914998</v>
      </c>
      <c r="L39" s="24">
        <f>Aurora!J17*1000</f>
        <v>89984.589350223498</v>
      </c>
      <c r="M39" s="24">
        <f>Aurora!K17*1000</f>
        <v>39479.195079207399</v>
      </c>
      <c r="N39" s="24">
        <f>Aurora!L17*1000</f>
        <v>81701.994854211807</v>
      </c>
      <c r="O39" s="24">
        <f>Aurora!M17*1000</f>
        <v>130065.117025375</v>
      </c>
    </row>
    <row r="40" spans="1:17"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7">
      <c r="A41" t="s">
        <v>56</v>
      </c>
      <c r="C41" s="26">
        <f>SUM(D41:O41)</f>
        <v>9664.6996257304963</v>
      </c>
      <c r="D41" s="3">
        <f>Aurora!B9*1000</f>
        <v>571.45806379318196</v>
      </c>
      <c r="E41" s="3">
        <f>Aurora!C9*1000</f>
        <v>380.26459510326305</v>
      </c>
      <c r="F41" s="3">
        <f>Aurora!D9*1000</f>
        <v>118.287282776832</v>
      </c>
      <c r="G41" s="3">
        <f>Aurora!E9*1000</f>
        <v>63.877560520172096</v>
      </c>
      <c r="H41" s="3">
        <f>Aurora!F9*1000</f>
        <v>67.298728823661804</v>
      </c>
      <c r="I41" s="3">
        <f>Aurora!G9*1000</f>
        <v>344.23261044025401</v>
      </c>
      <c r="J41" s="3">
        <f>Aurora!H9*1000</f>
        <v>1452.98700537681</v>
      </c>
      <c r="K41" s="3">
        <f>Aurora!I9*1000</f>
        <v>2496.3669277191102</v>
      </c>
      <c r="L41" s="3">
        <f>Aurora!J9*1000</f>
        <v>1394.02878437042</v>
      </c>
      <c r="M41" s="3">
        <f>Aurora!K9*1000</f>
        <v>470.33542900085399</v>
      </c>
      <c r="N41" s="3">
        <f>Aurora!L9*1000</f>
        <v>781.89575352668714</v>
      </c>
      <c r="O41" s="3">
        <f>Aurora!M9*1000</f>
        <v>1523.6668842792501</v>
      </c>
      <c r="P41" s="3">
        <f>C41/8760</f>
        <v>1.1032762129829334</v>
      </c>
    </row>
    <row r="42" spans="1:17">
      <c r="A42" t="s">
        <v>102</v>
      </c>
      <c r="C42" s="72">
        <f>C43/C41</f>
        <v>25.286666385597101</v>
      </c>
      <c r="D42" s="75">
        <f t="shared" ref="D42:O42" si="12">IF(D41&gt;0,D43/D41,"")</f>
        <v>26.268868933060634</v>
      </c>
      <c r="E42" s="75">
        <f t="shared" si="12"/>
        <v>26.352231986180012</v>
      </c>
      <c r="F42" s="75">
        <f t="shared" si="12"/>
        <v>25.44107343406445</v>
      </c>
      <c r="G42" s="75">
        <f t="shared" si="12"/>
        <v>23.143020826640317</v>
      </c>
      <c r="H42" s="75">
        <f t="shared" si="12"/>
        <v>23.22150604921957</v>
      </c>
      <c r="I42" s="75">
        <f t="shared" si="12"/>
        <v>23.513723174620843</v>
      </c>
      <c r="J42" s="75">
        <f t="shared" si="12"/>
        <v>24.318529149932509</v>
      </c>
      <c r="K42" s="75">
        <f t="shared" si="12"/>
        <v>24.605746512195385</v>
      </c>
      <c r="L42" s="75">
        <f t="shared" si="12"/>
        <v>24.593017948876334</v>
      </c>
      <c r="M42" s="75">
        <f t="shared" si="12"/>
        <v>24.718946448611661</v>
      </c>
      <c r="N42" s="75">
        <f t="shared" si="12"/>
        <v>26.03576861788261</v>
      </c>
      <c r="O42" s="75">
        <f t="shared" si="12"/>
        <v>27.686305769949122</v>
      </c>
    </row>
    <row r="43" spans="1:17">
      <c r="A43" t="s">
        <v>55</v>
      </c>
      <c r="C43" s="29">
        <f>SUM(D43:O43)</f>
        <v>244388.03515285222</v>
      </c>
      <c r="D43" s="24">
        <f>Aurora!B21*1000</f>
        <v>15011.5569785237</v>
      </c>
      <c r="E43" s="24">
        <f>Aurora!C21*1000</f>
        <v>10020.820826292</v>
      </c>
      <c r="F43" s="24">
        <f>Aurora!D21*1000</f>
        <v>3009.3554474413299</v>
      </c>
      <c r="G43" s="24">
        <f>Aurora!E21*1000</f>
        <v>1478.31971347332</v>
      </c>
      <c r="H43" s="24">
        <f>Aurora!F21*1000</f>
        <v>1562.7778384834501</v>
      </c>
      <c r="I43" s="24">
        <f>Aurora!G21*1000</f>
        <v>8094.1903095692296</v>
      </c>
      <c r="J43" s="24">
        <f>Aurora!H21*1000</f>
        <v>35334.506844729098</v>
      </c>
      <c r="K43" s="24">
        <f>Aurora!I21*1000</f>
        <v>61424.9718248844</v>
      </c>
      <c r="L43" s="24">
        <f>Aurora!J21*1000</f>
        <v>34283.374915271997</v>
      </c>
      <c r="M43" s="24">
        <f>Aurora!K21*1000</f>
        <v>11626.196282356901</v>
      </c>
      <c r="N43" s="24">
        <f>Aurora!L21*1000</f>
        <v>20357.256922125798</v>
      </c>
      <c r="O43" s="24">
        <f>Aurora!M21*1000</f>
        <v>42184.707249701001</v>
      </c>
    </row>
    <row r="44" spans="1:17"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7">
      <c r="A45" t="s">
        <v>37</v>
      </c>
      <c r="C45" s="26">
        <f>SUM(D45:O45)</f>
        <v>59287.392018890183</v>
      </c>
      <c r="D45" s="3">
        <f>Aurora!B12*1000</f>
        <v>3469.44060688018</v>
      </c>
      <c r="E45" s="3">
        <f>Aurora!C12*1000</f>
        <v>2337.8694698333702</v>
      </c>
      <c r="F45" s="3">
        <f>Aurora!D12*1000</f>
        <v>172.81938037872311</v>
      </c>
      <c r="G45" s="3">
        <f>Aurora!E12*1000</f>
        <v>115.12944717407211</v>
      </c>
      <c r="H45" s="3">
        <f>Aurora!F12*1000</f>
        <v>74.626722335815302</v>
      </c>
      <c r="I45" s="3">
        <f>Aurora!G12*1000</f>
        <v>1664.316903114317</v>
      </c>
      <c r="J45" s="3">
        <f>Aurora!H12*1000</f>
        <v>9419.55414381027</v>
      </c>
      <c r="K45" s="3">
        <f>Aurora!I12*1000</f>
        <v>21016.874869537198</v>
      </c>
      <c r="L45" s="3">
        <f>Aurora!J12*1000</f>
        <v>7390.3343630790596</v>
      </c>
      <c r="M45" s="3">
        <f>Aurora!K12*1000</f>
        <v>1271.1080947875971</v>
      </c>
      <c r="N45" s="3">
        <f>Aurora!L12*1000</f>
        <v>2952.5146976470901</v>
      </c>
      <c r="O45" s="3">
        <f>Aurora!M12*1000</f>
        <v>9402.8033203124905</v>
      </c>
      <c r="P45" s="3">
        <f>C45/8760</f>
        <v>6.767967125444085</v>
      </c>
    </row>
    <row r="46" spans="1:17">
      <c r="A46" t="s">
        <v>96</v>
      </c>
      <c r="C46" s="72">
        <f>C47/C45</f>
        <v>34.19717987499866</v>
      </c>
      <c r="D46" s="75">
        <f t="shared" ref="D46:O46" si="13">IF(D45&gt;0,D47/D45,"")</f>
        <v>34.288837801425331</v>
      </c>
      <c r="E46" s="75">
        <f t="shared" si="13"/>
        <v>34.26924912264365</v>
      </c>
      <c r="F46" s="75">
        <f t="shared" si="13"/>
        <v>34.757750135623084</v>
      </c>
      <c r="G46" s="75">
        <f t="shared" si="13"/>
        <v>31.829503424161924</v>
      </c>
      <c r="H46" s="75">
        <f t="shared" si="13"/>
        <v>31.410740718518998</v>
      </c>
      <c r="I46" s="75">
        <f t="shared" si="13"/>
        <v>31.655998601654225</v>
      </c>
      <c r="J46" s="75">
        <f t="shared" si="13"/>
        <v>33.139213308432815</v>
      </c>
      <c r="K46" s="75">
        <f t="shared" si="13"/>
        <v>33.36583896480758</v>
      </c>
      <c r="L46" s="75">
        <f t="shared" si="13"/>
        <v>33.733617515090671</v>
      </c>
      <c r="M46" s="75">
        <f t="shared" si="13"/>
        <v>35.477547949766254</v>
      </c>
      <c r="N46" s="75">
        <f t="shared" si="13"/>
        <v>36.350192353485383</v>
      </c>
      <c r="O46" s="75">
        <f t="shared" si="13"/>
        <v>37.069286135733506</v>
      </c>
    </row>
    <row r="47" spans="1:17">
      <c r="A47" t="s">
        <v>38</v>
      </c>
      <c r="C47" s="29">
        <f>SUM(D47:O47)</f>
        <v>2027461.6091895476</v>
      </c>
      <c r="D47" s="24">
        <f>Aurora!B24*1000</f>
        <v>118963.08623099315</v>
      </c>
      <c r="E47" s="24">
        <f>Aurora!C24*1000</f>
        <v>80117.031277942602</v>
      </c>
      <c r="F47" s="24">
        <f>Aurora!D24*1000</f>
        <v>6006.8128417968601</v>
      </c>
      <c r="G47" s="24">
        <f>Aurora!E24*1000</f>
        <v>3664.5131330489976</v>
      </c>
      <c r="H47" s="24">
        <f>Aurora!F24*1000</f>
        <v>2344.080625963205</v>
      </c>
      <c r="I47" s="24">
        <f>Aurora!G24*1000</f>
        <v>52685.613557696313</v>
      </c>
      <c r="J47" s="24">
        <f>Aurora!H24*1000</f>
        <v>312156.6140420608</v>
      </c>
      <c r="K47" s="24">
        <f>Aurora!I24*1000</f>
        <v>701245.6624404894</v>
      </c>
      <c r="L47" s="24">
        <f>Aurora!J24*1000</f>
        <v>249302.71271274021</v>
      </c>
      <c r="M47" s="24">
        <f>Aurora!K24*1000</f>
        <v>45095.798382163004</v>
      </c>
      <c r="N47" s="24">
        <f>Aurora!L24*1000</f>
        <v>107324.47718596447</v>
      </c>
      <c r="O47" s="24">
        <f>Aurora!M24*1000</f>
        <v>348555.20675868879</v>
      </c>
    </row>
    <row r="48" spans="1:17">
      <c r="C48" s="37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6">
      <c r="A49" t="s">
        <v>42</v>
      </c>
      <c r="C49" s="26">
        <f>SUM(D49:O49)</f>
        <v>3509.7334637403451</v>
      </c>
      <c r="D49" s="3">
        <f>Aurora!B11*1000</f>
        <v>152.3475583076476</v>
      </c>
      <c r="E49" s="3">
        <f>Aurora!C11*1000</f>
        <v>94.921124267577994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134.8574443817138</v>
      </c>
      <c r="J49" s="3">
        <f>Aurora!H11*1000</f>
        <v>451.87960052490098</v>
      </c>
      <c r="K49" s="3">
        <f>Aurora!I11*1000</f>
        <v>1935.685438108444</v>
      </c>
      <c r="L49" s="3">
        <f>Aurora!J11*1000</f>
        <v>277.897857046127</v>
      </c>
      <c r="M49" s="3">
        <f>Aurora!K11*1000</f>
        <v>22.466506648063501</v>
      </c>
      <c r="N49" s="3">
        <f>Aurora!L11*1000</f>
        <v>41.072986125945903</v>
      </c>
      <c r="O49" s="3">
        <f>Aurora!M11*1000</f>
        <v>398.60494832992401</v>
      </c>
      <c r="P49" s="3">
        <f>C49/8760</f>
        <v>0.40065450499319005</v>
      </c>
    </row>
    <row r="50" spans="1:16">
      <c r="A50" t="s">
        <v>97</v>
      </c>
      <c r="C50" s="72">
        <f>C51/C49</f>
        <v>37.087341316517993</v>
      </c>
      <c r="D50" s="75">
        <f t="shared" ref="D50:O50" si="14">IF(D49&gt;0,D51/D49,"")</f>
        <v>38.873007415267487</v>
      </c>
      <c r="E50" s="75">
        <f t="shared" si="14"/>
        <v>38.9511805391721</v>
      </c>
      <c r="F50" s="75" t="str">
        <f t="shared" si="14"/>
        <v/>
      </c>
      <c r="G50" s="75" t="str">
        <f t="shared" si="14"/>
        <v/>
      </c>
      <c r="H50" s="75" t="str">
        <f t="shared" si="14"/>
        <v/>
      </c>
      <c r="I50" s="75">
        <f t="shared" si="14"/>
        <v>34.848378319426203</v>
      </c>
      <c r="J50" s="75">
        <f t="shared" si="14"/>
        <v>36.023603838233647</v>
      </c>
      <c r="K50" s="75">
        <f t="shared" si="14"/>
        <v>36.462477248466733</v>
      </c>
      <c r="L50" s="75">
        <f t="shared" si="14"/>
        <v>36.389073740044104</v>
      </c>
      <c r="M50" s="75">
        <f t="shared" si="14"/>
        <v>36.713574714963968</v>
      </c>
      <c r="N50" s="75">
        <f t="shared" si="14"/>
        <v>38.703294514234798</v>
      </c>
      <c r="O50" s="75">
        <f t="shared" si="14"/>
        <v>41.300221924531918</v>
      </c>
    </row>
    <row r="51" spans="1:16">
      <c r="A51" t="s">
        <v>43</v>
      </c>
      <c r="C51" s="29">
        <f>SUM(D51:O51)</f>
        <v>130166.68289974311</v>
      </c>
      <c r="D51" s="24">
        <f>Aurora!B23*1000</f>
        <v>5922.2077637910807</v>
      </c>
      <c r="E51" s="24">
        <f>Aurora!C23*1000</f>
        <v>3697.2898483276203</v>
      </c>
      <c r="F51" s="24">
        <f>Aurora!D23*1000</f>
        <v>0</v>
      </c>
      <c r="G51" s="24">
        <f>Aurora!E23*1000</f>
        <v>0</v>
      </c>
      <c r="H51" s="24">
        <f>Aurora!F23*1000</f>
        <v>0</v>
      </c>
      <c r="I51" s="24">
        <f>Aurora!G23*1000</f>
        <v>4699.5632410049402</v>
      </c>
      <c r="J51" s="24">
        <f>Aurora!H23*1000</f>
        <v>16278.33171188831</v>
      </c>
      <c r="K51" s="24">
        <f>Aurora!I23*1000</f>
        <v>70579.886247217495</v>
      </c>
      <c r="L51" s="24">
        <f>Aurora!J23*1000</f>
        <v>10112.445612251751</v>
      </c>
      <c r="M51" s="24">
        <f>Aurora!K23*1000</f>
        <v>824.82577040791409</v>
      </c>
      <c r="N51" s="24">
        <f>Aurora!L23*1000</f>
        <v>1589.6598786115642</v>
      </c>
      <c r="O51" s="24">
        <f>Aurora!M23*1000</f>
        <v>16462.47282624244</v>
      </c>
    </row>
    <row r="52" spans="1:16"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6">
      <c r="A53" t="s">
        <v>39</v>
      </c>
      <c r="C53" s="51">
        <f>SUM(D53:O53)</f>
        <v>99705957.194905341</v>
      </c>
      <c r="D53" s="31">
        <f t="shared" ref="D53:J53" si="15">D23+D27+D31+D35+D39+D43+D47+D51</f>
        <v>10457712.465649828</v>
      </c>
      <c r="E53" s="31">
        <f t="shared" si="15"/>
        <v>8639682.6214891374</v>
      </c>
      <c r="F53" s="31">
        <f t="shared" si="15"/>
        <v>9065798.2781723496</v>
      </c>
      <c r="G53" s="31">
        <f t="shared" si="15"/>
        <v>6863826.376640656</v>
      </c>
      <c r="H53" s="31">
        <f t="shared" si="15"/>
        <v>4643809.7769471537</v>
      </c>
      <c r="I53" s="31">
        <f t="shared" si="15"/>
        <v>3447632.6092281211</v>
      </c>
      <c r="J53" s="31">
        <f t="shared" si="15"/>
        <v>7424911.4748384459</v>
      </c>
      <c r="K53" s="31">
        <f>K23+K27+K31+K35+K39+K43+K47+K51</f>
        <v>9708234.8688248545</v>
      </c>
      <c r="L53" s="31">
        <f>L23+L27+L31+L35+L39+L43+L47+L51</f>
        <v>9290562.3619023394</v>
      </c>
      <c r="M53" s="31">
        <f>M23+M27+M31+M35+M39+M43+M47+M51</f>
        <v>9147223.6050112098</v>
      </c>
      <c r="N53" s="31">
        <f>N23+N27+N31+N35+N39+N43+N47+N51</f>
        <v>9550374.7651408203</v>
      </c>
      <c r="O53" s="31">
        <f>O23+O27+O31+O35+O39+O43+O47+O51</f>
        <v>11466187.991060436</v>
      </c>
    </row>
    <row r="54" spans="1:16">
      <c r="C54" s="24"/>
      <c r="D54" s="24"/>
      <c r="E54" s="24"/>
      <c r="F54" s="24"/>
      <c r="G54" s="24"/>
      <c r="H54" s="24"/>
      <c r="I54" s="24"/>
    </row>
    <row r="55" spans="1:16" s="11" customFormat="1">
      <c r="A55" s="33" t="s">
        <v>88</v>
      </c>
      <c r="B55" s="34"/>
      <c r="C55" s="70">
        <f>C53+C13+C9</f>
        <v>66843063.564657934</v>
      </c>
    </row>
    <row r="56" spans="1:16" s="11" customFormat="1">
      <c r="A56" s="8"/>
      <c r="C56" s="35"/>
      <c r="D56" s="35"/>
      <c r="E56" s="35"/>
      <c r="F56" s="35"/>
      <c r="G56" s="35"/>
      <c r="H56" s="35"/>
      <c r="I56" s="35"/>
    </row>
  </sheetData>
  <phoneticPr fontId="5" type="noConversion"/>
  <pageMargins left="0.75" right="0.75" top="1" bottom="1" header="0.5" footer="0.5"/>
  <pageSetup scale="55" orientation="landscape" r:id="rId1"/>
  <headerFooter alignWithMargins="0">
    <oddFooter>&amp;R&amp;"Geneva,Bold"&amp;12Exhibit No. (WGJ-4) ___
Docket No. UE-14-___
W. Johnson, Avista p.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39"/>
  <sheetViews>
    <sheetView workbookViewId="0"/>
  </sheetViews>
  <sheetFormatPr defaultColWidth="9.21875" defaultRowHeight="13.2"/>
  <cols>
    <col min="1" max="1" width="32.5546875" style="112" customWidth="1"/>
    <col min="2" max="2" width="13.21875" style="112" customWidth="1"/>
    <col min="3" max="14" width="11.77734375" style="112" customWidth="1"/>
    <col min="15" max="16384" width="9.21875" style="112"/>
  </cols>
  <sheetData>
    <row r="1" spans="1:14" ht="15.6">
      <c r="A1" s="131" t="s">
        <v>154</v>
      </c>
    </row>
    <row r="2" spans="1:14" ht="15.6">
      <c r="A2" s="131" t="s">
        <v>220</v>
      </c>
    </row>
    <row r="3" spans="1:14" ht="15.6">
      <c r="A3" s="131" t="s">
        <v>172</v>
      </c>
    </row>
    <row r="4" spans="1:14" s="132" customFormat="1" ht="15.6">
      <c r="A4" s="131" t="s">
        <v>221</v>
      </c>
    </row>
    <row r="5" spans="1:14" ht="15.6">
      <c r="A5" s="131"/>
    </row>
    <row r="6" spans="1:14">
      <c r="A6" s="113" t="s">
        <v>184</v>
      </c>
    </row>
    <row r="7" spans="1:14">
      <c r="A7" s="113"/>
    </row>
    <row r="8" spans="1:14">
      <c r="B8" s="133" t="s">
        <v>32</v>
      </c>
      <c r="C8" s="134" t="s">
        <v>190</v>
      </c>
      <c r="D8" s="134" t="s">
        <v>191</v>
      </c>
      <c r="E8" s="134" t="s">
        <v>192</v>
      </c>
      <c r="F8" s="134" t="s">
        <v>193</v>
      </c>
      <c r="G8" s="134" t="s">
        <v>79</v>
      </c>
      <c r="H8" s="134" t="s">
        <v>194</v>
      </c>
      <c r="I8" s="134" t="s">
        <v>195</v>
      </c>
      <c r="J8" s="134" t="s">
        <v>196</v>
      </c>
      <c r="K8" s="134" t="s">
        <v>197</v>
      </c>
      <c r="L8" s="134" t="s">
        <v>198</v>
      </c>
      <c r="M8" s="134" t="s">
        <v>199</v>
      </c>
      <c r="N8" s="134" t="s">
        <v>200</v>
      </c>
    </row>
    <row r="10" spans="1:14">
      <c r="A10" s="112" t="s">
        <v>143</v>
      </c>
      <c r="B10" s="135">
        <f>SUM(C10:N10)</f>
        <v>109775159.33128345</v>
      </c>
      <c r="C10" s="135">
        <f>'WGJ-2'!K28</f>
        <v>11889607.335787123</v>
      </c>
      <c r="D10" s="135">
        <f>'WGJ-2'!L28</f>
        <v>10850540.420892507</v>
      </c>
      <c r="E10" s="135">
        <f>'WGJ-2'!M28</f>
        <v>9802951.1384248547</v>
      </c>
      <c r="F10" s="135">
        <f>'WGJ-2'!N28</f>
        <v>9102303.1506163664</v>
      </c>
      <c r="G10" s="135">
        <f>'WGJ-2'!O28</f>
        <v>7118813.0931354528</v>
      </c>
      <c r="H10" s="135">
        <f>'WGJ-2'!P28</f>
        <v>6901634.540903952</v>
      </c>
      <c r="I10" s="135">
        <f>'WGJ-2'!Q28</f>
        <v>7231564.0854520136</v>
      </c>
      <c r="J10" s="135">
        <f>'WGJ-2'!R28</f>
        <v>8096435.5757629443</v>
      </c>
      <c r="K10" s="135">
        <f>'WGJ-2'!S28</f>
        <v>7065025.4525314998</v>
      </c>
      <c r="L10" s="135">
        <f>'WGJ-2'!T28</f>
        <v>7653216.4934541332</v>
      </c>
      <c r="M10" s="135">
        <f>'WGJ-2'!U28</f>
        <v>11766291.334774949</v>
      </c>
      <c r="N10" s="135">
        <f>'WGJ-2'!V28</f>
        <v>12296776.709547644</v>
      </c>
    </row>
    <row r="11" spans="1:14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4">
      <c r="A12" s="112" t="s">
        <v>142</v>
      </c>
      <c r="B12" s="135">
        <f>SUM(C12:N12)</f>
        <v>58104488.454362363</v>
      </c>
      <c r="C12" s="135">
        <f>'WGJ-2'!K45</f>
        <v>5063250.0460840445</v>
      </c>
      <c r="D12" s="135">
        <f>'WGJ-2'!L45</f>
        <v>4835839.8614145499</v>
      </c>
      <c r="E12" s="135">
        <f>'WGJ-2'!M45</f>
        <v>4953331.9209314547</v>
      </c>
      <c r="F12" s="135">
        <f>'WGJ-2'!N45</f>
        <v>4722109.1529108249</v>
      </c>
      <c r="G12" s="135">
        <f>'WGJ-2'!O45</f>
        <v>4419583.6104608737</v>
      </c>
      <c r="H12" s="135">
        <f>'WGJ-2'!P45</f>
        <v>4022879.2714811545</v>
      </c>
      <c r="I12" s="135">
        <f>'WGJ-2'!Q45</f>
        <v>4832958.7390161725</v>
      </c>
      <c r="J12" s="135">
        <f>'WGJ-2'!R45</f>
        <v>5041063.669893858</v>
      </c>
      <c r="K12" s="135">
        <f>'WGJ-2'!S45</f>
        <v>5032197.012636777</v>
      </c>
      <c r="L12" s="135">
        <f>'WGJ-2'!T45</f>
        <v>5062554.3025232535</v>
      </c>
      <c r="M12" s="135">
        <f>'WGJ-2'!U45</f>
        <v>5010754.3002344333</v>
      </c>
      <c r="N12" s="135">
        <f>'WGJ-2'!V45</f>
        <v>5107966.5667749615</v>
      </c>
    </row>
    <row r="13" spans="1:14"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>
      <c r="A14" s="112" t="s">
        <v>183</v>
      </c>
      <c r="B14" s="135">
        <f>SUM(C14:N14)</f>
        <v>72652520.740543008</v>
      </c>
      <c r="C14" s="135">
        <f>'WGJ-2'!K60</f>
        <v>7982050.0862324508</v>
      </c>
      <c r="D14" s="135">
        <f>'WGJ-2'!L60</f>
        <v>6391430.4267412545</v>
      </c>
      <c r="E14" s="135">
        <f>'WGJ-2'!M60</f>
        <v>6700054.0239075618</v>
      </c>
      <c r="F14" s="135">
        <f>'WGJ-2'!N60</f>
        <v>4729304.8903964981</v>
      </c>
      <c r="G14" s="135">
        <f>'WGJ-2'!O60</f>
        <v>2811813.8331529466</v>
      </c>
      <c r="H14" s="135">
        <f>'WGJ-2'!P60</f>
        <v>2012341.0044136341</v>
      </c>
      <c r="I14" s="135">
        <f>'WGJ-2'!Q60</f>
        <v>5179540.4024889413</v>
      </c>
      <c r="J14" s="135">
        <f>'WGJ-2'!R60</f>
        <v>7254758.8655976625</v>
      </c>
      <c r="K14" s="135">
        <f>'WGJ-2'!S60</f>
        <v>6845953.0159322303</v>
      </c>
      <c r="L14" s="135">
        <f>'WGJ-2'!T60</f>
        <v>6672256.9691546243</v>
      </c>
      <c r="M14" s="135">
        <f>'WGJ-2'!U60</f>
        <v>7127208.1315730549</v>
      </c>
      <c r="N14" s="135">
        <f>'WGJ-2'!V60</f>
        <v>8945809.0909521393</v>
      </c>
    </row>
    <row r="15" spans="1:14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>
      <c r="A16" s="136" t="s">
        <v>141</v>
      </c>
      <c r="B16" s="137">
        <f>SUM(C16:N16)</f>
        <v>56777699.41395019</v>
      </c>
      <c r="C16" s="137">
        <f>'WGJ-2'!K95</f>
        <v>4777822.5270464523</v>
      </c>
      <c r="D16" s="137">
        <f>'WGJ-2'!L95</f>
        <v>3732997.7350734272</v>
      </c>
      <c r="E16" s="137">
        <f>'WGJ-2'!M95</f>
        <v>4478359.6737422217</v>
      </c>
      <c r="F16" s="137">
        <f>'WGJ-2'!N95</f>
        <v>6601316.6013098639</v>
      </c>
      <c r="G16" s="137">
        <f>'WGJ-2'!O95</f>
        <v>5978469.5105370246</v>
      </c>
      <c r="H16" s="137">
        <f>'WGJ-2'!P95</f>
        <v>3929991.5774227218</v>
      </c>
      <c r="I16" s="137">
        <f>'WGJ-2'!Q95</f>
        <v>4939974.2399754692</v>
      </c>
      <c r="J16" s="137">
        <f>'WGJ-2'!R95</f>
        <v>3830191.4055310455</v>
      </c>
      <c r="K16" s="137">
        <f>'WGJ-2'!S95</f>
        <v>4264227.1370259058</v>
      </c>
      <c r="L16" s="137">
        <f>'WGJ-2'!T95</f>
        <v>3324784.5372420321</v>
      </c>
      <c r="M16" s="137">
        <f>'WGJ-2'!U95</f>
        <v>4514243.572626628</v>
      </c>
      <c r="N16" s="137">
        <f>'WGJ-2'!V95</f>
        <v>6405320.8964173887</v>
      </c>
    </row>
    <row r="17" spans="1:14" ht="12.75" customHeight="1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4">
      <c r="A18" s="130" t="s">
        <v>138</v>
      </c>
      <c r="B18" s="135">
        <f>SUM(C18:N18)</f>
        <v>183754469.11223862</v>
      </c>
      <c r="C18" s="135">
        <f>SUM(C10:C14)-C16</f>
        <v>20157084.941057164</v>
      </c>
      <c r="D18" s="135">
        <f t="shared" ref="D18:N18" si="0">SUM(D10:D14)-D16</f>
        <v>18344812.973974884</v>
      </c>
      <c r="E18" s="135">
        <f t="shared" si="0"/>
        <v>16977977.409521647</v>
      </c>
      <c r="F18" s="135">
        <f t="shared" si="0"/>
        <v>11952400.592613826</v>
      </c>
      <c r="G18" s="135">
        <f t="shared" si="0"/>
        <v>8371741.026212249</v>
      </c>
      <c r="H18" s="135">
        <f t="shared" si="0"/>
        <v>9006863.2393760197</v>
      </c>
      <c r="I18" s="135">
        <f t="shared" si="0"/>
        <v>12304088.986981658</v>
      </c>
      <c r="J18" s="135">
        <f t="shared" si="0"/>
        <v>16562066.70572342</v>
      </c>
      <c r="K18" s="135">
        <f t="shared" si="0"/>
        <v>14678948.344074601</v>
      </c>
      <c r="L18" s="135">
        <f t="shared" si="0"/>
        <v>16063243.227889977</v>
      </c>
      <c r="M18" s="135">
        <f t="shared" si="0"/>
        <v>19390010.193955809</v>
      </c>
      <c r="N18" s="135">
        <f t="shared" si="0"/>
        <v>19945231.470857359</v>
      </c>
    </row>
    <row r="19" spans="1:14" ht="12.75" customHeight="1"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1:14" ht="12.75" customHeight="1">
      <c r="A20" s="130" t="s">
        <v>173</v>
      </c>
      <c r="B20" s="135">
        <f>SUM(C20:N20)</f>
        <v>16544508.208842002</v>
      </c>
      <c r="C20" s="135">
        <f>'WGJ-2'!K76</f>
        <v>1398602.1984000001</v>
      </c>
      <c r="D20" s="135">
        <f>'WGJ-2'!L76</f>
        <v>1379744.504432</v>
      </c>
      <c r="E20" s="135">
        <f>'WGJ-2'!M76</f>
        <v>1367501.507008</v>
      </c>
      <c r="F20" s="135">
        <f>'WGJ-2'!N76</f>
        <v>1373691.9637200001</v>
      </c>
      <c r="G20" s="135">
        <f>'WGJ-2'!O76</f>
        <v>1358062.70964</v>
      </c>
      <c r="H20" s="135">
        <f>'WGJ-2'!P76</f>
        <v>1329852.96236</v>
      </c>
      <c r="I20" s="135">
        <f>'WGJ-2'!Q76</f>
        <v>1378893.1336400001</v>
      </c>
      <c r="J20" s="135">
        <f>'WGJ-2'!R76</f>
        <v>1373493.3136</v>
      </c>
      <c r="K20" s="135">
        <f>'WGJ-2'!S76</f>
        <v>1354695.2095600001</v>
      </c>
      <c r="L20" s="135">
        <f>'WGJ-2'!T76</f>
        <v>1387229.860962</v>
      </c>
      <c r="M20" s="135">
        <f>'WGJ-2'!U76</f>
        <v>1394253.0938136</v>
      </c>
      <c r="N20" s="135">
        <f>'WGJ-2'!V76</f>
        <v>1448487.7517064</v>
      </c>
    </row>
    <row r="21" spans="1:14" ht="12.75" customHeight="1">
      <c r="A21" s="130"/>
    </row>
    <row r="22" spans="1:14" ht="12.75" customHeight="1">
      <c r="A22" s="130" t="s">
        <v>218</v>
      </c>
      <c r="B22" s="116">
        <f>SUM(C22:N22)</f>
        <v>16015348.880000001</v>
      </c>
      <c r="C22" s="116">
        <v>1304329.49</v>
      </c>
      <c r="D22" s="116">
        <v>1105921.49</v>
      </c>
      <c r="E22" s="116">
        <v>1123977.49</v>
      </c>
      <c r="F22" s="116">
        <v>1154782.49</v>
      </c>
      <c r="G22" s="116">
        <v>1377232.49</v>
      </c>
      <c r="H22" s="116">
        <v>1552357.49</v>
      </c>
      <c r="I22" s="116">
        <v>1659835.49</v>
      </c>
      <c r="J22" s="116">
        <v>1502892.49</v>
      </c>
      <c r="K22" s="116">
        <v>1306364.49</v>
      </c>
      <c r="L22" s="116">
        <v>1460291.49</v>
      </c>
      <c r="M22" s="116">
        <v>1241936.49</v>
      </c>
      <c r="N22" s="116">
        <v>1225427.49</v>
      </c>
    </row>
    <row r="23" spans="1:14" ht="12.75" customHeight="1">
      <c r="A23" s="130"/>
      <c r="B23" s="116"/>
    </row>
    <row r="24" spans="1:14" ht="12.75" customHeight="1">
      <c r="A24" s="130" t="s">
        <v>179</v>
      </c>
      <c r="B24" s="116">
        <f>SUM(C24:N24)</f>
        <v>407000.00000000006</v>
      </c>
      <c r="C24" s="135">
        <f>'WGJ-2'!K31</f>
        <v>33916.666666666664</v>
      </c>
      <c r="D24" s="135">
        <f>'WGJ-2'!L31</f>
        <v>33916.666666666664</v>
      </c>
      <c r="E24" s="135">
        <f>'WGJ-2'!M31</f>
        <v>33916.666666666664</v>
      </c>
      <c r="F24" s="135">
        <f>'WGJ-2'!N31</f>
        <v>33916.666666666664</v>
      </c>
      <c r="G24" s="135">
        <f>'WGJ-2'!O31</f>
        <v>33916.666666666664</v>
      </c>
      <c r="H24" s="135">
        <f>'WGJ-2'!P31</f>
        <v>33916.666666666664</v>
      </c>
      <c r="I24" s="135">
        <f>'WGJ-2'!Q31</f>
        <v>33916.666666666664</v>
      </c>
      <c r="J24" s="135">
        <f>'WGJ-2'!R31</f>
        <v>33916.666666666664</v>
      </c>
      <c r="K24" s="135">
        <f>'WGJ-2'!S31</f>
        <v>33916.666666666664</v>
      </c>
      <c r="L24" s="135">
        <f>'WGJ-2'!T31</f>
        <v>33916.666666666664</v>
      </c>
      <c r="M24" s="135">
        <f>'WGJ-2'!U31</f>
        <v>33916.666666666664</v>
      </c>
      <c r="N24" s="135">
        <f>'WGJ-2'!V31</f>
        <v>33916.666666666664</v>
      </c>
    </row>
    <row r="25" spans="1:14" ht="12.75" customHeight="1">
      <c r="A25" s="130"/>
    </row>
    <row r="26" spans="1:14" ht="12.75" customHeight="1">
      <c r="A26" s="130"/>
      <c r="B26" s="135">
        <f>B18+B20-B22+B24</f>
        <v>184690628.44108063</v>
      </c>
    </row>
    <row r="28" spans="1:14">
      <c r="A28" s="113" t="s">
        <v>213</v>
      </c>
    </row>
    <row r="30" spans="1:14">
      <c r="B30" s="133" t="s">
        <v>32</v>
      </c>
      <c r="C30" s="134" t="str">
        <f>C8</f>
        <v>January</v>
      </c>
      <c r="D30" s="134" t="str">
        <f t="shared" ref="D30:N30" si="1">D8</f>
        <v>February</v>
      </c>
      <c r="E30" s="134" t="str">
        <f t="shared" si="1"/>
        <v>March</v>
      </c>
      <c r="F30" s="134" t="str">
        <f t="shared" si="1"/>
        <v>April</v>
      </c>
      <c r="G30" s="134" t="str">
        <f t="shared" si="1"/>
        <v>May</v>
      </c>
      <c r="H30" s="134" t="str">
        <f t="shared" si="1"/>
        <v>June</v>
      </c>
      <c r="I30" s="134" t="str">
        <f t="shared" si="1"/>
        <v>July</v>
      </c>
      <c r="J30" s="134" t="str">
        <f t="shared" si="1"/>
        <v>August</v>
      </c>
      <c r="K30" s="134" t="str">
        <f t="shared" si="1"/>
        <v>September</v>
      </c>
      <c r="L30" s="134" t="str">
        <f t="shared" si="1"/>
        <v>October</v>
      </c>
      <c r="M30" s="134" t="str">
        <f t="shared" si="1"/>
        <v>November</v>
      </c>
      <c r="N30" s="134" t="str">
        <f t="shared" si="1"/>
        <v>December</v>
      </c>
    </row>
    <row r="32" spans="1:14">
      <c r="A32" s="130" t="s">
        <v>219</v>
      </c>
      <c r="B32" s="129">
        <f>SUM(C32:N32)</f>
        <v>0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</row>
    <row r="34" spans="1:3">
      <c r="A34" s="130" t="s">
        <v>180</v>
      </c>
      <c r="B34" s="138"/>
      <c r="C34" s="139" t="s">
        <v>181</v>
      </c>
    </row>
    <row r="39" spans="1:3">
      <c r="A39" s="112" t="s">
        <v>217</v>
      </c>
    </row>
  </sheetData>
  <phoneticPr fontId="5" type="noConversion"/>
  <pageMargins left="0.75" right="0.75" top="1" bottom="1" header="0.5" footer="0.5"/>
  <pageSetup scale="66" orientation="landscape" r:id="rId1"/>
  <headerFooter alignWithMargins="0">
    <oddHeader>&amp;R&amp;"Times New Roman,Regular"&amp;14APPENDIX 1</oddHeader>
    <oddFooter>&amp;R&amp;"Arial,Regular"&amp;11Exhibit No. (WGJ-7) ___
Docket No. UE-14-___
W. Johnson, Avista p.&amp;P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/>
  </sheetViews>
  <sheetFormatPr defaultColWidth="9.21875" defaultRowHeight="13.2"/>
  <cols>
    <col min="1" max="1" width="20.21875" style="59" customWidth="1"/>
    <col min="2" max="13" width="9.21875" style="59"/>
    <col min="14" max="14" width="10.21875" style="61" customWidth="1"/>
    <col min="15" max="15" width="9.21875" style="59" customWidth="1"/>
    <col min="16" max="16384" width="9.21875" style="59"/>
  </cols>
  <sheetData>
    <row r="1" spans="1:16" ht="16.2" thickBot="1">
      <c r="A1" s="56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57"/>
    </row>
    <row r="2" spans="1:16">
      <c r="A2" s="60"/>
      <c r="B2" s="69" t="s">
        <v>75</v>
      </c>
      <c r="C2" s="69" t="s">
        <v>76</v>
      </c>
      <c r="D2" s="69" t="s">
        <v>77</v>
      </c>
      <c r="E2" s="69" t="s">
        <v>78</v>
      </c>
      <c r="F2" s="69" t="s">
        <v>79</v>
      </c>
      <c r="G2" s="69" t="s">
        <v>80</v>
      </c>
      <c r="H2" s="69" t="s">
        <v>81</v>
      </c>
      <c r="I2" s="69" t="s">
        <v>82</v>
      </c>
      <c r="J2" s="69" t="s">
        <v>83</v>
      </c>
      <c r="K2" s="69" t="s">
        <v>84</v>
      </c>
      <c r="L2" s="69" t="s">
        <v>85</v>
      </c>
      <c r="M2" s="69" t="s">
        <v>86</v>
      </c>
    </row>
    <row r="3" spans="1:16">
      <c r="B3" s="62">
        <v>1</v>
      </c>
      <c r="C3" s="62">
        <v>2</v>
      </c>
      <c r="D3" s="62">
        <v>3</v>
      </c>
      <c r="E3" s="62">
        <v>4</v>
      </c>
      <c r="F3" s="62">
        <v>5</v>
      </c>
      <c r="G3" s="62">
        <v>6</v>
      </c>
      <c r="H3" s="62">
        <v>7</v>
      </c>
      <c r="I3" s="62">
        <v>8</v>
      </c>
      <c r="J3" s="62">
        <v>9</v>
      </c>
      <c r="K3" s="62">
        <v>10</v>
      </c>
      <c r="L3" s="62">
        <v>11</v>
      </c>
      <c r="M3" s="62">
        <v>12</v>
      </c>
      <c r="N3" s="63" t="s">
        <v>63</v>
      </c>
    </row>
    <row r="4" spans="1:16">
      <c r="A4" s="73" t="s">
        <v>64</v>
      </c>
      <c r="N4" s="74" t="s">
        <v>90</v>
      </c>
    </row>
    <row r="5" spans="1:16">
      <c r="A5" s="64" t="s">
        <v>65</v>
      </c>
      <c r="B5" s="65">
        <v>2.8379030563354402</v>
      </c>
      <c r="C5" s="65">
        <v>1.6305695512771599</v>
      </c>
      <c r="D5" s="65">
        <v>1.2409287253379799</v>
      </c>
      <c r="E5" s="65">
        <v>0.74731080260276705</v>
      </c>
      <c r="F5" s="65">
        <v>0.45870669221878002</v>
      </c>
      <c r="G5" s="65">
        <v>0.93209001588821383</v>
      </c>
      <c r="H5" s="65">
        <v>4.27497959136962</v>
      </c>
      <c r="I5" s="65">
        <v>5.7901986694335905</v>
      </c>
      <c r="J5" s="65">
        <v>3.5462369098663298</v>
      </c>
      <c r="K5" s="65">
        <v>1.54536170578002</v>
      </c>
      <c r="L5" s="65">
        <v>3.0415967521667397</v>
      </c>
      <c r="M5" s="65">
        <v>4.5566454772949196</v>
      </c>
      <c r="N5" s="61">
        <f>SUM(B5:M5)</f>
        <v>30.602527949571559</v>
      </c>
      <c r="O5" s="59">
        <f>N5/8760*1000</f>
        <v>3.4934392636497216</v>
      </c>
    </row>
    <row r="6" spans="1:16">
      <c r="A6" s="64" t="s">
        <v>23</v>
      </c>
      <c r="B6" s="65">
        <v>144.4224904296874</v>
      </c>
      <c r="C6" s="65">
        <v>128.67790139160149</v>
      </c>
      <c r="D6" s="65">
        <v>141.74540634765609</v>
      </c>
      <c r="E6" s="65">
        <v>124.71576513671869</v>
      </c>
      <c r="F6" s="65">
        <v>103.470964892578</v>
      </c>
      <c r="G6" s="65">
        <v>89.72169306640609</v>
      </c>
      <c r="H6" s="65">
        <v>134.373451953125</v>
      </c>
      <c r="I6" s="65">
        <v>142.9759381347655</v>
      </c>
      <c r="J6" s="65">
        <v>141.2450988281249</v>
      </c>
      <c r="K6" s="65">
        <v>145.06331953124987</v>
      </c>
      <c r="L6" s="65">
        <v>140.41230888671859</v>
      </c>
      <c r="M6" s="65">
        <v>145.36945190429682</v>
      </c>
      <c r="N6" s="61">
        <f t="shared" ref="N6:N12" si="0">SUM(B6:M6)</f>
        <v>1582.1937905029281</v>
      </c>
      <c r="O6" s="59">
        <f t="shared" ref="O6:O13" si="1">N6/8760*1000</f>
        <v>180.61572950946666</v>
      </c>
    </row>
    <row r="7" spans="1:16">
      <c r="A7" s="64" t="s">
        <v>66</v>
      </c>
      <c r="B7" s="65">
        <v>193.99749258422796</v>
      </c>
      <c r="C7" s="65">
        <v>156.37838282470699</v>
      </c>
      <c r="D7" s="65">
        <v>169.43157001953099</v>
      </c>
      <c r="E7" s="65">
        <v>130.03034741821202</v>
      </c>
      <c r="F7" s="65">
        <v>76.367618334960909</v>
      </c>
      <c r="G7" s="65">
        <v>47.557332583618106</v>
      </c>
      <c r="H7" s="65">
        <v>128.00682596435499</v>
      </c>
      <c r="I7" s="65">
        <v>172.471734228515</v>
      </c>
      <c r="J7" s="65">
        <v>176.544290625</v>
      </c>
      <c r="K7" s="65">
        <v>172.46953457031202</v>
      </c>
      <c r="L7" s="65">
        <v>173.062648535156</v>
      </c>
      <c r="M7" s="65">
        <v>201.42102646484295</v>
      </c>
      <c r="N7" s="61">
        <f t="shared" si="0"/>
        <v>1797.7388041534382</v>
      </c>
      <c r="O7" s="59">
        <f t="shared" si="1"/>
        <v>205.22132467505003</v>
      </c>
      <c r="P7" s="59">
        <f>SUM(B7:M7)</f>
        <v>1797.7388041534382</v>
      </c>
    </row>
    <row r="8" spans="1:16">
      <c r="A8" s="64" t="s">
        <v>21</v>
      </c>
      <c r="B8" s="65">
        <v>30.175968896484296</v>
      </c>
      <c r="C8" s="65">
        <v>25.594559863281201</v>
      </c>
      <c r="D8" s="65">
        <v>25.204305102539003</v>
      </c>
      <c r="E8" s="65">
        <v>20.642896582031202</v>
      </c>
      <c r="F8" s="65">
        <v>14.826854370117099</v>
      </c>
      <c r="G8" s="65">
        <v>0.81027785797119101</v>
      </c>
      <c r="H8" s="65">
        <v>22.198525463867099</v>
      </c>
      <c r="I8" s="65">
        <v>29.7045734130859</v>
      </c>
      <c r="J8" s="65">
        <v>30.2218376464843</v>
      </c>
      <c r="K8" s="65">
        <v>29.819654223632803</v>
      </c>
      <c r="L8" s="65">
        <v>29.428260717773398</v>
      </c>
      <c r="M8" s="65">
        <v>32.267627221679597</v>
      </c>
      <c r="N8" s="61">
        <f t="shared" si="0"/>
        <v>290.89534135894712</v>
      </c>
      <c r="O8" s="59">
        <f t="shared" si="1"/>
        <v>33.207230748738255</v>
      </c>
    </row>
    <row r="9" spans="1:16">
      <c r="A9" s="64" t="s">
        <v>67</v>
      </c>
      <c r="B9" s="65">
        <v>0.57145806379318198</v>
      </c>
      <c r="C9" s="65">
        <v>0.38026459510326305</v>
      </c>
      <c r="D9" s="65">
        <v>0.118287282776832</v>
      </c>
      <c r="E9" s="65">
        <v>6.38775605201721E-2</v>
      </c>
      <c r="F9" s="65">
        <v>6.7298728823661808E-2</v>
      </c>
      <c r="G9" s="65">
        <v>0.34423261044025399</v>
      </c>
      <c r="H9" s="65">
        <v>1.4529870053768099</v>
      </c>
      <c r="I9" s="65">
        <v>2.4963669277191101</v>
      </c>
      <c r="J9" s="65">
        <v>1.39402878437042</v>
      </c>
      <c r="K9" s="65">
        <v>0.47033542900085401</v>
      </c>
      <c r="L9" s="65">
        <v>0.78189575352668717</v>
      </c>
      <c r="M9" s="65">
        <v>1.52366688427925</v>
      </c>
      <c r="N9" s="61">
        <f t="shared" si="0"/>
        <v>9.6646996257304956</v>
      </c>
      <c r="O9" s="59">
        <f t="shared" si="1"/>
        <v>1.1032762129829332</v>
      </c>
    </row>
    <row r="10" spans="1:16">
      <c r="A10" s="64" t="s">
        <v>164</v>
      </c>
      <c r="B10" s="65">
        <v>178.501703881835</v>
      </c>
      <c r="C10" s="65">
        <v>142.230638500976</v>
      </c>
      <c r="D10" s="65">
        <v>154.667871166992</v>
      </c>
      <c r="E10" s="65">
        <v>120.32133868103</v>
      </c>
      <c r="F10" s="65">
        <v>67.535729605102503</v>
      </c>
      <c r="G10" s="65">
        <v>46.823644462585399</v>
      </c>
      <c r="H10" s="65">
        <v>107.23869659423801</v>
      </c>
      <c r="I10" s="65">
        <v>141.58512558593699</v>
      </c>
      <c r="J10" s="65">
        <v>148.395824023437</v>
      </c>
      <c r="K10" s="65">
        <v>158.30819062499998</v>
      </c>
      <c r="L10" s="65">
        <v>158.49813046874999</v>
      </c>
      <c r="M10" s="65">
        <v>181.95498759765599</v>
      </c>
    </row>
    <row r="11" spans="1:16">
      <c r="A11" s="64" t="s">
        <v>68</v>
      </c>
      <c r="B11" s="65">
        <v>0.1523475583076476</v>
      </c>
      <c r="C11" s="65">
        <v>9.4921124267577997E-2</v>
      </c>
      <c r="D11" s="65">
        <v>0</v>
      </c>
      <c r="E11" s="65">
        <v>0</v>
      </c>
      <c r="F11" s="65">
        <v>0</v>
      </c>
      <c r="G11" s="65">
        <v>0.13485744438171379</v>
      </c>
      <c r="H11" s="65">
        <v>0.451879600524901</v>
      </c>
      <c r="I11" s="65">
        <v>1.9356854381084441</v>
      </c>
      <c r="J11" s="65">
        <v>0.27789785704612702</v>
      </c>
      <c r="K11" s="65">
        <v>2.2466506648063499E-2</v>
      </c>
      <c r="L11" s="65">
        <v>4.1072986125945905E-2</v>
      </c>
      <c r="M11" s="65">
        <v>0.39860494832992399</v>
      </c>
      <c r="N11" s="61">
        <f t="shared" si="0"/>
        <v>3.509733463740345</v>
      </c>
      <c r="O11" s="59">
        <f t="shared" si="1"/>
        <v>0.40065450499319005</v>
      </c>
    </row>
    <row r="12" spans="1:16">
      <c r="A12" s="64" t="s">
        <v>69</v>
      </c>
      <c r="B12" s="65">
        <v>3.46944060688018</v>
      </c>
      <c r="C12" s="65">
        <v>2.3378694698333704</v>
      </c>
      <c r="D12" s="65">
        <v>0.1728193803787231</v>
      </c>
      <c r="E12" s="65">
        <v>0.11512944717407211</v>
      </c>
      <c r="F12" s="65">
        <v>7.4626722335815299E-2</v>
      </c>
      <c r="G12" s="65">
        <v>1.664316903114317</v>
      </c>
      <c r="H12" s="65">
        <v>9.4195541438102701</v>
      </c>
      <c r="I12" s="65">
        <v>21.016874869537197</v>
      </c>
      <c r="J12" s="65">
        <v>7.3903343630790594</v>
      </c>
      <c r="K12" s="65">
        <v>1.271108094787597</v>
      </c>
      <c r="L12" s="65">
        <v>2.9525146976470902</v>
      </c>
      <c r="M12" s="65">
        <v>9.4028033203124899</v>
      </c>
      <c r="N12" s="61">
        <f t="shared" si="0"/>
        <v>59.287392018890188</v>
      </c>
      <c r="O12" s="59">
        <f t="shared" si="1"/>
        <v>6.7679671254440859</v>
      </c>
    </row>
    <row r="13" spans="1:16">
      <c r="A13" s="64" t="s">
        <v>225</v>
      </c>
      <c r="B13" s="66">
        <v>-1.9340625E-2</v>
      </c>
      <c r="C13" s="66">
        <v>-1.9293749999999998E-2</v>
      </c>
      <c r="D13" s="66">
        <v>-2.1434374999999999E-2</v>
      </c>
      <c r="E13" s="66">
        <v>-2.1628125000000002E-2</v>
      </c>
      <c r="F13" s="66">
        <v>-1.9846875E-2</v>
      </c>
      <c r="G13" s="66">
        <v>-1.6562500000000001E-2</v>
      </c>
      <c r="H13" s="66">
        <v>-1.9324999999999998E-2</v>
      </c>
      <c r="I13" s="66">
        <v>-2.2096875000000002E-2</v>
      </c>
      <c r="J13" s="66">
        <v>-2.1825000000000001E-2</v>
      </c>
      <c r="K13" s="66">
        <v>-2.2421875000000001E-2</v>
      </c>
      <c r="L13" s="66">
        <v>-2.1618749999999999E-2</v>
      </c>
      <c r="M13" s="66">
        <v>-2.2762499999999998E-2</v>
      </c>
      <c r="N13" s="67">
        <f>SUM(N5:N12)</f>
        <v>3773.892289073246</v>
      </c>
      <c r="O13" s="59">
        <f t="shared" si="1"/>
        <v>430.80962204032494</v>
      </c>
    </row>
    <row r="14" spans="1:16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6">
      <c r="A15" s="64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 t="e">
        <f>SUM(#REF!)</f>
        <v>#REF!</v>
      </c>
    </row>
    <row r="16" spans="1:16">
      <c r="A16" s="73" t="s">
        <v>70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5">
      <c r="A17" s="64" t="s">
        <v>65</v>
      </c>
      <c r="B17" s="65">
        <v>77.045542311668399</v>
      </c>
      <c r="C17" s="65">
        <v>44.262278789281801</v>
      </c>
      <c r="D17" s="65">
        <v>32.825655031204199</v>
      </c>
      <c r="E17" s="65">
        <v>17.8621154733002</v>
      </c>
      <c r="F17" s="65">
        <v>10.9435888539999</v>
      </c>
      <c r="G17" s="65">
        <v>22.623347054421899</v>
      </c>
      <c r="H17" s="65">
        <v>107.30566711425701</v>
      </c>
      <c r="I17" s="65">
        <v>146.97928237914999</v>
      </c>
      <c r="J17" s="65">
        <v>89.984589350223501</v>
      </c>
      <c r="K17" s="65">
        <v>39.4791950792074</v>
      </c>
      <c r="L17" s="65">
        <v>81.701994854211804</v>
      </c>
      <c r="M17" s="65">
        <v>130.065117025375</v>
      </c>
      <c r="N17" s="66">
        <f>SUM(B17:M17)</f>
        <v>801.07837331630117</v>
      </c>
    </row>
    <row r="18" spans="1:15">
      <c r="A18" s="64" t="s">
        <v>23</v>
      </c>
      <c r="B18" s="65">
        <v>2072.4719850438019</v>
      </c>
      <c r="C18" s="65">
        <v>1927.6094327824499</v>
      </c>
      <c r="D18" s="65">
        <v>2051.0754373448267</v>
      </c>
      <c r="E18" s="65">
        <v>1895.3159292118917</v>
      </c>
      <c r="F18" s="65">
        <v>1703.4575265782246</v>
      </c>
      <c r="G18" s="65">
        <v>1580.3917016880887</v>
      </c>
      <c r="H18" s="65">
        <v>1987.6046304600609</v>
      </c>
      <c r="I18" s="65">
        <v>2059.9377004521266</v>
      </c>
      <c r="J18" s="65">
        <v>2041.7630666630639</v>
      </c>
      <c r="K18" s="65">
        <v>2078.0446622746367</v>
      </c>
      <c r="L18" s="65">
        <v>2034.8850164311298</v>
      </c>
      <c r="M18" s="65">
        <v>2081.0066244023219</v>
      </c>
      <c r="N18" s="66">
        <f t="shared" ref="N18:N24" si="2">SUM(B18:M18)</f>
        <v>23513.563713332627</v>
      </c>
    </row>
    <row r="19" spans="1:15">
      <c r="A19" s="64" t="s">
        <v>66</v>
      </c>
      <c r="B19" s="65">
        <v>3912.7542232421401</v>
      </c>
      <c r="C19" s="65">
        <v>3151.6262165694116</v>
      </c>
      <c r="D19" s="65">
        <v>3349.033193991695</v>
      </c>
      <c r="E19" s="65">
        <v>2322.8554371337605</v>
      </c>
      <c r="F19" s="65">
        <v>1371.668786784152</v>
      </c>
      <c r="G19" s="65">
        <v>866.87542448792351</v>
      </c>
      <c r="H19" s="65">
        <v>2426.9494677620519</v>
      </c>
      <c r="I19" s="65">
        <v>3294.6250499735643</v>
      </c>
      <c r="J19" s="65">
        <v>3364.6107474835085</v>
      </c>
      <c r="K19" s="65">
        <v>3292.0244895748388</v>
      </c>
      <c r="L19" s="65">
        <v>3477.6606980995307</v>
      </c>
      <c r="M19" s="65">
        <v>4278.7519830791043</v>
      </c>
      <c r="N19" s="66">
        <f t="shared" si="2"/>
        <v>35109.435718181681</v>
      </c>
      <c r="O19" s="59">
        <f>N19/8760*1000</f>
        <v>4007.9264518472241</v>
      </c>
    </row>
    <row r="20" spans="1:15">
      <c r="A20" s="64" t="s">
        <v>21</v>
      </c>
      <c r="B20" s="65">
        <v>563.94472770690902</v>
      </c>
      <c r="C20" s="65">
        <v>481.397095298767</v>
      </c>
      <c r="D20" s="65">
        <v>475.42315025329498</v>
      </c>
      <c r="E20" s="65">
        <v>399.95989036560002</v>
      </c>
      <c r="F20" s="65">
        <v>289.292750549316</v>
      </c>
      <c r="G20" s="65">
        <v>15.654236459731999</v>
      </c>
      <c r="H20" s="65">
        <v>418.52077522277801</v>
      </c>
      <c r="I20" s="65">
        <v>554.29263610839803</v>
      </c>
      <c r="J20" s="65">
        <v>563.60061264037995</v>
      </c>
      <c r="K20" s="65">
        <v>557.67630691528302</v>
      </c>
      <c r="L20" s="65">
        <v>549.03595046996998</v>
      </c>
      <c r="M20" s="65">
        <v>600.126609039306</v>
      </c>
      <c r="N20" s="66">
        <f t="shared" si="2"/>
        <v>5468.9247410297339</v>
      </c>
      <c r="O20" s="59">
        <f>N20/8760*1000</f>
        <v>624.30647728649933</v>
      </c>
    </row>
    <row r="21" spans="1:15">
      <c r="A21" s="64" t="s">
        <v>67</v>
      </c>
      <c r="B21" s="65">
        <v>15.0115569785237</v>
      </c>
      <c r="C21" s="65">
        <v>10.020820826292001</v>
      </c>
      <c r="D21" s="65">
        <v>3.00935544744133</v>
      </c>
      <c r="E21" s="65">
        <v>1.4783197134733199</v>
      </c>
      <c r="F21" s="65">
        <v>1.5627778384834501</v>
      </c>
      <c r="G21" s="65">
        <v>8.09419030956923</v>
      </c>
      <c r="H21" s="65">
        <v>35.334506844729098</v>
      </c>
      <c r="I21" s="65">
        <v>61.424971824884402</v>
      </c>
      <c r="J21" s="65">
        <v>34.283374915271999</v>
      </c>
      <c r="K21" s="65">
        <v>11.626196282356901</v>
      </c>
      <c r="L21" s="65">
        <v>20.357256922125799</v>
      </c>
      <c r="M21" s="65">
        <v>42.184707249700999</v>
      </c>
      <c r="N21" s="66">
        <f t="shared" si="2"/>
        <v>244.38803515285224</v>
      </c>
      <c r="O21" s="59">
        <f>N21/8760*1000</f>
        <v>27.898177528864409</v>
      </c>
    </row>
    <row r="22" spans="1:15">
      <c r="A22" s="64" t="s">
        <v>164</v>
      </c>
      <c r="B22" s="65">
        <v>3691.599136372</v>
      </c>
      <c r="C22" s="65">
        <v>2940.9524560966652</v>
      </c>
      <c r="D22" s="65">
        <v>3148.42467326209</v>
      </c>
      <c r="E22" s="65">
        <v>2222.6901716095813</v>
      </c>
      <c r="F22" s="65">
        <v>1264.5402657170146</v>
      </c>
      <c r="G22" s="65">
        <v>896.6085324296846</v>
      </c>
      <c r="H22" s="65">
        <v>2120.7614816806204</v>
      </c>
      <c r="I22" s="65">
        <v>2819.1496793990223</v>
      </c>
      <c r="J22" s="65">
        <v>2936.9048125248996</v>
      </c>
      <c r="K22" s="65">
        <v>3122.4521307323162</v>
      </c>
      <c r="L22" s="65">
        <v>3277.8197112992766</v>
      </c>
      <c r="M22" s="65">
        <v>3969.0352706796948</v>
      </c>
      <c r="N22" s="66"/>
    </row>
    <row r="23" spans="1:15">
      <c r="A23" s="64" t="s">
        <v>68</v>
      </c>
      <c r="B23" s="65">
        <v>5.9222077637910804</v>
      </c>
      <c r="C23" s="65">
        <v>3.6972898483276202</v>
      </c>
      <c r="D23" s="65">
        <v>0</v>
      </c>
      <c r="E23" s="65">
        <v>0</v>
      </c>
      <c r="F23" s="65">
        <v>0</v>
      </c>
      <c r="G23" s="65">
        <v>4.6995632410049399</v>
      </c>
      <c r="H23" s="65">
        <v>16.27833171188831</v>
      </c>
      <c r="I23" s="65">
        <v>70.579886247217502</v>
      </c>
      <c r="J23" s="65">
        <v>10.112445612251751</v>
      </c>
      <c r="K23" s="65">
        <v>0.82482577040791405</v>
      </c>
      <c r="L23" s="65">
        <v>1.5896598786115641</v>
      </c>
      <c r="M23" s="65">
        <v>16.46247282624244</v>
      </c>
      <c r="N23" s="66">
        <f t="shared" si="2"/>
        <v>130.16668289974311</v>
      </c>
    </row>
    <row r="24" spans="1:15">
      <c r="A24" s="64" t="s">
        <v>69</v>
      </c>
      <c r="B24" s="65">
        <v>118.96308623099316</v>
      </c>
      <c r="C24" s="65">
        <v>80.117031277942601</v>
      </c>
      <c r="D24" s="65">
        <v>6.0068128417968598</v>
      </c>
      <c r="E24" s="65">
        <v>3.6645131330489975</v>
      </c>
      <c r="F24" s="65">
        <v>2.3440806259632048</v>
      </c>
      <c r="G24" s="65">
        <v>52.685613557696314</v>
      </c>
      <c r="H24" s="65">
        <v>312.15661404206082</v>
      </c>
      <c r="I24" s="65">
        <v>701.24566244048935</v>
      </c>
      <c r="J24" s="65">
        <v>249.3027127127402</v>
      </c>
      <c r="K24" s="65">
        <v>45.095798382163004</v>
      </c>
      <c r="L24" s="65">
        <v>107.32447718596447</v>
      </c>
      <c r="M24" s="65">
        <v>348.55520675868877</v>
      </c>
      <c r="N24" s="66">
        <f t="shared" si="2"/>
        <v>2027.4616091895477</v>
      </c>
    </row>
    <row r="25" spans="1:15">
      <c r="A25" s="64" t="s">
        <v>225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f>SUM(N17:N24)</f>
        <v>67295.018873102483</v>
      </c>
    </row>
    <row r="26" spans="1:15">
      <c r="A26" s="64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5">
      <c r="A27" s="73" t="s">
        <v>71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5">
      <c r="A28" s="64" t="s">
        <v>72</v>
      </c>
      <c r="B28" s="66">
        <v>13.413681491959</v>
      </c>
      <c r="C28" s="59">
        <v>22.107443594646398</v>
      </c>
      <c r="D28" s="59">
        <v>19.1667219133377</v>
      </c>
      <c r="E28" s="59">
        <v>3.13543261733055</v>
      </c>
      <c r="F28" s="65">
        <v>0.94798612909913016</v>
      </c>
      <c r="G28" s="65">
        <v>16.5009102227211</v>
      </c>
      <c r="H28" s="65">
        <v>25.333146915435702</v>
      </c>
      <c r="I28" s="65">
        <v>59.936134396362299</v>
      </c>
      <c r="J28" s="65">
        <v>27.292485678215304</v>
      </c>
      <c r="K28" s="65">
        <v>32.821486838674502</v>
      </c>
      <c r="L28" s="65">
        <v>25.348121315002405</v>
      </c>
      <c r="M28" s="65">
        <v>15.291964850234899</v>
      </c>
      <c r="N28" s="66">
        <f>SUM(B28:M28)</f>
        <v>261.295515963019</v>
      </c>
    </row>
    <row r="29" spans="1:15">
      <c r="A29" s="64" t="s">
        <v>73</v>
      </c>
      <c r="B29" s="66">
        <v>-119.677377124023</v>
      </c>
      <c r="C29" s="65">
        <v>-93.266978057265192</v>
      </c>
      <c r="D29" s="59">
        <v>-124.18496118164001</v>
      </c>
      <c r="E29" s="59">
        <v>-250.65861562500001</v>
      </c>
      <c r="F29" s="65">
        <v>-256.44011748046796</v>
      </c>
      <c r="G29" s="65">
        <v>-170.88209492187499</v>
      </c>
      <c r="H29" s="65">
        <v>-130.457573730468</v>
      </c>
      <c r="I29" s="65">
        <v>-71.685591088867199</v>
      </c>
      <c r="J29" s="65">
        <v>-98.623202392578094</v>
      </c>
      <c r="K29" s="65">
        <v>-74.273213134765598</v>
      </c>
      <c r="L29" s="65">
        <v>-109.328894726562</v>
      </c>
      <c r="M29" s="65">
        <v>-150.85746074218699</v>
      </c>
      <c r="N29" s="66">
        <f>SUM(B29:M29)</f>
        <v>-1650.3360802056991</v>
      </c>
    </row>
    <row r="30" spans="1:1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7">
        <f>SUM(B28:B29)</f>
        <v>-106.263695632064</v>
      </c>
      <c r="O30" s="59">
        <f>N30/8.76</f>
        <v>-12.130558862107764</v>
      </c>
    </row>
    <row r="31" spans="1:15">
      <c r="A31" s="73" t="s">
        <v>74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5">
      <c r="A32" s="64" t="s">
        <v>72</v>
      </c>
      <c r="B32" s="61">
        <v>278.587287610396</v>
      </c>
      <c r="C32" s="59">
        <v>384.58243190646101</v>
      </c>
      <c r="D32" s="59">
        <v>332.03420101608998</v>
      </c>
      <c r="E32" s="59">
        <v>51.347394336759997</v>
      </c>
      <c r="F32" s="65">
        <v>14.245372512470899</v>
      </c>
      <c r="G32" s="65">
        <v>375.181923155486</v>
      </c>
      <c r="H32" s="65">
        <v>704.80326130390097</v>
      </c>
      <c r="I32" s="65">
        <v>1638.56101512908</v>
      </c>
      <c r="J32" s="65">
        <v>763.02443327086496</v>
      </c>
      <c r="K32" s="65">
        <v>849.668470986187</v>
      </c>
      <c r="L32" s="65">
        <v>675.42180030345901</v>
      </c>
      <c r="M32" s="65">
        <v>426.12697530984798</v>
      </c>
      <c r="N32" s="66">
        <f>SUM(B32:M32)</f>
        <v>6493.5845668410047</v>
      </c>
    </row>
    <row r="33" spans="1:14">
      <c r="A33" s="64" t="s">
        <v>73</v>
      </c>
      <c r="B33" s="61">
        <v>-3351.4276340484598</v>
      </c>
      <c r="C33" s="59">
        <v>-2457.8564855720801</v>
      </c>
      <c r="D33" s="59">
        <v>-3082.8521832466099</v>
      </c>
      <c r="E33" s="59">
        <v>-5214.3650466918898</v>
      </c>
      <c r="F33" s="65">
        <v>-4477.87168655395</v>
      </c>
      <c r="G33" s="65">
        <v>-2412.3320132017102</v>
      </c>
      <c r="H33" s="65">
        <v>-3334.98397407531</v>
      </c>
      <c r="I33" s="65">
        <v>-2256.4161582946699</v>
      </c>
      <c r="J33" s="65">
        <v>-2844.4877883911099</v>
      </c>
      <c r="K33" s="65">
        <v>-1915.9389669418299</v>
      </c>
      <c r="L33" s="65">
        <v>-3096.5875244140602</v>
      </c>
      <c r="M33" s="65">
        <v>-4911.3587356567296</v>
      </c>
      <c r="N33" s="66">
        <f>SUM(B33:M33)</f>
        <v>-39356.478197088407</v>
      </c>
    </row>
    <row r="34" spans="1:14">
      <c r="N34" s="67">
        <f>SUM(N32:N33)</f>
        <v>-32862.893630247403</v>
      </c>
    </row>
    <row r="36" spans="1:14">
      <c r="M36" s="68" t="s">
        <v>91</v>
      </c>
      <c r="N36" s="67">
        <f>N25+N34</f>
        <v>34432.12524285508</v>
      </c>
    </row>
  </sheetData>
  <phoneticPr fontId="5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B837391B43C40BB419ACE91278EB2" ma:contentTypeVersion="104" ma:contentTypeDescription="" ma:contentTypeScope="" ma:versionID="be9dac51bf4f7b15c7a9843203da27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8178E14-E415-423A-990D-8016F7723942}"/>
</file>

<file path=customXml/itemProps2.xml><?xml version="1.0" encoding="utf-8"?>
<ds:datastoreItem xmlns:ds="http://schemas.openxmlformats.org/officeDocument/2006/customXml" ds:itemID="{5AC8D0E4-FE2F-4400-B553-3C4CD820B25D}"/>
</file>

<file path=customXml/itemProps3.xml><?xml version="1.0" encoding="utf-8"?>
<ds:datastoreItem xmlns:ds="http://schemas.openxmlformats.org/officeDocument/2006/customXml" ds:itemID="{3160C208-ED94-4FBE-9F2F-CD63DE657D9F}"/>
</file>

<file path=customXml/itemProps4.xml><?xml version="1.0" encoding="utf-8"?>
<ds:datastoreItem xmlns:ds="http://schemas.openxmlformats.org/officeDocument/2006/customXml" ds:itemID="{BB610053-A8F5-4EB7-9684-F083012856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Normalize PS - 12.2016</vt:lpstr>
      <vt:lpstr>Index</vt:lpstr>
      <vt:lpstr>WGJ-2</vt:lpstr>
      <vt:lpstr>WGJ-4</vt:lpstr>
      <vt:lpstr>WGJ-5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gzhkw6</cp:lastModifiedBy>
  <cp:lastPrinted>2017-02-28T00:32:29Z</cp:lastPrinted>
  <dcterms:created xsi:type="dcterms:W3CDTF">1998-10-07T00:01:47Z</dcterms:created>
  <dcterms:modified xsi:type="dcterms:W3CDTF">2017-02-28T00:32:38Z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0x0101006E56B4D1795A2E4DB2F0B01679ED314A009C7B837391B43C40BB419ACE91278EB2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