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'Sheet1'!$B$6:$V$25</definedName>
  </definedNames>
  <calcPr fullCalcOnLoad="1"/>
</workbook>
</file>

<file path=xl/sharedStrings.xml><?xml version="1.0" encoding="utf-8"?>
<sst xmlns="http://schemas.openxmlformats.org/spreadsheetml/2006/main" count="81" uniqueCount="67">
  <si>
    <t>Units</t>
  </si>
  <si>
    <t>/kBtu/hr in</t>
  </si>
  <si>
    <t>Radiant Heating</t>
  </si>
  <si>
    <t>Direct-fired Radiant Heating</t>
  </si>
  <si>
    <t>None</t>
  </si>
  <si>
    <t>/oven</t>
  </si>
  <si>
    <t>Attic Insulation</t>
  </si>
  <si>
    <t>/sq.ft.</t>
  </si>
  <si>
    <t>Roof Insulation</t>
  </si>
  <si>
    <t>Wall Insulation</t>
  </si>
  <si>
    <t>/griddle</t>
  </si>
  <si>
    <t xml:space="preserve"> /sq. ft.</t>
  </si>
  <si>
    <t>Energy Star</t>
  </si>
  <si>
    <t>&gt;= 44% Cooking Efficiency,&lt;= 13,000 Btu/hr Idle Rate</t>
  </si>
  <si>
    <t>&gt;=38% Cooking Efficiency,&lt;= 2650 Btu/hr-sq ft Idle Rate</t>
  </si>
  <si>
    <t>/dishwasher</t>
  </si>
  <si>
    <t>&lt;=.6kW Idle Rate, &lt;= 1.18 gal/rack</t>
  </si>
  <si>
    <t>Tier 1 /  Minimum R-30</t>
  </si>
  <si>
    <t>Tier 2 /  Minimum R-45</t>
  </si>
  <si>
    <t>Tier 1 /  Minimum R-21</t>
  </si>
  <si>
    <t>Tier 2 /  Minimum R-30</t>
  </si>
  <si>
    <t>Tier 1 / Minimum R-11</t>
  </si>
  <si>
    <t>Tier 2 /  Minimum R-19</t>
  </si>
  <si>
    <t>Minimum Efficiency Requirement</t>
  </si>
  <si>
    <t>Inc Cost</t>
  </si>
  <si>
    <t>Descripition</t>
  </si>
  <si>
    <t>Life</t>
  </si>
  <si>
    <t>Therm Savings</t>
  </si>
  <si>
    <t>LM Admin Budget</t>
  </si>
  <si>
    <t>Therm Goal</t>
  </si>
  <si>
    <t>Admin Cost/Therm Saved</t>
  </si>
  <si>
    <t>Gas Griddle-Rest</t>
  </si>
  <si>
    <t>Convection Oven-Rest</t>
  </si>
  <si>
    <t>Current Incentive</t>
  </si>
  <si>
    <t>Proposed Incentive as % of Inc Cost</t>
  </si>
  <si>
    <t>UCT (Based on Proposed Incentive)</t>
  </si>
  <si>
    <t>Prop Admin Cost per therm saved</t>
  </si>
  <si>
    <t>Proposed Loaded UCT ($/disc therm)</t>
  </si>
  <si>
    <t>CURRENT PROGRAM METRICS</t>
  </si>
  <si>
    <t xml:space="preserve">PROPOSED PROGRAM METRICS </t>
  </si>
  <si>
    <t>Tier 1 Attic Ins R 30</t>
  </si>
  <si>
    <t>Tier 2 Attic Ins R 45</t>
  </si>
  <si>
    <t>Tier 1 Roof Ins R 21</t>
  </si>
  <si>
    <t>Tier 2 Roof Ins R 30</t>
  </si>
  <si>
    <t>Tier 1 Wall Ins R 11</t>
  </si>
  <si>
    <t>Tier 2 Wall Ins R 19</t>
  </si>
  <si>
    <t>2017 C/I PROGRAM STANDARD MEASURE UCT ANALYSES FOR SELECT MEASURES FOR PROPOSED INCENTIVE INCREASE</t>
  </si>
  <si>
    <t>Existing Incremental Cost</t>
  </si>
  <si>
    <t>Insufficient data</t>
  </si>
  <si>
    <t>Low T Door Dishwasher</t>
  </si>
  <si>
    <t xml:space="preserve">2 year Program Wtd Avg Incremental Cost </t>
  </si>
  <si>
    <t xml:space="preserve"> Inc Cost for Incentive Purposes</t>
  </si>
  <si>
    <t>TRC ($/disc therm)</t>
  </si>
  <si>
    <t>UC B/C Ratio based on 2016 Avoided Cost</t>
  </si>
  <si>
    <t>TRC B/C Ratio based on 2016 Avoided Cost</t>
  </si>
  <si>
    <t>DCV</t>
  </si>
  <si>
    <t>/ton</t>
  </si>
  <si>
    <t>$/LF</t>
  </si>
  <si>
    <t>&lt;200 F-1.5 Inch Pipe Ins</t>
  </si>
  <si>
    <t>&gt;200F -2.5 Inch Pipe Ins</t>
  </si>
  <si>
    <t>Measures Increasing</t>
  </si>
  <si>
    <t>New Measures</t>
  </si>
  <si>
    <t>New Incentive</t>
  </si>
  <si>
    <t>Low Temp Multi Tank Dishwasher</t>
  </si>
  <si>
    <r>
      <rPr>
        <b/>
        <sz val="12.5"/>
        <color indexed="53"/>
        <rFont val="Cambria"/>
        <family val="1"/>
      </rPr>
      <t xml:space="preserve">Note, </t>
    </r>
    <r>
      <rPr>
        <sz val="12.5"/>
        <color indexed="56"/>
        <rFont val="Cambria"/>
        <family val="1"/>
      </rPr>
      <t>flexibility has been built into the BCRs to accommodate the bundles, a reflection of our drive to encourage customers to install multiple measures to increase their savings potential and take a more holistic approach to efficiency upgrades.</t>
    </r>
    <r>
      <rPr>
        <sz val="5"/>
        <color indexed="56"/>
        <rFont val="Cambria"/>
        <family val="1"/>
      </rPr>
      <t xml:space="preserve"> 
 </t>
    </r>
    <r>
      <rPr>
        <b/>
        <sz val="12.5"/>
        <color indexed="56"/>
        <rFont val="Cambria"/>
        <family val="1"/>
      </rPr>
      <t xml:space="preserve">
</t>
    </r>
    <r>
      <rPr>
        <b/>
        <sz val="12.5"/>
        <color indexed="53"/>
        <rFont val="Cambria"/>
        <family val="1"/>
      </rPr>
      <t>Plus</t>
    </r>
    <r>
      <rPr>
        <sz val="12.5"/>
        <color indexed="56"/>
        <rFont val="Cambria"/>
        <family val="1"/>
      </rPr>
      <t>,</t>
    </r>
    <r>
      <rPr>
        <b/>
        <sz val="12.5"/>
        <color indexed="56"/>
        <rFont val="Cambria"/>
        <family val="1"/>
      </rPr>
      <t xml:space="preserve"> </t>
    </r>
    <r>
      <rPr>
        <b/>
        <u val="single"/>
        <sz val="12.5"/>
        <color indexed="56"/>
        <rFont val="Cambria"/>
        <family val="1"/>
      </rPr>
      <t>Recirculation Controls</t>
    </r>
    <r>
      <rPr>
        <sz val="12.5"/>
        <color indexed="56"/>
        <rFont val="Cambria"/>
        <family val="1"/>
      </rPr>
      <t xml:space="preserve"> and the </t>
    </r>
    <r>
      <rPr>
        <b/>
        <u val="single"/>
        <sz val="12.5"/>
        <color indexed="56"/>
        <rFont val="Cambria"/>
        <family val="1"/>
      </rPr>
      <t>Boiler Steam Traps</t>
    </r>
    <r>
      <rPr>
        <sz val="12.5"/>
        <color indexed="56"/>
        <rFont val="Cambria"/>
        <family val="1"/>
      </rPr>
      <t xml:space="preserve"> will be marked to more clearly specify that they are for retrofits only.</t>
    </r>
  </si>
  <si>
    <t>&lt;=2kW Idle Rate, &lt;=.50 gal/rack</t>
  </si>
  <si>
    <t>n/a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</si>
</sst>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0.00000"/>
    <numFmt numFmtId="168" formatCode="0.0000"/>
    <numFmt numFmtId="169" formatCode="0.000"/>
    <numFmt numFmtId="170" formatCode="&quot;$&quot;#,##0.000"/>
    <numFmt numFmtId="171" formatCode="&quot;$&quot;#,##0.0"/>
    <numFmt numFmtId="172" formatCode="#,##0.0"/>
    <numFmt numFmtId="173" formatCode="#,##0.000"/>
    <numFmt numFmtId="174" formatCode="#,##0.0000"/>
    <numFmt numFmtId="175" formatCode="&quot;$&quot;#,##0.0_);[Red]\(&quot;$&quot;#,##0.0\)"/>
    <numFmt numFmtId="176" formatCode="[$-409]dddd\,\ mmmm\ dd\,\ yyyy"/>
    <numFmt numFmtId="177" formatCode="[$-409]h:mm:ss\ AM/PM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_(&quot;$&quot;* #,##0.000_);_(&quot;$&quot;* \(#,##0.000\);_(&quot;$&quot;* &quot;-&quot;??_);_(@_)"/>
    <numFmt numFmtId="186" formatCode="_(&quot;$&quot;* #,##0.0000_);_(&quot;$&quot;* \(#,##0.0000\);_(&quot;$&quot;* &quot;-&quot;??_);_(@_)"/>
    <numFmt numFmtId="187" formatCode="_(* #,##0.0_);_(* \(#,##0.0\);_(* &quot;-&quot;??_);_(@_)"/>
    <numFmt numFmtId="188" formatCode="_(* #,##0_);_(* \(#,##0\);_(* &quot;-&quot;??_);_(@_)"/>
    <numFmt numFmtId="189" formatCode="&quot;$&quot;#,##0.0000"/>
  </numFmts>
  <fonts count="48">
    <font>
      <sz val="10"/>
      <name val="Arial"/>
      <family val="0"/>
    </font>
    <font>
      <b/>
      <sz val="10"/>
      <name val="GillSans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9"/>
      <color indexed="8"/>
      <name val="GillSans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.5"/>
      <name val="Cambria"/>
      <family val="1"/>
    </font>
    <font>
      <b/>
      <sz val="12.5"/>
      <color indexed="53"/>
      <name val="Cambria"/>
      <family val="1"/>
    </font>
    <font>
      <sz val="12.5"/>
      <color indexed="56"/>
      <name val="Cambria"/>
      <family val="1"/>
    </font>
    <font>
      <sz val="5"/>
      <color indexed="56"/>
      <name val="Cambria"/>
      <family val="1"/>
    </font>
    <font>
      <b/>
      <sz val="12.5"/>
      <color indexed="56"/>
      <name val="Cambria"/>
      <family val="1"/>
    </font>
    <font>
      <b/>
      <u val="single"/>
      <sz val="12.5"/>
      <color indexed="56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164" fontId="3" fillId="0" borderId="0" xfId="44" applyNumberFormat="1" applyFont="1" applyBorder="1" applyAlignment="1">
      <alignment horizontal="center" vertical="center" wrapText="1"/>
    </xf>
    <xf numFmtId="6" fontId="4" fillId="0" borderId="0" xfId="0" applyNumberFormat="1" applyFont="1" applyBorder="1" applyAlignment="1">
      <alignment horizontal="center" vertical="center" wrapText="1"/>
    </xf>
    <xf numFmtId="3" fontId="5" fillId="0" borderId="0" xfId="4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4" fontId="5" fillId="0" borderId="0" xfId="4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8" fontId="3" fillId="0" borderId="0" xfId="0" applyNumberFormat="1" applyFont="1" applyBorder="1" applyAlignment="1">
      <alignment horizontal="center" vertical="center" wrapText="1"/>
    </xf>
    <xf numFmtId="3" fontId="3" fillId="0" borderId="0" xfId="4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184" fontId="0" fillId="0" borderId="0" xfId="44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4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0" fillId="0" borderId="0" xfId="42" applyNumberFormat="1" applyFont="1" applyAlignment="1">
      <alignment/>
    </xf>
    <xf numFmtId="44" fontId="0" fillId="0" borderId="0" xfId="44" applyNumberFormat="1" applyFont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44" fontId="0" fillId="0" borderId="13" xfId="44" applyFont="1" applyBorder="1" applyAlignment="1">
      <alignment/>
    </xf>
    <xf numFmtId="44" fontId="0" fillId="0" borderId="13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44" fontId="0" fillId="0" borderId="11" xfId="44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5" fontId="7" fillId="0" borderId="11" xfId="44" applyNumberFormat="1" applyFont="1" applyBorder="1" applyAlignment="1">
      <alignment horizontal="center" vertical="center" wrapText="1"/>
    </xf>
    <xf numFmtId="4" fontId="7" fillId="0" borderId="11" xfId="42" applyNumberFormat="1" applyFont="1" applyFill="1" applyBorder="1" applyAlignment="1" applyProtection="1">
      <alignment horizontal="center" vertical="center" wrapText="1"/>
      <protection hidden="1"/>
    </xf>
    <xf numFmtId="8" fontId="7" fillId="0" borderId="11" xfId="0" applyNumberFormat="1" applyFont="1" applyBorder="1" applyAlignment="1">
      <alignment horizontal="center" vertical="center" wrapText="1"/>
    </xf>
    <xf numFmtId="8" fontId="7" fillId="34" borderId="11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7" fillId="34" borderId="11" xfId="42" applyNumberFormat="1" applyFont="1" applyFill="1" applyBorder="1" applyAlignment="1" applyProtection="1">
      <alignment horizontal="center" vertical="center" wrapText="1"/>
      <protection hidden="1"/>
    </xf>
    <xf numFmtId="6" fontId="7" fillId="34" borderId="11" xfId="0" applyNumberFormat="1" applyFont="1" applyFill="1" applyBorder="1" applyAlignment="1">
      <alignment horizontal="center" vertical="center" wrapText="1"/>
    </xf>
    <xf numFmtId="3" fontId="7" fillId="34" borderId="11" xfId="42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164" fontId="0" fillId="0" borderId="11" xfId="44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64" fontId="0" fillId="0" borderId="14" xfId="44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7" fillId="0" borderId="16" xfId="42" applyNumberFormat="1" applyFont="1" applyFill="1" applyBorder="1" applyAlignment="1" applyProtection="1">
      <alignment horizontal="center" vertical="center" wrapText="1"/>
      <protection hidden="1"/>
    </xf>
    <xf numFmtId="6" fontId="7" fillId="34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6" xfId="44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165" fontId="0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9" fontId="7" fillId="36" borderId="11" xfId="57" applyFont="1" applyFill="1" applyBorder="1" applyAlignment="1">
      <alignment horizontal="center" vertical="center" wrapText="1"/>
    </xf>
    <xf numFmtId="43" fontId="0" fillId="0" borderId="0" xfId="42" applyFont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3" fontId="0" fillId="0" borderId="19" xfId="42" applyFont="1" applyBorder="1" applyAlignment="1">
      <alignment/>
    </xf>
    <xf numFmtId="165" fontId="0" fillId="0" borderId="16" xfId="0" applyNumberFormat="1" applyFont="1" applyBorder="1" applyAlignment="1">
      <alignment horizontal="center" vertical="center"/>
    </xf>
    <xf numFmtId="44" fontId="0" fillId="0" borderId="20" xfId="44" applyFont="1" applyBorder="1" applyAlignment="1">
      <alignment/>
    </xf>
    <xf numFmtId="3" fontId="7" fillId="0" borderId="16" xfId="42" applyNumberFormat="1" applyFont="1" applyFill="1" applyBorder="1" applyAlignment="1" applyProtection="1">
      <alignment horizontal="center" wrapText="1"/>
      <protection hidden="1"/>
    </xf>
    <xf numFmtId="0" fontId="7" fillId="0" borderId="18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5" fontId="7" fillId="0" borderId="22" xfId="44" applyNumberFormat="1" applyFont="1" applyBorder="1" applyAlignment="1">
      <alignment horizontal="center" vertical="center" wrapText="1"/>
    </xf>
    <xf numFmtId="4" fontId="7" fillId="0" borderId="22" xfId="42" applyNumberFormat="1" applyFont="1" applyFill="1" applyBorder="1" applyAlignment="1" applyProtection="1">
      <alignment horizontal="center" vertical="center" wrapText="1"/>
      <protection hidden="1"/>
    </xf>
    <xf numFmtId="8" fontId="7" fillId="34" borderId="22" xfId="0" applyNumberFormat="1" applyFont="1" applyFill="1" applyBorder="1" applyAlignment="1">
      <alignment horizontal="center" vertical="center" wrapText="1"/>
    </xf>
    <xf numFmtId="169" fontId="0" fillId="0" borderId="24" xfId="0" applyNumberFormat="1" applyFont="1" applyBorder="1" applyAlignment="1">
      <alignment/>
    </xf>
    <xf numFmtId="164" fontId="0" fillId="0" borderId="22" xfId="0" applyNumberFormat="1" applyFont="1" applyBorder="1" applyAlignment="1">
      <alignment horizontal="center" vertical="center"/>
    </xf>
    <xf numFmtId="165" fontId="0" fillId="0" borderId="22" xfId="0" applyNumberFormat="1" applyFont="1" applyBorder="1" applyAlignment="1">
      <alignment horizontal="center" vertical="center"/>
    </xf>
    <xf numFmtId="9" fontId="7" fillId="36" borderId="22" xfId="57" applyFont="1" applyFill="1" applyBorder="1" applyAlignment="1">
      <alignment horizontal="center" vertical="center" wrapText="1"/>
    </xf>
    <xf numFmtId="44" fontId="0" fillId="0" borderId="22" xfId="44" applyFont="1" applyBorder="1" applyAlignment="1">
      <alignment/>
    </xf>
    <xf numFmtId="44" fontId="0" fillId="0" borderId="22" xfId="0" applyNumberFormat="1" applyFont="1" applyBorder="1" applyAlignment="1">
      <alignment/>
    </xf>
    <xf numFmtId="43" fontId="0" fillId="0" borderId="25" xfId="42" applyFont="1" applyBorder="1" applyAlignment="1">
      <alignment/>
    </xf>
    <xf numFmtId="43" fontId="0" fillId="0" borderId="26" xfId="42" applyFont="1" applyBorder="1" applyAlignment="1">
      <alignment/>
    </xf>
    <xf numFmtId="0" fontId="7" fillId="0" borderId="27" xfId="0" applyFont="1" applyBorder="1" applyAlignment="1">
      <alignment horizontal="center" vertical="center" wrapText="1"/>
    </xf>
    <xf numFmtId="43" fontId="0" fillId="0" borderId="28" xfId="42" applyFont="1" applyBorder="1" applyAlignment="1">
      <alignment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center" wrapText="1"/>
    </xf>
    <xf numFmtId="43" fontId="0" fillId="0" borderId="30" xfId="42" applyFont="1" applyBorder="1" applyAlignment="1">
      <alignment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center" wrapText="1"/>
    </xf>
    <xf numFmtId="164" fontId="0" fillId="0" borderId="32" xfId="44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3" fontId="7" fillId="0" borderId="32" xfId="42" applyNumberFormat="1" applyFont="1" applyFill="1" applyBorder="1" applyAlignment="1" applyProtection="1">
      <alignment horizontal="center" wrapText="1"/>
      <protection hidden="1"/>
    </xf>
    <xf numFmtId="6" fontId="7" fillId="34" borderId="32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5" fontId="0" fillId="0" borderId="32" xfId="0" applyNumberFormat="1" applyFont="1" applyBorder="1" applyAlignment="1">
      <alignment horizontal="center" vertical="center"/>
    </xf>
    <xf numFmtId="9" fontId="7" fillId="36" borderId="32" xfId="57" applyFont="1" applyFill="1" applyBorder="1" applyAlignment="1">
      <alignment horizontal="center" vertical="center" wrapText="1"/>
    </xf>
    <xf numFmtId="44" fontId="0" fillId="0" borderId="34" xfId="44" applyFont="1" applyBorder="1" applyAlignment="1">
      <alignment/>
    </xf>
    <xf numFmtId="44" fontId="0" fillId="0" borderId="34" xfId="0" applyNumberFormat="1" applyFont="1" applyBorder="1" applyAlignment="1">
      <alignment/>
    </xf>
    <xf numFmtId="43" fontId="0" fillId="0" borderId="35" xfId="42" applyFont="1" applyBorder="1" applyAlignment="1">
      <alignment/>
    </xf>
    <xf numFmtId="44" fontId="0" fillId="0" borderId="32" xfId="44" applyFont="1" applyBorder="1" applyAlignment="1">
      <alignment/>
    </xf>
    <xf numFmtId="43" fontId="0" fillId="0" borderId="36" xfId="42" applyFont="1" applyBorder="1" applyAlignment="1">
      <alignment/>
    </xf>
    <xf numFmtId="44" fontId="0" fillId="0" borderId="37" xfId="44" applyFont="1" applyBorder="1" applyAlignment="1">
      <alignment/>
    </xf>
    <xf numFmtId="44" fontId="0" fillId="0" borderId="38" xfId="44" applyFont="1" applyBorder="1" applyAlignment="1">
      <alignment/>
    </xf>
    <xf numFmtId="44" fontId="0" fillId="0" borderId="39" xfId="44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43" fontId="0" fillId="0" borderId="41" xfId="42" applyFont="1" applyBorder="1" applyAlignment="1">
      <alignment/>
    </xf>
    <xf numFmtId="43" fontId="0" fillId="0" borderId="42" xfId="42" applyFont="1" applyBorder="1" applyAlignment="1">
      <alignment/>
    </xf>
    <xf numFmtId="43" fontId="0" fillId="0" borderId="43" xfId="42" applyFont="1" applyBorder="1" applyAlignment="1">
      <alignment/>
    </xf>
    <xf numFmtId="164" fontId="0" fillId="0" borderId="14" xfId="44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vertical="center" wrapText="1"/>
    </xf>
    <xf numFmtId="0" fontId="0" fillId="0" borderId="45" xfId="0" applyBorder="1" applyAlignment="1">
      <alignment/>
    </xf>
    <xf numFmtId="0" fontId="8" fillId="0" borderId="2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6" fontId="7" fillId="0" borderId="16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13" xfId="44" applyNumberFormat="1" applyFont="1" applyFill="1" applyBorder="1" applyAlignment="1">
      <alignment horizontal="center" vertical="center"/>
    </xf>
    <xf numFmtId="9" fontId="7" fillId="0" borderId="11" xfId="57" applyFont="1" applyFill="1" applyBorder="1" applyAlignment="1">
      <alignment horizontal="center" vertical="center" wrapText="1"/>
    </xf>
    <xf numFmtId="44" fontId="0" fillId="0" borderId="13" xfId="44" applyFont="1" applyFill="1" applyBorder="1" applyAlignment="1">
      <alignment vertical="center"/>
    </xf>
    <xf numFmtId="44" fontId="0" fillId="0" borderId="13" xfId="0" applyNumberFormat="1" applyFont="1" applyFill="1" applyBorder="1" applyAlignment="1">
      <alignment vertical="center"/>
    </xf>
    <xf numFmtId="44" fontId="0" fillId="0" borderId="38" xfId="44" applyFont="1" applyFill="1" applyBorder="1" applyAlignment="1">
      <alignment vertical="center"/>
    </xf>
    <xf numFmtId="43" fontId="0" fillId="0" borderId="42" xfId="42" applyFont="1" applyFill="1" applyBorder="1" applyAlignment="1">
      <alignment vertical="center"/>
    </xf>
    <xf numFmtId="43" fontId="0" fillId="0" borderId="0" xfId="42" applyFont="1" applyFill="1" applyBorder="1" applyAlignment="1">
      <alignment vertical="center"/>
    </xf>
    <xf numFmtId="44" fontId="0" fillId="0" borderId="11" xfId="44" applyFont="1" applyFill="1" applyBorder="1" applyAlignment="1">
      <alignment vertical="center"/>
    </xf>
    <xf numFmtId="43" fontId="0" fillId="0" borderId="28" xfId="42" applyFont="1" applyFill="1" applyBorder="1" applyAlignment="1">
      <alignment vertical="center"/>
    </xf>
    <xf numFmtId="0" fontId="0" fillId="0" borderId="0" xfId="0" applyFill="1" applyAlignment="1">
      <alignment vertical="center"/>
    </xf>
    <xf numFmtId="165" fontId="0" fillId="0" borderId="22" xfId="44" applyNumberFormat="1" applyFont="1" applyFill="1" applyBorder="1" applyAlignment="1">
      <alignment horizontal="center" vertical="center"/>
    </xf>
    <xf numFmtId="165" fontId="0" fillId="0" borderId="11" xfId="44" applyNumberFormat="1" applyFont="1" applyFill="1" applyBorder="1" applyAlignment="1">
      <alignment horizontal="center" vertical="center"/>
    </xf>
    <xf numFmtId="165" fontId="0" fillId="0" borderId="13" xfId="44" applyNumberFormat="1" applyFont="1" applyFill="1" applyBorder="1" applyAlignment="1">
      <alignment horizontal="center" vertical="center"/>
    </xf>
    <xf numFmtId="165" fontId="0" fillId="0" borderId="14" xfId="44" applyNumberFormat="1" applyFont="1" applyFill="1" applyBorder="1" applyAlignment="1">
      <alignment horizontal="center" vertical="center"/>
    </xf>
    <xf numFmtId="165" fontId="0" fillId="0" borderId="32" xfId="44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0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X9" sqref="X9"/>
    </sheetView>
  </sheetViews>
  <sheetFormatPr defaultColWidth="9.140625" defaultRowHeight="12.75"/>
  <cols>
    <col min="1" max="1" width="2.57421875" style="0" customWidth="1"/>
    <col min="2" max="2" width="19.8515625" style="0" customWidth="1"/>
    <col min="3" max="3" width="35.57421875" style="0" hidden="1" customWidth="1"/>
    <col min="4" max="4" width="43.421875" style="0" hidden="1" customWidth="1"/>
    <col min="5" max="5" width="11.421875" style="0" hidden="1" customWidth="1"/>
    <col min="6" max="6" width="7.8515625" style="0" hidden="1" customWidth="1"/>
    <col min="7" max="7" width="5.57421875" style="0" hidden="1" customWidth="1"/>
    <col min="8" max="8" width="9.140625" style="0" hidden="1" customWidth="1"/>
    <col min="9" max="9" width="12.140625" style="0" customWidth="1"/>
    <col min="10" max="10" width="2.8515625" style="0" hidden="1" customWidth="1"/>
    <col min="11" max="11" width="11.140625" style="0" hidden="1" customWidth="1"/>
    <col min="12" max="12" width="13.57421875" style="0" hidden="1" customWidth="1"/>
    <col min="13" max="13" width="11.8515625" style="0" hidden="1" customWidth="1"/>
    <col min="14" max="14" width="14.140625" style="0" customWidth="1"/>
    <col min="15" max="15" width="10.140625" style="0" hidden="1" customWidth="1"/>
    <col min="16" max="16" width="10.8515625" style="0" hidden="1" customWidth="1"/>
    <col min="17" max="17" width="11.00390625" style="0" hidden="1" customWidth="1"/>
    <col min="18" max="18" width="10.57421875" style="0" hidden="1" customWidth="1"/>
    <col min="19" max="19" width="14.421875" style="0" customWidth="1"/>
    <col min="20" max="20" width="2.140625" style="0" hidden="1" customWidth="1"/>
    <col min="21" max="22" width="8.8515625" style="0" hidden="1" customWidth="1"/>
  </cols>
  <sheetData>
    <row r="1" ht="12.75" hidden="1">
      <c r="H1" s="17" t="s">
        <v>46</v>
      </c>
    </row>
    <row r="2" spans="2:5" ht="12.75" hidden="1">
      <c r="B2" s="14" t="s">
        <v>28</v>
      </c>
      <c r="E2" s="15">
        <v>1030000</v>
      </c>
    </row>
    <row r="3" spans="2:14" ht="12.75" hidden="1">
      <c r="B3" s="14" t="s">
        <v>29</v>
      </c>
      <c r="E3" s="20">
        <v>515000</v>
      </c>
      <c r="G3" s="17" t="s">
        <v>38</v>
      </c>
      <c r="N3" s="17" t="s">
        <v>39</v>
      </c>
    </row>
    <row r="4" spans="2:14" ht="12.75" hidden="1">
      <c r="B4" s="14" t="s">
        <v>30</v>
      </c>
      <c r="E4" s="21">
        <f>E2/E3</f>
        <v>2</v>
      </c>
      <c r="N4" s="19"/>
    </row>
    <row r="5" ht="13.5" thickBot="1"/>
    <row r="6" spans="2:22" ht="78" thickBot="1" thickTop="1">
      <c r="B6" s="119" t="s">
        <v>60</v>
      </c>
      <c r="C6" s="120" t="s">
        <v>25</v>
      </c>
      <c r="D6" s="120" t="s">
        <v>23</v>
      </c>
      <c r="E6" s="120" t="s">
        <v>0</v>
      </c>
      <c r="F6" s="120" t="s">
        <v>24</v>
      </c>
      <c r="G6" s="120" t="s">
        <v>26</v>
      </c>
      <c r="H6" s="52" t="s">
        <v>27</v>
      </c>
      <c r="I6" s="22" t="s">
        <v>33</v>
      </c>
      <c r="J6" s="121"/>
      <c r="K6" s="52" t="s">
        <v>47</v>
      </c>
      <c r="L6" s="52" t="s">
        <v>50</v>
      </c>
      <c r="M6" s="120" t="s">
        <v>51</v>
      </c>
      <c r="N6" s="16" t="s">
        <v>62</v>
      </c>
      <c r="O6" s="16" t="s">
        <v>34</v>
      </c>
      <c r="P6" s="16" t="s">
        <v>35</v>
      </c>
      <c r="Q6" s="16" t="s">
        <v>36</v>
      </c>
      <c r="R6" s="16" t="s">
        <v>37</v>
      </c>
      <c r="S6" s="113" t="s">
        <v>53</v>
      </c>
      <c r="T6" s="112"/>
      <c r="U6" s="22" t="s">
        <v>52</v>
      </c>
      <c r="V6" s="58" t="s">
        <v>54</v>
      </c>
    </row>
    <row r="7" spans="2:22" ht="12.75">
      <c r="B7" s="70" t="s">
        <v>2</v>
      </c>
      <c r="C7" s="71" t="s">
        <v>3</v>
      </c>
      <c r="D7" s="71" t="s">
        <v>4</v>
      </c>
      <c r="E7" s="72" t="s">
        <v>1</v>
      </c>
      <c r="F7" s="73">
        <v>21</v>
      </c>
      <c r="G7" s="71">
        <v>18</v>
      </c>
      <c r="H7" s="74">
        <v>4.32816202976</v>
      </c>
      <c r="I7" s="75">
        <v>6.95</v>
      </c>
      <c r="J7" s="76"/>
      <c r="K7" s="77">
        <f>F7</f>
        <v>21</v>
      </c>
      <c r="L7" s="78">
        <v>19.6</v>
      </c>
      <c r="M7" s="78">
        <f>AVERAGE(K7:L7)</f>
        <v>20.3</v>
      </c>
      <c r="N7" s="142">
        <v>10</v>
      </c>
      <c r="O7" s="79">
        <f>N7/$M7</f>
        <v>0.49261083743842365</v>
      </c>
      <c r="P7" s="80">
        <f>N7/PV(0.0352,G7,-H7)</f>
        <v>0.17546153720199217</v>
      </c>
      <c r="Q7" s="81">
        <f>$E$4*H7</f>
        <v>8.65632405952</v>
      </c>
      <c r="R7" s="109">
        <f>(N7+Q7)/PV(0.0352,G7,-H7)</f>
        <v>0.327346729802189</v>
      </c>
      <c r="S7" s="114">
        <f>(10.24*$H7)/($N7+$Q7)</f>
        <v>2.3756222846121973</v>
      </c>
      <c r="T7" s="82"/>
      <c r="U7" s="80">
        <f>$M7/PV(0.0352,$G7,-H7)</f>
        <v>0.35618692052004414</v>
      </c>
      <c r="V7" s="83">
        <f>(10.24*$H7)/($M7)</f>
        <v>2.1832699105784434</v>
      </c>
    </row>
    <row r="8" spans="2:22" ht="12.75">
      <c r="B8" s="84" t="s">
        <v>55</v>
      </c>
      <c r="C8" s="34"/>
      <c r="D8" s="28"/>
      <c r="E8" s="35" t="s">
        <v>56</v>
      </c>
      <c r="F8" s="30">
        <v>55</v>
      </c>
      <c r="G8" s="28">
        <v>10</v>
      </c>
      <c r="H8" s="31">
        <v>13</v>
      </c>
      <c r="I8" s="33">
        <v>12</v>
      </c>
      <c r="J8" s="25"/>
      <c r="K8" s="57">
        <v>55</v>
      </c>
      <c r="L8" s="56"/>
      <c r="M8" s="56">
        <v>55</v>
      </c>
      <c r="N8" s="143">
        <v>20</v>
      </c>
      <c r="O8" s="59">
        <f>N8/$M8</f>
        <v>0.36363636363636365</v>
      </c>
      <c r="P8" s="26">
        <f aca="true" t="shared" si="0" ref="P8:P21">N8/PV(0.0352,G8,-H8)</f>
        <v>0.18517324663752896</v>
      </c>
      <c r="Q8" s="18">
        <f>$E$4*H8</f>
        <v>26</v>
      </c>
      <c r="R8" s="67">
        <f aca="true" t="shared" si="1" ref="R8:R21">(N8+Q8)/PV(0.0352,G8,-H8)</f>
        <v>0.42589846726631664</v>
      </c>
      <c r="S8" s="115">
        <f>(5.3*$H8)/($N8+$Q8)</f>
        <v>1.4978260869565216</v>
      </c>
      <c r="T8" s="60"/>
      <c r="U8" s="26">
        <f aca="true" t="shared" si="2" ref="U8:U21">$M8/PV(0.0352,$G8,-H8)</f>
        <v>0.5092264282532046</v>
      </c>
      <c r="V8" s="85">
        <f>(5.3*$H8)/($M8)</f>
        <v>1.2527272727272725</v>
      </c>
    </row>
    <row r="9" spans="2:22" ht="12.75">
      <c r="B9" s="86" t="s">
        <v>40</v>
      </c>
      <c r="C9" s="147" t="s">
        <v>6</v>
      </c>
      <c r="D9" s="28" t="s">
        <v>17</v>
      </c>
      <c r="E9" s="29" t="s">
        <v>7</v>
      </c>
      <c r="F9" s="30">
        <v>1.35</v>
      </c>
      <c r="G9" s="28">
        <v>30</v>
      </c>
      <c r="H9" s="37">
        <v>0.31</v>
      </c>
      <c r="I9" s="32">
        <v>0.5</v>
      </c>
      <c r="J9" s="27"/>
      <c r="K9" s="56">
        <f aca="true" t="shared" si="3" ref="K9:K14">F9</f>
        <v>1.35</v>
      </c>
      <c r="L9" s="56">
        <v>1.52</v>
      </c>
      <c r="M9" s="56">
        <f aca="true" t="shared" si="4" ref="M9:M14">AVERAGE(K9:L9)</f>
        <v>1.435</v>
      </c>
      <c r="N9" s="144">
        <v>1.1</v>
      </c>
      <c r="O9" s="59">
        <f aca="true" t="shared" si="5" ref="O9:O14">N9/$M9</f>
        <v>0.7665505226480837</v>
      </c>
      <c r="P9" s="23">
        <f t="shared" si="0"/>
        <v>0.19341427645972406</v>
      </c>
      <c r="Q9" s="24">
        <f aca="true" t="shared" si="6" ref="Q9:Q14">$E$4*H9</f>
        <v>0.62</v>
      </c>
      <c r="R9" s="110">
        <f t="shared" si="1"/>
        <v>0.3024295959188413</v>
      </c>
      <c r="S9" s="115">
        <f aca="true" t="shared" si="7" ref="S9:S14">(18.77*$H9)/($N9+$Q9)</f>
        <v>3.382965116279069</v>
      </c>
      <c r="T9" s="60"/>
      <c r="U9" s="26">
        <f t="shared" si="2"/>
        <v>0.25231771519973095</v>
      </c>
      <c r="V9" s="85">
        <f aca="true" t="shared" si="8" ref="V9:V14">(18.77*$H9)/($M9)</f>
        <v>4.054843205574913</v>
      </c>
    </row>
    <row r="10" spans="2:22" ht="12.75">
      <c r="B10" s="86" t="s">
        <v>41</v>
      </c>
      <c r="C10" s="149"/>
      <c r="D10" s="28" t="s">
        <v>18</v>
      </c>
      <c r="E10" s="29" t="s">
        <v>11</v>
      </c>
      <c r="F10" s="30">
        <v>1.63</v>
      </c>
      <c r="G10" s="28">
        <v>30</v>
      </c>
      <c r="H10" s="37">
        <v>0.32</v>
      </c>
      <c r="I10" s="32">
        <v>0.65</v>
      </c>
      <c r="J10" s="27"/>
      <c r="K10" s="56">
        <f t="shared" si="3"/>
        <v>1.63</v>
      </c>
      <c r="L10" s="56">
        <v>1.73</v>
      </c>
      <c r="M10" s="56">
        <f t="shared" si="4"/>
        <v>1.68</v>
      </c>
      <c r="N10" s="144">
        <v>1.25</v>
      </c>
      <c r="O10" s="59">
        <f t="shared" si="5"/>
        <v>0.7440476190476191</v>
      </c>
      <c r="P10" s="23">
        <f t="shared" si="0"/>
        <v>0.2129205458185883</v>
      </c>
      <c r="Q10" s="24">
        <f t="shared" si="6"/>
        <v>0.64</v>
      </c>
      <c r="R10" s="110">
        <f t="shared" si="1"/>
        <v>0.3219358652777055</v>
      </c>
      <c r="S10" s="115">
        <f t="shared" si="7"/>
        <v>3.177989417989418</v>
      </c>
      <c r="T10" s="60"/>
      <c r="U10" s="26">
        <f t="shared" si="2"/>
        <v>0.28616521358018265</v>
      </c>
      <c r="V10" s="85">
        <f t="shared" si="8"/>
        <v>3.5752380952380953</v>
      </c>
    </row>
    <row r="11" spans="2:22" ht="12.75">
      <c r="B11" s="86" t="s">
        <v>42</v>
      </c>
      <c r="C11" s="147" t="s">
        <v>8</v>
      </c>
      <c r="D11" s="28" t="s">
        <v>19</v>
      </c>
      <c r="E11" s="29" t="s">
        <v>7</v>
      </c>
      <c r="F11" s="30">
        <v>1.83</v>
      </c>
      <c r="G11" s="28">
        <v>30</v>
      </c>
      <c r="H11" s="37">
        <v>0.35</v>
      </c>
      <c r="I11" s="32">
        <v>0.6</v>
      </c>
      <c r="J11" s="27"/>
      <c r="K11" s="56">
        <f t="shared" si="3"/>
        <v>1.83</v>
      </c>
      <c r="L11" s="55" t="s">
        <v>48</v>
      </c>
      <c r="M11" s="56">
        <f t="shared" si="4"/>
        <v>1.83</v>
      </c>
      <c r="N11" s="144">
        <v>1.35</v>
      </c>
      <c r="O11" s="59">
        <f t="shared" si="5"/>
        <v>0.7377049180327869</v>
      </c>
      <c r="P11" s="23">
        <f t="shared" si="0"/>
        <v>0.2102438303854403</v>
      </c>
      <c r="Q11" s="24">
        <f t="shared" si="6"/>
        <v>0.7</v>
      </c>
      <c r="R11" s="110">
        <f t="shared" si="1"/>
        <v>0.3192591498445575</v>
      </c>
      <c r="S11" s="115">
        <f t="shared" si="7"/>
        <v>3.2046341463414634</v>
      </c>
      <c r="T11" s="60"/>
      <c r="U11" s="26">
        <f t="shared" si="2"/>
        <v>0.28499719230026355</v>
      </c>
      <c r="V11" s="85">
        <f t="shared" si="8"/>
        <v>3.5898907103825133</v>
      </c>
    </row>
    <row r="12" spans="2:22" ht="12.75">
      <c r="B12" s="86" t="s">
        <v>43</v>
      </c>
      <c r="C12" s="149"/>
      <c r="D12" s="28" t="s">
        <v>20</v>
      </c>
      <c r="E12" s="29" t="s">
        <v>7</v>
      </c>
      <c r="F12" s="30">
        <v>2.15</v>
      </c>
      <c r="G12" s="28">
        <v>30</v>
      </c>
      <c r="H12" s="37">
        <v>0.36</v>
      </c>
      <c r="I12" s="32">
        <v>0.8</v>
      </c>
      <c r="J12" s="27"/>
      <c r="K12" s="56">
        <f t="shared" si="3"/>
        <v>2.15</v>
      </c>
      <c r="L12" s="56">
        <v>1.94</v>
      </c>
      <c r="M12" s="56">
        <f t="shared" si="4"/>
        <v>2.045</v>
      </c>
      <c r="N12" s="144">
        <v>1.6</v>
      </c>
      <c r="O12" s="59">
        <f t="shared" si="5"/>
        <v>0.78239608801956</v>
      </c>
      <c r="P12" s="23">
        <f t="shared" si="0"/>
        <v>0.24225626546470488</v>
      </c>
      <c r="Q12" s="24">
        <f t="shared" si="6"/>
        <v>0.72</v>
      </c>
      <c r="R12" s="110">
        <f t="shared" si="1"/>
        <v>0.3512715849238221</v>
      </c>
      <c r="S12" s="115">
        <f t="shared" si="7"/>
        <v>2.912586206896551</v>
      </c>
      <c r="T12" s="60"/>
      <c r="U12" s="26">
        <f t="shared" si="2"/>
        <v>0.3096337892970759</v>
      </c>
      <c r="V12" s="85">
        <f t="shared" si="8"/>
        <v>3.304254278728606</v>
      </c>
    </row>
    <row r="13" spans="2:22" ht="12.75">
      <c r="B13" s="86" t="s">
        <v>44</v>
      </c>
      <c r="C13" s="147" t="s">
        <v>9</v>
      </c>
      <c r="D13" s="28" t="s">
        <v>21</v>
      </c>
      <c r="E13" s="29" t="s">
        <v>7</v>
      </c>
      <c r="F13" s="30">
        <v>1.5</v>
      </c>
      <c r="G13" s="28">
        <v>30</v>
      </c>
      <c r="H13" s="37">
        <v>0.16</v>
      </c>
      <c r="I13" s="33">
        <v>0.5</v>
      </c>
      <c r="J13" s="27"/>
      <c r="K13" s="56">
        <f t="shared" si="3"/>
        <v>1.5</v>
      </c>
      <c r="L13" s="55" t="s">
        <v>48</v>
      </c>
      <c r="M13" s="56">
        <f t="shared" si="4"/>
        <v>1.5</v>
      </c>
      <c r="N13" s="144">
        <v>1.1</v>
      </c>
      <c r="O13" s="59">
        <f t="shared" si="5"/>
        <v>0.7333333333333334</v>
      </c>
      <c r="P13" s="23">
        <f t="shared" si="0"/>
        <v>0.3747401606407154</v>
      </c>
      <c r="Q13" s="24">
        <f t="shared" si="6"/>
        <v>0.32</v>
      </c>
      <c r="R13" s="110">
        <f t="shared" si="1"/>
        <v>0.48375548009983266</v>
      </c>
      <c r="S13" s="115">
        <f t="shared" si="7"/>
        <v>2.1149295774647885</v>
      </c>
      <c r="T13" s="60"/>
      <c r="U13" s="26">
        <f t="shared" si="2"/>
        <v>0.5110093099646119</v>
      </c>
      <c r="V13" s="85">
        <f t="shared" si="8"/>
        <v>2.0021333333333335</v>
      </c>
    </row>
    <row r="14" spans="2:22" ht="12.75">
      <c r="B14" s="86" t="s">
        <v>45</v>
      </c>
      <c r="C14" s="148"/>
      <c r="D14" s="28" t="s">
        <v>22</v>
      </c>
      <c r="E14" s="29" t="s">
        <v>11</v>
      </c>
      <c r="F14" s="30">
        <v>1.7</v>
      </c>
      <c r="G14" s="28">
        <v>30</v>
      </c>
      <c r="H14" s="37">
        <v>0.19</v>
      </c>
      <c r="I14" s="33">
        <v>0.56</v>
      </c>
      <c r="J14" s="27"/>
      <c r="K14" s="56">
        <f t="shared" si="3"/>
        <v>1.7</v>
      </c>
      <c r="L14" s="56">
        <v>1.9</v>
      </c>
      <c r="M14" s="56">
        <f t="shared" si="4"/>
        <v>1.7999999999999998</v>
      </c>
      <c r="N14" s="144">
        <v>1.25</v>
      </c>
      <c r="O14" s="59">
        <f t="shared" si="5"/>
        <v>0.6944444444444445</v>
      </c>
      <c r="P14" s="23">
        <f t="shared" si="0"/>
        <v>0.3586030245365697</v>
      </c>
      <c r="Q14" s="24">
        <f t="shared" si="6"/>
        <v>0.38</v>
      </c>
      <c r="R14" s="110">
        <f t="shared" si="1"/>
        <v>0.46761834399568686</v>
      </c>
      <c r="S14" s="115">
        <f t="shared" si="7"/>
        <v>2.187914110429448</v>
      </c>
      <c r="T14" s="60"/>
      <c r="U14" s="26">
        <f t="shared" si="2"/>
        <v>0.5163883553326604</v>
      </c>
      <c r="V14" s="85">
        <f t="shared" si="8"/>
        <v>1.981277777777778</v>
      </c>
    </row>
    <row r="15" spans="2:22" ht="18" customHeight="1">
      <c r="B15" s="87" t="s">
        <v>32</v>
      </c>
      <c r="C15" s="36" t="s">
        <v>12</v>
      </c>
      <c r="D15" s="40" t="s">
        <v>13</v>
      </c>
      <c r="E15" s="41" t="s">
        <v>5</v>
      </c>
      <c r="F15" s="42">
        <v>900</v>
      </c>
      <c r="G15" s="43">
        <v>12</v>
      </c>
      <c r="H15" s="39">
        <v>649</v>
      </c>
      <c r="I15" s="38">
        <v>450</v>
      </c>
      <c r="J15" s="27"/>
      <c r="K15" s="57">
        <f>F15</f>
        <v>900</v>
      </c>
      <c r="L15" s="57">
        <v>1090</v>
      </c>
      <c r="M15" s="56">
        <f>AVERAGE(K15:L15)</f>
        <v>995</v>
      </c>
      <c r="N15" s="132">
        <v>500</v>
      </c>
      <c r="O15" s="59">
        <f>N15/$M15</f>
        <v>0.5025125628140703</v>
      </c>
      <c r="P15" s="23">
        <f t="shared" si="0"/>
        <v>0.07981956225144725</v>
      </c>
      <c r="Q15" s="24">
        <f>$E$4*H15</f>
        <v>1298</v>
      </c>
      <c r="R15" s="110">
        <f t="shared" si="1"/>
        <v>0.28703114585620426</v>
      </c>
      <c r="S15" s="115">
        <f>(6.45*$H15)/($N15+$Q15)</f>
        <v>2.328170189098999</v>
      </c>
      <c r="T15" s="60"/>
      <c r="U15" s="26">
        <f t="shared" si="2"/>
        <v>0.15884092888038</v>
      </c>
      <c r="V15" s="85">
        <f>(6.4*$H15)/($M15)</f>
        <v>4.174472361809046</v>
      </c>
    </row>
    <row r="16" spans="2:22" ht="12.75">
      <c r="B16" s="87" t="s">
        <v>31</v>
      </c>
      <c r="C16" s="36" t="s">
        <v>12</v>
      </c>
      <c r="D16" s="44" t="s">
        <v>14</v>
      </c>
      <c r="E16" s="41" t="s">
        <v>10</v>
      </c>
      <c r="F16" s="45">
        <v>1048</v>
      </c>
      <c r="G16" s="46">
        <v>12</v>
      </c>
      <c r="H16" s="39">
        <v>273</v>
      </c>
      <c r="I16" s="38">
        <v>350</v>
      </c>
      <c r="J16" s="27"/>
      <c r="K16" s="57">
        <f>F16</f>
        <v>1048</v>
      </c>
      <c r="L16" s="54" t="s">
        <v>48</v>
      </c>
      <c r="M16" s="56">
        <f>AVERAGE(K16:L16)</f>
        <v>1048</v>
      </c>
      <c r="N16" s="132">
        <v>500</v>
      </c>
      <c r="O16" s="59">
        <f>N16/$M16</f>
        <v>0.4770992366412214</v>
      </c>
      <c r="P16" s="23">
        <f t="shared" si="0"/>
        <v>0.1897541974402537</v>
      </c>
      <c r="Q16" s="24">
        <f>$E$4*H16</f>
        <v>546</v>
      </c>
      <c r="R16" s="110">
        <f t="shared" si="1"/>
        <v>0.39696578104501073</v>
      </c>
      <c r="S16" s="115">
        <f>(6.45*$H16)/($N16+$Q16)</f>
        <v>1.6834130019120461</v>
      </c>
      <c r="T16" s="60"/>
      <c r="U16" s="26">
        <f t="shared" si="2"/>
        <v>0.39772479783477177</v>
      </c>
      <c r="V16" s="85">
        <f>(6.4*$H16)/($M16)</f>
        <v>1.667175572519084</v>
      </c>
    </row>
    <row r="17" spans="2:22" s="141" customFormat="1" ht="25.5">
      <c r="B17" s="88" t="s">
        <v>63</v>
      </c>
      <c r="C17" s="36" t="s">
        <v>12</v>
      </c>
      <c r="D17" s="40" t="s">
        <v>65</v>
      </c>
      <c r="E17" s="41" t="s">
        <v>15</v>
      </c>
      <c r="F17" s="117">
        <v>4000</v>
      </c>
      <c r="G17" s="118">
        <v>20</v>
      </c>
      <c r="H17" s="47">
        <v>645</v>
      </c>
      <c r="I17" s="127">
        <v>1000</v>
      </c>
      <c r="J17" s="128"/>
      <c r="K17" s="129">
        <f>F17</f>
        <v>4000</v>
      </c>
      <c r="L17" s="130" t="s">
        <v>48</v>
      </c>
      <c r="M17" s="131">
        <f>AVERAGE(K17:L17)</f>
        <v>4000</v>
      </c>
      <c r="N17" s="132">
        <v>2000</v>
      </c>
      <c r="O17" s="133">
        <f>N17/$M17</f>
        <v>0.5</v>
      </c>
      <c r="P17" s="134">
        <f t="shared" si="0"/>
        <v>0.21856889338850471</v>
      </c>
      <c r="Q17" s="135">
        <f>$E$4*H17</f>
        <v>1290</v>
      </c>
      <c r="R17" s="136">
        <f t="shared" si="1"/>
        <v>0.35954582962409026</v>
      </c>
      <c r="S17" s="137">
        <v>2.23</v>
      </c>
      <c r="T17" s="138"/>
      <c r="U17" s="139"/>
      <c r="V17" s="140">
        <v>2.23</v>
      </c>
    </row>
    <row r="18" spans="2:22" ht="25.5">
      <c r="B18" s="88" t="s">
        <v>49</v>
      </c>
      <c r="C18" s="49" t="s">
        <v>12</v>
      </c>
      <c r="D18" s="40" t="s">
        <v>16</v>
      </c>
      <c r="E18" s="41" t="s">
        <v>15</v>
      </c>
      <c r="F18" s="50">
        <v>1800</v>
      </c>
      <c r="G18" s="51">
        <v>12</v>
      </c>
      <c r="H18" s="47">
        <v>448</v>
      </c>
      <c r="I18" s="48">
        <v>650</v>
      </c>
      <c r="J18" s="27"/>
      <c r="K18" s="57">
        <f>F18</f>
        <v>1800</v>
      </c>
      <c r="L18" s="54" t="s">
        <v>48</v>
      </c>
      <c r="M18" s="53">
        <f>AVERAGE(K18:L18)</f>
        <v>1800</v>
      </c>
      <c r="N18" s="132">
        <v>800</v>
      </c>
      <c r="O18" s="59">
        <f>N18/$M18</f>
        <v>0.4444444444444444</v>
      </c>
      <c r="P18" s="23">
        <f t="shared" si="0"/>
        <v>0.18501034250424733</v>
      </c>
      <c r="Q18" s="24">
        <f>$E$4*H18</f>
        <v>896</v>
      </c>
      <c r="R18" s="110">
        <f t="shared" si="1"/>
        <v>0.39222192610900436</v>
      </c>
      <c r="S18" s="115">
        <f>(6.45*$H18)/($N18+$Q18)</f>
        <v>1.7037735849056603</v>
      </c>
      <c r="T18" s="60"/>
      <c r="U18" s="26">
        <f t="shared" si="2"/>
        <v>0.4162732706345565</v>
      </c>
      <c r="V18" s="85">
        <f>(6.4*$H18)/($M18)</f>
        <v>1.592888888888889</v>
      </c>
    </row>
    <row r="19" spans="2:22" ht="12.75">
      <c r="B19" s="89" t="s">
        <v>61</v>
      </c>
      <c r="C19" s="49"/>
      <c r="D19" s="61"/>
      <c r="E19" s="62"/>
      <c r="F19" s="50"/>
      <c r="G19" s="51"/>
      <c r="H19" s="47"/>
      <c r="I19" s="48"/>
      <c r="J19" s="27"/>
      <c r="K19" s="63"/>
      <c r="L19" s="64"/>
      <c r="M19" s="56"/>
      <c r="N19" s="132"/>
      <c r="O19" s="59"/>
      <c r="P19" s="23"/>
      <c r="Q19" s="24"/>
      <c r="R19" s="110"/>
      <c r="S19" s="115"/>
      <c r="T19" s="65"/>
      <c r="U19" s="67" t="e">
        <f t="shared" si="2"/>
        <v>#DIV/0!</v>
      </c>
      <c r="V19" s="90"/>
    </row>
    <row r="20" spans="2:22" ht="25.5">
      <c r="B20" s="88" t="s">
        <v>58</v>
      </c>
      <c r="C20" s="49"/>
      <c r="D20" s="61"/>
      <c r="E20" s="69" t="s">
        <v>57</v>
      </c>
      <c r="F20" s="50">
        <v>8</v>
      </c>
      <c r="G20" s="51">
        <v>20</v>
      </c>
      <c r="H20" s="68">
        <v>6</v>
      </c>
      <c r="I20" s="48" t="s">
        <v>66</v>
      </c>
      <c r="J20" s="27"/>
      <c r="K20" s="63"/>
      <c r="L20" s="64"/>
      <c r="M20" s="66">
        <v>8</v>
      </c>
      <c r="N20" s="145">
        <v>4.5</v>
      </c>
      <c r="O20" s="59">
        <f>N20/$M20</f>
        <v>0.5625</v>
      </c>
      <c r="P20" s="23">
        <f t="shared" si="0"/>
        <v>0.05286635108834458</v>
      </c>
      <c r="Q20" s="24">
        <f>$E$4*H20</f>
        <v>12</v>
      </c>
      <c r="R20" s="110">
        <f t="shared" si="1"/>
        <v>0.19384328732393014</v>
      </c>
      <c r="S20" s="115">
        <f>(11.6*$H20)/($N20+$Q20)</f>
        <v>4.218181818181818</v>
      </c>
      <c r="T20" s="60"/>
      <c r="U20" s="26">
        <f t="shared" si="2"/>
        <v>0.09398462415705704</v>
      </c>
      <c r="V20" s="85">
        <f>(11.6*$H20)/($M20)</f>
        <v>8.7</v>
      </c>
    </row>
    <row r="21" spans="2:22" ht="26.25" thickBot="1">
      <c r="B21" s="91" t="s">
        <v>59</v>
      </c>
      <c r="C21" s="92"/>
      <c r="D21" s="93"/>
      <c r="E21" s="94" t="s">
        <v>57</v>
      </c>
      <c r="F21" s="95">
        <v>18</v>
      </c>
      <c r="G21" s="96">
        <v>20</v>
      </c>
      <c r="H21" s="97">
        <v>12</v>
      </c>
      <c r="I21" s="98" t="s">
        <v>66</v>
      </c>
      <c r="J21" s="99"/>
      <c r="K21" s="100"/>
      <c r="L21" s="101"/>
      <c r="M21" s="102">
        <v>18</v>
      </c>
      <c r="N21" s="146">
        <v>9</v>
      </c>
      <c r="O21" s="103">
        <f>N21/$M21</f>
        <v>0.5</v>
      </c>
      <c r="P21" s="104">
        <f t="shared" si="0"/>
        <v>0.05286635108834458</v>
      </c>
      <c r="Q21" s="105">
        <f>$E$4*H21</f>
        <v>24</v>
      </c>
      <c r="R21" s="111">
        <f t="shared" si="1"/>
        <v>0.19384328732393014</v>
      </c>
      <c r="S21" s="116">
        <f>(11.6*$H21)/($N21+$Q21)</f>
        <v>4.218181818181818</v>
      </c>
      <c r="T21" s="106"/>
      <c r="U21" s="107">
        <f t="shared" si="2"/>
        <v>0.10573270217668916</v>
      </c>
      <c r="V21" s="108">
        <f>(11.6*$H21)/($M21)</f>
        <v>7.7333333333333325</v>
      </c>
    </row>
    <row r="22" spans="2:9" ht="13.5" thickBot="1">
      <c r="B22" s="11"/>
      <c r="C22" s="11"/>
      <c r="D22" s="11"/>
      <c r="E22" s="11"/>
      <c r="F22" s="2"/>
      <c r="G22" s="11"/>
      <c r="H22" s="13"/>
      <c r="I22" s="12"/>
    </row>
    <row r="23" spans="2:23" ht="36" customHeight="1">
      <c r="B23" s="150" t="s">
        <v>64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2"/>
      <c r="T23" s="124"/>
      <c r="U23" s="124"/>
      <c r="V23" s="124"/>
      <c r="W23" s="122"/>
    </row>
    <row r="24" spans="2:23" ht="54" customHeight="1">
      <c r="B24" s="153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5"/>
      <c r="T24" s="125"/>
      <c r="U24" s="125"/>
      <c r="V24" s="125"/>
      <c r="W24" s="123"/>
    </row>
    <row r="25" spans="2:23" ht="72.75" customHeight="1" thickBot="1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8"/>
      <c r="T25" s="126"/>
      <c r="U25" s="126"/>
      <c r="V25" s="126"/>
      <c r="W25" s="123"/>
    </row>
    <row r="26" spans="2:9" ht="12.75">
      <c r="B26" s="9"/>
      <c r="C26" s="9"/>
      <c r="D26" s="9"/>
      <c r="E26" s="9"/>
      <c r="F26" s="9"/>
      <c r="G26" s="9"/>
      <c r="H26" s="9"/>
      <c r="I26" s="9"/>
    </row>
    <row r="27" spans="2:9" ht="12.75">
      <c r="B27" s="10"/>
      <c r="C27" s="10"/>
      <c r="D27" s="10"/>
      <c r="E27" s="10"/>
      <c r="F27" s="10"/>
      <c r="G27" s="10"/>
      <c r="H27" s="10"/>
      <c r="I27" s="10"/>
    </row>
    <row r="28" spans="2:9" ht="12.75">
      <c r="B28" s="1"/>
      <c r="C28" s="1"/>
      <c r="D28" s="1"/>
      <c r="E28" s="5"/>
      <c r="F28" s="2"/>
      <c r="G28" s="1"/>
      <c r="H28" s="4"/>
      <c r="I28" s="3"/>
    </row>
    <row r="29" spans="2:9" ht="12.75">
      <c r="B29" s="6"/>
      <c r="C29" s="6"/>
      <c r="D29" s="6"/>
      <c r="E29" s="1"/>
      <c r="F29" s="6"/>
      <c r="G29" s="6"/>
      <c r="H29" s="8"/>
      <c r="I29" s="7"/>
    </row>
    <row r="30" spans="2:9" ht="12.75">
      <c r="B30" s="9"/>
      <c r="C30" s="9"/>
      <c r="D30" s="9"/>
      <c r="E30" s="9"/>
      <c r="F30" s="9"/>
      <c r="G30" s="9"/>
      <c r="H30" s="9"/>
      <c r="I30" s="9"/>
    </row>
  </sheetData>
  <sheetProtection/>
  <mergeCells count="4">
    <mergeCell ref="C13:C14"/>
    <mergeCell ref="C9:C10"/>
    <mergeCell ref="C11:C12"/>
    <mergeCell ref="B23:S25"/>
  </mergeCells>
  <printOptions horizontalCentered="1"/>
  <pageMargins left="0.25" right="0.25" top="0.75" bottom="0.75" header="0.3" footer="0.3"/>
  <pageSetup fitToHeight="1" fitToWidth="1" horizontalDpi="600" verticalDpi="600" orientation="portrait" scale="40" r:id="rId1"/>
  <headerFooter alignWithMargins="0">
    <oddHeader>&amp;CSchedule 302 &amp; 302-A Commercial/Industrial Conservation Program</oddHeader>
    <oddFooter>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Aspen Systems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MBASHOUR</dc:creator>
  <cp:keywords/>
  <dc:description/>
  <cp:lastModifiedBy>Monica Cowlishaw</cp:lastModifiedBy>
  <cp:lastPrinted>2017-05-01T19:27:56Z</cp:lastPrinted>
  <dcterms:created xsi:type="dcterms:W3CDTF">2006-11-28T18:27:57Z</dcterms:created>
  <dcterms:modified xsi:type="dcterms:W3CDTF">2017-05-01T20:43:48Z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ID">
    <vt:lpwstr>0</vt:lpwstr>
  </property>
  <property fmtid="{D5CDD505-2E9C-101B-9397-08002B2CF9AE}" pid="3" name="LM SIP Document Sensitivity">
    <vt:lpwstr/>
  </property>
  <property fmtid="{D5CDD505-2E9C-101B-9397-08002B2CF9AE}" pid="4" name="Document Author">
    <vt:lpwstr>ACCT04\cutir</vt:lpwstr>
  </property>
  <property fmtid="{D5CDD505-2E9C-101B-9397-08002B2CF9AE}" pid="5" name="Document Sensitivity">
    <vt:lpwstr>1</vt:lpwstr>
  </property>
  <property fmtid="{D5CDD505-2E9C-101B-9397-08002B2CF9AE}" pid="6" name="ThirdParty">
    <vt:lpwstr/>
  </property>
  <property fmtid="{D5CDD505-2E9C-101B-9397-08002B2CF9AE}" pid="7" name="OCI Restriction">
    <vt:bool>false</vt:bool>
  </property>
  <property fmtid="{D5CDD505-2E9C-101B-9397-08002B2CF9AE}" pid="8" name="OCI Additional Info">
    <vt:lpwstr/>
  </property>
  <property fmtid="{D5CDD505-2E9C-101B-9397-08002B2CF9AE}" pid="9" name="Allow Header Overwrite">
    <vt:bool>true</vt:bool>
  </property>
  <property fmtid="{D5CDD505-2E9C-101B-9397-08002B2CF9AE}" pid="10" name="Allow Footer Overwrite">
    <vt:bool>true</vt:bool>
  </property>
  <property fmtid="{D5CDD505-2E9C-101B-9397-08002B2CF9AE}" pid="11" name="Multiple Selected">
    <vt:lpwstr>-1</vt:lpwstr>
  </property>
  <property fmtid="{D5CDD505-2E9C-101B-9397-08002B2CF9AE}" pid="12" name="SIPLongWording">
    <vt:lpwstr/>
  </property>
  <property fmtid="{D5CDD505-2E9C-101B-9397-08002B2CF9AE}" pid="13" name="checkedProgramsCount">
    <vt:i4>0</vt:i4>
  </property>
  <property fmtid="{D5CDD505-2E9C-101B-9397-08002B2CF9AE}" pid="14" name="ExpCountry">
    <vt:lpwstr/>
  </property>
  <property fmtid="{D5CDD505-2E9C-101B-9397-08002B2CF9AE}" pid="15" name="DocumentSetType">
    <vt:lpwstr>Workpapers</vt:lpwstr>
  </property>
  <property fmtid="{D5CDD505-2E9C-101B-9397-08002B2CF9AE}" pid="16" name="IsHighlyConfidential">
    <vt:lpwstr>0</vt:lpwstr>
  </property>
  <property fmtid="{D5CDD505-2E9C-101B-9397-08002B2CF9AE}" pid="17" name="CaseCompanyNames">
    <vt:lpwstr>Cascade Natural Gas Corporation</vt:lpwstr>
  </property>
  <property fmtid="{D5CDD505-2E9C-101B-9397-08002B2CF9AE}" pid="18" name="IsEFSEC">
    <vt:lpwstr>0</vt:lpwstr>
  </property>
  <property fmtid="{D5CDD505-2E9C-101B-9397-08002B2CF9AE}" pid="19" name="DocketNumber">
    <vt:lpwstr>170670</vt:lpwstr>
  </property>
  <property fmtid="{D5CDD505-2E9C-101B-9397-08002B2CF9AE}" pid="20" name="IsConfidential">
    <vt:lpwstr>0</vt:lpwstr>
  </property>
  <property fmtid="{D5CDD505-2E9C-101B-9397-08002B2CF9AE}" pid="21" name="Date1">
    <vt:lpwstr>2017-05-31T00:00:00Z</vt:lpwstr>
  </property>
  <property fmtid="{D5CDD505-2E9C-101B-9397-08002B2CF9AE}" pid="22" name="Nickname">
    <vt:lpwstr/>
  </property>
  <property fmtid="{D5CDD505-2E9C-101B-9397-08002B2CF9AE}" pid="23" name="CaseType">
    <vt:lpwstr>Tariff Revision</vt:lpwstr>
  </property>
  <property fmtid="{D5CDD505-2E9C-101B-9397-08002B2CF9AE}" pid="24" name="OpenedDate">
    <vt:lpwstr>2017-05-31T00:00:00Z</vt:lpwstr>
  </property>
  <property fmtid="{D5CDD505-2E9C-101B-9397-08002B2CF9AE}" pid="25" name="Prefix">
    <vt:lpwstr>UG</vt:lpwstr>
  </property>
  <property fmtid="{D5CDD505-2E9C-101B-9397-08002B2CF9AE}" pid="26" name="IndustryCode">
    <vt:lpwstr>150</vt:lpwstr>
  </property>
  <property fmtid="{D5CDD505-2E9C-101B-9397-08002B2CF9AE}" pid="27" name="CaseStatus">
    <vt:lpwstr>Closed</vt:lpwstr>
  </property>
  <property fmtid="{D5CDD505-2E9C-101B-9397-08002B2CF9AE}" pid="28" name="Process">
    <vt:lpwstr/>
  </property>
  <property fmtid="{D5CDD505-2E9C-101B-9397-08002B2CF9AE}" pid="29" name="Visibility">
    <vt:lpwstr/>
  </property>
  <property fmtid="{D5CDD505-2E9C-101B-9397-08002B2CF9AE}" pid="30" name="_docset_NoMedatataSyncRequired">
    <vt:lpwstr>False</vt:lpwstr>
  </property>
  <property fmtid="{D5CDD505-2E9C-101B-9397-08002B2CF9AE}" pid="31" name="DocumentGroup">
    <vt:lpwstr/>
  </property>
</Properties>
</file>