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-15" yWindow="-15" windowWidth="9690" windowHeight="7290" tabRatio="731" activeTab="3"/>
  </bookViews>
  <sheets>
    <sheet name="Index" sheetId="17" r:id="rId1"/>
    <sheet name="WGJ-2" sheetId="1" r:id="rId2"/>
    <sheet name="WGJ-4" sheetId="16" r:id="rId3"/>
    <sheet name="WGJ-7" sheetId="19" r:id="rId4"/>
    <sheet name="Aurora" sheetId="18" r:id="rId5"/>
  </sheets>
  <definedNames>
    <definedName name="_xlnm.Print_Area" localSheetId="0">Index!$A$19:$O$55</definedName>
    <definedName name="_xlnm.Print_Area" localSheetId="1">'WGJ-2'!$A$1:$F$115</definedName>
    <definedName name="_xlnm.Print_Area" localSheetId="2">'WGJ-4'!$A$1:$O$57</definedName>
    <definedName name="_xlnm.Print_Titles" localSheetId="1">'WGJ-2'!$1:$7</definedName>
  </definedNames>
  <calcPr calcId="125725"/>
</workbook>
</file>

<file path=xl/calcChain.xml><?xml version="1.0" encoding="utf-8"?>
<calcChain xmlns="http://schemas.openxmlformats.org/spreadsheetml/2006/main">
  <c r="A90" i="1"/>
  <c r="L74" l="1"/>
  <c r="M74"/>
  <c r="N74"/>
  <c r="O74"/>
  <c r="P74"/>
  <c r="Q74"/>
  <c r="R74"/>
  <c r="S74"/>
  <c r="T74"/>
  <c r="U74"/>
  <c r="V74"/>
  <c r="K74"/>
  <c r="L73" l="1"/>
  <c r="M73"/>
  <c r="N73"/>
  <c r="O73"/>
  <c r="P73"/>
  <c r="Q73"/>
  <c r="R73"/>
  <c r="S73"/>
  <c r="T73"/>
  <c r="U73"/>
  <c r="V73"/>
  <c r="K73"/>
  <c r="L67" l="1"/>
  <c r="M67"/>
  <c r="N67"/>
  <c r="O67"/>
  <c r="P67"/>
  <c r="Q67"/>
  <c r="R67"/>
  <c r="S67"/>
  <c r="T67"/>
  <c r="U67"/>
  <c r="V67"/>
  <c r="K67"/>
  <c r="L53"/>
  <c r="M53"/>
  <c r="N53"/>
  <c r="O53"/>
  <c r="P53"/>
  <c r="Q53"/>
  <c r="R53"/>
  <c r="S53"/>
  <c r="T53"/>
  <c r="U53"/>
  <c r="V53"/>
  <c r="K53"/>
  <c r="J56"/>
  <c r="L52" l="1"/>
  <c r="M52"/>
  <c r="N52"/>
  <c r="O52"/>
  <c r="P52"/>
  <c r="Q52"/>
  <c r="R52"/>
  <c r="S52"/>
  <c r="T52"/>
  <c r="U52"/>
  <c r="V52"/>
  <c r="K52"/>
  <c r="L43"/>
  <c r="M43"/>
  <c r="N43"/>
  <c r="O43"/>
  <c r="P43"/>
  <c r="Q43"/>
  <c r="R43"/>
  <c r="S43"/>
  <c r="T43"/>
  <c r="U43"/>
  <c r="V43"/>
  <c r="K43"/>
  <c r="L33"/>
  <c r="M33"/>
  <c r="N33"/>
  <c r="O33"/>
  <c r="P33"/>
  <c r="Q33"/>
  <c r="R33"/>
  <c r="S33"/>
  <c r="T33"/>
  <c r="U33"/>
  <c r="V33"/>
  <c r="K33"/>
  <c r="J24"/>
  <c r="J25"/>
  <c r="J26"/>
  <c r="J27"/>
  <c r="J28"/>
  <c r="L13" l="1"/>
  <c r="M13"/>
  <c r="N13"/>
  <c r="O13"/>
  <c r="P13"/>
  <c r="Q13"/>
  <c r="R13"/>
  <c r="S13"/>
  <c r="T13"/>
  <c r="U13"/>
  <c r="V13"/>
  <c r="K13"/>
  <c r="E54" l="1"/>
  <c r="C63" i="17"/>
  <c r="C58"/>
  <c r="E22" l="1"/>
  <c r="F22"/>
  <c r="G22"/>
  <c r="H22"/>
  <c r="I22"/>
  <c r="J22"/>
  <c r="K22"/>
  <c r="L22"/>
  <c r="M22"/>
  <c r="N22"/>
  <c r="O22"/>
  <c r="D22"/>
  <c r="E64"/>
  <c r="E65" s="1"/>
  <c r="L14" i="1" s="1"/>
  <c r="F64" i="17"/>
  <c r="G64"/>
  <c r="G65" s="1"/>
  <c r="N14" i="1" s="1"/>
  <c r="H64" i="17"/>
  <c r="H65" s="1"/>
  <c r="O14" i="1" s="1"/>
  <c r="I64" i="17"/>
  <c r="I65" s="1"/>
  <c r="P14" i="1" s="1"/>
  <c r="J64" i="17"/>
  <c r="J65" s="1"/>
  <c r="Q14" i="1" s="1"/>
  <c r="K64" i="17"/>
  <c r="K65" s="1"/>
  <c r="R14" i="1" s="1"/>
  <c r="L64" i="17"/>
  <c r="L65" s="1"/>
  <c r="S14" i="1" s="1"/>
  <c r="M64" i="17"/>
  <c r="M65" s="1"/>
  <c r="T14" i="1" s="1"/>
  <c r="N64" i="17"/>
  <c r="N65" s="1"/>
  <c r="U14" i="1" s="1"/>
  <c r="O64" i="17"/>
  <c r="O65" s="1"/>
  <c r="V14" i="1" s="1"/>
  <c r="F65" i="17"/>
  <c r="M14" i="1" s="1"/>
  <c r="E59" i="17"/>
  <c r="E60" s="1"/>
  <c r="L12" i="1" s="1"/>
  <c r="F59" i="17"/>
  <c r="G59"/>
  <c r="G60" s="1"/>
  <c r="N12" i="1" s="1"/>
  <c r="H59" i="17"/>
  <c r="H60" s="1"/>
  <c r="O12" i="1" s="1"/>
  <c r="I59" i="17"/>
  <c r="I60" s="1"/>
  <c r="P12" i="1" s="1"/>
  <c r="J59" i="17"/>
  <c r="J60" s="1"/>
  <c r="Q12" i="1" s="1"/>
  <c r="K59" i="17"/>
  <c r="K60" s="1"/>
  <c r="R12" i="1" s="1"/>
  <c r="L59" i="17"/>
  <c r="L60" s="1"/>
  <c r="S12" i="1" s="1"/>
  <c r="M59" i="17"/>
  <c r="M60" s="1"/>
  <c r="T12" i="1" s="1"/>
  <c r="N59" i="17"/>
  <c r="N60" s="1"/>
  <c r="U12" i="1" s="1"/>
  <c r="O59" i="17"/>
  <c r="O60" s="1"/>
  <c r="V12" i="1" s="1"/>
  <c r="F60" i="17"/>
  <c r="M12" i="1" s="1"/>
  <c r="D64" i="17"/>
  <c r="D65" s="1"/>
  <c r="K14" i="1" s="1"/>
  <c r="D59" i="17"/>
  <c r="D60" s="1"/>
  <c r="K12" i="1" s="1"/>
  <c r="C10" i="17"/>
  <c r="C65" l="1"/>
  <c r="F14" i="1" s="1"/>
  <c r="C60" i="17"/>
  <c r="F12" i="1" s="1"/>
  <c r="E14" i="17" l="1"/>
  <c r="E15" s="1"/>
  <c r="F14"/>
  <c r="F15" s="1"/>
  <c r="G14"/>
  <c r="G15" s="1"/>
  <c r="M14"/>
  <c r="M15" s="1"/>
  <c r="N14"/>
  <c r="N15" s="1"/>
  <c r="E29" l="1"/>
  <c r="F29"/>
  <c r="G29"/>
  <c r="H29"/>
  <c r="I29"/>
  <c r="J29"/>
  <c r="K29"/>
  <c r="L29"/>
  <c r="M29"/>
  <c r="N29"/>
  <c r="O29"/>
  <c r="D29"/>
  <c r="E35" i="1" l="1"/>
  <c r="E101" l="1"/>
  <c r="E36"/>
  <c r="E37"/>
  <c r="E28" l="1"/>
  <c r="E56" l="1"/>
  <c r="E24" l="1"/>
  <c r="E20" i="17" l="1"/>
  <c r="F20"/>
  <c r="G20"/>
  <c r="H20"/>
  <c r="I20"/>
  <c r="J20"/>
  <c r="K20"/>
  <c r="L20"/>
  <c r="M20"/>
  <c r="N20"/>
  <c r="O20"/>
  <c r="D20"/>
  <c r="D30" i="19"/>
  <c r="E30"/>
  <c r="F30"/>
  <c r="G30"/>
  <c r="H30"/>
  <c r="I30"/>
  <c r="J30"/>
  <c r="K30"/>
  <c r="L30"/>
  <c r="M30"/>
  <c r="N30"/>
  <c r="C30"/>
  <c r="L100" i="1" l="1"/>
  <c r="M100"/>
  <c r="N100"/>
  <c r="O100"/>
  <c r="P100"/>
  <c r="Q100"/>
  <c r="R100"/>
  <c r="S100"/>
  <c r="T100"/>
  <c r="U100"/>
  <c r="V100"/>
  <c r="K100"/>
  <c r="J100" l="1"/>
  <c r="D24" i="19" l="1"/>
  <c r="E24"/>
  <c r="F24"/>
  <c r="G24"/>
  <c r="H24"/>
  <c r="I24"/>
  <c r="J24"/>
  <c r="K24"/>
  <c r="L24"/>
  <c r="M24"/>
  <c r="N24"/>
  <c r="C24"/>
  <c r="J12" i="1" l="1"/>
  <c r="V20"/>
  <c r="U20"/>
  <c r="T20"/>
  <c r="S20"/>
  <c r="R20"/>
  <c r="Q20"/>
  <c r="P20"/>
  <c r="O20"/>
  <c r="N20"/>
  <c r="M20"/>
  <c r="L20"/>
  <c r="K20"/>
  <c r="E55" l="1"/>
  <c r="E52" i="17"/>
  <c r="F52"/>
  <c r="G52"/>
  <c r="H52"/>
  <c r="I52"/>
  <c r="J52"/>
  <c r="K52"/>
  <c r="L52"/>
  <c r="M52"/>
  <c r="N52"/>
  <c r="O52"/>
  <c r="D52"/>
  <c r="E12" i="1"/>
  <c r="J53" l="1"/>
  <c r="J14"/>
  <c r="J29"/>
  <c r="E53"/>
  <c r="B24" i="19"/>
  <c r="J89" i="1"/>
  <c r="E89"/>
  <c r="A9"/>
  <c r="A10" s="1"/>
  <c r="A11" s="1"/>
  <c r="A12" s="1"/>
  <c r="D33" i="16"/>
  <c r="K18" i="1" s="1"/>
  <c r="E33" i="16"/>
  <c r="L18" i="1" s="1"/>
  <c r="F33" i="16"/>
  <c r="M18" i="1" s="1"/>
  <c r="G33" i="16"/>
  <c r="N18" i="1" s="1"/>
  <c r="H33" i="16"/>
  <c r="O18" i="1" s="1"/>
  <c r="I33" i="16"/>
  <c r="P18" i="1" s="1"/>
  <c r="J33" i="16"/>
  <c r="Q18" i="1" s="1"/>
  <c r="K33" i="16"/>
  <c r="R18" i="1" s="1"/>
  <c r="L33" i="16"/>
  <c r="S18" i="1" s="1"/>
  <c r="M33" i="16"/>
  <c r="T18" i="1" s="1"/>
  <c r="N33" i="16"/>
  <c r="U18" i="1" s="1"/>
  <c r="O33" i="16"/>
  <c r="V18" i="1" s="1"/>
  <c r="D97"/>
  <c r="E14"/>
  <c r="E94"/>
  <c r="K94"/>
  <c r="L94"/>
  <c r="M94"/>
  <c r="N94"/>
  <c r="O94"/>
  <c r="P94"/>
  <c r="Q94"/>
  <c r="R94"/>
  <c r="S94"/>
  <c r="T94"/>
  <c r="U94"/>
  <c r="V94"/>
  <c r="E30" i="17"/>
  <c r="E32"/>
  <c r="D6"/>
  <c r="D14" s="1"/>
  <c r="D15" s="1"/>
  <c r="K91" i="1" s="1"/>
  <c r="H6" i="17"/>
  <c r="H14" s="1"/>
  <c r="I6"/>
  <c r="I14" s="1"/>
  <c r="I15" s="1"/>
  <c r="J6"/>
  <c r="J14" s="1"/>
  <c r="K6"/>
  <c r="K14" s="1"/>
  <c r="K15" s="1"/>
  <c r="L6"/>
  <c r="L14" s="1"/>
  <c r="O6"/>
  <c r="O14" s="1"/>
  <c r="O15" s="1"/>
  <c r="E44"/>
  <c r="F30"/>
  <c r="F32"/>
  <c r="G30"/>
  <c r="H30" s="1"/>
  <c r="I30" s="1"/>
  <c r="J30" s="1"/>
  <c r="K30" s="1"/>
  <c r="L30" s="1"/>
  <c r="M30" s="1"/>
  <c r="N30" s="1"/>
  <c r="O30" s="1"/>
  <c r="G32"/>
  <c r="H32"/>
  <c r="I32"/>
  <c r="J32"/>
  <c r="K32"/>
  <c r="L32"/>
  <c r="M32"/>
  <c r="N32"/>
  <c r="O32"/>
  <c r="D32"/>
  <c r="L76" i="1"/>
  <c r="M76"/>
  <c r="E20" i="19" s="1"/>
  <c r="N76" i="1"/>
  <c r="F20" i="19" s="1"/>
  <c r="O76" i="1"/>
  <c r="G20" i="19" s="1"/>
  <c r="P76" i="1"/>
  <c r="H20" i="19" s="1"/>
  <c r="Q76" i="1"/>
  <c r="I20" i="19" s="1"/>
  <c r="R76" i="1"/>
  <c r="J20" i="19" s="1"/>
  <c r="S76" i="1"/>
  <c r="K20" i="19" s="1"/>
  <c r="T76" i="1"/>
  <c r="L20" i="19" s="1"/>
  <c r="U76" i="1"/>
  <c r="M20" i="19" s="1"/>
  <c r="V76" i="1"/>
  <c r="N20" i="19" s="1"/>
  <c r="K76" i="1"/>
  <c r="C20" i="19" s="1"/>
  <c r="B22"/>
  <c r="J96" i="1"/>
  <c r="J88"/>
  <c r="J17"/>
  <c r="J19"/>
  <c r="J11"/>
  <c r="E35" i="16"/>
  <c r="L51" i="1" s="1"/>
  <c r="F35" i="16"/>
  <c r="M51" i="1" s="1"/>
  <c r="G35" i="16"/>
  <c r="N51" i="1" s="1"/>
  <c r="H35" i="16"/>
  <c r="O51" i="1" s="1"/>
  <c r="I35" i="16"/>
  <c r="P51" i="1" s="1"/>
  <c r="J35" i="16"/>
  <c r="Q51" i="1" s="1"/>
  <c r="K35" i="16"/>
  <c r="R51" i="1" s="1"/>
  <c r="L35" i="16"/>
  <c r="S51" i="1" s="1"/>
  <c r="M35" i="16"/>
  <c r="T51" i="1" s="1"/>
  <c r="N35" i="16"/>
  <c r="U51" i="1" s="1"/>
  <c r="O35" i="16"/>
  <c r="V51" i="1" s="1"/>
  <c r="D35" i="16"/>
  <c r="K51" i="1" s="1"/>
  <c r="J52"/>
  <c r="C25" i="17"/>
  <c r="C24"/>
  <c r="E11" i="1"/>
  <c r="D23" i="16"/>
  <c r="D27"/>
  <c r="D31"/>
  <c r="K49" i="1" s="1"/>
  <c r="D39" i="16"/>
  <c r="D43"/>
  <c r="K60" i="1" s="1"/>
  <c r="D47" i="16"/>
  <c r="D51"/>
  <c r="K58" i="1" s="1"/>
  <c r="E23" i="16"/>
  <c r="E27"/>
  <c r="E31"/>
  <c r="E39"/>
  <c r="E43"/>
  <c r="E47"/>
  <c r="E51"/>
  <c r="F23"/>
  <c r="M44" i="1" s="1"/>
  <c r="F27" i="16"/>
  <c r="F31"/>
  <c r="M49" i="1" s="1"/>
  <c r="F39" i="16"/>
  <c r="F43"/>
  <c r="F47"/>
  <c r="F51"/>
  <c r="G23"/>
  <c r="G27"/>
  <c r="N42" i="1" s="1"/>
  <c r="G31" i="16"/>
  <c r="G39"/>
  <c r="N59" i="1" s="1"/>
  <c r="G43" i="16"/>
  <c r="G47"/>
  <c r="N57" i="1" s="1"/>
  <c r="G51" i="16"/>
  <c r="H23"/>
  <c r="H27"/>
  <c r="H31"/>
  <c r="O49" i="1" s="1"/>
  <c r="H39" i="16"/>
  <c r="H43"/>
  <c r="O60" i="1" s="1"/>
  <c r="H47" i="16"/>
  <c r="H51"/>
  <c r="O58" i="1" s="1"/>
  <c r="I23" i="16"/>
  <c r="P44" i="1" s="1"/>
  <c r="I27" i="16"/>
  <c r="P42" i="1" s="1"/>
  <c r="I31" i="16"/>
  <c r="I39"/>
  <c r="P59" i="1" s="1"/>
  <c r="I43" i="16"/>
  <c r="I47"/>
  <c r="P57" i="1" s="1"/>
  <c r="I51" i="16"/>
  <c r="J23"/>
  <c r="J27"/>
  <c r="J31"/>
  <c r="Q49" i="1" s="1"/>
  <c r="J39" i="16"/>
  <c r="J43"/>
  <c r="Q60" i="1" s="1"/>
  <c r="J47" i="16"/>
  <c r="J51"/>
  <c r="Q58" i="1" s="1"/>
  <c r="L23" i="16"/>
  <c r="S44" i="1" s="1"/>
  <c r="L27" i="16"/>
  <c r="S42" i="1" s="1"/>
  <c r="L31" i="16"/>
  <c r="L39"/>
  <c r="L43"/>
  <c r="L47"/>
  <c r="L51"/>
  <c r="M23"/>
  <c r="T44" i="1" s="1"/>
  <c r="M27" i="16"/>
  <c r="M31"/>
  <c r="T49" i="1" s="1"/>
  <c r="M39" i="16"/>
  <c r="M43"/>
  <c r="T60" i="1" s="1"/>
  <c r="M47" i="16"/>
  <c r="M51"/>
  <c r="T58" i="1" s="1"/>
  <c r="N23" i="16"/>
  <c r="U44" i="1" s="1"/>
  <c r="N27" i="16"/>
  <c r="N31"/>
  <c r="N39"/>
  <c r="U59" i="1" s="1"/>
  <c r="N43" i="16"/>
  <c r="N47"/>
  <c r="U57" i="1" s="1"/>
  <c r="N51" i="16"/>
  <c r="O23"/>
  <c r="O27"/>
  <c r="O31"/>
  <c r="V49" i="1" s="1"/>
  <c r="O39" i="16"/>
  <c r="O43"/>
  <c r="V60" i="1" s="1"/>
  <c r="O47" i="16"/>
  <c r="O51"/>
  <c r="V58" i="1" s="1"/>
  <c r="K23" i="16"/>
  <c r="R44" i="1" s="1"/>
  <c r="K27" i="16"/>
  <c r="R42" i="1" s="1"/>
  <c r="K31" i="16"/>
  <c r="K39"/>
  <c r="K43"/>
  <c r="K47"/>
  <c r="K51"/>
  <c r="E17" i="1"/>
  <c r="E52"/>
  <c r="F34" i="16"/>
  <c r="H34"/>
  <c r="K34"/>
  <c r="L34"/>
  <c r="M34"/>
  <c r="N34"/>
  <c r="O34"/>
  <c r="D34"/>
  <c r="E40" i="17"/>
  <c r="F40"/>
  <c r="G40"/>
  <c r="H40"/>
  <c r="I40"/>
  <c r="J40"/>
  <c r="K40"/>
  <c r="L40"/>
  <c r="M40"/>
  <c r="N40"/>
  <c r="O40"/>
  <c r="D40"/>
  <c r="D21" i="16"/>
  <c r="E21"/>
  <c r="F21"/>
  <c r="G21"/>
  <c r="H21"/>
  <c r="I21"/>
  <c r="J21"/>
  <c r="K21"/>
  <c r="L21"/>
  <c r="M21"/>
  <c r="N21"/>
  <c r="O21"/>
  <c r="E88" i="1"/>
  <c r="E10"/>
  <c r="E96"/>
  <c r="D13" i="16"/>
  <c r="K9" i="1" s="1"/>
  <c r="K42"/>
  <c r="K44"/>
  <c r="K45"/>
  <c r="K57"/>
  <c r="K59"/>
  <c r="K50"/>
  <c r="D9" i="16"/>
  <c r="K87" i="1" s="1"/>
  <c r="K92"/>
  <c r="K93"/>
  <c r="E13" i="16"/>
  <c r="L9" i="1" s="1"/>
  <c r="L42"/>
  <c r="L44"/>
  <c r="L45"/>
  <c r="L49"/>
  <c r="L57"/>
  <c r="L58"/>
  <c r="L59"/>
  <c r="L60"/>
  <c r="L50"/>
  <c r="E9" i="16"/>
  <c r="L87" i="1" s="1"/>
  <c r="L91"/>
  <c r="L92"/>
  <c r="L93"/>
  <c r="F13" i="16"/>
  <c r="M9" i="1" s="1"/>
  <c r="M42"/>
  <c r="M45"/>
  <c r="M57"/>
  <c r="M58"/>
  <c r="M59"/>
  <c r="M60"/>
  <c r="M50"/>
  <c r="F9" i="16"/>
  <c r="M87" i="1" s="1"/>
  <c r="M91"/>
  <c r="M92"/>
  <c r="M93"/>
  <c r="G13" i="16"/>
  <c r="N9" i="1" s="1"/>
  <c r="N44"/>
  <c r="N45"/>
  <c r="N49"/>
  <c r="N58"/>
  <c r="N60"/>
  <c r="N50"/>
  <c r="G9" i="16"/>
  <c r="N87" i="1" s="1"/>
  <c r="N91"/>
  <c r="N92"/>
  <c r="N93"/>
  <c r="H13" i="16"/>
  <c r="O9" i="1" s="1"/>
  <c r="O42"/>
  <c r="O44"/>
  <c r="O45"/>
  <c r="O57"/>
  <c r="O59"/>
  <c r="O50"/>
  <c r="H9" i="16"/>
  <c r="O87" i="1" s="1"/>
  <c r="O92"/>
  <c r="O93"/>
  <c r="I13" i="16"/>
  <c r="P9" i="1" s="1"/>
  <c r="P45"/>
  <c r="P49"/>
  <c r="P58"/>
  <c r="P60"/>
  <c r="P50"/>
  <c r="I9" i="16"/>
  <c r="P87" i="1" s="1"/>
  <c r="P91"/>
  <c r="P92"/>
  <c r="P93"/>
  <c r="J13" i="16"/>
  <c r="Q9" i="1" s="1"/>
  <c r="Q42"/>
  <c r="Q44"/>
  <c r="Q45"/>
  <c r="Q57"/>
  <c r="Q59"/>
  <c r="Q50"/>
  <c r="J9" i="16"/>
  <c r="Q87" i="1" s="1"/>
  <c r="Q92"/>
  <c r="Q93"/>
  <c r="K13" i="16"/>
  <c r="R9" i="1" s="1"/>
  <c r="R45"/>
  <c r="R49"/>
  <c r="R57"/>
  <c r="R58"/>
  <c r="R59"/>
  <c r="R60"/>
  <c r="R50"/>
  <c r="K9" i="16"/>
  <c r="R87" i="1" s="1"/>
  <c r="R91"/>
  <c r="R92"/>
  <c r="R93"/>
  <c r="L13" i="16"/>
  <c r="S9" i="1" s="1"/>
  <c r="S45"/>
  <c r="S49"/>
  <c r="S57"/>
  <c r="S58"/>
  <c r="S59"/>
  <c r="S60"/>
  <c r="S50"/>
  <c r="L9" i="16"/>
  <c r="S87" i="1" s="1"/>
  <c r="S92"/>
  <c r="S93"/>
  <c r="M13" i="16"/>
  <c r="T9" i="1" s="1"/>
  <c r="T42"/>
  <c r="T45"/>
  <c r="T57"/>
  <c r="T59"/>
  <c r="T50"/>
  <c r="M9" i="16"/>
  <c r="T87" i="1" s="1"/>
  <c r="T91"/>
  <c r="T92"/>
  <c r="T93"/>
  <c r="N13" i="16"/>
  <c r="U9" i="1" s="1"/>
  <c r="U42"/>
  <c r="U45"/>
  <c r="U49"/>
  <c r="U58"/>
  <c r="U60"/>
  <c r="U50"/>
  <c r="N9" i="16"/>
  <c r="U87" i="1" s="1"/>
  <c r="U91"/>
  <c r="U92"/>
  <c r="U93"/>
  <c r="O13" i="16"/>
  <c r="V9" i="1" s="1"/>
  <c r="V42"/>
  <c r="V45"/>
  <c r="V57"/>
  <c r="V59"/>
  <c r="V50"/>
  <c r="O9" i="16"/>
  <c r="V87" i="1" s="1"/>
  <c r="V91"/>
  <c r="V92"/>
  <c r="V93"/>
  <c r="E26"/>
  <c r="F39"/>
  <c r="C27" i="16"/>
  <c r="F42" i="1" s="1"/>
  <c r="C47" i="16"/>
  <c r="F57" i="1" s="1"/>
  <c r="E57" s="1"/>
  <c r="C39" i="16"/>
  <c r="F59" i="1" s="1"/>
  <c r="E59" s="1"/>
  <c r="F76"/>
  <c r="F103"/>
  <c r="D30"/>
  <c r="D39"/>
  <c r="D46"/>
  <c r="D61"/>
  <c r="D76"/>
  <c r="D103"/>
  <c r="J38"/>
  <c r="J33"/>
  <c r="C14" i="17"/>
  <c r="E34" i="1"/>
  <c r="E27"/>
  <c r="E100"/>
  <c r="J68"/>
  <c r="J69"/>
  <c r="J70"/>
  <c r="J71"/>
  <c r="J72"/>
  <c r="J73"/>
  <c r="J74"/>
  <c r="J75"/>
  <c r="J67"/>
  <c r="J95"/>
  <c r="E95"/>
  <c r="J16"/>
  <c r="E73"/>
  <c r="E16"/>
  <c r="E29"/>
  <c r="J13"/>
  <c r="J20"/>
  <c r="J21"/>
  <c r="J22"/>
  <c r="J92"/>
  <c r="J50"/>
  <c r="J43"/>
  <c r="E50"/>
  <c r="E71"/>
  <c r="E72"/>
  <c r="E67"/>
  <c r="E68"/>
  <c r="E69"/>
  <c r="E70"/>
  <c r="E74"/>
  <c r="E75"/>
  <c r="E25"/>
  <c r="E22"/>
  <c r="E82"/>
  <c r="E45"/>
  <c r="E13"/>
  <c r="E19"/>
  <c r="E20"/>
  <c r="E21"/>
  <c r="E23"/>
  <c r="E38"/>
  <c r="E79"/>
  <c r="E90"/>
  <c r="E92"/>
  <c r="E93"/>
  <c r="E102"/>
  <c r="E106"/>
  <c r="E43"/>
  <c r="E33"/>
  <c r="J45"/>
  <c r="N39" i="18"/>
  <c r="N40"/>
  <c r="N6"/>
  <c r="N7"/>
  <c r="O7" s="1"/>
  <c r="N8"/>
  <c r="N9"/>
  <c r="O9" s="1"/>
  <c r="N11"/>
  <c r="O11" s="1"/>
  <c r="N12"/>
  <c r="O12" s="1"/>
  <c r="N5"/>
  <c r="N36"/>
  <c r="N35"/>
  <c r="N26"/>
  <c r="N27"/>
  <c r="O27" s="1"/>
  <c r="N28"/>
  <c r="O28" s="1"/>
  <c r="N29"/>
  <c r="O29" s="1"/>
  <c r="N31"/>
  <c r="N32"/>
  <c r="N25"/>
  <c r="P7"/>
  <c r="N37"/>
  <c r="O37" s="1"/>
  <c r="N23"/>
  <c r="O14"/>
  <c r="O8"/>
  <c r="O6"/>
  <c r="O5"/>
  <c r="E29" i="16"/>
  <c r="F29"/>
  <c r="G29"/>
  <c r="H29"/>
  <c r="I29"/>
  <c r="J29"/>
  <c r="K29"/>
  <c r="L29"/>
  <c r="M29"/>
  <c r="N29"/>
  <c r="O29"/>
  <c r="D29"/>
  <c r="E10"/>
  <c r="E11" s="1"/>
  <c r="F10"/>
  <c r="G10"/>
  <c r="G11" s="1"/>
  <c r="H10"/>
  <c r="H11" s="1"/>
  <c r="I10"/>
  <c r="I11" s="1"/>
  <c r="J10"/>
  <c r="K10"/>
  <c r="L10"/>
  <c r="M10"/>
  <c r="M11" s="1"/>
  <c r="N10"/>
  <c r="O10"/>
  <c r="F11"/>
  <c r="J11"/>
  <c r="L11"/>
  <c r="G12"/>
  <c r="I12"/>
  <c r="J12"/>
  <c r="L12"/>
  <c r="E14"/>
  <c r="F14"/>
  <c r="G14"/>
  <c r="H14"/>
  <c r="I14"/>
  <c r="J14"/>
  <c r="K14"/>
  <c r="L14"/>
  <c r="M14"/>
  <c r="N14"/>
  <c r="O14"/>
  <c r="D14"/>
  <c r="D10"/>
  <c r="D37"/>
  <c r="D38" s="1"/>
  <c r="E37"/>
  <c r="E38" s="1"/>
  <c r="F37"/>
  <c r="G37"/>
  <c r="G38" s="1"/>
  <c r="H37"/>
  <c r="H38" s="1"/>
  <c r="I37"/>
  <c r="I38" s="1"/>
  <c r="J37"/>
  <c r="K37"/>
  <c r="K38" s="1"/>
  <c r="L37"/>
  <c r="M37"/>
  <c r="M38" s="1"/>
  <c r="N37"/>
  <c r="O37"/>
  <c r="O38" s="1"/>
  <c r="D41"/>
  <c r="E41"/>
  <c r="E42" s="1"/>
  <c r="F41"/>
  <c r="G41"/>
  <c r="G42" s="1"/>
  <c r="H41"/>
  <c r="I41"/>
  <c r="I42" s="1"/>
  <c r="J41"/>
  <c r="K41"/>
  <c r="K42" s="1"/>
  <c r="L41"/>
  <c r="L42" s="1"/>
  <c r="M41"/>
  <c r="M42" s="1"/>
  <c r="N41"/>
  <c r="O41"/>
  <c r="O42" s="1"/>
  <c r="D45"/>
  <c r="D46" s="1"/>
  <c r="E45"/>
  <c r="E46" s="1"/>
  <c r="F45"/>
  <c r="G45"/>
  <c r="G46" s="1"/>
  <c r="H45"/>
  <c r="H46" s="1"/>
  <c r="I45"/>
  <c r="I46" s="1"/>
  <c r="J45"/>
  <c r="K45"/>
  <c r="K46" s="1"/>
  <c r="L45"/>
  <c r="M45"/>
  <c r="M46" s="1"/>
  <c r="N45"/>
  <c r="O45"/>
  <c r="O46" s="1"/>
  <c r="D49"/>
  <c r="E49"/>
  <c r="E50" s="1"/>
  <c r="F49"/>
  <c r="G49"/>
  <c r="G50" s="1"/>
  <c r="H49"/>
  <c r="I49"/>
  <c r="I50" s="1"/>
  <c r="J49"/>
  <c r="K49"/>
  <c r="K50" s="1"/>
  <c r="L49"/>
  <c r="L50" s="1"/>
  <c r="M49"/>
  <c r="M50" s="1"/>
  <c r="N49"/>
  <c r="O49"/>
  <c r="O50" s="1"/>
  <c r="D25"/>
  <c r="D26" s="1"/>
  <c r="E25"/>
  <c r="F25"/>
  <c r="G25"/>
  <c r="H25"/>
  <c r="H26" s="1"/>
  <c r="I25"/>
  <c r="J25"/>
  <c r="K25"/>
  <c r="L25"/>
  <c r="M25"/>
  <c r="N25"/>
  <c r="O25"/>
  <c r="O26" s="1"/>
  <c r="N50"/>
  <c r="F50"/>
  <c r="J46"/>
  <c r="F46"/>
  <c r="N42"/>
  <c r="F42"/>
  <c r="F38"/>
  <c r="J38"/>
  <c r="E30"/>
  <c r="G30"/>
  <c r="I30"/>
  <c r="K30"/>
  <c r="L30"/>
  <c r="N30"/>
  <c r="E22"/>
  <c r="G22"/>
  <c r="I22"/>
  <c r="K22"/>
  <c r="M22"/>
  <c r="F26"/>
  <c r="J26"/>
  <c r="M26"/>
  <c r="G19"/>
  <c r="I19"/>
  <c r="L19"/>
  <c r="E19"/>
  <c r="C10"/>
  <c r="C14"/>
  <c r="G16"/>
  <c r="K16"/>
  <c r="L16"/>
  <c r="M16"/>
  <c r="O16"/>
  <c r="E16"/>
  <c r="D16"/>
  <c r="J17"/>
  <c r="J18" s="1"/>
  <c r="O17"/>
  <c r="O18" s="1"/>
  <c r="N17"/>
  <c r="N18" s="1"/>
  <c r="M17"/>
  <c r="M18" s="1"/>
  <c r="L17"/>
  <c r="L18" s="1"/>
  <c r="K17"/>
  <c r="K18" s="1"/>
  <c r="O15"/>
  <c r="L15"/>
  <c r="D15"/>
  <c r="D17"/>
  <c r="D18" s="1"/>
  <c r="D12"/>
  <c r="I17"/>
  <c r="I18" s="1"/>
  <c r="H17"/>
  <c r="H18" s="1"/>
  <c r="G17"/>
  <c r="G18" s="1"/>
  <c r="F17"/>
  <c r="F18" s="1"/>
  <c r="E17"/>
  <c r="E18" s="1"/>
  <c r="I15"/>
  <c r="G15"/>
  <c r="E15"/>
  <c r="C9" i="17"/>
  <c r="D20" i="19"/>
  <c r="C40" i="17"/>
  <c r="L53" i="16"/>
  <c r="F53"/>
  <c r="J10" i="1"/>
  <c r="C37" i="16" l="1"/>
  <c r="P37" s="1"/>
  <c r="C45"/>
  <c r="P45" s="1"/>
  <c r="C13"/>
  <c r="F9" i="1" s="1"/>
  <c r="C49" i="16"/>
  <c r="P49" s="1"/>
  <c r="T46" i="1"/>
  <c r="L46"/>
  <c r="O22" i="16"/>
  <c r="N26"/>
  <c r="E53"/>
  <c r="C23"/>
  <c r="F44" i="1" s="1"/>
  <c r="E44" s="1"/>
  <c r="V44"/>
  <c r="D30" i="16"/>
  <c r="J30"/>
  <c r="H30"/>
  <c r="F30"/>
  <c r="N38"/>
  <c r="J42"/>
  <c r="N46"/>
  <c r="J50"/>
  <c r="H50"/>
  <c r="D50"/>
  <c r="L46"/>
  <c r="H42"/>
  <c r="D42"/>
  <c r="L38"/>
  <c r="C43"/>
  <c r="F60" i="1" s="1"/>
  <c r="E60" s="1"/>
  <c r="C51" i="16"/>
  <c r="F58" i="1" s="1"/>
  <c r="E58" s="1"/>
  <c r="J22" i="16"/>
  <c r="H22"/>
  <c r="F22"/>
  <c r="D22"/>
  <c r="J53"/>
  <c r="I53"/>
  <c r="N53"/>
  <c r="L26"/>
  <c r="K26"/>
  <c r="G26"/>
  <c r="E26"/>
  <c r="L12" i="19"/>
  <c r="D12"/>
  <c r="U55" i="1"/>
  <c r="U61" s="1"/>
  <c r="M14" i="19" s="1"/>
  <c r="R55" i="1"/>
  <c r="R61" s="1"/>
  <c r="J14" i="19" s="1"/>
  <c r="Q55" i="1"/>
  <c r="Q61" s="1"/>
  <c r="I14" i="19" s="1"/>
  <c r="V55" i="1"/>
  <c r="T55"/>
  <c r="S55"/>
  <c r="S61" s="1"/>
  <c r="K14" i="19" s="1"/>
  <c r="P55" i="1"/>
  <c r="P61" s="1"/>
  <c r="H14" i="19" s="1"/>
  <c r="O55" i="1"/>
  <c r="N55"/>
  <c r="N61" s="1"/>
  <c r="F14" i="19" s="1"/>
  <c r="M55" i="1"/>
  <c r="M61" s="1"/>
  <c r="E14" i="19" s="1"/>
  <c r="L55" i="1"/>
  <c r="K55"/>
  <c r="O53" i="16"/>
  <c r="G53"/>
  <c r="K53"/>
  <c r="I34"/>
  <c r="G34"/>
  <c r="E34"/>
  <c r="C35"/>
  <c r="F51" i="1" s="1"/>
  <c r="E51" s="1"/>
  <c r="N22" i="16"/>
  <c r="L22"/>
  <c r="J34"/>
  <c r="L15" i="17"/>
  <c r="S91" i="1" s="1"/>
  <c r="S97" s="1"/>
  <c r="K16" i="19" s="1"/>
  <c r="J15" i="17"/>
  <c r="Q91" i="1" s="1"/>
  <c r="H15" i="17"/>
  <c r="O91" i="1" s="1"/>
  <c r="O97" s="1"/>
  <c r="G16" i="19" s="1"/>
  <c r="C25" i="16"/>
  <c r="P25" s="1"/>
  <c r="J60" i="1"/>
  <c r="K15" i="16"/>
  <c r="M15"/>
  <c r="H16"/>
  <c r="F16"/>
  <c r="N19"/>
  <c r="J19"/>
  <c r="H19"/>
  <c r="F19"/>
  <c r="N12"/>
  <c r="H12"/>
  <c r="F12"/>
  <c r="N33" i="18"/>
  <c r="C38" i="16"/>
  <c r="N13" i="18"/>
  <c r="O13" s="1"/>
  <c r="C21" i="16"/>
  <c r="C41"/>
  <c r="C42" s="1"/>
  <c r="C29"/>
  <c r="P29" s="1"/>
  <c r="E76" i="1"/>
  <c r="E9"/>
  <c r="P46"/>
  <c r="M46"/>
  <c r="F15" i="16"/>
  <c r="H15"/>
  <c r="D11"/>
  <c r="N15"/>
  <c r="J15"/>
  <c r="N16"/>
  <c r="J16"/>
  <c r="D19"/>
  <c r="O19"/>
  <c r="M19"/>
  <c r="K19"/>
  <c r="O12"/>
  <c r="N11"/>
  <c r="O11"/>
  <c r="K11"/>
  <c r="N41" i="18"/>
  <c r="C6" i="17"/>
  <c r="K61" i="1"/>
  <c r="C14" i="19" s="1"/>
  <c r="J44" i="1"/>
  <c r="J58"/>
  <c r="L61"/>
  <c r="D14" i="19" s="1"/>
  <c r="C26" i="16"/>
  <c r="H53"/>
  <c r="D109" i="1"/>
  <c r="E103"/>
  <c r="E39"/>
  <c r="V46"/>
  <c r="R46"/>
  <c r="N46"/>
  <c r="J93"/>
  <c r="J90"/>
  <c r="J23"/>
  <c r="J59"/>
  <c r="J57"/>
  <c r="J42"/>
  <c r="J76"/>
  <c r="S46"/>
  <c r="D84"/>
  <c r="P97"/>
  <c r="H16" i="19" s="1"/>
  <c r="N97" i="1"/>
  <c r="F16" i="19" s="1"/>
  <c r="J49" i="1"/>
  <c r="D53" i="16"/>
  <c r="M53"/>
  <c r="O30"/>
  <c r="M30"/>
  <c r="C31"/>
  <c r="F49" i="1" s="1"/>
  <c r="E49" s="1"/>
  <c r="F46"/>
  <c r="E46" s="1"/>
  <c r="E42"/>
  <c r="J34"/>
  <c r="J94"/>
  <c r="K46"/>
  <c r="C12" i="19" s="1"/>
  <c r="D33" i="17"/>
  <c r="N33"/>
  <c r="M33"/>
  <c r="K33"/>
  <c r="I33"/>
  <c r="G33"/>
  <c r="F33"/>
  <c r="E33"/>
  <c r="O33"/>
  <c r="L33"/>
  <c r="J33"/>
  <c r="H33"/>
  <c r="M44"/>
  <c r="V97" i="1"/>
  <c r="N16" i="19" s="1"/>
  <c r="I44" i="17"/>
  <c r="Q46" i="1"/>
  <c r="O46"/>
  <c r="O44" i="17"/>
  <c r="K44"/>
  <c r="G44"/>
  <c r="D44"/>
  <c r="V61" i="1"/>
  <c r="N14" i="19" s="1"/>
  <c r="K97" i="1"/>
  <c r="C16" i="19" s="1"/>
  <c r="C32" i="17"/>
  <c r="J51" i="1"/>
  <c r="B20" i="19"/>
  <c r="U46" i="1"/>
  <c r="T97"/>
  <c r="L16" i="19" s="1"/>
  <c r="R97" i="1"/>
  <c r="J16" i="19" s="1"/>
  <c r="M97" i="1"/>
  <c r="E16" i="19" s="1"/>
  <c r="N44" i="17"/>
  <c r="L44"/>
  <c r="J44"/>
  <c r="H44"/>
  <c r="F44"/>
  <c r="C33" i="16"/>
  <c r="C46"/>
  <c r="C17"/>
  <c r="C18" s="1"/>
  <c r="C15"/>
  <c r="C16"/>
  <c r="M12"/>
  <c r="K12"/>
  <c r="E12"/>
  <c r="C9"/>
  <c r="C19" s="1"/>
  <c r="U97" i="1"/>
  <c r="M16" i="19" s="1"/>
  <c r="J87" i="1"/>
  <c r="L97"/>
  <c r="C52" i="17"/>
  <c r="J18" i="1"/>
  <c r="F18" s="1"/>
  <c r="J9"/>
  <c r="C50" i="16" l="1"/>
  <c r="I12" i="19"/>
  <c r="K12"/>
  <c r="M12"/>
  <c r="G12"/>
  <c r="J12"/>
  <c r="H12"/>
  <c r="F12"/>
  <c r="N12"/>
  <c r="E12"/>
  <c r="J91" i="1"/>
  <c r="Q97"/>
  <c r="I16" i="19" s="1"/>
  <c r="C15" i="17"/>
  <c r="F91" i="1" s="1"/>
  <c r="E91" s="1"/>
  <c r="P41" i="16"/>
  <c r="Q37" s="1"/>
  <c r="N43" i="18"/>
  <c r="C33" i="17"/>
  <c r="C30" i="16"/>
  <c r="C22"/>
  <c r="P21"/>
  <c r="Q21" s="1"/>
  <c r="P33"/>
  <c r="D111" i="1"/>
  <c r="J46"/>
  <c r="J55"/>
  <c r="C53" i="16"/>
  <c r="C55" s="1"/>
  <c r="A13" i="1"/>
  <c r="A14" s="1"/>
  <c r="A15" s="1"/>
  <c r="A16" s="1"/>
  <c r="F61"/>
  <c r="E61" s="1"/>
  <c r="C44" i="17"/>
  <c r="E18" i="1"/>
  <c r="C34" i="16"/>
  <c r="F87" i="1"/>
  <c r="C11" i="16"/>
  <c r="C12"/>
  <c r="C54" i="17"/>
  <c r="D16" i="19"/>
  <c r="B12" l="1"/>
  <c r="B16"/>
  <c r="J97" i="1"/>
  <c r="A17"/>
  <c r="A18" s="1"/>
  <c r="A19" s="1"/>
  <c r="F45" i="17"/>
  <c r="H45"/>
  <c r="J45"/>
  <c r="L45"/>
  <c r="N45"/>
  <c r="D45"/>
  <c r="E45"/>
  <c r="G45"/>
  <c r="I45"/>
  <c r="K45"/>
  <c r="M45"/>
  <c r="O45"/>
  <c r="M35"/>
  <c r="I35"/>
  <c r="F35"/>
  <c r="D35"/>
  <c r="L35"/>
  <c r="H35"/>
  <c r="O35"/>
  <c r="K35"/>
  <c r="G35"/>
  <c r="E35"/>
  <c r="N35"/>
  <c r="J35"/>
  <c r="F41"/>
  <c r="H41"/>
  <c r="J41"/>
  <c r="L41"/>
  <c r="N41"/>
  <c r="D41"/>
  <c r="E41"/>
  <c r="G41"/>
  <c r="I41"/>
  <c r="K41"/>
  <c r="M41"/>
  <c r="O41"/>
  <c r="E87" i="1"/>
  <c r="F97"/>
  <c r="F109" s="1"/>
  <c r="E42" i="17"/>
  <c r="G42"/>
  <c r="I42"/>
  <c r="K42"/>
  <c r="M42"/>
  <c r="O42"/>
  <c r="F42"/>
  <c r="H42"/>
  <c r="J42"/>
  <c r="L42"/>
  <c r="N42"/>
  <c r="D42"/>
  <c r="A20" i="1" l="1"/>
  <c r="A21" s="1"/>
  <c r="A22" s="1"/>
  <c r="A23" s="1"/>
  <c r="A24" s="1"/>
  <c r="A25" s="1"/>
  <c r="C42" i="17"/>
  <c r="E109" i="1"/>
  <c r="E97"/>
  <c r="L37" i="17"/>
  <c r="L46"/>
  <c r="H37"/>
  <c r="H46"/>
  <c r="D46"/>
  <c r="M37"/>
  <c r="M46"/>
  <c r="I37"/>
  <c r="I46"/>
  <c r="E37"/>
  <c r="E46"/>
  <c r="N37"/>
  <c r="N46"/>
  <c r="J37"/>
  <c r="J46"/>
  <c r="F37"/>
  <c r="F46"/>
  <c r="O37"/>
  <c r="O46"/>
  <c r="K37"/>
  <c r="K46"/>
  <c r="G37"/>
  <c r="G46"/>
  <c r="H49" l="1"/>
  <c r="O15" i="1" s="1"/>
  <c r="O30" s="1"/>
  <c r="L49" i="17"/>
  <c r="S15" i="1" s="1"/>
  <c r="S30" s="1"/>
  <c r="S117" s="1"/>
  <c r="A26"/>
  <c r="A27" s="1"/>
  <c r="G49" i="17"/>
  <c r="N15" i="1" s="1"/>
  <c r="N30" s="1"/>
  <c r="N117" s="1"/>
  <c r="K49" i="17"/>
  <c r="R15" i="1" s="1"/>
  <c r="R30" s="1"/>
  <c r="R117" s="1"/>
  <c r="O49" i="17"/>
  <c r="V15" i="1" s="1"/>
  <c r="V30" s="1"/>
  <c r="V117" s="1"/>
  <c r="F49" i="17"/>
  <c r="M15" i="1" s="1"/>
  <c r="M30" s="1"/>
  <c r="M117" s="1"/>
  <c r="J49" i="17"/>
  <c r="Q15" i="1" s="1"/>
  <c r="Q30" s="1"/>
  <c r="Q117" s="1"/>
  <c r="N49" i="17"/>
  <c r="U15" i="1" s="1"/>
  <c r="U30" s="1"/>
  <c r="U117" s="1"/>
  <c r="E49" i="17"/>
  <c r="L15" i="1" s="1"/>
  <c r="L30" s="1"/>
  <c r="L117" s="1"/>
  <c r="I49" i="17"/>
  <c r="P15" i="1" s="1"/>
  <c r="P30" s="1"/>
  <c r="P117" s="1"/>
  <c r="M49" i="17"/>
  <c r="T15" i="1" s="1"/>
  <c r="T30" s="1"/>
  <c r="K38" i="17"/>
  <c r="F38"/>
  <c r="J38"/>
  <c r="N38"/>
  <c r="E38"/>
  <c r="I38"/>
  <c r="M38"/>
  <c r="H38"/>
  <c r="L38"/>
  <c r="C46"/>
  <c r="C47" s="1"/>
  <c r="G38"/>
  <c r="O38"/>
  <c r="C35"/>
  <c r="D37"/>
  <c r="D49" s="1"/>
  <c r="K15" i="1" s="1"/>
  <c r="A28" l="1"/>
  <c r="A29" s="1"/>
  <c r="A30" s="1"/>
  <c r="A33" s="1"/>
  <c r="A34" s="1"/>
  <c r="K10" i="19"/>
  <c r="K18" s="1"/>
  <c r="G10"/>
  <c r="L10"/>
  <c r="H10"/>
  <c r="H18" s="1"/>
  <c r="M10"/>
  <c r="M18" s="1"/>
  <c r="I10"/>
  <c r="I18" s="1"/>
  <c r="E10"/>
  <c r="E18" s="1"/>
  <c r="D38" i="17"/>
  <c r="C37"/>
  <c r="C38" s="1"/>
  <c r="N10" i="19"/>
  <c r="N18" s="1"/>
  <c r="F10"/>
  <c r="F18" s="1"/>
  <c r="D10"/>
  <c r="D18" s="1"/>
  <c r="J10"/>
  <c r="J18" s="1"/>
  <c r="A35" i="1" l="1"/>
  <c r="A36" s="1"/>
  <c r="A37" s="1"/>
  <c r="A38" s="1"/>
  <c r="A39" s="1"/>
  <c r="A42" s="1"/>
  <c r="A43" s="1"/>
  <c r="A44" s="1"/>
  <c r="A45" s="1"/>
  <c r="A46" s="1"/>
  <c r="A49" s="1"/>
  <c r="A50" s="1"/>
  <c r="A51" s="1"/>
  <c r="A52" s="1"/>
  <c r="A53" s="1"/>
  <c r="A54"/>
  <c r="A55" s="1"/>
  <c r="C49" i="17"/>
  <c r="F15" i="1" s="1"/>
  <c r="A56" l="1"/>
  <c r="A57" s="1"/>
  <c r="A58" s="1"/>
  <c r="A59" s="1"/>
  <c r="A60" s="1"/>
  <c r="A61" s="1"/>
  <c r="A67" s="1"/>
  <c r="J15"/>
  <c r="K30"/>
  <c r="C50" i="17"/>
  <c r="A68" i="1" l="1"/>
  <c r="A69" s="1"/>
  <c r="A70" s="1"/>
  <c r="A71" s="1"/>
  <c r="A72" s="1"/>
  <c r="A73" s="1"/>
  <c r="A74" s="1"/>
  <c r="A75" s="1"/>
  <c r="A76" s="1"/>
  <c r="A79" s="1"/>
  <c r="A82" s="1"/>
  <c r="A84" s="1"/>
  <c r="A87" s="1"/>
  <c r="A88" s="1"/>
  <c r="A89" s="1"/>
  <c r="F30"/>
  <c r="E15"/>
  <c r="K117"/>
  <c r="C10" i="19"/>
  <c r="C18" s="1"/>
  <c r="J30" i="1"/>
  <c r="A91" l="1"/>
  <c r="A92" s="1"/>
  <c r="A93" s="1"/>
  <c r="A94" s="1"/>
  <c r="A95" s="1"/>
  <c r="A96" s="1"/>
  <c r="A97" s="1"/>
  <c r="A100" s="1"/>
  <c r="E30"/>
  <c r="F84"/>
  <c r="B10" i="19"/>
  <c r="A101" i="1" l="1"/>
  <c r="A102" s="1"/>
  <c r="A103" s="1"/>
  <c r="A106" s="1"/>
  <c r="A109" s="1"/>
  <c r="A111" s="1"/>
  <c r="E84"/>
  <c r="F111"/>
  <c r="E113" s="1"/>
  <c r="E111" l="1"/>
  <c r="O61"/>
  <c r="O117" s="1"/>
  <c r="J54"/>
  <c r="J61" s="1"/>
  <c r="G14" i="19" l="1"/>
  <c r="G18" s="1"/>
  <c r="T61" i="1"/>
  <c r="T117" s="1"/>
  <c r="J117" l="1"/>
  <c r="L14" i="19"/>
  <c r="L18" s="1"/>
  <c r="B18" l="1"/>
  <c r="B14"/>
</calcChain>
</file>

<file path=xl/sharedStrings.xml><?xml version="1.0" encoding="utf-8"?>
<sst xmlns="http://schemas.openxmlformats.org/spreadsheetml/2006/main" count="302" uniqueCount="251">
  <si>
    <t>Line</t>
  </si>
  <si>
    <t>No.</t>
  </si>
  <si>
    <t>Actuals</t>
  </si>
  <si>
    <t>Adjustment</t>
  </si>
  <si>
    <t>555 PURCHASED POWER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</si>
  <si>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</si>
  <si>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</si>
  <si>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</si>
  <si>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</si>
  <si>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</si>
  <si>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</si>
  <si>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</si>
  <si>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</si>
  <si>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</si>
  <si>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</si>
  <si>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</si>
  <si>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</si>
  <si>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</si>
  <si>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</si>
  <si>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</si>
  <si>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</si>
  <si>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</si>
  <si>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</si>
  <si>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</si>
  <si>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</si>
  <si>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</si>
  <si>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557 OTHER EXPENSES</t>
  </si>
  <si>
    <t>453 SALES OF WATER AND WATER POWER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</si>
  <si>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</si>
  <si>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</si>
  <si>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</si>
  <si>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</si>
  <si>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</si>
  <si>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</si>
  <si>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</si>
  <si>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</si>
  <si>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</si>
  <si>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</si>
  <si>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</si>
  <si>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</si>
  <si>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</si>
  <si>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</si>
  <si>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</si>
  <si>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</si>
  <si>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</si>
  <si>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Rathdrum Municipal Payment</t>
  </si>
  <si>
    <t>Kettle Falls - Wood Fuel</t>
  </si>
  <si>
    <t>Colstrip - Coal</t>
  </si>
  <si>
    <t>501 THERMAL FUEL EXPENSE</t>
  </si>
  <si>
    <t>547 OTHER FUEL EXPENSE</t>
  </si>
  <si>
    <t>549 MISC OTHER GENERATION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</si>
  <si>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</si>
  <si>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</si>
  <si>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</si>
  <si>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</si>
  <si>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</si>
  <si>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</si>
  <si>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</si>
  <si>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</si>
  <si>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</si>
  <si>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</si>
  <si>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</si>
  <si>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</si>
  <si>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</si>
  <si>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</si>
  <si>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</si>
  <si>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</si>
  <si>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</si>
  <si>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</si>
  <si>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</si>
  <si>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</si>
  <si>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</si>
  <si>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</si>
  <si>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</si>
  <si>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</si>
  <si>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</si>
  <si>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</si>
  <si>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</si>
  <si>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</si>
  <si>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</si>
  <si>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</si>
  <si>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</si>
  <si>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</si>
  <si>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</si>
  <si>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</si>
  <si>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</si>
  <si>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</si>
  <si>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</si>
  <si>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</si>
  <si>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</si>
  <si>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</si>
  <si>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</si>
  <si>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</si>
  <si>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FUEL USE (MMBtu)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</si>
  <si>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</si>
  <si>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</si>
  <si>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</si>
  <si>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</si>
  <si>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</si>
  <si>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</si>
  <si>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</si>
  <si>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</si>
  <si>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</si>
  <si>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</si>
  <si>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</si>
  <si>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</si>
  <si>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</si>
  <si>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</si>
  <si>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</si>
  <si>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</si>
  <si>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</si>
  <si>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</si>
  <si>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</si>
  <si>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</si>
  <si>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</si>
  <si>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</si>
  <si>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</si>
  <si>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</si>
  <si>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Wheeling for System Sales &amp; Purchases</t>
  </si>
  <si>
    <t>normal $0</t>
  </si>
  <si>
    <t>Comment</t>
  </si>
  <si>
    <t>Market Purchases and Sales, Plant Generation and Fuel Cost Summary</t>
  </si>
  <si>
    <t>Sovereign/Kaiser DES</t>
  </si>
  <si>
    <t>Douglas Settlement</t>
  </si>
  <si>
    <t>modeled energy higher than actual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</si>
  <si>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</si>
  <si>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</si>
  <si>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</si>
  <si>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</si>
  <si>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</si>
  <si>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</si>
  <si>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</si>
  <si>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Small Power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</si>
  <si>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</si>
  <si>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</si>
  <si>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</si>
  <si>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</si>
  <si>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</si>
  <si>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</si>
  <si>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</si>
  <si>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</si>
  <si>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</si>
  <si>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</si>
  <si>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</si>
  <si>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</si>
  <si>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</si>
  <si>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</si>
  <si>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</si>
  <si>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</si>
  <si>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</si>
  <si>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</si>
  <si>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</si>
  <si>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</si>
  <si>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</si>
  <si>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Surplus Conversion Cost per MWh</t>
  </si>
  <si>
    <t>Total Priest Rapids Product Cost</t>
  </si>
  <si>
    <t>Total Priest Rapids Product Cost per MWh</t>
  </si>
  <si>
    <t>Modeled Short-Term Market Sales</t>
  </si>
  <si>
    <t>Pro forma</t>
  </si>
  <si>
    <t>Natural Gas Fuel Purchases</t>
  </si>
  <si>
    <t>Avista Corp</t>
  </si>
  <si>
    <t>check MWh</t>
  </si>
  <si>
    <t>use 5 yr avg</t>
  </si>
  <si>
    <t>test power</t>
  </si>
  <si>
    <t>new rate</t>
  </si>
  <si>
    <t>check energy</t>
  </si>
  <si>
    <t>modeled MWh x Actual</t>
  </si>
  <si>
    <t xml:space="preserve">  Surplus</t>
  </si>
  <si>
    <t>Priest Rapids, MWh</t>
  </si>
  <si>
    <t>Wanpum, MWh</t>
  </si>
  <si>
    <t>Stateline Wind Purchase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</si>
  <si>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</si>
  <si>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</si>
  <si>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</si>
  <si>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</si>
  <si>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</si>
  <si>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</si>
  <si>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</si>
  <si>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</si>
  <si>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</si>
  <si>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</si>
  <si>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</si>
  <si>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</si>
  <si>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</si>
  <si>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Clearwater Paper Co-Gen Purchase</t>
  </si>
  <si>
    <t>NaturEner</t>
  </si>
  <si>
    <t>Wells - Avista Share</t>
  </si>
  <si>
    <t>Wells - Colville Tribe's Share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</si>
  <si>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</si>
  <si>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</si>
  <si>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</si>
  <si>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</si>
  <si>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</si>
  <si>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Retail Revenue Credit Rate</t>
  </si>
  <si>
    <t>/MWh</t>
  </si>
  <si>
    <t>Actual Financial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</si>
  <si>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</si>
  <si>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</si>
  <si>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</si>
  <si>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</si>
  <si>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check with Rick</t>
  </si>
  <si>
    <t>Gas Transportation for BP, NE and KFCT</t>
  </si>
  <si>
    <t>Total Priest RapidsCost per MWh</t>
  </si>
  <si>
    <t>Colstrip - Oil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</si>
  <si>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</si>
  <si>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</si>
  <si>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</si>
  <si>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</si>
  <si>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</si>
  <si>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</si>
  <si>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</si>
  <si>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</si>
  <si>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</si>
  <si>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</si>
  <si>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</si>
  <si>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BPA PTP for Colstrip, Coyote &amp; Lancaster</t>
  </si>
  <si>
    <t>Northwestern for Colstrip</t>
  </si>
  <si>
    <t>Palouse Wind</t>
  </si>
  <si>
    <t>Spokane Waste-to-Energy</t>
  </si>
  <si>
    <t>Imbalance and Tax Adjustment</t>
  </si>
  <si>
    <t>Non-WA EIA REC Sales</t>
  </si>
  <si>
    <t>Non WA EIA REC Purchases</t>
  </si>
  <si>
    <t>Optional Renewable Power Expense Offset</t>
  </si>
  <si>
    <t>Kettle Falls Fuel Buyout</t>
  </si>
  <si>
    <t>WA EIA REC Sales - 100% WA Allocation</t>
  </si>
  <si>
    <t>WA EIA REC Purchase - 100% WA Allocation</t>
  </si>
  <si>
    <t>Gas Transpot Optimization</t>
  </si>
  <si>
    <t>Jul 12 - Jun 13</t>
  </si>
  <si>
    <t>Jul 12 - Jun 13 Weather Normalized Load</t>
  </si>
  <si>
    <t>Pro Forma</t>
  </si>
  <si>
    <t>Washington Normalized January 2015 - December 2015</t>
  </si>
  <si>
    <t>****LOAD NEW PRICES*****</t>
  </si>
  <si>
    <t>Modeled HLH Electric Price</t>
  </si>
  <si>
    <t>Modeled LLH Electric Price</t>
  </si>
  <si>
    <t>Predicted Auction Price</t>
  </si>
  <si>
    <t>Rocky Reach/Rock Island Slice</t>
  </si>
  <si>
    <t>Wells Coville Tribe's Share</t>
  </si>
  <si>
    <t>Modeled MWh</t>
  </si>
  <si>
    <t>Expense</t>
  </si>
  <si>
    <t>ERM Authorized Washington Retail Sales (2)</t>
  </si>
  <si>
    <t>System Numbers - Jul 2012 - Jun 2013 Actual and 2015 Pro Forma</t>
  </si>
  <si>
    <t>Modeled ST Market Purchases</t>
  </si>
  <si>
    <t>Actual ST Market Purchases</t>
  </si>
  <si>
    <t>Actual ST Purchases - Financial M-to-M</t>
  </si>
  <si>
    <t>SMUD Sale - (COB margin)</t>
  </si>
  <si>
    <t>(1)  Multiply system numbers by 65.01% to determine Washington share.</t>
  </si>
  <si>
    <t>Transmission Revenue</t>
  </si>
  <si>
    <t>Total Retail Sales, MWh (2)</t>
  </si>
  <si>
    <t>Pro forma January 2015 - December 2015</t>
  </si>
  <si>
    <t>July 2012 - June 2013 Historic Normalized Loads</t>
  </si>
  <si>
    <t>(2)  Reflects July 2012 through June 2013 weather adjusted Washington retail sales, including Clearwater paper and Inland Empire Paper adjustments.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</si>
</sst>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5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9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1" fontId="0" fillId="0" borderId="1" xfId="0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0" fontId="1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/>
    <xf numFmtId="165" fontId="0" fillId="0" borderId="1" xfId="0" applyNumberFormat="1" applyFill="1" applyBorder="1"/>
    <xf numFmtId="3" fontId="0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10" fontId="0" fillId="0" borderId="0" xfId="2" applyNumberFormat="1" applyFont="1"/>
    <xf numFmtId="3" fontId="0" fillId="0" borderId="0" xfId="1" applyNumberFormat="1" applyFont="1"/>
    <xf numFmtId="165" fontId="0" fillId="0" borderId="0" xfId="0" applyNumberFormat="1" applyFill="1" applyBorder="1" applyAlignment="1">
      <alignment horizontal="center"/>
    </xf>
    <xf numFmtId="3" fontId="0" fillId="0" borderId="0" xfId="0" applyNumberFormat="1" applyFill="1"/>
    <xf numFmtId="166" fontId="0" fillId="0" borderId="0" xfId="0" applyNumberFormat="1" applyFill="1"/>
    <xf numFmtId="0" fontId="0" fillId="0" borderId="0" xfId="0" quotePrefix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3:O65"/>
  <sheetViews>
    <sheetView workbookViewId="0">
      <selection activeCell="D10" sqref="D10:O10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231</v>
      </c>
    </row>
    <row r="6" spans="1:15">
      <c r="C6" s="37">
        <f>SUM(D6:O6)</f>
        <v>8760</v>
      </c>
      <c r="D6" s="46">
        <f>'WGJ-4'!D6</f>
        <v>744</v>
      </c>
      <c r="E6" s="46">
        <v>672</v>
      </c>
      <c r="F6" s="46">
        <v>743</v>
      </c>
      <c r="G6" s="46">
        <v>720</v>
      </c>
      <c r="H6" s="46">
        <f>'WGJ-4'!H6</f>
        <v>744</v>
      </c>
      <c r="I6" s="46">
        <f>'WGJ-4'!I6</f>
        <v>720</v>
      </c>
      <c r="J6" s="46">
        <f>'WGJ-4'!J6</f>
        <v>744</v>
      </c>
      <c r="K6" s="46">
        <f>'WGJ-4'!K6</f>
        <v>744</v>
      </c>
      <c r="L6" s="46">
        <f>'WGJ-4'!L6</f>
        <v>720</v>
      </c>
      <c r="M6" s="46">
        <v>744</v>
      </c>
      <c r="N6" s="46">
        <v>721</v>
      </c>
      <c r="O6" s="46">
        <f>'WGJ-4'!O6</f>
        <v>744</v>
      </c>
    </row>
    <row r="7" spans="1:15">
      <c r="C7" s="87" t="s">
        <v>32</v>
      </c>
      <c r="D7" s="47">
        <v>40543</v>
      </c>
      <c r="E7" s="47">
        <v>40574</v>
      </c>
      <c r="F7" s="47">
        <v>40602</v>
      </c>
      <c r="G7" s="47">
        <v>40633</v>
      </c>
      <c r="H7" s="47">
        <v>40663</v>
      </c>
      <c r="I7" s="47">
        <v>40694</v>
      </c>
      <c r="J7" s="47">
        <v>40724</v>
      </c>
      <c r="K7" s="47">
        <v>40755</v>
      </c>
      <c r="L7" s="47">
        <v>40786</v>
      </c>
      <c r="M7" s="47">
        <v>40816</v>
      </c>
      <c r="N7" s="47">
        <v>40847</v>
      </c>
      <c r="O7" s="47">
        <v>40877</v>
      </c>
    </row>
    <row r="8" spans="1:15">
      <c r="C8" s="12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>
      <c r="A9" s="2" t="s">
        <v>232</v>
      </c>
      <c r="C9" s="124">
        <f>AVERAGE(D9:O9)</f>
        <v>37.201439511775973</v>
      </c>
      <c r="D9" s="98">
        <v>38.623677659034726</v>
      </c>
      <c r="E9" s="98">
        <v>38.607384824752806</v>
      </c>
      <c r="F9" s="98">
        <v>36.380043411254881</v>
      </c>
      <c r="G9" s="98">
        <v>32.226417744159697</v>
      </c>
      <c r="H9" s="98">
        <v>27.577196204662322</v>
      </c>
      <c r="I9" s="98">
        <v>23.781505322456361</v>
      </c>
      <c r="J9" s="98">
        <v>43.066641569137573</v>
      </c>
      <c r="K9" s="98">
        <v>43.388041830062868</v>
      </c>
      <c r="L9" s="98">
        <v>43.464518785476685</v>
      </c>
      <c r="M9" s="98">
        <v>39.950249385833743</v>
      </c>
      <c r="N9" s="98">
        <v>38.280059981346128</v>
      </c>
      <c r="O9" s="98">
        <v>41.071537423133847</v>
      </c>
    </row>
    <row r="10" spans="1:15">
      <c r="A10" s="2" t="s">
        <v>233</v>
      </c>
      <c r="C10" s="124">
        <f>AVERAGE(D10:O10)</f>
        <v>26.637616488601392</v>
      </c>
      <c r="D10" s="98">
        <v>30.935656052827834</v>
      </c>
      <c r="E10" s="98">
        <v>31.635579192638396</v>
      </c>
      <c r="F10" s="98">
        <v>30.524924364686012</v>
      </c>
      <c r="G10" s="98">
        <v>19.499694959819319</v>
      </c>
      <c r="H10" s="98">
        <v>13.334855689108371</v>
      </c>
      <c r="I10" s="98">
        <v>11.121441525407137</v>
      </c>
      <c r="J10" s="98">
        <v>20.839740103483198</v>
      </c>
      <c r="K10" s="98">
        <v>28.753549957275389</v>
      </c>
      <c r="L10" s="98">
        <v>36.724003767967226</v>
      </c>
      <c r="M10" s="98">
        <v>32.497968602180478</v>
      </c>
      <c r="N10" s="98">
        <v>31.889698386192315</v>
      </c>
      <c r="O10" s="98">
        <v>31.894285261631012</v>
      </c>
    </row>
    <row r="11" spans="1:15">
      <c r="C11" s="12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>
      <c r="A12" s="2" t="s">
        <v>41</v>
      </c>
      <c r="C12" s="12"/>
      <c r="D12">
        <v>-5.766</v>
      </c>
      <c r="E12">
        <v>-5.2080000000000002</v>
      </c>
      <c r="F12">
        <v>-5.766</v>
      </c>
      <c r="G12">
        <v>-5.58</v>
      </c>
      <c r="H12">
        <v>-5.766</v>
      </c>
      <c r="I12">
        <v>-5.58</v>
      </c>
      <c r="J12">
        <v>-5.766</v>
      </c>
      <c r="K12">
        <v>-5.766</v>
      </c>
      <c r="L12">
        <v>-5.58</v>
      </c>
      <c r="M12">
        <v>-5.766</v>
      </c>
      <c r="N12">
        <v>-5.58</v>
      </c>
      <c r="O12">
        <v>-5.766</v>
      </c>
    </row>
    <row r="13" spans="1:15">
      <c r="B13" t="s">
        <v>40</v>
      </c>
      <c r="C13" s="12"/>
    </row>
    <row r="14" spans="1:15">
      <c r="B14" t="s">
        <v>95</v>
      </c>
      <c r="C14" s="122">
        <f>SUM(D14:O14)</f>
        <v>59130</v>
      </c>
      <c r="D14" s="3">
        <f>-D12*1000-D6</f>
        <v>5022</v>
      </c>
      <c r="E14" s="3">
        <f t="shared" ref="E14:O14" si="0">-E12*1000-E6</f>
        <v>4536</v>
      </c>
      <c r="F14" s="3">
        <f t="shared" si="0"/>
        <v>5023</v>
      </c>
      <c r="G14" s="3">
        <f t="shared" si="0"/>
        <v>4860</v>
      </c>
      <c r="H14" s="3">
        <f t="shared" si="0"/>
        <v>5022</v>
      </c>
      <c r="I14" s="3">
        <f t="shared" si="0"/>
        <v>4860</v>
      </c>
      <c r="J14" s="3">
        <f t="shared" si="0"/>
        <v>5022</v>
      </c>
      <c r="K14" s="3">
        <f t="shared" si="0"/>
        <v>5022</v>
      </c>
      <c r="L14" s="3">
        <f t="shared" si="0"/>
        <v>4860</v>
      </c>
      <c r="M14" s="3">
        <f t="shared" si="0"/>
        <v>5022</v>
      </c>
      <c r="N14" s="3">
        <f t="shared" si="0"/>
        <v>4859</v>
      </c>
      <c r="O14" s="3">
        <f t="shared" si="0"/>
        <v>5022</v>
      </c>
    </row>
    <row r="15" spans="1:15">
      <c r="B15" t="s">
        <v>107</v>
      </c>
      <c r="C15" s="102">
        <f>SUM(D15:O15)</f>
        <v>1803500.2557251479</v>
      </c>
      <c r="D15" s="25">
        <f>((D9*0.57+D10*0.43)-2.16)*D14</f>
        <v>166518.61406593284</v>
      </c>
      <c r="E15" s="25">
        <f t="shared" ref="E15:O15" si="1">((E9*0.57+E10*0.43)-2.16)*E14</f>
        <v>151726.97011575219</v>
      </c>
      <c r="F15" s="25">
        <f t="shared" si="1"/>
        <v>159240.86497723963</v>
      </c>
      <c r="G15" s="25">
        <f t="shared" si="1"/>
        <v>119526.48496190159</v>
      </c>
      <c r="H15" s="25">
        <f t="shared" si="1"/>
        <v>96889.394690096044</v>
      </c>
      <c r="I15" s="25">
        <f t="shared" si="1"/>
        <v>78623.514544064441</v>
      </c>
      <c r="J15" s="25">
        <f t="shared" si="1"/>
        <v>157435.0493211869</v>
      </c>
      <c r="K15" s="25">
        <f t="shared" si="1"/>
        <v>175444.6262509661</v>
      </c>
      <c r="L15" s="25">
        <f t="shared" si="1"/>
        <v>186653.63301382543</v>
      </c>
      <c r="M15" s="25">
        <f t="shared" si="1"/>
        <v>173689.73015458917</v>
      </c>
      <c r="N15" s="25">
        <f t="shared" si="1"/>
        <v>162155.5416432943</v>
      </c>
      <c r="O15" s="25">
        <f t="shared" si="1"/>
        <v>175595.83198629928</v>
      </c>
    </row>
    <row r="16" spans="1:15">
      <c r="C16" s="12"/>
    </row>
    <row r="18" spans="1:15">
      <c r="C18" s="108"/>
      <c r="K18" s="29"/>
      <c r="L18" s="29"/>
      <c r="M18" s="25"/>
    </row>
    <row r="19" spans="1:15">
      <c r="A19" s="2" t="s">
        <v>153</v>
      </c>
      <c r="C19" s="108"/>
      <c r="K19" s="29"/>
      <c r="L19" s="29"/>
      <c r="M19" s="25"/>
    </row>
    <row r="20" spans="1:15">
      <c r="C20" s="123" t="s">
        <v>32</v>
      </c>
      <c r="D20" s="112">
        <f>D7</f>
        <v>40543</v>
      </c>
      <c r="E20" s="112">
        <f t="shared" ref="E20:O20" si="2">E7</f>
        <v>40574</v>
      </c>
      <c r="F20" s="112">
        <f t="shared" si="2"/>
        <v>40602</v>
      </c>
      <c r="G20" s="112">
        <f t="shared" si="2"/>
        <v>40633</v>
      </c>
      <c r="H20" s="112">
        <f t="shared" si="2"/>
        <v>40663</v>
      </c>
      <c r="I20" s="112">
        <f t="shared" si="2"/>
        <v>40694</v>
      </c>
      <c r="J20" s="112">
        <f t="shared" si="2"/>
        <v>40724</v>
      </c>
      <c r="K20" s="112">
        <f t="shared" si="2"/>
        <v>40755</v>
      </c>
      <c r="L20" s="112">
        <f t="shared" si="2"/>
        <v>40786</v>
      </c>
      <c r="M20" s="112">
        <f t="shared" si="2"/>
        <v>40816</v>
      </c>
      <c r="N20" s="112">
        <f t="shared" si="2"/>
        <v>40847</v>
      </c>
      <c r="O20" s="112">
        <f t="shared" si="2"/>
        <v>40877</v>
      </c>
    </row>
    <row r="21" spans="1:15">
      <c r="A21" s="2"/>
      <c r="C21" s="108"/>
      <c r="K21" s="29"/>
      <c r="L21" s="29"/>
      <c r="M21" s="25"/>
    </row>
    <row r="22" spans="1:15">
      <c r="B22" t="s">
        <v>234</v>
      </c>
      <c r="C22" s="108"/>
      <c r="D22" s="98">
        <f>0.65*D9+0.35*D10+5</f>
        <v>40.932870096862317</v>
      </c>
      <c r="E22" s="98">
        <f t="shared" ref="E22:O22" si="3">0.65*E9+0.35*E10+5</f>
        <v>41.167252853512764</v>
      </c>
      <c r="F22" s="98">
        <f t="shared" si="3"/>
        <v>39.330751744955776</v>
      </c>
      <c r="G22" s="98">
        <f t="shared" si="3"/>
        <v>32.772064769640565</v>
      </c>
      <c r="H22" s="98">
        <f t="shared" si="3"/>
        <v>27.59237702421844</v>
      </c>
      <c r="I22" s="98">
        <f t="shared" si="3"/>
        <v>24.350482993489134</v>
      </c>
      <c r="J22" s="98">
        <f t="shared" si="3"/>
        <v>40.287226056158538</v>
      </c>
      <c r="K22" s="98">
        <f t="shared" si="3"/>
        <v>43.265969674587247</v>
      </c>
      <c r="L22" s="98">
        <f t="shared" si="3"/>
        <v>46.105338529348373</v>
      </c>
      <c r="M22" s="98">
        <f t="shared" si="3"/>
        <v>42.341951111555105</v>
      </c>
      <c r="N22" s="98">
        <f t="shared" si="3"/>
        <v>41.043433423042295</v>
      </c>
      <c r="O22" s="98">
        <f t="shared" si="3"/>
        <v>42.859499166607854</v>
      </c>
    </row>
    <row r="23" spans="1:15">
      <c r="C23" s="11"/>
      <c r="K23" s="29"/>
      <c r="L23" s="29"/>
      <c r="M23" s="25"/>
    </row>
    <row r="24" spans="1:15">
      <c r="B24" t="s">
        <v>168</v>
      </c>
      <c r="C24" s="122">
        <f>SUM(D24:O24)</f>
        <v>153727.93927246094</v>
      </c>
      <c r="D24" s="128">
        <v>19412.425527343752</v>
      </c>
      <c r="E24" s="128">
        <v>14530.291640625001</v>
      </c>
      <c r="F24" s="128">
        <v>12157.248339843749</v>
      </c>
      <c r="G24" s="128">
        <v>10781.294912109375</v>
      </c>
      <c r="H24" s="128">
        <v>8094.4797119140621</v>
      </c>
      <c r="I24" s="128">
        <v>11396.349316406251</v>
      </c>
      <c r="J24" s="128">
        <v>12982.15330078125</v>
      </c>
      <c r="K24" s="128">
        <v>12535.000117187499</v>
      </c>
      <c r="L24" s="128">
        <v>10794.397753906249</v>
      </c>
      <c r="M24" s="128">
        <v>12519.2824609375</v>
      </c>
      <c r="N24" s="128">
        <v>12985.300898437501</v>
      </c>
      <c r="O24" s="128">
        <v>15539.715292968751</v>
      </c>
    </row>
    <row r="25" spans="1:15">
      <c r="B25" t="s">
        <v>169</v>
      </c>
      <c r="C25" s="122">
        <f>SUM(D25:O25)</f>
        <v>165572.33705078127</v>
      </c>
      <c r="D25" s="128">
        <v>17401.73</v>
      </c>
      <c r="E25" s="128">
        <v>13363.78580078125</v>
      </c>
      <c r="F25" s="128">
        <v>11926.688554687498</v>
      </c>
      <c r="G25" s="128">
        <v>14095.38671875</v>
      </c>
      <c r="H25" s="128">
        <v>16983.654736328124</v>
      </c>
      <c r="I25" s="128">
        <v>18360.9994921875</v>
      </c>
      <c r="J25" s="128">
        <v>16857.941621093749</v>
      </c>
      <c r="K25" s="128">
        <v>9986.5360644531247</v>
      </c>
      <c r="L25" s="128">
        <v>9430.4989746093743</v>
      </c>
      <c r="M25" s="128">
        <v>11163.555468749999</v>
      </c>
      <c r="N25" s="128">
        <v>11735.289970703127</v>
      </c>
      <c r="O25" s="128">
        <v>14266.269648437499</v>
      </c>
    </row>
    <row r="26" spans="1:15">
      <c r="B26" t="s">
        <v>139</v>
      </c>
      <c r="C26" s="101"/>
      <c r="D26" s="101">
        <v>3.3000000000000002E-2</v>
      </c>
      <c r="E26" s="101">
        <v>3.3000000000000002E-2</v>
      </c>
      <c r="F26" s="101">
        <v>3.3000000000000002E-2</v>
      </c>
      <c r="G26" s="101">
        <v>3.3000000000000002E-2</v>
      </c>
      <c r="H26" s="101">
        <v>3.3000000000000002E-2</v>
      </c>
      <c r="I26" s="101">
        <v>3.3000000000000002E-2</v>
      </c>
      <c r="J26" s="101">
        <v>3.3000000000000002E-2</v>
      </c>
      <c r="K26" s="101">
        <v>3.3000000000000002E-2</v>
      </c>
      <c r="L26" s="101">
        <v>3.3000000000000002E-2</v>
      </c>
      <c r="M26" s="101">
        <v>3.3000000000000002E-2</v>
      </c>
      <c r="N26" s="101">
        <v>3.3000000000000002E-2</v>
      </c>
      <c r="O26" s="101">
        <v>3.3000000000000002E-2</v>
      </c>
    </row>
    <row r="27" spans="1:15">
      <c r="B27" t="s">
        <v>167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</row>
    <row r="28" spans="1:15">
      <c r="B28" t="s">
        <v>140</v>
      </c>
      <c r="C28" s="101"/>
      <c r="D28" s="101">
        <v>4.8999999999999998E-3</v>
      </c>
      <c r="E28" s="101">
        <v>4.8999999999999998E-3</v>
      </c>
      <c r="F28" s="101">
        <v>4.8999999999999998E-3</v>
      </c>
      <c r="G28" s="101">
        <v>4.8999999999999998E-3</v>
      </c>
      <c r="H28" s="101">
        <v>4.8999999999999998E-3</v>
      </c>
      <c r="I28" s="101">
        <v>4.8999999999999998E-3</v>
      </c>
      <c r="J28" s="101">
        <v>4.8999999999999998E-3</v>
      </c>
      <c r="K28" s="101">
        <v>4.8999999999999998E-3</v>
      </c>
      <c r="L28" s="101">
        <v>4.8999999999999998E-3</v>
      </c>
      <c r="M28" s="101">
        <v>4.8999999999999998E-3</v>
      </c>
      <c r="N28" s="101">
        <v>4.8999999999999998E-3</v>
      </c>
      <c r="O28" s="101">
        <v>4.8999999999999998E-3</v>
      </c>
    </row>
    <row r="29" spans="1:15">
      <c r="B29" t="s">
        <v>143</v>
      </c>
      <c r="C29" s="101"/>
      <c r="D29" s="101">
        <f>D26+D27+D28</f>
        <v>3.7900000000000003E-2</v>
      </c>
      <c r="E29" s="101">
        <f t="shared" ref="E29:O29" si="4">E26+E27+E28</f>
        <v>3.7900000000000003E-2</v>
      </c>
      <c r="F29" s="101">
        <f t="shared" si="4"/>
        <v>3.7900000000000003E-2</v>
      </c>
      <c r="G29" s="101">
        <f t="shared" si="4"/>
        <v>3.7900000000000003E-2</v>
      </c>
      <c r="H29" s="101">
        <f t="shared" si="4"/>
        <v>3.7900000000000003E-2</v>
      </c>
      <c r="I29" s="101">
        <f t="shared" si="4"/>
        <v>3.7900000000000003E-2</v>
      </c>
      <c r="J29" s="101">
        <f t="shared" si="4"/>
        <v>3.7900000000000003E-2</v>
      </c>
      <c r="K29" s="101">
        <f t="shared" si="4"/>
        <v>3.7900000000000003E-2</v>
      </c>
      <c r="L29" s="101">
        <f t="shared" si="4"/>
        <v>3.7900000000000003E-2</v>
      </c>
      <c r="M29" s="101">
        <f t="shared" si="4"/>
        <v>3.7900000000000003E-2</v>
      </c>
      <c r="N29" s="101">
        <f t="shared" si="4"/>
        <v>3.7900000000000003E-2</v>
      </c>
      <c r="O29" s="101">
        <f t="shared" si="4"/>
        <v>3.7900000000000003E-2</v>
      </c>
    </row>
    <row r="30" spans="1:15">
      <c r="B30" t="s">
        <v>151</v>
      </c>
      <c r="C30" s="101"/>
      <c r="D30" s="109">
        <v>0.02</v>
      </c>
      <c r="E30" s="109">
        <f>D30</f>
        <v>0.02</v>
      </c>
      <c r="F30" s="109">
        <f t="shared" ref="F30:O30" si="5">E30</f>
        <v>0.02</v>
      </c>
      <c r="G30" s="109">
        <f t="shared" si="5"/>
        <v>0.02</v>
      </c>
      <c r="H30" s="109">
        <f t="shared" si="5"/>
        <v>0.02</v>
      </c>
      <c r="I30" s="109">
        <f t="shared" si="5"/>
        <v>0.02</v>
      </c>
      <c r="J30" s="109">
        <f t="shared" si="5"/>
        <v>0.02</v>
      </c>
      <c r="K30" s="109">
        <f t="shared" si="5"/>
        <v>0.02</v>
      </c>
      <c r="L30" s="109">
        <f t="shared" si="5"/>
        <v>0.02</v>
      </c>
      <c r="M30" s="109">
        <f t="shared" si="5"/>
        <v>0.02</v>
      </c>
      <c r="N30" s="109">
        <f t="shared" si="5"/>
        <v>0.02</v>
      </c>
      <c r="O30" s="109">
        <f t="shared" si="5"/>
        <v>0.02</v>
      </c>
    </row>
    <row r="31" spans="1:15">
      <c r="C31" s="100"/>
    </row>
    <row r="32" spans="1:15">
      <c r="B32" t="s">
        <v>133</v>
      </c>
      <c r="C32" s="100">
        <f>SUM(D32:O32)</f>
        <v>278018.7102550657</v>
      </c>
      <c r="D32" s="3">
        <f>(D24+D25)*(D26/D29)</f>
        <v>32054.541752040735</v>
      </c>
      <c r="E32" s="3">
        <f t="shared" ref="E32:O32" si="6">(E24+E25)*(E26/E29)</f>
        <v>24287.719144232353</v>
      </c>
      <c r="F32" s="3">
        <f t="shared" si="6"/>
        <v>20970.18252030425</v>
      </c>
      <c r="G32" s="3">
        <f t="shared" si="6"/>
        <v>21660.435193096553</v>
      </c>
      <c r="H32" s="3">
        <f t="shared" si="6"/>
        <v>21835.842659419315</v>
      </c>
      <c r="I32" s="3">
        <f t="shared" si="6"/>
        <v>25910.092630173975</v>
      </c>
      <c r="J32" s="3">
        <f t="shared" si="6"/>
        <v>25982.140697147097</v>
      </c>
      <c r="K32" s="3">
        <f t="shared" si="6"/>
        <v>19609.780844172572</v>
      </c>
      <c r="L32" s="3">
        <f t="shared" si="6"/>
        <v>17610.068391583525</v>
      </c>
      <c r="M32" s="3">
        <f t="shared" si="6"/>
        <v>20620.940677564311</v>
      </c>
      <c r="N32" s="3">
        <f t="shared" si="6"/>
        <v>21524.525031177855</v>
      </c>
      <c r="O32" s="3">
        <f t="shared" si="6"/>
        <v>25952.440714153196</v>
      </c>
    </row>
    <row r="33" spans="2:15">
      <c r="B33" t="s">
        <v>134</v>
      </c>
      <c r="C33" s="99">
        <f>SUM(D33:O33)</f>
        <v>12046075.528182268</v>
      </c>
      <c r="D33" s="25">
        <f>D32*(D22+5)</f>
        <v>1472357.1023109364</v>
      </c>
      <c r="E33" s="25">
        <f t="shared" ref="E33:O33" si="7">E32*(E22+5)</f>
        <v>1121297.2709668777</v>
      </c>
      <c r="F33" s="25">
        <f t="shared" si="7"/>
        <v>929623.95535401872</v>
      </c>
      <c r="G33" s="25">
        <f t="shared" si="7"/>
        <v>818159.3610522449</v>
      </c>
      <c r="H33" s="25">
        <f t="shared" si="7"/>
        <v>711682.01659730694</v>
      </c>
      <c r="I33" s="25">
        <f t="shared" si="7"/>
        <v>760473.73310164944</v>
      </c>
      <c r="J33" s="25">
        <f t="shared" si="7"/>
        <v>1176659.0791746171</v>
      </c>
      <c r="K33" s="25">
        <f t="shared" si="7"/>
        <v>946485.08755013521</v>
      </c>
      <c r="L33" s="25">
        <f t="shared" si="7"/>
        <v>899968.50667685352</v>
      </c>
      <c r="M33" s="25">
        <f t="shared" si="7"/>
        <v>976235.56543152756</v>
      </c>
      <c r="N33" s="25">
        <f t="shared" si="7"/>
        <v>991063.0352356449</v>
      </c>
      <c r="O33" s="25">
        <f t="shared" si="7"/>
        <v>1242070.8147304547</v>
      </c>
    </row>
    <row r="34" spans="2:15">
      <c r="D34" s="25"/>
    </row>
    <row r="35" spans="2:15">
      <c r="B35" t="s">
        <v>135</v>
      </c>
      <c r="C35" s="99">
        <f>SUM(D35:O35)</f>
        <v>5789593.6220099423</v>
      </c>
      <c r="D35" s="25">
        <f t="shared" ref="D35:O35" si="8">((D32*10.66/11.03)*(D22+5-$C54))*(1-D30)</f>
        <v>746593.21772753145</v>
      </c>
      <c r="E35" s="25">
        <f t="shared" si="8"/>
        <v>571085.14569574222</v>
      </c>
      <c r="F35" s="25">
        <f t="shared" si="8"/>
        <v>456603.32033357088</v>
      </c>
      <c r="G35" s="25">
        <f t="shared" si="8"/>
        <v>337080.31050563749</v>
      </c>
      <c r="H35" s="25">
        <f t="shared" si="8"/>
        <v>232687.35752446018</v>
      </c>
      <c r="I35" s="25">
        <f t="shared" si="8"/>
        <v>196546.94891867126</v>
      </c>
      <c r="J35" s="25">
        <f t="shared" si="8"/>
        <v>589270.62060032273</v>
      </c>
      <c r="K35" s="25">
        <f t="shared" si="8"/>
        <v>500070.56889170385</v>
      </c>
      <c r="L35" s="25">
        <f t="shared" si="8"/>
        <v>496433.44630270917</v>
      </c>
      <c r="M35" s="25">
        <f t="shared" si="8"/>
        <v>507809.57142341143</v>
      </c>
      <c r="N35" s="25">
        <f t="shared" si="8"/>
        <v>503589.01463278674</v>
      </c>
      <c r="O35" s="25">
        <f t="shared" si="8"/>
        <v>651824.09945339477</v>
      </c>
    </row>
    <row r="37" spans="2:15">
      <c r="B37" t="s">
        <v>136</v>
      </c>
      <c r="C37" s="125">
        <f>SUM(D37:O37)</f>
        <v>6256481.9061723249</v>
      </c>
      <c r="D37" s="25">
        <f>D33-D35</f>
        <v>725763.88458340499</v>
      </c>
      <c r="E37" s="25">
        <f t="shared" ref="E37:O37" si="9">E33-E35</f>
        <v>550212.12527113548</v>
      </c>
      <c r="F37" s="25">
        <f t="shared" si="9"/>
        <v>473020.63502044784</v>
      </c>
      <c r="G37" s="25">
        <f t="shared" si="9"/>
        <v>481079.05054660741</v>
      </c>
      <c r="H37" s="25">
        <f t="shared" si="9"/>
        <v>478994.65907284676</v>
      </c>
      <c r="I37" s="25">
        <f t="shared" si="9"/>
        <v>563926.78418297821</v>
      </c>
      <c r="J37" s="25">
        <f t="shared" si="9"/>
        <v>587388.45857429435</v>
      </c>
      <c r="K37" s="25">
        <f t="shared" si="9"/>
        <v>446414.51865843136</v>
      </c>
      <c r="L37" s="25">
        <f t="shared" si="9"/>
        <v>403535.06037414435</v>
      </c>
      <c r="M37" s="25">
        <f t="shared" si="9"/>
        <v>468425.99400811613</v>
      </c>
      <c r="N37" s="25">
        <f t="shared" si="9"/>
        <v>487474.02060285816</v>
      </c>
      <c r="O37" s="25">
        <f t="shared" si="9"/>
        <v>590246.71527705994</v>
      </c>
    </row>
    <row r="38" spans="2:15">
      <c r="B38" t="s">
        <v>137</v>
      </c>
      <c r="C38" s="113">
        <f t="shared" ref="C38:O38" si="10">C37/C32</f>
        <v>22.50381602170722</v>
      </c>
      <c r="D38" s="29">
        <f t="shared" si="10"/>
        <v>22.641530495041302</v>
      </c>
      <c r="E38" s="29">
        <f t="shared" si="10"/>
        <v>22.653923244241536</v>
      </c>
      <c r="F38" s="29">
        <f t="shared" si="10"/>
        <v>22.556820121257815</v>
      </c>
      <c r="G38" s="29">
        <f t="shared" si="10"/>
        <v>22.210036236941963</v>
      </c>
      <c r="H38" s="29">
        <f t="shared" si="10"/>
        <v>21.936165530402516</v>
      </c>
      <c r="I38" s="29">
        <f t="shared" si="10"/>
        <v>21.764753690083264</v>
      </c>
      <c r="J38" s="29">
        <f t="shared" si="10"/>
        <v>22.607392724910888</v>
      </c>
      <c r="K38" s="29">
        <f t="shared" si="10"/>
        <v>22.764890755578847</v>
      </c>
      <c r="L38" s="29">
        <f t="shared" si="10"/>
        <v>22.915019487772575</v>
      </c>
      <c r="M38" s="29">
        <f t="shared" si="10"/>
        <v>22.716034216507204</v>
      </c>
      <c r="N38" s="29">
        <f t="shared" si="10"/>
        <v>22.647376418144493</v>
      </c>
      <c r="O38" s="29">
        <f t="shared" si="10"/>
        <v>22.743399042047255</v>
      </c>
    </row>
    <row r="40" spans="2:15">
      <c r="B40" t="s">
        <v>171</v>
      </c>
      <c r="C40" s="100">
        <f>SUM(D40:O40)</f>
        <v>0</v>
      </c>
      <c r="D40" s="3">
        <f>(D24+D25)*(D27/D29)</f>
        <v>0</v>
      </c>
      <c r="E40" s="3">
        <f t="shared" ref="E40:O40" si="11">(E24+E25)*(E27/E29)</f>
        <v>0</v>
      </c>
      <c r="F40" s="3">
        <f t="shared" si="11"/>
        <v>0</v>
      </c>
      <c r="G40" s="3">
        <f t="shared" si="11"/>
        <v>0</v>
      </c>
      <c r="H40" s="3">
        <f t="shared" si="11"/>
        <v>0</v>
      </c>
      <c r="I40" s="3">
        <f t="shared" si="11"/>
        <v>0</v>
      </c>
      <c r="J40" s="3">
        <f t="shared" si="11"/>
        <v>0</v>
      </c>
      <c r="K40" s="3">
        <f t="shared" si="11"/>
        <v>0</v>
      </c>
      <c r="L40" s="3">
        <f t="shared" si="11"/>
        <v>0</v>
      </c>
      <c r="M40" s="3">
        <f t="shared" si="11"/>
        <v>0</v>
      </c>
      <c r="N40" s="3">
        <f t="shared" si="11"/>
        <v>0</v>
      </c>
      <c r="O40" s="3">
        <f t="shared" si="11"/>
        <v>0</v>
      </c>
    </row>
    <row r="41" spans="2:15">
      <c r="B41" t="s">
        <v>152</v>
      </c>
      <c r="D41" s="111">
        <f>$C54</f>
        <v>21.341274985623876</v>
      </c>
      <c r="E41" s="111">
        <f t="shared" ref="E41:O41" si="12">$C54</f>
        <v>21.341274985623876</v>
      </c>
      <c r="F41" s="111">
        <f t="shared" si="12"/>
        <v>21.341274985623876</v>
      </c>
      <c r="G41" s="111">
        <f t="shared" si="12"/>
        <v>21.341274985623876</v>
      </c>
      <c r="H41" s="111">
        <f t="shared" si="12"/>
        <v>21.341274985623876</v>
      </c>
      <c r="I41" s="111">
        <f t="shared" si="12"/>
        <v>21.341274985623876</v>
      </c>
      <c r="J41" s="111">
        <f t="shared" si="12"/>
        <v>21.341274985623876</v>
      </c>
      <c r="K41" s="111">
        <f t="shared" si="12"/>
        <v>21.341274985623876</v>
      </c>
      <c r="L41" s="111">
        <f t="shared" si="12"/>
        <v>21.341274985623876</v>
      </c>
      <c r="M41" s="111">
        <f t="shared" si="12"/>
        <v>21.341274985623876</v>
      </c>
      <c r="N41" s="111">
        <f t="shared" si="12"/>
        <v>21.341274985623876</v>
      </c>
      <c r="O41" s="111">
        <f t="shared" si="12"/>
        <v>21.341274985623876</v>
      </c>
    </row>
    <row r="42" spans="2:15">
      <c r="B42" t="s">
        <v>172</v>
      </c>
      <c r="C42" s="126">
        <f>SUM(D42:O42)</f>
        <v>0</v>
      </c>
      <c r="D42" s="25">
        <f>D40*D41</f>
        <v>0</v>
      </c>
      <c r="E42" s="25">
        <f t="shared" ref="E42:O42" si="13">E40*E41</f>
        <v>0</v>
      </c>
      <c r="F42" s="25">
        <f t="shared" si="13"/>
        <v>0</v>
      </c>
      <c r="G42" s="25">
        <f t="shared" si="13"/>
        <v>0</v>
      </c>
      <c r="H42" s="25">
        <f t="shared" si="13"/>
        <v>0</v>
      </c>
      <c r="I42" s="25">
        <f t="shared" si="13"/>
        <v>0</v>
      </c>
      <c r="J42" s="25">
        <f t="shared" si="13"/>
        <v>0</v>
      </c>
      <c r="K42" s="25">
        <f t="shared" si="13"/>
        <v>0</v>
      </c>
      <c r="L42" s="25">
        <f t="shared" si="13"/>
        <v>0</v>
      </c>
      <c r="M42" s="25">
        <f t="shared" si="13"/>
        <v>0</v>
      </c>
      <c r="N42" s="25">
        <f t="shared" si="13"/>
        <v>0</v>
      </c>
      <c r="O42" s="25">
        <f t="shared" si="13"/>
        <v>0</v>
      </c>
    </row>
    <row r="43" spans="2:15">
      <c r="C43" s="113"/>
      <c r="D43" s="25"/>
    </row>
    <row r="44" spans="2:15">
      <c r="B44" t="s">
        <v>142</v>
      </c>
      <c r="C44" s="100">
        <f>SUM(D44:O44)</f>
        <v>41281.566068176428</v>
      </c>
      <c r="D44" s="3">
        <f>(D24+D25)*(D28/D29)</f>
        <v>4759.613775303018</v>
      </c>
      <c r="E44" s="3">
        <f t="shared" ref="E44:O44" si="14">(E24+E25)*(E28/E29)</f>
        <v>3606.3582971738952</v>
      </c>
      <c r="F44" s="3">
        <f t="shared" si="14"/>
        <v>3113.7543742269945</v>
      </c>
      <c r="G44" s="3">
        <f t="shared" si="14"/>
        <v>3216.2464377628216</v>
      </c>
      <c r="H44" s="3">
        <f t="shared" si="14"/>
        <v>3242.2917888228681</v>
      </c>
      <c r="I44" s="3">
        <f t="shared" si="14"/>
        <v>3847.2561784197719</v>
      </c>
      <c r="J44" s="3">
        <f t="shared" si="14"/>
        <v>3857.9542247279019</v>
      </c>
      <c r="K44" s="3">
        <f t="shared" si="14"/>
        <v>2911.7553374680488</v>
      </c>
      <c r="L44" s="3">
        <f t="shared" si="14"/>
        <v>2614.8283369320993</v>
      </c>
      <c r="M44" s="3">
        <f t="shared" si="14"/>
        <v>3061.8972521231858</v>
      </c>
      <c r="N44" s="3">
        <f t="shared" si="14"/>
        <v>3196.0658379627725</v>
      </c>
      <c r="O44" s="3">
        <f t="shared" si="14"/>
        <v>3853.5442272530504</v>
      </c>
    </row>
    <row r="45" spans="2:15">
      <c r="B45" t="s">
        <v>152</v>
      </c>
      <c r="D45" s="111">
        <f>$C54</f>
        <v>21.341274985623876</v>
      </c>
      <c r="E45" s="111">
        <f t="shared" ref="E45:O45" si="15">$C54</f>
        <v>21.341274985623876</v>
      </c>
      <c r="F45" s="111">
        <f t="shared" si="15"/>
        <v>21.341274985623876</v>
      </c>
      <c r="G45" s="111">
        <f t="shared" si="15"/>
        <v>21.341274985623876</v>
      </c>
      <c r="H45" s="111">
        <f t="shared" si="15"/>
        <v>21.341274985623876</v>
      </c>
      <c r="I45" s="111">
        <f t="shared" si="15"/>
        <v>21.341274985623876</v>
      </c>
      <c r="J45" s="111">
        <f t="shared" si="15"/>
        <v>21.341274985623876</v>
      </c>
      <c r="K45" s="111">
        <f t="shared" si="15"/>
        <v>21.341274985623876</v>
      </c>
      <c r="L45" s="111">
        <f t="shared" si="15"/>
        <v>21.341274985623876</v>
      </c>
      <c r="M45" s="111">
        <f t="shared" si="15"/>
        <v>21.341274985623876</v>
      </c>
      <c r="N45" s="111">
        <f t="shared" si="15"/>
        <v>21.341274985623876</v>
      </c>
      <c r="O45" s="111">
        <f t="shared" si="15"/>
        <v>21.341274985623876</v>
      </c>
    </row>
    <row r="46" spans="2:15">
      <c r="B46" t="s">
        <v>141</v>
      </c>
      <c r="C46" s="126">
        <f>SUM(D46:O46)</f>
        <v>881001.25329815305</v>
      </c>
      <c r="D46" s="25">
        <f>D44*D45</f>
        <v>101576.22640410512</v>
      </c>
      <c r="E46" s="25">
        <f t="shared" ref="E46:O46" si="16">E44*E45</f>
        <v>76964.28411667436</v>
      </c>
      <c r="F46" s="25">
        <f t="shared" si="16"/>
        <v>66451.488338067487</v>
      </c>
      <c r="G46" s="25">
        <f t="shared" si="16"/>
        <v>68638.799649829598</v>
      </c>
      <c r="H46" s="25">
        <f t="shared" si="16"/>
        <v>69194.640648899163</v>
      </c>
      <c r="I46" s="25">
        <f t="shared" si="16"/>
        <v>82105.352043796782</v>
      </c>
      <c r="J46" s="25">
        <f t="shared" si="16"/>
        <v>82333.661991867528</v>
      </c>
      <c r="K46" s="25">
        <f t="shared" si="16"/>
        <v>62140.571347763675</v>
      </c>
      <c r="L46" s="25">
        <f t="shared" si="16"/>
        <v>55803.770578669493</v>
      </c>
      <c r="M46" s="25">
        <f t="shared" si="16"/>
        <v>65344.791235287026</v>
      </c>
      <c r="N46" s="25">
        <f t="shared" si="16"/>
        <v>68208.119920121928</v>
      </c>
      <c r="O46" s="25">
        <f t="shared" si="16"/>
        <v>82239.547023070816</v>
      </c>
    </row>
    <row r="47" spans="2:15">
      <c r="B47" t="s">
        <v>154</v>
      </c>
      <c r="C47" s="113">
        <f>C46/C44</f>
        <v>21.341274985623876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5">
      <c r="B49" t="s">
        <v>155</v>
      </c>
      <c r="C49" s="126">
        <f>SUM(D49:O49)</f>
        <v>7137483.1594704781</v>
      </c>
      <c r="D49" s="25">
        <f>D37+D42+D46</f>
        <v>827340.11098751007</v>
      </c>
      <c r="E49" s="25">
        <f t="shared" ref="E49:O49" si="17">E37+E42+E46</f>
        <v>627176.40938780981</v>
      </c>
      <c r="F49" s="25">
        <f t="shared" si="17"/>
        <v>539472.12335851532</v>
      </c>
      <c r="G49" s="25">
        <f t="shared" si="17"/>
        <v>549717.85019643698</v>
      </c>
      <c r="H49" s="25">
        <f t="shared" si="17"/>
        <v>548189.29972174589</v>
      </c>
      <c r="I49" s="25">
        <f t="shared" si="17"/>
        <v>646032.13622677501</v>
      </c>
      <c r="J49" s="25">
        <f t="shared" si="17"/>
        <v>669722.12056616182</v>
      </c>
      <c r="K49" s="25">
        <f t="shared" si="17"/>
        <v>508555.09000619501</v>
      </c>
      <c r="L49" s="25">
        <f t="shared" si="17"/>
        <v>459338.83095281385</v>
      </c>
      <c r="M49" s="25">
        <f t="shared" si="17"/>
        <v>533770.78524340317</v>
      </c>
      <c r="N49" s="25">
        <f t="shared" si="17"/>
        <v>555682.14052298013</v>
      </c>
      <c r="O49" s="25">
        <f t="shared" si="17"/>
        <v>672486.26230013079</v>
      </c>
    </row>
    <row r="50" spans="1:15">
      <c r="B50" t="s">
        <v>156</v>
      </c>
      <c r="C50" s="113">
        <f>C49/(C24+C25)</f>
        <v>22.35351388247744</v>
      </c>
    </row>
    <row r="52" spans="1:15">
      <c r="B52" t="s">
        <v>199</v>
      </c>
      <c r="C52" s="108">
        <f>SUM(D52:O52)</f>
        <v>8469503.3507491294</v>
      </c>
      <c r="D52" s="56">
        <f>(D24+D25)/0.0377</f>
        <v>976502.7991337867</v>
      </c>
      <c r="E52" s="56">
        <f t="shared" ref="E52:O52" si="18">(E24+E25)/0.0377</f>
        <v>739895.95335295098</v>
      </c>
      <c r="F52" s="56">
        <f t="shared" si="18"/>
        <v>638831.2173615715</v>
      </c>
      <c r="G52" s="56">
        <f t="shared" si="18"/>
        <v>659858.92920051399</v>
      </c>
      <c r="H52" s="56">
        <f t="shared" si="18"/>
        <v>665202.50525841338</v>
      </c>
      <c r="I52" s="56">
        <f t="shared" si="18"/>
        <v>789319.59704492707</v>
      </c>
      <c r="J52" s="56">
        <f t="shared" si="18"/>
        <v>791514.4541611406</v>
      </c>
      <c r="K52" s="56">
        <f t="shared" si="18"/>
        <v>597388.22762972477</v>
      </c>
      <c r="L52" s="56">
        <f t="shared" si="18"/>
        <v>536469.40924444632</v>
      </c>
      <c r="M52" s="56">
        <f t="shared" si="18"/>
        <v>628191.98752486741</v>
      </c>
      <c r="N52" s="56">
        <f t="shared" si="18"/>
        <v>655718.59069338546</v>
      </c>
      <c r="O52" s="56">
        <f t="shared" si="18"/>
        <v>790609.68014340184</v>
      </c>
    </row>
    <row r="53" spans="1:15">
      <c r="B53" t="s">
        <v>155</v>
      </c>
      <c r="C53" s="110">
        <v>180750000</v>
      </c>
    </row>
    <row r="54" spans="1:15">
      <c r="B54" t="s">
        <v>202</v>
      </c>
      <c r="C54" s="29">
        <f>C53/C52</f>
        <v>21.341274985623876</v>
      </c>
    </row>
    <row r="57" spans="1:15">
      <c r="A57" s="2" t="s">
        <v>235</v>
      </c>
    </row>
    <row r="58" spans="1:15">
      <c r="B58" t="s">
        <v>237</v>
      </c>
      <c r="C58" s="108">
        <f t="shared" ref="C58" si="19">SUM(D58:O58)</f>
        <v>285227.8660125733</v>
      </c>
      <c r="D58" s="144">
        <v>25301.189459228532</v>
      </c>
      <c r="E58" s="144">
        <v>20684.806509399423</v>
      </c>
      <c r="F58" s="144">
        <v>21677.797894287123</v>
      </c>
      <c r="G58" s="144">
        <v>25575.583837890663</v>
      </c>
      <c r="H58" s="144">
        <v>33109.771160888697</v>
      </c>
      <c r="I58" s="144">
        <v>30509.117669677758</v>
      </c>
      <c r="J58" s="144">
        <v>26954.705084228481</v>
      </c>
      <c r="K58" s="144">
        <v>24032.446459960913</v>
      </c>
      <c r="L58" s="144">
        <v>16471.569360351568</v>
      </c>
      <c r="M58" s="144">
        <v>16889.183728027318</v>
      </c>
      <c r="N58" s="144">
        <v>20767.054473876928</v>
      </c>
      <c r="O58" s="144">
        <v>23254.640374755858</v>
      </c>
    </row>
    <row r="59" spans="1:15">
      <c r="B59" t="s">
        <v>234</v>
      </c>
      <c r="C59" s="108"/>
      <c r="D59" s="29">
        <f>D$9*0.65+D$10*0.35+5</f>
        <v>40.932870096862317</v>
      </c>
      <c r="E59" s="29">
        <f t="shared" ref="E59:O59" si="20">E$9*0.65+E$10*0.35+5</f>
        <v>41.167252853512764</v>
      </c>
      <c r="F59" s="29">
        <f t="shared" si="20"/>
        <v>39.330751744955776</v>
      </c>
      <c r="G59" s="29">
        <f t="shared" si="20"/>
        <v>32.772064769640565</v>
      </c>
      <c r="H59" s="29">
        <f t="shared" si="20"/>
        <v>27.59237702421844</v>
      </c>
      <c r="I59" s="29">
        <f t="shared" si="20"/>
        <v>24.350482993489134</v>
      </c>
      <c r="J59" s="29">
        <f t="shared" si="20"/>
        <v>40.287226056158538</v>
      </c>
      <c r="K59" s="29">
        <f t="shared" si="20"/>
        <v>43.265969674587247</v>
      </c>
      <c r="L59" s="29">
        <f t="shared" si="20"/>
        <v>46.105338529348373</v>
      </c>
      <c r="M59" s="29">
        <f t="shared" si="20"/>
        <v>42.341951111555105</v>
      </c>
      <c r="N59" s="29">
        <f t="shared" si="20"/>
        <v>41.043433423042295</v>
      </c>
      <c r="O59" s="29">
        <f t="shared" si="20"/>
        <v>42.859499166607854</v>
      </c>
    </row>
    <row r="60" spans="1:15">
      <c r="B60" t="s">
        <v>238</v>
      </c>
      <c r="C60" s="145">
        <f>SUM(D60:O60)</f>
        <v>10683743.906058013</v>
      </c>
      <c r="D60" s="25">
        <f>D58*D59</f>
        <v>1035650.3014307036</v>
      </c>
      <c r="E60" s="25">
        <f t="shared" ref="E60:O60" si="21">E58*E59</f>
        <v>851536.65979843284</v>
      </c>
      <c r="F60" s="25">
        <f t="shared" si="21"/>
        <v>852604.08735753188</v>
      </c>
      <c r="G60" s="25">
        <f t="shared" si="21"/>
        <v>838164.69005672517</v>
      </c>
      <c r="H60" s="25">
        <f t="shared" si="21"/>
        <v>913577.28905683558</v>
      </c>
      <c r="I60" s="25">
        <f t="shared" si="21"/>
        <v>742911.75096184714</v>
      </c>
      <c r="J60" s="25">
        <f t="shared" si="21"/>
        <v>1085930.2970053987</v>
      </c>
      <c r="K60" s="25">
        <f t="shared" si="21"/>
        <v>1039787.0997428105</v>
      </c>
      <c r="L60" s="25">
        <f t="shared" si="21"/>
        <v>759427.28146865126</v>
      </c>
      <c r="M60" s="25">
        <f t="shared" si="21"/>
        <v>715120.99172620464</v>
      </c>
      <c r="N60" s="25">
        <f t="shared" si="21"/>
        <v>852351.21769126027</v>
      </c>
      <c r="O60" s="25">
        <f t="shared" si="21"/>
        <v>996682.23976161401</v>
      </c>
    </row>
    <row r="62" spans="1:15">
      <c r="A62" s="2" t="s">
        <v>236</v>
      </c>
    </row>
    <row r="63" spans="1:15">
      <c r="B63" t="s">
        <v>237</v>
      </c>
      <c r="C63" s="108">
        <f t="shared" ref="C63" si="22">SUM(D63:O63)</f>
        <v>175722.88697456828</v>
      </c>
      <c r="D63" s="144">
        <v>15693.55193079735</v>
      </c>
      <c r="E63" s="144">
        <v>12714.070883770388</v>
      </c>
      <c r="F63" s="144">
        <v>13167.556562618322</v>
      </c>
      <c r="G63" s="144">
        <v>15281.537090223674</v>
      </c>
      <c r="H63" s="144">
        <v>19692.191260201569</v>
      </c>
      <c r="I63" s="144">
        <v>18931.926437689304</v>
      </c>
      <c r="J63" s="144">
        <v>17477.972904127499</v>
      </c>
      <c r="K63" s="144">
        <v>15314.430205676021</v>
      </c>
      <c r="L63" s="144">
        <v>10074.939751916978</v>
      </c>
      <c r="M63" s="144">
        <v>10054.201102743329</v>
      </c>
      <c r="N63" s="144">
        <v>12816.427763335581</v>
      </c>
      <c r="O63" s="144">
        <v>14504.081081468246</v>
      </c>
    </row>
    <row r="64" spans="1:15">
      <c r="B64" t="s">
        <v>234</v>
      </c>
      <c r="C64" s="108"/>
      <c r="D64" s="29">
        <f>D$9*0.65+D$10*0.35+5</f>
        <v>40.932870096862317</v>
      </c>
      <c r="E64" s="29">
        <f t="shared" ref="E64:O64" si="23">E$9*0.65+E$10*0.35+5</f>
        <v>41.167252853512764</v>
      </c>
      <c r="F64" s="29">
        <f t="shared" si="23"/>
        <v>39.330751744955776</v>
      </c>
      <c r="G64" s="29">
        <f t="shared" si="23"/>
        <v>32.772064769640565</v>
      </c>
      <c r="H64" s="29">
        <f t="shared" si="23"/>
        <v>27.59237702421844</v>
      </c>
      <c r="I64" s="29">
        <f t="shared" si="23"/>
        <v>24.350482993489134</v>
      </c>
      <c r="J64" s="29">
        <f t="shared" si="23"/>
        <v>40.287226056158538</v>
      </c>
      <c r="K64" s="29">
        <f t="shared" si="23"/>
        <v>43.265969674587247</v>
      </c>
      <c r="L64" s="29">
        <f t="shared" si="23"/>
        <v>46.105338529348373</v>
      </c>
      <c r="M64" s="29">
        <f t="shared" si="23"/>
        <v>42.341951111555105</v>
      </c>
      <c r="N64" s="29">
        <f t="shared" si="23"/>
        <v>41.043433423042295</v>
      </c>
      <c r="O64" s="29">
        <f t="shared" si="23"/>
        <v>42.859499166607854</v>
      </c>
    </row>
    <row r="65" spans="2:15">
      <c r="B65" t="s">
        <v>238</v>
      </c>
      <c r="C65" s="145">
        <f>SUM(D65:O65)</f>
        <v>6593462.4017899511</v>
      </c>
      <c r="D65" s="25">
        <f>D63*D64</f>
        <v>642382.12254169071</v>
      </c>
      <c r="E65" s="29">
        <f t="shared" ref="E65:O65" si="24">E63*E64</f>
        <v>523403.37086966005</v>
      </c>
      <c r="F65" s="29">
        <f t="shared" si="24"/>
        <v>517889.89825200441</v>
      </c>
      <c r="G65" s="29">
        <f t="shared" si="24"/>
        <v>500807.52330047486</v>
      </c>
      <c r="H65" s="29">
        <f t="shared" si="24"/>
        <v>543354.3656845009</v>
      </c>
      <c r="I65" s="29">
        <f t="shared" si="24"/>
        <v>461001.55275494076</v>
      </c>
      <c r="J65" s="29">
        <f t="shared" si="24"/>
        <v>704139.04539199825</v>
      </c>
      <c r="K65" s="29">
        <f t="shared" si="24"/>
        <v>662593.67286236165</v>
      </c>
      <c r="L65" s="29">
        <f t="shared" si="24"/>
        <v>464508.5079249214</v>
      </c>
      <c r="M65" s="29">
        <f t="shared" si="24"/>
        <v>425714.49155810144</v>
      </c>
      <c r="N65" s="29">
        <f t="shared" si="24"/>
        <v>526030.19962569478</v>
      </c>
      <c r="O65" s="29">
        <f t="shared" si="24"/>
        <v>621637.65102360107</v>
      </c>
    </row>
  </sheetData>
  <phoneticPr fontId="6" type="noConversion"/>
  <pageMargins left="0.75" right="0.75" top="1" bottom="1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V690"/>
  <sheetViews>
    <sheetView topLeftCell="B1" zoomScaleNormal="100" workbookViewId="0">
      <pane xSplit="9015" ySplit="2100" topLeftCell="F51"/>
      <selection activeCell="C4" sqref="C4"/>
      <selection pane="topRight" activeCell="L6" sqref="L6"/>
      <selection pane="bottomLeft" activeCell="A63" sqref="A63:XFD64"/>
      <selection pane="bottomRight" activeCell="J76" sqref="J76"/>
    </sheetView>
  </sheetViews>
  <sheetFormatPr defaultColWidth="11.42578125" defaultRowHeight="12.75"/>
  <cols>
    <col min="1" max="1" width="6.140625" style="4" customWidth="1"/>
    <col min="2" max="2" width="39.140625" customWidth="1"/>
    <col min="3" max="3" width="9" customWidth="1"/>
    <col min="4" max="4" width="15.28515625" customWidth="1"/>
    <col min="5" max="5" width="13" customWidth="1"/>
    <col min="6" max="6" width="14.28515625" style="3" customWidth="1"/>
    <col min="7" max="7" width="13.140625" style="3" customWidth="1"/>
    <col min="8" max="8" width="14.7109375" style="3" hidden="1" customWidth="1"/>
    <col min="9" max="9" width="31.5703125" style="20" customWidth="1"/>
    <col min="10" max="10" width="15.85546875" customWidth="1"/>
    <col min="11" max="11" width="12" customWidth="1"/>
  </cols>
  <sheetData>
    <row r="1" spans="1:22">
      <c r="A1" s="8"/>
      <c r="B1" s="8"/>
      <c r="C1" s="14" t="s">
        <v>31</v>
      </c>
      <c r="F1"/>
      <c r="G1"/>
      <c r="H1"/>
      <c r="I1"/>
    </row>
    <row r="2" spans="1:22">
      <c r="A2" s="8"/>
      <c r="B2" s="8"/>
      <c r="C2" s="14" t="s">
        <v>181</v>
      </c>
      <c r="F2"/>
      <c r="G2"/>
      <c r="H2"/>
      <c r="I2"/>
    </row>
    <row r="3" spans="1:22">
      <c r="A3" s="10"/>
      <c r="B3" s="8"/>
      <c r="C3" s="14" t="s">
        <v>240</v>
      </c>
      <c r="F3"/>
      <c r="G3"/>
      <c r="H3"/>
      <c r="I3" s="72"/>
    </row>
    <row r="4" spans="1:22">
      <c r="A4" s="10"/>
      <c r="B4" s="8"/>
      <c r="C4" s="14" t="s">
        <v>228</v>
      </c>
      <c r="F4"/>
      <c r="G4"/>
      <c r="H4"/>
      <c r="I4" s="72"/>
    </row>
    <row r="5" spans="1:22" ht="12.75" customHeight="1">
      <c r="A5" s="5"/>
      <c r="C5" s="127"/>
      <c r="D5" s="11"/>
      <c r="E5" s="11"/>
      <c r="F5" s="11"/>
      <c r="G5" s="11"/>
      <c r="H5" s="11" t="s">
        <v>131</v>
      </c>
      <c r="I5" s="83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227</v>
      </c>
      <c r="E6" s="11"/>
      <c r="F6" s="11">
        <v>2015</v>
      </c>
      <c r="G6" s="53"/>
      <c r="H6" s="53" t="s">
        <v>130</v>
      </c>
      <c r="I6" s="84"/>
    </row>
    <row r="7" spans="1:22">
      <c r="A7" s="45" t="s">
        <v>1</v>
      </c>
      <c r="D7" s="15" t="s">
        <v>2</v>
      </c>
      <c r="E7" s="1" t="s">
        <v>3</v>
      </c>
      <c r="F7" s="15" t="s">
        <v>229</v>
      </c>
      <c r="G7" s="15"/>
      <c r="H7" s="15" t="s">
        <v>158</v>
      </c>
      <c r="I7" s="87" t="s">
        <v>120</v>
      </c>
      <c r="J7" s="80" t="s">
        <v>32</v>
      </c>
      <c r="K7" s="47">
        <v>40543</v>
      </c>
      <c r="L7" s="47">
        <v>40574</v>
      </c>
      <c r="M7" s="47">
        <v>40602</v>
      </c>
      <c r="N7" s="47">
        <v>40633</v>
      </c>
      <c r="O7" s="47">
        <v>40663</v>
      </c>
      <c r="P7" s="47">
        <v>40694</v>
      </c>
      <c r="Q7" s="47">
        <v>40724</v>
      </c>
      <c r="R7" s="47">
        <v>40755</v>
      </c>
      <c r="S7" s="47">
        <v>40786</v>
      </c>
      <c r="T7" s="47">
        <v>40816</v>
      </c>
      <c r="U7" s="47">
        <v>40847</v>
      </c>
      <c r="V7" s="47">
        <v>40877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6" si="0">A8+1</f>
        <v>1</v>
      </c>
      <c r="B9" t="s">
        <v>241</v>
      </c>
      <c r="D9" s="18">
        <v>0</v>
      </c>
      <c r="E9" s="18">
        <f t="shared" ref="E9:E15" si="1">F9-D9</f>
        <v>19717.182742169502</v>
      </c>
      <c r="F9" s="18">
        <f>'WGJ-4'!C13/1000</f>
        <v>19717.182742169502</v>
      </c>
      <c r="G9" s="18"/>
      <c r="H9" s="18">
        <v>20917.018981429192</v>
      </c>
      <c r="I9" s="95" t="s">
        <v>126</v>
      </c>
      <c r="J9" s="3">
        <f t="shared" ref="J9:J14" si="2">SUM(K9:V9)/1000</f>
        <v>19717.182742169502</v>
      </c>
      <c r="K9" s="56">
        <f>'WGJ-4'!D13</f>
        <v>1264297.3930597301</v>
      </c>
      <c r="L9" s="56">
        <f>'WGJ-4'!E13</f>
        <v>757194.04040575004</v>
      </c>
      <c r="M9" s="56">
        <f>'WGJ-4'!F13</f>
        <v>758497.91094064701</v>
      </c>
      <c r="N9" s="56">
        <f>'WGJ-4'!G13</f>
        <v>488500.79388171399</v>
      </c>
      <c r="O9" s="56">
        <f>'WGJ-4'!H13</f>
        <v>293114.18789178098</v>
      </c>
      <c r="P9" s="56">
        <f>'WGJ-4'!I13</f>
        <v>395586.70171499299</v>
      </c>
      <c r="Q9" s="56">
        <f>'WGJ-4'!J13</f>
        <v>2410489.74170685</v>
      </c>
      <c r="R9" s="56">
        <f>'WGJ-4'!K13</f>
        <v>5007776.92089081</v>
      </c>
      <c r="S9" s="56">
        <f>'WGJ-4'!L13</f>
        <v>2853988.4368896503</v>
      </c>
      <c r="T9" s="56">
        <f>'WGJ-4'!M13</f>
        <v>2418458.2258224501</v>
      </c>
      <c r="U9" s="56">
        <f>'WGJ-4'!N13</f>
        <v>1598939.6069884298</v>
      </c>
      <c r="V9" s="56">
        <f>'WGJ-4'!O13</f>
        <v>1470338.7819766998</v>
      </c>
    </row>
    <row r="10" spans="1:22">
      <c r="A10" s="5">
        <f t="shared" si="0"/>
        <v>2</v>
      </c>
      <c r="B10" t="s">
        <v>242</v>
      </c>
      <c r="D10" s="89">
        <v>137586</v>
      </c>
      <c r="E10" s="19">
        <f t="shared" si="1"/>
        <v>-137586</v>
      </c>
      <c r="F10" s="129">
        <v>0</v>
      </c>
      <c r="G10" s="18"/>
      <c r="H10" s="18"/>
      <c r="I10" s="95"/>
      <c r="J10" s="3">
        <f t="shared" si="2"/>
        <v>0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</row>
    <row r="11" spans="1:22">
      <c r="A11" s="5">
        <f t="shared" si="0"/>
        <v>3</v>
      </c>
      <c r="B11" t="s">
        <v>243</v>
      </c>
      <c r="D11" s="89">
        <v>0</v>
      </c>
      <c r="E11" s="19">
        <f t="shared" si="1"/>
        <v>2638</v>
      </c>
      <c r="F11" s="129">
        <v>2638</v>
      </c>
      <c r="G11" s="18"/>
      <c r="H11" s="18"/>
      <c r="I11" s="95"/>
      <c r="J11" s="3">
        <f t="shared" si="2"/>
        <v>2638.4884660720841</v>
      </c>
      <c r="K11" s="56">
        <v>110558.54911804374</v>
      </c>
      <c r="L11" s="56">
        <v>99681.93340301406</v>
      </c>
      <c r="M11" s="56">
        <v>316467.9458618178</v>
      </c>
      <c r="N11" s="56">
        <v>632202.04772949382</v>
      </c>
      <c r="O11" s="56">
        <v>1019017.2706603989</v>
      </c>
      <c r="P11" s="56">
        <v>1334818.7606811507</v>
      </c>
      <c r="Q11" s="56">
        <v>-280077.82287597808</v>
      </c>
      <c r="R11" s="56">
        <v>-296445.05920409883</v>
      </c>
      <c r="S11" s="56">
        <v>-302807.96813965001</v>
      </c>
      <c r="T11" s="56">
        <v>-10821.557617186954</v>
      </c>
      <c r="U11" s="56">
        <v>123595.19653320115</v>
      </c>
      <c r="V11" s="56">
        <v>-107700.83007812309</v>
      </c>
    </row>
    <row r="12" spans="1:22">
      <c r="A12" s="5">
        <f t="shared" si="0"/>
        <v>4</v>
      </c>
      <c r="B12" t="s">
        <v>198</v>
      </c>
      <c r="D12" s="89">
        <v>11951</v>
      </c>
      <c r="E12" s="19">
        <f t="shared" si="1"/>
        <v>-1267.2560939419873</v>
      </c>
      <c r="F12" s="89">
        <f>Index!C60/1000</f>
        <v>10683.743906058013</v>
      </c>
      <c r="G12" s="22"/>
      <c r="H12" s="22"/>
      <c r="I12" s="19"/>
      <c r="J12" s="3">
        <f t="shared" si="2"/>
        <v>10683.743906058013</v>
      </c>
      <c r="K12" s="55">
        <f>Index!D60</f>
        <v>1035650.3014307036</v>
      </c>
      <c r="L12" s="55">
        <f>Index!E60</f>
        <v>851536.65979843284</v>
      </c>
      <c r="M12" s="55">
        <f>Index!F60</f>
        <v>852604.08735753188</v>
      </c>
      <c r="N12" s="55">
        <f>Index!G60</f>
        <v>838164.69005672517</v>
      </c>
      <c r="O12" s="55">
        <f>Index!H60</f>
        <v>913577.28905683558</v>
      </c>
      <c r="P12" s="55">
        <f>Index!I60</f>
        <v>742911.75096184714</v>
      </c>
      <c r="Q12" s="55">
        <f>Index!J60</f>
        <v>1085930.2970053987</v>
      </c>
      <c r="R12" s="55">
        <f>Index!K60</f>
        <v>1039787.0997428105</v>
      </c>
      <c r="S12" s="55">
        <f>Index!L60</f>
        <v>759427.28146865126</v>
      </c>
      <c r="T12" s="55">
        <f>Index!M60</f>
        <v>715120.99172620464</v>
      </c>
      <c r="U12" s="55">
        <f>Index!N60</f>
        <v>852351.21769126027</v>
      </c>
      <c r="V12" s="55">
        <f>Index!O60</f>
        <v>996682.23976161401</v>
      </c>
    </row>
    <row r="13" spans="1:22">
      <c r="A13" s="5">
        <f t="shared" si="0"/>
        <v>5</v>
      </c>
      <c r="B13" t="s">
        <v>186</v>
      </c>
      <c r="D13" s="89">
        <v>1587</v>
      </c>
      <c r="E13" s="19">
        <f t="shared" si="1"/>
        <v>31</v>
      </c>
      <c r="F13" s="89">
        <v>1618</v>
      </c>
      <c r="G13" s="22"/>
      <c r="H13" s="22">
        <v>1177</v>
      </c>
      <c r="I13" s="19"/>
      <c r="J13" s="3">
        <f t="shared" si="2"/>
        <v>1617.5949999999998</v>
      </c>
      <c r="K13" s="55">
        <f>1617595/12</f>
        <v>134799.58333333334</v>
      </c>
      <c r="L13" s="55">
        <f t="shared" ref="L13:V13" si="3">1617595/12</f>
        <v>134799.58333333334</v>
      </c>
      <c r="M13" s="55">
        <f t="shared" si="3"/>
        <v>134799.58333333334</v>
      </c>
      <c r="N13" s="55">
        <f t="shared" si="3"/>
        <v>134799.58333333334</v>
      </c>
      <c r="O13" s="55">
        <f t="shared" si="3"/>
        <v>134799.58333333334</v>
      </c>
      <c r="P13" s="55">
        <f t="shared" si="3"/>
        <v>134799.58333333334</v>
      </c>
      <c r="Q13" s="55">
        <f t="shared" si="3"/>
        <v>134799.58333333334</v>
      </c>
      <c r="R13" s="55">
        <f t="shared" si="3"/>
        <v>134799.58333333334</v>
      </c>
      <c r="S13" s="55">
        <f t="shared" si="3"/>
        <v>134799.58333333334</v>
      </c>
      <c r="T13" s="55">
        <f t="shared" si="3"/>
        <v>134799.58333333334</v>
      </c>
      <c r="U13" s="55">
        <f t="shared" si="3"/>
        <v>134799.58333333334</v>
      </c>
      <c r="V13" s="55">
        <f t="shared" si="3"/>
        <v>134799.58333333334</v>
      </c>
    </row>
    <row r="14" spans="1:22">
      <c r="A14" s="5">
        <f t="shared" si="0"/>
        <v>6</v>
      </c>
      <c r="B14" t="s">
        <v>187</v>
      </c>
      <c r="D14" s="89">
        <v>4542</v>
      </c>
      <c r="E14" s="19">
        <f t="shared" si="1"/>
        <v>2051.4624017899514</v>
      </c>
      <c r="F14" s="91">
        <f>Index!C65/1000</f>
        <v>6593.4624017899514</v>
      </c>
      <c r="G14" s="22"/>
      <c r="H14" s="22"/>
      <c r="I14" s="19"/>
      <c r="J14" s="3">
        <f t="shared" si="2"/>
        <v>6593.4624017899514</v>
      </c>
      <c r="K14" s="55">
        <f>Index!D65</f>
        <v>642382.12254169071</v>
      </c>
      <c r="L14" s="55">
        <f>Index!E65</f>
        <v>523403.37086966005</v>
      </c>
      <c r="M14" s="55">
        <f>Index!F65</f>
        <v>517889.89825200441</v>
      </c>
      <c r="N14" s="55">
        <f>Index!G65</f>
        <v>500807.52330047486</v>
      </c>
      <c r="O14" s="55">
        <f>Index!H65</f>
        <v>543354.3656845009</v>
      </c>
      <c r="P14" s="55">
        <f>Index!I65</f>
        <v>461001.55275494076</v>
      </c>
      <c r="Q14" s="55">
        <f>Index!J65</f>
        <v>704139.04539199825</v>
      </c>
      <c r="R14" s="55">
        <f>Index!K65</f>
        <v>662593.67286236165</v>
      </c>
      <c r="S14" s="55">
        <f>Index!L65</f>
        <v>464508.5079249214</v>
      </c>
      <c r="T14" s="55">
        <f>Index!M65</f>
        <v>425714.49155810144</v>
      </c>
      <c r="U14" s="55">
        <f>Index!N65</f>
        <v>526030.19962569478</v>
      </c>
      <c r="V14" s="55">
        <f>Index!O65</f>
        <v>621637.65102360107</v>
      </c>
    </row>
    <row r="15" spans="1:22">
      <c r="A15" s="5">
        <f t="shared" si="0"/>
        <v>7</v>
      </c>
      <c r="B15" t="s">
        <v>153</v>
      </c>
      <c r="D15" s="89">
        <v>5852</v>
      </c>
      <c r="E15" s="19">
        <f t="shared" si="1"/>
        <v>1285.4831594704783</v>
      </c>
      <c r="F15" s="89">
        <f>Index!C49/1000</f>
        <v>7137.4831594704783</v>
      </c>
      <c r="G15" s="94" t="s">
        <v>125</v>
      </c>
      <c r="H15" s="19">
        <v>0</v>
      </c>
      <c r="I15" s="94" t="s">
        <v>138</v>
      </c>
      <c r="J15" s="3">
        <f t="shared" ref="J15:J30" si="4">SUM(K15:V15)/1000</f>
        <v>7137.4831594704783</v>
      </c>
      <c r="K15" s="55">
        <f>Index!D49</f>
        <v>827340.11098751007</v>
      </c>
      <c r="L15" s="55">
        <f>Index!E49</f>
        <v>627176.40938780981</v>
      </c>
      <c r="M15" s="55">
        <f>Index!F49</f>
        <v>539472.12335851532</v>
      </c>
      <c r="N15" s="55">
        <f>Index!G49</f>
        <v>549717.85019643698</v>
      </c>
      <c r="O15" s="55">
        <f>Index!H49</f>
        <v>548189.29972174589</v>
      </c>
      <c r="P15" s="55">
        <f>Index!I49</f>
        <v>646032.13622677501</v>
      </c>
      <c r="Q15" s="55">
        <f>Index!J49</f>
        <v>669722.12056616182</v>
      </c>
      <c r="R15" s="55">
        <f>Index!K49</f>
        <v>508555.09000619501</v>
      </c>
      <c r="S15" s="55">
        <f>Index!L49</f>
        <v>459338.83095281385</v>
      </c>
      <c r="T15" s="55">
        <f>Index!M49</f>
        <v>533770.78524340317</v>
      </c>
      <c r="U15" s="55">
        <f>Index!N49</f>
        <v>555682.14052298013</v>
      </c>
      <c r="V15" s="55">
        <f>Index!O49</f>
        <v>672486.26230013079</v>
      </c>
    </row>
    <row r="16" spans="1:22">
      <c r="A16" s="5">
        <f t="shared" si="0"/>
        <v>8</v>
      </c>
      <c r="B16" t="s">
        <v>123</v>
      </c>
      <c r="D16" s="89">
        <v>1074</v>
      </c>
      <c r="E16" s="89">
        <f t="shared" ref="E16:E24" si="5">F16-D16</f>
        <v>-112</v>
      </c>
      <c r="F16" s="89">
        <v>962</v>
      </c>
      <c r="G16" s="91"/>
      <c r="H16" s="91">
        <v>5512</v>
      </c>
      <c r="I16" s="19"/>
      <c r="J16" s="3">
        <f t="shared" si="4"/>
        <v>961.95816344208947</v>
      </c>
      <c r="K16" s="55">
        <v>32373.074557152901</v>
      </c>
      <c r="L16" s="55">
        <v>34881.39228958384</v>
      </c>
      <c r="M16" s="55">
        <v>65891.180782998854</v>
      </c>
      <c r="N16" s="55">
        <v>112723.17606098214</v>
      </c>
      <c r="O16" s="55">
        <v>159783.50708554767</v>
      </c>
      <c r="P16" s="55">
        <v>179208.69545351854</v>
      </c>
      <c r="Q16" s="55">
        <v>132198.73224667498</v>
      </c>
      <c r="R16" s="55">
        <v>84940.289035420326</v>
      </c>
      <c r="S16" s="55">
        <v>41603.817438056889</v>
      </c>
      <c r="T16" s="55">
        <v>36016.347730419177</v>
      </c>
      <c r="U16" s="55">
        <v>37473.656384884147</v>
      </c>
      <c r="V16" s="55">
        <v>44864.294376850114</v>
      </c>
    </row>
    <row r="17" spans="1:22">
      <c r="A17" s="5">
        <f t="shared" ref="A17:A30" si="6">A16+1</f>
        <v>9</v>
      </c>
      <c r="B17" t="s">
        <v>179</v>
      </c>
      <c r="D17" s="89">
        <v>21939</v>
      </c>
      <c r="E17" s="89">
        <f t="shared" si="5"/>
        <v>857</v>
      </c>
      <c r="F17" s="91">
        <v>22796</v>
      </c>
      <c r="G17" s="91"/>
      <c r="H17" s="91"/>
      <c r="I17" s="19"/>
      <c r="J17" s="3">
        <f t="shared" si="4"/>
        <v>22796.244624000003</v>
      </c>
      <c r="K17" s="55">
        <v>1899687.0519999999</v>
      </c>
      <c r="L17" s="55">
        <v>1899687.0519999999</v>
      </c>
      <c r="M17" s="55">
        <v>1899687.0519999999</v>
      </c>
      <c r="N17" s="55">
        <v>1899687.0519999999</v>
      </c>
      <c r="O17" s="55">
        <v>1899687.0519999999</v>
      </c>
      <c r="P17" s="55">
        <v>1899687.0519999999</v>
      </c>
      <c r="Q17" s="55">
        <v>1899687.0519999999</v>
      </c>
      <c r="R17" s="55">
        <v>1899687.0519999999</v>
      </c>
      <c r="S17" s="55">
        <v>1899687.0519999999</v>
      </c>
      <c r="T17" s="55">
        <v>1899687.0519999999</v>
      </c>
      <c r="U17" s="55">
        <v>1899687.0519999999</v>
      </c>
      <c r="V17" s="55">
        <v>1899687.0519999999</v>
      </c>
    </row>
    <row r="18" spans="1:22">
      <c r="A18" s="5">
        <f t="shared" si="6"/>
        <v>10</v>
      </c>
      <c r="B18" t="s">
        <v>178</v>
      </c>
      <c r="D18" s="89">
        <v>2711</v>
      </c>
      <c r="E18" s="89">
        <f t="shared" si="5"/>
        <v>53.714624319507948</v>
      </c>
      <c r="F18" s="91">
        <f>J18</f>
        <v>2764.7146243195079</v>
      </c>
      <c r="G18" s="91"/>
      <c r="H18" s="91"/>
      <c r="I18" s="19"/>
      <c r="J18" s="3">
        <f t="shared" si="4"/>
        <v>2764.7146243195079</v>
      </c>
      <c r="K18" s="55">
        <f>'WGJ-4'!D33*2.087</f>
        <v>319724.17191429518</v>
      </c>
      <c r="L18" s="55">
        <f>'WGJ-4'!E33*2.087</f>
        <v>298592.84794943867</v>
      </c>
      <c r="M18" s="55">
        <f>'WGJ-4'!F33*2.087</f>
        <v>308560.0766554923</v>
      </c>
      <c r="N18" s="55">
        <f>'WGJ-4'!G33*2.087</f>
        <v>194135.64617042843</v>
      </c>
      <c r="O18" s="55">
        <f>'WGJ-4'!H33*2.087</f>
        <v>79189.908086946089</v>
      </c>
      <c r="P18" s="55">
        <f>'WGJ-4'!I33*2.087</f>
        <v>62904.707777482712</v>
      </c>
      <c r="Q18" s="55">
        <f>'WGJ-4'!J33*2.087</f>
        <v>151990.2386725175</v>
      </c>
      <c r="R18" s="55">
        <f>'WGJ-4'!K33*2.087</f>
        <v>225191.67380884988</v>
      </c>
      <c r="S18" s="55">
        <f>'WGJ-4'!L33*2.087</f>
        <v>255593.82311296323</v>
      </c>
      <c r="T18" s="55">
        <f>'WGJ-4'!M33*2.087</f>
        <v>288705.89511752903</v>
      </c>
      <c r="U18" s="55">
        <f>'WGJ-4'!N33*2.087</f>
        <v>282146.42629765626</v>
      </c>
      <c r="V18" s="55">
        <f>'WGJ-4'!O33*2.087</f>
        <v>297979.20875590848</v>
      </c>
    </row>
    <row r="19" spans="1:22">
      <c r="A19" s="5">
        <f t="shared" si="6"/>
        <v>11</v>
      </c>
      <c r="B19" t="s">
        <v>5</v>
      </c>
      <c r="D19" s="89">
        <v>14784</v>
      </c>
      <c r="E19" s="19">
        <f t="shared" si="5"/>
        <v>1009</v>
      </c>
      <c r="F19" s="89">
        <v>15793</v>
      </c>
      <c r="G19" s="19" t="s">
        <v>165</v>
      </c>
      <c r="H19" s="19">
        <v>-2690</v>
      </c>
      <c r="I19" s="96" t="s">
        <v>166</v>
      </c>
      <c r="J19" s="3">
        <f t="shared" si="4"/>
        <v>15792.797455501503</v>
      </c>
      <c r="K19" s="56">
        <v>3193021.3628250002</v>
      </c>
      <c r="L19" s="56">
        <v>2906811.0792</v>
      </c>
      <c r="M19" s="56">
        <v>1590545.2752</v>
      </c>
      <c r="N19" s="56">
        <v>1537395.0133500001</v>
      </c>
      <c r="O19" s="56"/>
      <c r="P19" s="56"/>
      <c r="Q19" s="56"/>
      <c r="R19" s="56"/>
      <c r="S19" s="56"/>
      <c r="T19" s="56"/>
      <c r="U19" s="56">
        <v>3254518.8862200002</v>
      </c>
      <c r="V19" s="56">
        <v>3310505.8387065004</v>
      </c>
    </row>
    <row r="20" spans="1:22">
      <c r="A20" s="5">
        <f t="shared" si="6"/>
        <v>12</v>
      </c>
      <c r="B20" t="s">
        <v>6</v>
      </c>
      <c r="D20" s="89">
        <v>7</v>
      </c>
      <c r="E20" s="19">
        <f t="shared" si="5"/>
        <v>0</v>
      </c>
      <c r="F20" s="19">
        <v>7</v>
      </c>
      <c r="G20" s="19"/>
      <c r="H20" s="19">
        <v>6679.5</v>
      </c>
      <c r="I20" s="19"/>
      <c r="J20" s="3">
        <f t="shared" si="4"/>
        <v>6.9999999999999991</v>
      </c>
      <c r="K20" s="55">
        <f t="shared" ref="K20:V20" si="7">$F20/12*1000</f>
        <v>583.33333333333337</v>
      </c>
      <c r="L20" s="55">
        <f t="shared" si="7"/>
        <v>583.33333333333337</v>
      </c>
      <c r="M20" s="55">
        <f t="shared" si="7"/>
        <v>583.33333333333337</v>
      </c>
      <c r="N20" s="55">
        <f t="shared" si="7"/>
        <v>583.33333333333337</v>
      </c>
      <c r="O20" s="55">
        <f t="shared" si="7"/>
        <v>583.33333333333337</v>
      </c>
      <c r="P20" s="55">
        <f t="shared" si="7"/>
        <v>583.33333333333337</v>
      </c>
      <c r="Q20" s="55">
        <f t="shared" si="7"/>
        <v>583.33333333333337</v>
      </c>
      <c r="R20" s="55">
        <f t="shared" si="7"/>
        <v>583.33333333333337</v>
      </c>
      <c r="S20" s="55">
        <f t="shared" si="7"/>
        <v>583.33333333333337</v>
      </c>
      <c r="T20" s="55">
        <f t="shared" si="7"/>
        <v>583.33333333333337</v>
      </c>
      <c r="U20" s="55">
        <f t="shared" si="7"/>
        <v>583.33333333333337</v>
      </c>
      <c r="V20" s="55">
        <f t="shared" si="7"/>
        <v>583.33333333333337</v>
      </c>
    </row>
    <row r="21" spans="1:22">
      <c r="A21" s="5">
        <f t="shared" si="6"/>
        <v>13</v>
      </c>
      <c r="B21" t="s">
        <v>132</v>
      </c>
      <c r="D21" s="89">
        <v>1681</v>
      </c>
      <c r="E21" s="19">
        <f t="shared" si="5"/>
        <v>-453</v>
      </c>
      <c r="F21" s="91">
        <v>1228</v>
      </c>
      <c r="G21" s="19" t="s">
        <v>165</v>
      </c>
      <c r="H21" s="91">
        <v>6132</v>
      </c>
      <c r="I21" s="19"/>
      <c r="J21" s="3">
        <f t="shared" si="4"/>
        <v>1227.8795507860557</v>
      </c>
      <c r="K21" s="55">
        <v>83286.956349955057</v>
      </c>
      <c r="L21" s="55">
        <v>92279.613652855114</v>
      </c>
      <c r="M21" s="55">
        <v>135138.41961960931</v>
      </c>
      <c r="N21" s="55">
        <v>158009.22584613031</v>
      </c>
      <c r="O21" s="55">
        <v>159992.03613614623</v>
      </c>
      <c r="P21" s="55">
        <v>148016.63075632608</v>
      </c>
      <c r="Q21" s="55">
        <v>130892.16061067338</v>
      </c>
      <c r="R21" s="55">
        <v>77927.838859455325</v>
      </c>
      <c r="S21" s="55">
        <v>52625.953346869021</v>
      </c>
      <c r="T21" s="55">
        <v>52861.423970077929</v>
      </c>
      <c r="U21" s="55">
        <v>65744.899312093214</v>
      </c>
      <c r="V21" s="55">
        <v>71104.392325864887</v>
      </c>
    </row>
    <row r="22" spans="1:22">
      <c r="A22" s="5">
        <f t="shared" si="6"/>
        <v>14</v>
      </c>
      <c r="B22" t="s">
        <v>150</v>
      </c>
      <c r="D22" s="89">
        <v>1779</v>
      </c>
      <c r="E22" s="19">
        <f t="shared" si="5"/>
        <v>385</v>
      </c>
      <c r="F22" s="129">
        <v>2164</v>
      </c>
      <c r="G22" s="19" t="s">
        <v>165</v>
      </c>
      <c r="H22" s="89">
        <v>6132</v>
      </c>
      <c r="I22" s="96" t="s">
        <v>128</v>
      </c>
      <c r="J22" s="3">
        <f t="shared" si="4"/>
        <v>2163.6305870019537</v>
      </c>
      <c r="K22" s="55">
        <v>188589.12000000002</v>
      </c>
      <c r="L22" s="55">
        <v>170338.56</v>
      </c>
      <c r="M22" s="55">
        <v>154021.39440673852</v>
      </c>
      <c r="N22" s="55">
        <v>131308.56</v>
      </c>
      <c r="O22" s="55">
        <v>154021.39440673852</v>
      </c>
      <c r="P22" s="55">
        <v>152601.84</v>
      </c>
      <c r="Q22" s="55">
        <v>183874.39818847657</v>
      </c>
      <c r="R22" s="55">
        <v>212162.76</v>
      </c>
      <c r="S22" s="55">
        <v>191630.88</v>
      </c>
      <c r="T22" s="55">
        <v>216877.48181152344</v>
      </c>
      <c r="U22" s="55">
        <v>200756.16000000003</v>
      </c>
      <c r="V22" s="55">
        <v>207448.03818847661</v>
      </c>
    </row>
    <row r="23" spans="1:22">
      <c r="A23" s="5">
        <f t="shared" si="6"/>
        <v>15</v>
      </c>
      <c r="B23" t="s">
        <v>7</v>
      </c>
      <c r="D23" s="89">
        <v>2632</v>
      </c>
      <c r="E23" s="19">
        <f t="shared" si="5"/>
        <v>-23</v>
      </c>
      <c r="F23" s="89">
        <v>2609</v>
      </c>
      <c r="G23" s="19" t="s">
        <v>165</v>
      </c>
      <c r="H23" s="19">
        <v>6953.25</v>
      </c>
      <c r="I23" s="19"/>
      <c r="J23" s="3">
        <f t="shared" si="4"/>
        <v>2608.9914533138012</v>
      </c>
      <c r="K23" s="55">
        <v>305489.4187451172</v>
      </c>
      <c r="L23" s="55">
        <v>306378.34617268853</v>
      </c>
      <c r="M23" s="55">
        <v>404503.05310424819</v>
      </c>
      <c r="N23" s="55">
        <v>319296.63870971673</v>
      </c>
      <c r="O23" s="55">
        <v>301427.30624348961</v>
      </c>
      <c r="P23" s="55">
        <v>242457.55617065422</v>
      </c>
      <c r="Q23" s="55">
        <v>93407.608491210936</v>
      </c>
      <c r="R23" s="55">
        <v>0</v>
      </c>
      <c r="S23" s="55">
        <v>19714.09063639323</v>
      </c>
      <c r="T23" s="55">
        <v>114410.49297281874</v>
      </c>
      <c r="U23" s="55">
        <v>190416.69640869115</v>
      </c>
      <c r="V23" s="55">
        <v>311490.24565877265</v>
      </c>
    </row>
    <row r="24" spans="1:22">
      <c r="A24" s="5">
        <f t="shared" si="6"/>
        <v>16</v>
      </c>
      <c r="B24" t="s">
        <v>218</v>
      </c>
      <c r="D24" s="89">
        <v>6451</v>
      </c>
      <c r="E24" s="19">
        <f t="shared" si="5"/>
        <v>-6451</v>
      </c>
      <c r="F24" s="89">
        <v>0</v>
      </c>
      <c r="G24" s="19"/>
      <c r="H24" s="19"/>
      <c r="I24" s="19"/>
      <c r="J24" s="3">
        <f t="shared" si="4"/>
        <v>0</v>
      </c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>
      <c r="A25" s="5">
        <f t="shared" si="6"/>
        <v>17</v>
      </c>
      <c r="B25" t="s">
        <v>51</v>
      </c>
      <c r="D25" s="89">
        <v>-40</v>
      </c>
      <c r="E25" s="19">
        <f t="shared" ref="E25:E30" si="8">F25-D25</f>
        <v>40</v>
      </c>
      <c r="F25" s="19">
        <v>0</v>
      </c>
      <c r="G25" s="19"/>
      <c r="H25" s="19">
        <v>921</v>
      </c>
      <c r="I25" s="94" t="s">
        <v>119</v>
      </c>
      <c r="J25" s="3">
        <f t="shared" si="4"/>
        <v>0</v>
      </c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>
      <c r="A26" s="5">
        <f t="shared" si="6"/>
        <v>18</v>
      </c>
      <c r="B26" t="s">
        <v>184</v>
      </c>
      <c r="D26" s="89">
        <v>18169</v>
      </c>
      <c r="E26" s="19">
        <f t="shared" si="8"/>
        <v>-18169</v>
      </c>
      <c r="F26" s="19">
        <v>0</v>
      </c>
      <c r="G26" s="19"/>
      <c r="H26" s="19">
        <v>441.68747583767572</v>
      </c>
      <c r="I26" s="19"/>
      <c r="J26" s="3">
        <f t="shared" si="4"/>
        <v>0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>
      <c r="A27" s="5">
        <f t="shared" si="6"/>
        <v>19</v>
      </c>
      <c r="B27" t="s">
        <v>146</v>
      </c>
      <c r="D27" s="89">
        <v>627</v>
      </c>
      <c r="E27" s="19">
        <f t="shared" si="8"/>
        <v>-627</v>
      </c>
      <c r="F27" s="19">
        <v>0</v>
      </c>
      <c r="G27" s="19"/>
      <c r="H27" s="19"/>
      <c r="I27" s="19"/>
      <c r="J27" s="3">
        <f t="shared" si="4"/>
        <v>0</v>
      </c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>
      <c r="A28" s="5">
        <f t="shared" si="6"/>
        <v>20</v>
      </c>
      <c r="B28" t="s">
        <v>217</v>
      </c>
      <c r="D28" s="89">
        <v>10582</v>
      </c>
      <c r="E28" s="19">
        <f t="shared" si="8"/>
        <v>9374</v>
      </c>
      <c r="F28" s="19">
        <v>19956</v>
      </c>
      <c r="G28" s="19"/>
      <c r="H28" s="19"/>
      <c r="I28" s="19"/>
      <c r="J28" s="3">
        <f t="shared" si="4"/>
        <v>19956.06584748047</v>
      </c>
      <c r="K28" s="55">
        <v>2235505.243125</v>
      </c>
      <c r="L28" s="55">
        <v>1745386.8125976564</v>
      </c>
      <c r="M28" s="55">
        <v>2047636.9946484377</v>
      </c>
      <c r="N28" s="55">
        <v>1750378.8424804688</v>
      </c>
      <c r="O28" s="55">
        <v>1540312.0618359374</v>
      </c>
      <c r="P28" s="55">
        <v>1235288.889140625</v>
      </c>
      <c r="Q28" s="55">
        <v>1058052.538125</v>
      </c>
      <c r="R28" s="55">
        <v>1112562.5607421875</v>
      </c>
      <c r="S28" s="55">
        <v>1283658.0571289063</v>
      </c>
      <c r="T28" s="55">
        <v>1577677.0208203129</v>
      </c>
      <c r="U28" s="55">
        <v>2035219.4736328127</v>
      </c>
      <c r="V28" s="55">
        <v>2334387.3532031253</v>
      </c>
    </row>
    <row r="29" spans="1:22">
      <c r="A29" s="5">
        <f t="shared" si="6"/>
        <v>21</v>
      </c>
      <c r="B29" s="17" t="s">
        <v>170</v>
      </c>
      <c r="C29" s="17"/>
      <c r="D29" s="90">
        <v>3298</v>
      </c>
      <c r="E29" s="39">
        <f t="shared" si="8"/>
        <v>-3298</v>
      </c>
      <c r="F29" s="141">
        <v>0</v>
      </c>
      <c r="G29" s="89" t="s">
        <v>161</v>
      </c>
      <c r="H29" s="89">
        <v>0</v>
      </c>
      <c r="I29" s="19" t="s">
        <v>124</v>
      </c>
      <c r="J29" s="85">
        <f t="shared" si="4"/>
        <v>0</v>
      </c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</row>
    <row r="30" spans="1:22">
      <c r="A30" s="5">
        <f t="shared" si="6"/>
        <v>22</v>
      </c>
      <c r="B30" t="s">
        <v>8</v>
      </c>
      <c r="D30" s="89">
        <f>SUM(D9:D29)</f>
        <v>247212</v>
      </c>
      <c r="E30" s="19">
        <f t="shared" si="8"/>
        <v>-130544.41316619255</v>
      </c>
      <c r="F30" s="19">
        <f>SUM(F9:F29)</f>
        <v>116667.58683380745</v>
      </c>
      <c r="G30" s="19"/>
      <c r="H30" s="19">
        <v>0</v>
      </c>
      <c r="I30" s="19"/>
      <c r="J30" s="3">
        <f t="shared" si="4"/>
        <v>116667.2379814054</v>
      </c>
      <c r="K30" s="25">
        <f>SUM(K9:K29)</f>
        <v>12273287.793320868</v>
      </c>
      <c r="L30" s="25">
        <f t="shared" ref="L30:V30" si="9">SUM(L9:L29)</f>
        <v>10448731.034393556</v>
      </c>
      <c r="M30" s="25">
        <f t="shared" si="9"/>
        <v>9726298.328854708</v>
      </c>
      <c r="N30" s="25">
        <f t="shared" si="9"/>
        <v>9247709.9764492381</v>
      </c>
      <c r="O30" s="25">
        <f t="shared" si="9"/>
        <v>7747048.5954767345</v>
      </c>
      <c r="P30" s="25">
        <f t="shared" si="9"/>
        <v>7635899.1903049797</v>
      </c>
      <c r="Q30" s="25">
        <f t="shared" si="9"/>
        <v>8375689.0267956499</v>
      </c>
      <c r="R30" s="25">
        <f t="shared" si="9"/>
        <v>10670122.815410659</v>
      </c>
      <c r="S30" s="25">
        <f t="shared" si="9"/>
        <v>8114351.6794262417</v>
      </c>
      <c r="T30" s="25">
        <f t="shared" si="9"/>
        <v>8403861.5678223204</v>
      </c>
      <c r="U30" s="25">
        <f t="shared" si="9"/>
        <v>11757944.528284371</v>
      </c>
      <c r="V30" s="25">
        <f t="shared" si="9"/>
        <v>12266293.444866087</v>
      </c>
    </row>
    <row r="31" spans="1:22">
      <c r="A31" s="5"/>
      <c r="E31" s="19"/>
      <c r="F31" s="19"/>
      <c r="G31" s="19"/>
      <c r="H31" s="39">
        <v>3186</v>
      </c>
      <c r="I31" s="19"/>
      <c r="J31" s="3"/>
    </row>
    <row r="32" spans="1:22">
      <c r="A32" s="5"/>
      <c r="B32" s="7" t="s">
        <v>26</v>
      </c>
      <c r="D32" s="19"/>
      <c r="E32" s="19"/>
      <c r="F32" s="19"/>
      <c r="G32" s="19"/>
      <c r="H32" s="19">
        <v>0</v>
      </c>
      <c r="I32" s="19"/>
      <c r="J32" s="3"/>
    </row>
    <row r="33" spans="1:22">
      <c r="A33" s="5">
        <f>A30+1</f>
        <v>23</v>
      </c>
      <c r="B33" t="s">
        <v>12</v>
      </c>
      <c r="D33" s="89">
        <v>1076</v>
      </c>
      <c r="E33" s="89">
        <f>F33-D33</f>
        <v>0</v>
      </c>
      <c r="F33" s="129">
        <v>1076</v>
      </c>
      <c r="G33" s="94" t="s">
        <v>200</v>
      </c>
      <c r="H33" s="90">
        <v>150</v>
      </c>
      <c r="I33" s="94"/>
      <c r="J33" s="3">
        <f>SUM(K33:V33)/1000</f>
        <v>1075.9999999999998</v>
      </c>
      <c r="K33" s="55">
        <f>1076000/12</f>
        <v>89666.666666666672</v>
      </c>
      <c r="L33" s="55">
        <f t="shared" ref="L33:V33" si="10">1076000/12</f>
        <v>89666.666666666672</v>
      </c>
      <c r="M33" s="55">
        <f t="shared" si="10"/>
        <v>89666.666666666672</v>
      </c>
      <c r="N33" s="55">
        <f t="shared" si="10"/>
        <v>89666.666666666672</v>
      </c>
      <c r="O33" s="55">
        <f t="shared" si="10"/>
        <v>89666.666666666672</v>
      </c>
      <c r="P33" s="55">
        <f t="shared" si="10"/>
        <v>89666.666666666672</v>
      </c>
      <c r="Q33" s="55">
        <f t="shared" si="10"/>
        <v>89666.666666666672</v>
      </c>
      <c r="R33" s="55">
        <f t="shared" si="10"/>
        <v>89666.666666666672</v>
      </c>
      <c r="S33" s="55">
        <f t="shared" si="10"/>
        <v>89666.666666666672</v>
      </c>
      <c r="T33" s="55">
        <f t="shared" si="10"/>
        <v>89666.666666666672</v>
      </c>
      <c r="U33" s="55">
        <f t="shared" si="10"/>
        <v>89666.666666666672</v>
      </c>
      <c r="V33" s="55">
        <f t="shared" si="10"/>
        <v>89666.666666666672</v>
      </c>
    </row>
    <row r="34" spans="1:22">
      <c r="A34" s="5">
        <f>A33+1</f>
        <v>24</v>
      </c>
      <c r="B34" t="s">
        <v>221</v>
      </c>
      <c r="D34" s="129">
        <v>344</v>
      </c>
      <c r="E34" s="89">
        <f>F34-D34</f>
        <v>-344</v>
      </c>
      <c r="F34" s="89">
        <v>0</v>
      </c>
      <c r="G34" s="89"/>
      <c r="H34" s="89"/>
      <c r="I34" s="19"/>
      <c r="J34" s="3">
        <f>SUM(K34:V34)/1000</f>
        <v>0</v>
      </c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>
      <c r="A35" s="5">
        <f t="shared" ref="A35:A38" si="11">A34+1</f>
        <v>25</v>
      </c>
      <c r="B35" t="s">
        <v>223</v>
      </c>
      <c r="D35" s="89">
        <v>380</v>
      </c>
      <c r="E35" s="89">
        <f>F35-D35</f>
        <v>-380</v>
      </c>
      <c r="F35" s="89">
        <v>0</v>
      </c>
      <c r="G35" s="89"/>
      <c r="H35" s="89"/>
      <c r="I35" s="19"/>
      <c r="J35" s="3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>
      <c r="A36" s="5">
        <f t="shared" si="11"/>
        <v>26</v>
      </c>
      <c r="B36" t="s">
        <v>225</v>
      </c>
      <c r="D36" s="89">
        <v>370</v>
      </c>
      <c r="E36" s="89">
        <f t="shared" ref="E36:E37" si="12">F36-D36</f>
        <v>-370</v>
      </c>
      <c r="F36" s="89">
        <v>0</v>
      </c>
      <c r="G36" s="89"/>
      <c r="H36" s="89"/>
      <c r="I36" s="19"/>
      <c r="J36" s="3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>
      <c r="A37" s="5">
        <f t="shared" si="11"/>
        <v>27</v>
      </c>
      <c r="B37" t="s">
        <v>222</v>
      </c>
      <c r="D37" s="89">
        <v>-132</v>
      </c>
      <c r="E37" s="89">
        <f t="shared" si="12"/>
        <v>132</v>
      </c>
      <c r="F37" s="89">
        <v>0</v>
      </c>
      <c r="G37" s="89"/>
      <c r="H37" s="89"/>
      <c r="I37" s="19"/>
      <c r="J37" s="3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>
      <c r="A38" s="5">
        <f t="shared" si="11"/>
        <v>28</v>
      </c>
      <c r="B38" s="17" t="s">
        <v>159</v>
      </c>
      <c r="C38" s="17"/>
      <c r="D38" s="89">
        <v>126017</v>
      </c>
      <c r="E38" s="39">
        <f>F38-D38</f>
        <v>-126017</v>
      </c>
      <c r="F38" s="19">
        <v>0</v>
      </c>
      <c r="G38" s="19"/>
      <c r="H38" s="19">
        <v>152</v>
      </c>
      <c r="I38" s="94" t="s">
        <v>127</v>
      </c>
      <c r="J38" s="3">
        <f>SUM(K38:V38)/1000</f>
        <v>0</v>
      </c>
    </row>
    <row r="39" spans="1:22">
      <c r="A39" s="5">
        <f>A38+1</f>
        <v>29</v>
      </c>
      <c r="B39" t="s">
        <v>13</v>
      </c>
      <c r="D39" s="105">
        <f>SUM(D33:D38)</f>
        <v>128055</v>
      </c>
      <c r="E39" s="19">
        <f>F39-D39</f>
        <v>-126979</v>
      </c>
      <c r="F39" s="21">
        <f>SUM(F33:F38)</f>
        <v>1076</v>
      </c>
      <c r="G39" s="19"/>
      <c r="H39" s="19"/>
      <c r="I39" s="19"/>
      <c r="J39" s="3"/>
    </row>
    <row r="40" spans="1:22">
      <c r="A40" s="5"/>
      <c r="D40" s="19"/>
      <c r="E40" s="19"/>
      <c r="F40" s="19"/>
      <c r="G40" s="19"/>
      <c r="H40" s="19"/>
      <c r="I40" s="19"/>
      <c r="J40" s="3"/>
    </row>
    <row r="41" spans="1:22">
      <c r="A41" s="5"/>
      <c r="B41" s="7" t="s">
        <v>48</v>
      </c>
      <c r="D41" s="19"/>
      <c r="E41" s="19"/>
      <c r="F41" s="19"/>
      <c r="G41" s="19"/>
      <c r="H41" s="19">
        <v>78</v>
      </c>
      <c r="I41" s="19"/>
      <c r="J41" s="3"/>
    </row>
    <row r="42" spans="1:22">
      <c r="A42" s="5">
        <f>A39+1</f>
        <v>30</v>
      </c>
      <c r="B42" t="s">
        <v>46</v>
      </c>
      <c r="C42" s="13"/>
      <c r="D42" s="89">
        <v>6868</v>
      </c>
      <c r="E42" s="19">
        <f>F42-D42</f>
        <v>-1227.7840519689025</v>
      </c>
      <c r="F42" s="89">
        <f>'WGJ-4'!C27/1000</f>
        <v>5640.2159480310975</v>
      </c>
      <c r="G42" s="89"/>
      <c r="H42" s="90">
        <v>0</v>
      </c>
      <c r="I42" s="94" t="s">
        <v>126</v>
      </c>
      <c r="J42" s="3">
        <f>SUM(K42:V42)/1000</f>
        <v>5640.2159480310975</v>
      </c>
      <c r="K42" s="25">
        <f>'WGJ-4'!D27</f>
        <v>622790.02132415806</v>
      </c>
      <c r="L42" s="25">
        <f>'WGJ-4'!E27</f>
        <v>568876.77888870204</v>
      </c>
      <c r="M42" s="25">
        <f>'WGJ-4'!F27</f>
        <v>555064.03772234893</v>
      </c>
      <c r="N42" s="25">
        <f>'WGJ-4'!G27</f>
        <v>357007.589936256</v>
      </c>
      <c r="O42" s="25">
        <f>'WGJ-4'!H27</f>
        <v>150940.82617759699</v>
      </c>
      <c r="P42" s="25">
        <f>'WGJ-4'!I27</f>
        <v>27021.1903966963</v>
      </c>
      <c r="Q42" s="25">
        <f>'WGJ-4'!J27</f>
        <v>241186.72100305598</v>
      </c>
      <c r="R42" s="25">
        <f>'WGJ-4'!K27</f>
        <v>513797.67956733704</v>
      </c>
      <c r="S42" s="25">
        <f>'WGJ-4'!L27</f>
        <v>650690.18886089302</v>
      </c>
      <c r="T42" s="25">
        <f>'WGJ-4'!M27</f>
        <v>676339.98031616199</v>
      </c>
      <c r="U42" s="25">
        <f>'WGJ-4'!N27</f>
        <v>618913.92326355004</v>
      </c>
      <c r="V42" s="25">
        <f>'WGJ-4'!O27</f>
        <v>657587.01057434094</v>
      </c>
    </row>
    <row r="43" spans="1:22">
      <c r="A43" s="5">
        <f>A42+1</f>
        <v>31</v>
      </c>
      <c r="B43" t="s">
        <v>180</v>
      </c>
      <c r="C43" s="13"/>
      <c r="D43" s="91">
        <v>14</v>
      </c>
      <c r="E43" s="19">
        <f>F43-D43</f>
        <v>0</v>
      </c>
      <c r="F43" s="19">
        <v>14</v>
      </c>
      <c r="G43" s="19"/>
      <c r="H43" s="19">
        <v>78</v>
      </c>
      <c r="I43" s="19"/>
      <c r="J43" s="3">
        <f>SUM(K43:V43)/1000</f>
        <v>13.999999999999998</v>
      </c>
      <c r="K43" s="18">
        <f>$F43/12*1000</f>
        <v>1166.6666666666667</v>
      </c>
      <c r="L43" s="18">
        <f t="shared" ref="L43:V43" si="13">$F43/12*1000</f>
        <v>1166.6666666666667</v>
      </c>
      <c r="M43" s="18">
        <f t="shared" si="13"/>
        <v>1166.6666666666667</v>
      </c>
      <c r="N43" s="18">
        <f t="shared" si="13"/>
        <v>1166.6666666666667</v>
      </c>
      <c r="O43" s="18">
        <f t="shared" si="13"/>
        <v>1166.6666666666667</v>
      </c>
      <c r="P43" s="18">
        <f t="shared" si="13"/>
        <v>1166.6666666666667</v>
      </c>
      <c r="Q43" s="18">
        <f t="shared" si="13"/>
        <v>1166.6666666666667</v>
      </c>
      <c r="R43" s="18">
        <f t="shared" si="13"/>
        <v>1166.6666666666667</v>
      </c>
      <c r="S43" s="18">
        <f t="shared" si="13"/>
        <v>1166.6666666666667</v>
      </c>
      <c r="T43" s="18">
        <f t="shared" si="13"/>
        <v>1166.6666666666667</v>
      </c>
      <c r="U43" s="18">
        <f t="shared" si="13"/>
        <v>1166.6666666666667</v>
      </c>
      <c r="V43" s="18">
        <f t="shared" si="13"/>
        <v>1166.6666666666667</v>
      </c>
    </row>
    <row r="44" spans="1:22">
      <c r="A44" s="5">
        <f>A43+1</f>
        <v>32</v>
      </c>
      <c r="B44" s="12" t="s">
        <v>47</v>
      </c>
      <c r="C44" s="11"/>
      <c r="D44" s="89">
        <v>21706</v>
      </c>
      <c r="E44" s="19">
        <f>F44-D44</f>
        <v>833.03233251953134</v>
      </c>
      <c r="F44" s="89">
        <f>'WGJ-4'!C23/1000</f>
        <v>22539.032332519531</v>
      </c>
      <c r="G44" s="89"/>
      <c r="H44" s="89"/>
      <c r="I44" s="94" t="s">
        <v>126</v>
      </c>
      <c r="J44" s="3">
        <f>SUM(K44:V44)/1000</f>
        <v>22539.032332519531</v>
      </c>
      <c r="K44" s="81">
        <f>'WGJ-4'!D23</f>
        <v>2017428.9361877441</v>
      </c>
      <c r="L44" s="81">
        <f>'WGJ-4'!E23</f>
        <v>1891141.1058349609</v>
      </c>
      <c r="M44" s="81">
        <f>'WGJ-4'!F23</f>
        <v>1996982.357208252</v>
      </c>
      <c r="N44" s="81">
        <f>'WGJ-4'!G23</f>
        <v>1695952.1173400881</v>
      </c>
      <c r="O44" s="81">
        <f>'WGJ-4'!H23</f>
        <v>1484144.564620971</v>
      </c>
      <c r="P44" s="81">
        <f>'WGJ-4'!I23</f>
        <v>1451558.9002532961</v>
      </c>
      <c r="Q44" s="81">
        <f>'WGJ-4'!J23</f>
        <v>1898911.4747924809</v>
      </c>
      <c r="R44" s="81">
        <f>'WGJ-4'!K23</f>
        <v>2016361.5617675777</v>
      </c>
      <c r="S44" s="81">
        <f>'WGJ-4'!L23</f>
        <v>2008728.0885620113</v>
      </c>
      <c r="T44" s="81">
        <f>'WGJ-4'!M23</f>
        <v>2054367.1129150388</v>
      </c>
      <c r="U44" s="81">
        <f>'WGJ-4'!N23</f>
        <v>2002410.742370605</v>
      </c>
      <c r="V44" s="81">
        <f>'WGJ-4'!O23</f>
        <v>2021045.3706665039</v>
      </c>
    </row>
    <row r="45" spans="1:22">
      <c r="A45" s="5">
        <f>A44+1</f>
        <v>33</v>
      </c>
      <c r="B45" s="17" t="s">
        <v>203</v>
      </c>
      <c r="C45" s="40"/>
      <c r="D45" s="142">
        <v>230</v>
      </c>
      <c r="E45" s="39">
        <f>F45-D45</f>
        <v>0</v>
      </c>
      <c r="F45" s="90">
        <v>230</v>
      </c>
      <c r="G45" s="19" t="s">
        <v>162</v>
      </c>
      <c r="H45" s="19"/>
      <c r="I45" s="19"/>
      <c r="J45" s="3">
        <f>SUM(K45:V45)/1000</f>
        <v>229.99999999999997</v>
      </c>
      <c r="K45" s="106">
        <f>$F45/12*1000</f>
        <v>19166.666666666668</v>
      </c>
      <c r="L45" s="106">
        <f t="shared" ref="L45:V45" si="14">$F45/12*1000</f>
        <v>19166.666666666668</v>
      </c>
      <c r="M45" s="106">
        <f t="shared" si="14"/>
        <v>19166.666666666668</v>
      </c>
      <c r="N45" s="106">
        <f t="shared" si="14"/>
        <v>19166.666666666668</v>
      </c>
      <c r="O45" s="106">
        <f t="shared" si="14"/>
        <v>19166.666666666668</v>
      </c>
      <c r="P45" s="106">
        <f t="shared" si="14"/>
        <v>19166.666666666668</v>
      </c>
      <c r="Q45" s="106">
        <f t="shared" si="14"/>
        <v>19166.666666666668</v>
      </c>
      <c r="R45" s="106">
        <f t="shared" si="14"/>
        <v>19166.666666666668</v>
      </c>
      <c r="S45" s="106">
        <f t="shared" si="14"/>
        <v>19166.666666666668</v>
      </c>
      <c r="T45" s="106">
        <f t="shared" si="14"/>
        <v>19166.666666666668</v>
      </c>
      <c r="U45" s="106">
        <f t="shared" si="14"/>
        <v>19166.666666666668</v>
      </c>
      <c r="V45" s="106">
        <f t="shared" si="14"/>
        <v>19166.666666666668</v>
      </c>
    </row>
    <row r="46" spans="1:22">
      <c r="A46" s="11">
        <f>A45+1</f>
        <v>34</v>
      </c>
      <c r="B46" t="s">
        <v>22</v>
      </c>
      <c r="D46" s="89">
        <f>SUM(D42:D45)</f>
        <v>28818</v>
      </c>
      <c r="E46" s="19">
        <f>F46-D46</f>
        <v>-394.75171944937028</v>
      </c>
      <c r="F46" s="19">
        <f>SUM(F42:F45)</f>
        <v>28423.24828055063</v>
      </c>
      <c r="G46" s="19"/>
      <c r="H46" s="19">
        <v>8095.4688974966612</v>
      </c>
      <c r="I46" s="19"/>
      <c r="J46" s="3">
        <f>SUM(K46:V46)/1000</f>
        <v>28423.248280550622</v>
      </c>
      <c r="K46" s="25">
        <f>SUM(K42:K45)</f>
        <v>2660552.2908452353</v>
      </c>
      <c r="L46" s="25">
        <f t="shared" ref="L46:V46" si="15">SUM(L42:L45)</f>
        <v>2480351.2180569959</v>
      </c>
      <c r="M46" s="25">
        <f t="shared" si="15"/>
        <v>2572379.7282639341</v>
      </c>
      <c r="N46" s="25">
        <f t="shared" si="15"/>
        <v>2073293.0406096776</v>
      </c>
      <c r="O46" s="25">
        <f t="shared" si="15"/>
        <v>1655418.7241319013</v>
      </c>
      <c r="P46" s="25">
        <f t="shared" si="15"/>
        <v>1498913.4239833259</v>
      </c>
      <c r="Q46" s="25">
        <f t="shared" si="15"/>
        <v>2160431.52912887</v>
      </c>
      <c r="R46" s="25">
        <f t="shared" si="15"/>
        <v>2550492.5746682477</v>
      </c>
      <c r="S46" s="25">
        <f t="shared" si="15"/>
        <v>2679751.6107562375</v>
      </c>
      <c r="T46" s="25">
        <f t="shared" si="15"/>
        <v>2751040.4265645337</v>
      </c>
      <c r="U46" s="25">
        <f t="shared" si="15"/>
        <v>2641657.9989674883</v>
      </c>
      <c r="V46" s="25">
        <f t="shared" si="15"/>
        <v>2698965.7145741782</v>
      </c>
    </row>
    <row r="47" spans="1:22">
      <c r="A47" s="5"/>
      <c r="D47" s="19"/>
      <c r="E47" s="19"/>
      <c r="F47" s="19"/>
      <c r="G47" s="19"/>
      <c r="H47" s="19">
        <v>0</v>
      </c>
      <c r="I47" s="19"/>
      <c r="J47" s="3"/>
    </row>
    <row r="48" spans="1:22">
      <c r="A48" s="5"/>
      <c r="B48" s="7" t="s">
        <v>49</v>
      </c>
      <c r="D48" s="19"/>
      <c r="E48" s="19"/>
      <c r="F48" s="19"/>
      <c r="G48" s="19"/>
      <c r="H48" s="19">
        <v>10682.990036010742</v>
      </c>
      <c r="I48" s="19"/>
      <c r="J48" s="3"/>
    </row>
    <row r="49" spans="1:22">
      <c r="A49" s="5">
        <f>A46+1</f>
        <v>35</v>
      </c>
      <c r="B49" s="16" t="s">
        <v>59</v>
      </c>
      <c r="D49" s="89">
        <v>32909</v>
      </c>
      <c r="E49" s="19">
        <f t="shared" ref="E49:E60" si="16">F49-D49</f>
        <v>5361.1866290175458</v>
      </c>
      <c r="F49" s="89">
        <f>'WGJ-4'!C31/1000</f>
        <v>38270.186629017546</v>
      </c>
      <c r="G49" s="89"/>
      <c r="H49" s="90">
        <v>188</v>
      </c>
      <c r="I49" s="94" t="s">
        <v>126</v>
      </c>
      <c r="J49" s="3">
        <f t="shared" ref="J49:J60" si="17">SUM(K49:V49)/1000</f>
        <v>38270.186629017546</v>
      </c>
      <c r="K49" s="25">
        <f>'WGJ-4'!D31</f>
        <v>4530566.1485001501</v>
      </c>
      <c r="L49" s="25">
        <f>'WGJ-4'!E31</f>
        <v>4209271.8866347093</v>
      </c>
      <c r="M49" s="25">
        <f>'WGJ-4'!F31</f>
        <v>4219625.7330407612</v>
      </c>
      <c r="N49" s="25">
        <f>'WGJ-4'!G31</f>
        <v>2514165.3959858413</v>
      </c>
      <c r="O49" s="25">
        <f>'WGJ-4'!H31</f>
        <v>1153160.2223615563</v>
      </c>
      <c r="P49" s="25">
        <f>'WGJ-4'!I31</f>
        <v>781630.05057176435</v>
      </c>
      <c r="Q49" s="25">
        <f>'WGJ-4'!J31</f>
        <v>2179493.2532892227</v>
      </c>
      <c r="R49" s="25">
        <f>'WGJ-4'!K31</f>
        <v>3192661.4894340686</v>
      </c>
      <c r="S49" s="25">
        <f>'WGJ-4'!L31</f>
        <v>3475214.9617224676</v>
      </c>
      <c r="T49" s="25">
        <f>'WGJ-4'!M31</f>
        <v>3785325.3533133222</v>
      </c>
      <c r="U49" s="25">
        <f>'WGJ-4'!N31</f>
        <v>3857171.6329397135</v>
      </c>
      <c r="V49" s="25">
        <f>'WGJ-4'!O31</f>
        <v>4371900.5012239683</v>
      </c>
    </row>
    <row r="50" spans="1:22">
      <c r="A50" s="5">
        <f>A49+1</f>
        <v>36</v>
      </c>
      <c r="B50" s="16" t="s">
        <v>189</v>
      </c>
      <c r="D50" s="89">
        <v>6912</v>
      </c>
      <c r="E50" s="19">
        <f t="shared" si="16"/>
        <v>338</v>
      </c>
      <c r="F50" s="89">
        <v>7250</v>
      </c>
      <c r="G50" s="19"/>
      <c r="H50" s="19">
        <v>18966.458933507405</v>
      </c>
      <c r="I50" s="19"/>
      <c r="J50" s="3">
        <f t="shared" si="17"/>
        <v>7250.0000000000009</v>
      </c>
      <c r="K50" s="82">
        <f>$F50/12*1000</f>
        <v>604166.66666666663</v>
      </c>
      <c r="L50" s="82">
        <f t="shared" ref="L50:V50" si="18">$F50/12*1000</f>
        <v>604166.66666666663</v>
      </c>
      <c r="M50" s="82">
        <f t="shared" si="18"/>
        <v>604166.66666666663</v>
      </c>
      <c r="N50" s="82">
        <f t="shared" si="18"/>
        <v>604166.66666666663</v>
      </c>
      <c r="O50" s="82">
        <f t="shared" si="18"/>
        <v>604166.66666666663</v>
      </c>
      <c r="P50" s="82">
        <f t="shared" si="18"/>
        <v>604166.66666666663</v>
      </c>
      <c r="Q50" s="82">
        <f t="shared" si="18"/>
        <v>604166.66666666663</v>
      </c>
      <c r="R50" s="82">
        <f t="shared" si="18"/>
        <v>604166.66666666663</v>
      </c>
      <c r="S50" s="82">
        <f t="shared" si="18"/>
        <v>604166.66666666663</v>
      </c>
      <c r="T50" s="82">
        <f t="shared" si="18"/>
        <v>604166.66666666663</v>
      </c>
      <c r="U50" s="82">
        <f t="shared" si="18"/>
        <v>604166.66666666663</v>
      </c>
      <c r="V50" s="82">
        <f t="shared" si="18"/>
        <v>604166.66666666663</v>
      </c>
    </row>
    <row r="51" spans="1:22">
      <c r="A51" s="5">
        <f t="shared" ref="A51:A61" si="19">A50+1</f>
        <v>37</v>
      </c>
      <c r="B51" s="16" t="s">
        <v>173</v>
      </c>
      <c r="D51" s="89">
        <v>34456</v>
      </c>
      <c r="E51" s="19">
        <f t="shared" si="16"/>
        <v>3459.4691937634052</v>
      </c>
      <c r="F51" s="89">
        <f>'WGJ-4'!C35/1000</f>
        <v>37915.469193763405</v>
      </c>
      <c r="G51" s="19"/>
      <c r="H51" s="19"/>
      <c r="I51" s="19"/>
      <c r="J51" s="3">
        <f t="shared" si="17"/>
        <v>37915.469193763405</v>
      </c>
      <c r="K51" s="82">
        <f>'WGJ-4'!D35</f>
        <v>4537296.4882947272</v>
      </c>
      <c r="L51" s="82">
        <f>'WGJ-4'!E35</f>
        <v>4210925.6640217286</v>
      </c>
      <c r="M51" s="82">
        <f>'WGJ-4'!F35</f>
        <v>4294409.181425157</v>
      </c>
      <c r="N51" s="82">
        <f>'WGJ-4'!G35</f>
        <v>2523595.1401855792</v>
      </c>
      <c r="O51" s="82">
        <f>'WGJ-4'!H35</f>
        <v>1055152.8861452509</v>
      </c>
      <c r="P51" s="82">
        <f>'WGJ-4'!I35</f>
        <v>845897.31233405008</v>
      </c>
      <c r="Q51" s="82">
        <f>'WGJ-4'!J35</f>
        <v>2048478.8473331318</v>
      </c>
      <c r="R51" s="82">
        <f>'WGJ-4'!K35</f>
        <v>3007113.7911974662</v>
      </c>
      <c r="S51" s="82">
        <f>'WGJ-4'!L35</f>
        <v>3380689.4934736439</v>
      </c>
      <c r="T51" s="82">
        <f>'WGJ-4'!M35</f>
        <v>3834749.2682503294</v>
      </c>
      <c r="U51" s="82">
        <f>'WGJ-4'!N35</f>
        <v>3887849.1706295316</v>
      </c>
      <c r="V51" s="82">
        <f>'WGJ-4'!O35</f>
        <v>4289311.9504727991</v>
      </c>
    </row>
    <row r="52" spans="1:22">
      <c r="A52" s="5">
        <f t="shared" si="19"/>
        <v>38</v>
      </c>
      <c r="B52" s="16" t="s">
        <v>188</v>
      </c>
      <c r="D52" s="89">
        <v>5927</v>
      </c>
      <c r="E52" s="19">
        <f t="shared" si="16"/>
        <v>-44</v>
      </c>
      <c r="F52" s="89">
        <v>5883</v>
      </c>
      <c r="G52" s="19"/>
      <c r="H52" s="19"/>
      <c r="I52" s="19"/>
      <c r="J52" s="3">
        <f t="shared" si="17"/>
        <v>5883</v>
      </c>
      <c r="K52" s="82">
        <f>$F52/12*1000</f>
        <v>490250</v>
      </c>
      <c r="L52" s="82">
        <f t="shared" ref="L52:V52" si="20">$F52/12*1000</f>
        <v>490250</v>
      </c>
      <c r="M52" s="82">
        <f t="shared" si="20"/>
        <v>490250</v>
      </c>
      <c r="N52" s="82">
        <f t="shared" si="20"/>
        <v>490250</v>
      </c>
      <c r="O52" s="82">
        <f t="shared" si="20"/>
        <v>490250</v>
      </c>
      <c r="P52" s="82">
        <f t="shared" si="20"/>
        <v>490250</v>
      </c>
      <c r="Q52" s="82">
        <f t="shared" si="20"/>
        <v>490250</v>
      </c>
      <c r="R52" s="82">
        <f t="shared" si="20"/>
        <v>490250</v>
      </c>
      <c r="S52" s="82">
        <f t="shared" si="20"/>
        <v>490250</v>
      </c>
      <c r="T52" s="82">
        <f t="shared" si="20"/>
        <v>490250</v>
      </c>
      <c r="U52" s="82">
        <f t="shared" si="20"/>
        <v>490250</v>
      </c>
      <c r="V52" s="82">
        <f t="shared" si="20"/>
        <v>490250</v>
      </c>
    </row>
    <row r="53" spans="1:22">
      <c r="A53" s="5">
        <f t="shared" si="19"/>
        <v>39</v>
      </c>
      <c r="B53" t="s">
        <v>195</v>
      </c>
      <c r="D53" s="89">
        <v>0</v>
      </c>
      <c r="E53" s="19">
        <f t="shared" si="16"/>
        <v>-4139</v>
      </c>
      <c r="F53" s="129">
        <v>-4139</v>
      </c>
      <c r="G53" s="19"/>
      <c r="H53" s="19"/>
      <c r="I53" s="19"/>
      <c r="J53" s="3">
        <f t="shared" si="17"/>
        <v>-4138.5259999999998</v>
      </c>
      <c r="K53" s="82">
        <f>-4138526/12</f>
        <v>-344877.16666666669</v>
      </c>
      <c r="L53" s="82">
        <f t="shared" ref="L53:V53" si="21">-4138526/12</f>
        <v>-344877.16666666669</v>
      </c>
      <c r="M53" s="82">
        <f t="shared" si="21"/>
        <v>-344877.16666666669</v>
      </c>
      <c r="N53" s="82">
        <f t="shared" si="21"/>
        <v>-344877.16666666669</v>
      </c>
      <c r="O53" s="82">
        <f t="shared" si="21"/>
        <v>-344877.16666666669</v>
      </c>
      <c r="P53" s="82">
        <f t="shared" si="21"/>
        <v>-344877.16666666669</v>
      </c>
      <c r="Q53" s="82">
        <f t="shared" si="21"/>
        <v>-344877.16666666669</v>
      </c>
      <c r="R53" s="82">
        <f t="shared" si="21"/>
        <v>-344877.16666666669</v>
      </c>
      <c r="S53" s="82">
        <f t="shared" si="21"/>
        <v>-344877.16666666669</v>
      </c>
      <c r="T53" s="82">
        <f t="shared" si="21"/>
        <v>-344877.16666666669</v>
      </c>
      <c r="U53" s="82">
        <f t="shared" si="21"/>
        <v>-344877.16666666669</v>
      </c>
      <c r="V53" s="82">
        <f t="shared" si="21"/>
        <v>-344877.16666666669</v>
      </c>
    </row>
    <row r="54" spans="1:22">
      <c r="A54" s="5">
        <f t="shared" si="19"/>
        <v>40</v>
      </c>
      <c r="B54" t="s">
        <v>226</v>
      </c>
      <c r="D54" s="89">
        <v>0</v>
      </c>
      <c r="E54" s="19">
        <f t="shared" si="16"/>
        <v>-5252</v>
      </c>
      <c r="F54" s="89">
        <v>-5252</v>
      </c>
      <c r="G54" s="19"/>
      <c r="H54" s="19"/>
      <c r="I54" s="19"/>
      <c r="J54" s="3">
        <f t="shared" si="17"/>
        <v>-5251.968270252265</v>
      </c>
      <c r="K54" s="82">
        <v>-433267.37204919558</v>
      </c>
      <c r="L54" s="82">
        <v>-392261.95579580555</v>
      </c>
      <c r="M54" s="82">
        <v>-435913.56860654184</v>
      </c>
      <c r="N54" s="82">
        <v>-433404.3435819209</v>
      </c>
      <c r="O54" s="82">
        <v>-450290.07859290671</v>
      </c>
      <c r="P54" s="82">
        <v>-437512.16643093008</v>
      </c>
      <c r="Q54" s="82">
        <v>-453587.68285125191</v>
      </c>
      <c r="R54" s="82">
        <v>-452090.90683228913</v>
      </c>
      <c r="S54" s="82">
        <v>-437314.44798614032</v>
      </c>
      <c r="T54" s="82">
        <v>-449303.69839417934</v>
      </c>
      <c r="U54" s="82">
        <v>-432537.08297130506</v>
      </c>
      <c r="V54" s="82">
        <v>-444484.9661597982</v>
      </c>
    </row>
    <row r="55" spans="1:22">
      <c r="A55" s="5">
        <f t="shared" si="19"/>
        <v>41</v>
      </c>
      <c r="B55" t="s">
        <v>201</v>
      </c>
      <c r="D55" s="89">
        <v>16</v>
      </c>
      <c r="E55" s="19">
        <f t="shared" si="16"/>
        <v>0</v>
      </c>
      <c r="F55" s="129">
        <v>16</v>
      </c>
      <c r="G55" s="19"/>
      <c r="H55" s="19"/>
      <c r="I55" s="19"/>
      <c r="J55" s="3">
        <f t="shared" si="17"/>
        <v>15.999999999999998</v>
      </c>
      <c r="K55" s="131">
        <f>SUM(K58:K60)/SUM($K58:$V60)*16000</f>
        <v>1186.395026254113</v>
      </c>
      <c r="L55" s="131">
        <f t="shared" ref="L55:V55" si="22">SUM(L58:L60)/SUM($K58:$V60)*16000</f>
        <v>1101.5494455321978</v>
      </c>
      <c r="M55" s="131">
        <f t="shared" si="22"/>
        <v>541.32130466866613</v>
      </c>
      <c r="N55" s="131">
        <f t="shared" si="22"/>
        <v>675.5917435551487</v>
      </c>
      <c r="O55" s="131">
        <f t="shared" si="22"/>
        <v>273.00246034451067</v>
      </c>
      <c r="P55" s="131">
        <f t="shared" si="22"/>
        <v>448.68171228997051</v>
      </c>
      <c r="Q55" s="131">
        <f t="shared" si="22"/>
        <v>3321.245518108652</v>
      </c>
      <c r="R55" s="131">
        <f t="shared" si="22"/>
        <v>3032.1245740450181</v>
      </c>
      <c r="S55" s="131">
        <f t="shared" si="22"/>
        <v>1178.1508971550645</v>
      </c>
      <c r="T55" s="131">
        <f t="shared" si="22"/>
        <v>1787.8319821204584</v>
      </c>
      <c r="U55" s="131">
        <f t="shared" si="22"/>
        <v>967.64247817658952</v>
      </c>
      <c r="V55" s="131">
        <f t="shared" si="22"/>
        <v>1486.4628577496096</v>
      </c>
    </row>
    <row r="56" spans="1:22">
      <c r="A56" s="5">
        <f t="shared" si="19"/>
        <v>42</v>
      </c>
      <c r="B56" t="s">
        <v>219</v>
      </c>
      <c r="D56" s="89">
        <v>170</v>
      </c>
      <c r="E56" s="19">
        <f t="shared" si="16"/>
        <v>-170</v>
      </c>
      <c r="F56" s="129">
        <v>0</v>
      </c>
      <c r="G56" s="19"/>
      <c r="H56" s="19"/>
      <c r="I56" s="19"/>
      <c r="J56" s="3">
        <f t="shared" si="17"/>
        <v>0</v>
      </c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</row>
    <row r="57" spans="1:22">
      <c r="A57" s="5">
        <f t="shared" si="19"/>
        <v>43</v>
      </c>
      <c r="B57" s="12" t="s">
        <v>63</v>
      </c>
      <c r="C57" s="12"/>
      <c r="D57" s="89">
        <v>453</v>
      </c>
      <c r="E57" s="19">
        <f t="shared" si="16"/>
        <v>801.82996517392667</v>
      </c>
      <c r="F57" s="89">
        <f>'WGJ-4'!C47/1000</f>
        <v>1254.8299651739267</v>
      </c>
      <c r="G57" s="89"/>
      <c r="H57" s="89"/>
      <c r="I57" s="94" t="s">
        <v>126</v>
      </c>
      <c r="J57" s="3">
        <f t="shared" si="17"/>
        <v>1254.8299651739267</v>
      </c>
      <c r="K57" s="25">
        <f>'WGJ-4'!D47</f>
        <v>107822.27576254311</v>
      </c>
      <c r="L57" s="25">
        <f>'WGJ-4'!E47</f>
        <v>86682.097473305432</v>
      </c>
      <c r="M57" s="25">
        <f>'WGJ-4'!F47</f>
        <v>13145.78711140156</v>
      </c>
      <c r="N57" s="25">
        <f>'WGJ-4'!G47</f>
        <v>13385.504403638832</v>
      </c>
      <c r="O57" s="25">
        <f>'WGJ-4'!H47</f>
        <v>647.78402459621429</v>
      </c>
      <c r="P57" s="25">
        <f>'WGJ-4'!I47</f>
        <v>25759.039251777514</v>
      </c>
      <c r="Q57" s="25">
        <f>'WGJ-4'!J47</f>
        <v>353078.93847346283</v>
      </c>
      <c r="R57" s="25">
        <f>'WGJ-4'!K47</f>
        <v>337657.37183336163</v>
      </c>
      <c r="S57" s="25">
        <f>'WGJ-4'!L47</f>
        <v>60109.002337396174</v>
      </c>
      <c r="T57" s="25">
        <f>'WGJ-4'!M47</f>
        <v>95202.64578304888</v>
      </c>
      <c r="U57" s="25">
        <f>'WGJ-4'!N47</f>
        <v>41155.069774620228</v>
      </c>
      <c r="V57" s="25">
        <f>'WGJ-4'!O47</f>
        <v>120184.44894477427</v>
      </c>
    </row>
    <row r="58" spans="1:22">
      <c r="A58" s="5">
        <f t="shared" si="19"/>
        <v>44</v>
      </c>
      <c r="B58" t="s">
        <v>62</v>
      </c>
      <c r="D58" s="89">
        <v>10</v>
      </c>
      <c r="E58" s="19">
        <f t="shared" si="16"/>
        <v>196.75380746974844</v>
      </c>
      <c r="F58" s="89">
        <f>'WGJ-4'!C51/1000</f>
        <v>206.75380746974844</v>
      </c>
      <c r="G58" s="89" t="s">
        <v>163</v>
      </c>
      <c r="H58" s="89"/>
      <c r="I58" s="94" t="s">
        <v>126</v>
      </c>
      <c r="J58" s="3">
        <f t="shared" si="17"/>
        <v>206.75380746974844</v>
      </c>
      <c r="K58" s="25">
        <f>'WGJ-4'!D51</f>
        <v>14653.16042676568</v>
      </c>
      <c r="L58" s="25">
        <f>'WGJ-4'!E51</f>
        <v>9684.1949979774599</v>
      </c>
      <c r="M58" s="25">
        <f>'WGJ-4'!F51</f>
        <v>2108.9719980955097</v>
      </c>
      <c r="N58" s="25">
        <f>'WGJ-4'!G51</f>
        <v>2807.8946514055101</v>
      </c>
      <c r="O58" s="25">
        <f>'WGJ-4'!H51</f>
        <v>94.793522357940702</v>
      </c>
      <c r="P58" s="25">
        <f>'WGJ-4'!I51</f>
        <v>5851.8402218818701</v>
      </c>
      <c r="Q58" s="25">
        <f>'WGJ-4'!J51</f>
        <v>78847.237860690802</v>
      </c>
      <c r="R58" s="25">
        <f>'WGJ-4'!K51</f>
        <v>56071.790738962605</v>
      </c>
      <c r="S58" s="25">
        <f>'WGJ-4'!L51</f>
        <v>7723.7010643351796</v>
      </c>
      <c r="T58" s="25">
        <f>'WGJ-4'!M51</f>
        <v>12048.85425918038</v>
      </c>
      <c r="U58" s="25">
        <f>'WGJ-4'!N51</f>
        <v>5261.4100852049896</v>
      </c>
      <c r="V58" s="25">
        <f>'WGJ-4'!O51</f>
        <v>11599.957642890511</v>
      </c>
    </row>
    <row r="59" spans="1:22">
      <c r="A59" s="5">
        <f t="shared" si="19"/>
        <v>45</v>
      </c>
      <c r="B59" t="s">
        <v>60</v>
      </c>
      <c r="D59" s="89">
        <v>233</v>
      </c>
      <c r="E59" s="19">
        <f t="shared" si="16"/>
        <v>543.04984893836149</v>
      </c>
      <c r="F59" s="89">
        <f>'WGJ-4'!C39/1000</f>
        <v>776.04984893836149</v>
      </c>
      <c r="G59" s="89"/>
      <c r="H59" s="89">
        <v>59394.366704579188</v>
      </c>
      <c r="I59" s="94" t="s">
        <v>126</v>
      </c>
      <c r="J59" s="3">
        <f t="shared" si="17"/>
        <v>776.04984893836149</v>
      </c>
      <c r="K59" s="25">
        <f>'WGJ-4'!D39</f>
        <v>45235.644007474199</v>
      </c>
      <c r="L59" s="25">
        <f>'WGJ-4'!E39</f>
        <v>43796.975706890204</v>
      </c>
      <c r="M59" s="25">
        <f>'WGJ-4'!F39</f>
        <v>18708.241756260399</v>
      </c>
      <c r="N59" s="25">
        <f>'WGJ-4'!G39</f>
        <v>36461.838424205802</v>
      </c>
      <c r="O59" s="25">
        <f>'WGJ-4'!H39</f>
        <v>16337.4076358974</v>
      </c>
      <c r="P59" s="25">
        <f>'WGJ-4'!I39</f>
        <v>25222.665236890301</v>
      </c>
      <c r="Q59" s="25">
        <f>'WGJ-4'!J39</f>
        <v>173714.20822143598</v>
      </c>
      <c r="R59" s="25">
        <f>'WGJ-4'!K39</f>
        <v>153249.92318153399</v>
      </c>
      <c r="S59" s="25">
        <f>'WGJ-4'!L39</f>
        <v>58904.189833998702</v>
      </c>
      <c r="T59" s="25">
        <f>'WGJ-4'!M39</f>
        <v>95884.131616354003</v>
      </c>
      <c r="U59" s="25">
        <f>'WGJ-4'!N39</f>
        <v>41296.466889977499</v>
      </c>
      <c r="V59" s="25">
        <f>'WGJ-4'!O39</f>
        <v>67238.156427442998</v>
      </c>
    </row>
    <row r="60" spans="1:22">
      <c r="A60" s="5">
        <f t="shared" si="19"/>
        <v>46</v>
      </c>
      <c r="B60" s="104" t="s">
        <v>61</v>
      </c>
      <c r="C60" s="17"/>
      <c r="D60" s="90">
        <v>41</v>
      </c>
      <c r="E60" s="39">
        <f t="shared" si="16"/>
        <v>487.30225561807742</v>
      </c>
      <c r="F60" s="90">
        <f>'WGJ-4'!C43/1000</f>
        <v>528.30225561807742</v>
      </c>
      <c r="G60" s="89"/>
      <c r="H60" s="89">
        <v>6240</v>
      </c>
      <c r="I60" s="94" t="s">
        <v>126</v>
      </c>
      <c r="J60" s="85">
        <f t="shared" si="17"/>
        <v>528.30225561807742</v>
      </c>
      <c r="K60" s="121">
        <f>'WGJ-4'!D43</f>
        <v>52159.22920145098</v>
      </c>
      <c r="L60" s="121">
        <f>'WGJ-4'!E43</f>
        <v>50553.696765936875</v>
      </c>
      <c r="M60" s="121">
        <f>'WGJ-4'!F43</f>
        <v>30307.4002325535</v>
      </c>
      <c r="N60" s="121">
        <f>'WGJ-4'!G43</f>
        <v>24535.934287030257</v>
      </c>
      <c r="O60" s="121">
        <f>'WGJ-4'!H43</f>
        <v>9351.2758307624572</v>
      </c>
      <c r="P60" s="121">
        <f>'WGJ-4'!I43</f>
        <v>11300.843794940785</v>
      </c>
      <c r="Q60" s="121">
        <f>'WGJ-4'!J43</f>
        <v>61110.662524402105</v>
      </c>
      <c r="R60" s="121">
        <f>'WGJ-4'!K43</f>
        <v>77044.621694460453</v>
      </c>
      <c r="S60" s="121">
        <f>'WGJ-4'!L43</f>
        <v>44641.533223539547</v>
      </c>
      <c r="T60" s="121">
        <f>'WGJ-4'!M43</f>
        <v>60917.231492698229</v>
      </c>
      <c r="U60" s="121">
        <f>'WGJ-4'!N43</f>
        <v>44830.264868587226</v>
      </c>
      <c r="V60" s="121">
        <f>'WGJ-4'!O43</f>
        <v>61549.561701715007</v>
      </c>
    </row>
    <row r="61" spans="1:22">
      <c r="A61" s="5">
        <f t="shared" si="19"/>
        <v>47</v>
      </c>
      <c r="B61" t="s">
        <v>44</v>
      </c>
      <c r="D61" s="89">
        <f>SUM(D49:D60)</f>
        <v>81127</v>
      </c>
      <c r="E61" s="19">
        <f>F61-D61</f>
        <v>1582.5916999810579</v>
      </c>
      <c r="F61" s="19">
        <f>SUM(F49:F60)</f>
        <v>82709.591699981058</v>
      </c>
      <c r="G61" s="19"/>
      <c r="H61" s="19">
        <v>0.11360950271288535</v>
      </c>
      <c r="I61" s="19"/>
      <c r="J61" s="3">
        <f t="shared" ref="J61:V61" si="23">SUM(J49:J60)</f>
        <v>82710.09742972879</v>
      </c>
      <c r="K61" s="25">
        <f t="shared" si="23"/>
        <v>9605191.4691701699</v>
      </c>
      <c r="L61" s="25">
        <f t="shared" si="23"/>
        <v>8969293.6092502754</v>
      </c>
      <c r="M61" s="25">
        <f t="shared" si="23"/>
        <v>8892472.5682623554</v>
      </c>
      <c r="N61" s="25">
        <f t="shared" si="23"/>
        <v>5431762.4560993351</v>
      </c>
      <c r="O61" s="25">
        <f t="shared" si="23"/>
        <v>2534266.7933878591</v>
      </c>
      <c r="P61" s="25">
        <f t="shared" si="23"/>
        <v>2008137.7666926647</v>
      </c>
      <c r="Q61" s="25">
        <f t="shared" si="23"/>
        <v>5193996.2103692023</v>
      </c>
      <c r="R61" s="25">
        <f t="shared" si="23"/>
        <v>7124279.7058216082</v>
      </c>
      <c r="S61" s="25">
        <f t="shared" si="23"/>
        <v>7340686.0845663967</v>
      </c>
      <c r="T61" s="25">
        <f t="shared" si="23"/>
        <v>8186151.1183028752</v>
      </c>
      <c r="U61" s="25">
        <f t="shared" si="23"/>
        <v>8195534.0746945078</v>
      </c>
      <c r="V61" s="25">
        <f t="shared" si="23"/>
        <v>9228325.5731115416</v>
      </c>
    </row>
    <row r="62" spans="1:22">
      <c r="A62" s="5"/>
      <c r="D62" s="19"/>
      <c r="E62" s="19"/>
      <c r="F62" s="19"/>
      <c r="G62" s="19"/>
      <c r="H62" s="19">
        <v>3237.8010523088278</v>
      </c>
      <c r="I62" s="19"/>
      <c r="J62" s="3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</row>
    <row r="63" spans="1:22">
      <c r="A63" s="5"/>
      <c r="D63" s="19"/>
      <c r="E63" s="19"/>
      <c r="F63" s="19"/>
      <c r="G63" s="19"/>
      <c r="H63" s="19"/>
      <c r="I63" s="19"/>
      <c r="J63" s="3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</row>
    <row r="64" spans="1:22">
      <c r="A64" s="5"/>
      <c r="D64" s="19"/>
      <c r="E64" s="19"/>
      <c r="F64" s="19"/>
      <c r="G64" s="19"/>
      <c r="H64" s="19"/>
      <c r="I64" s="19"/>
      <c r="J64" s="3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</row>
    <row r="65" spans="1:22">
      <c r="A65" s="5"/>
      <c r="D65" s="19"/>
      <c r="E65" s="19"/>
      <c r="F65" s="19"/>
      <c r="G65" s="19"/>
      <c r="H65" s="19">
        <v>592.63582339628294</v>
      </c>
      <c r="I65" s="19"/>
      <c r="J65" s="3"/>
    </row>
    <row r="66" spans="1:22">
      <c r="A66" s="5"/>
      <c r="B66" s="7" t="s">
        <v>10</v>
      </c>
      <c r="D66" s="19"/>
      <c r="E66" s="19" t="s">
        <v>9</v>
      </c>
      <c r="F66" s="19"/>
      <c r="G66" s="19"/>
      <c r="H66" s="39">
        <v>480</v>
      </c>
      <c r="I66" s="19"/>
      <c r="J66" s="3"/>
    </row>
    <row r="67" spans="1:22">
      <c r="A67" s="5">
        <f>A61+1</f>
        <v>48</v>
      </c>
      <c r="B67" t="s">
        <v>5</v>
      </c>
      <c r="C67" s="12"/>
      <c r="D67" s="89">
        <v>789</v>
      </c>
      <c r="E67" s="19">
        <f t="shared" ref="E67:E75" si="24">F67-D67</f>
        <v>5</v>
      </c>
      <c r="F67" s="89">
        <v>794</v>
      </c>
      <c r="G67" s="19"/>
      <c r="H67" s="19">
        <v>70026.232758276092</v>
      </c>
      <c r="I67" s="19"/>
      <c r="J67" s="3">
        <f t="shared" ref="J67:J76" si="25">SUM(K67:V67)/1000</f>
        <v>793.99999999999989</v>
      </c>
      <c r="K67" s="56">
        <f>$F67*1000/12</f>
        <v>66166.666666666672</v>
      </c>
      <c r="L67" s="56">
        <f t="shared" ref="L67:V67" si="26">$F67*1000/12</f>
        <v>66166.666666666672</v>
      </c>
      <c r="M67" s="56">
        <f t="shared" si="26"/>
        <v>66166.666666666672</v>
      </c>
      <c r="N67" s="56">
        <f t="shared" si="26"/>
        <v>66166.666666666672</v>
      </c>
      <c r="O67" s="56">
        <f t="shared" si="26"/>
        <v>66166.666666666672</v>
      </c>
      <c r="P67" s="56">
        <f t="shared" si="26"/>
        <v>66166.666666666672</v>
      </c>
      <c r="Q67" s="56">
        <f t="shared" si="26"/>
        <v>66166.666666666672</v>
      </c>
      <c r="R67" s="56">
        <f t="shared" si="26"/>
        <v>66166.666666666672</v>
      </c>
      <c r="S67" s="56">
        <f t="shared" si="26"/>
        <v>66166.666666666672</v>
      </c>
      <c r="T67" s="56">
        <f t="shared" si="26"/>
        <v>66166.666666666672</v>
      </c>
      <c r="U67" s="56">
        <f t="shared" si="26"/>
        <v>66166.666666666672</v>
      </c>
      <c r="V67" s="56">
        <f t="shared" si="26"/>
        <v>66166.666666666672</v>
      </c>
    </row>
    <row r="68" spans="1:22">
      <c r="A68" s="5">
        <f>A67+1</f>
        <v>49</v>
      </c>
      <c r="B68" t="s">
        <v>118</v>
      </c>
      <c r="D68" s="89">
        <v>200</v>
      </c>
      <c r="E68" s="19">
        <f t="shared" si="24"/>
        <v>0</v>
      </c>
      <c r="F68" s="89">
        <v>200</v>
      </c>
      <c r="G68" s="19"/>
      <c r="H68" s="19"/>
      <c r="I68" s="19"/>
      <c r="J68" s="3">
        <f t="shared" si="25"/>
        <v>200.35674999999998</v>
      </c>
      <c r="K68" s="56">
        <v>38280.679999999993</v>
      </c>
      <c r="L68" s="56">
        <v>19087.5</v>
      </c>
      <c r="M68" s="56">
        <v>22858.35</v>
      </c>
      <c r="N68" s="56">
        <v>6969.8899999999994</v>
      </c>
      <c r="O68" s="56">
        <v>6783.67</v>
      </c>
      <c r="P68" s="56">
        <v>4730.46</v>
      </c>
      <c r="Q68" s="56">
        <v>4175.7300000000005</v>
      </c>
      <c r="R68" s="56">
        <v>22380.699999999986</v>
      </c>
      <c r="S68" s="56">
        <v>26570.59</v>
      </c>
      <c r="T68" s="56">
        <v>26413.84</v>
      </c>
      <c r="U68" s="56">
        <v>18380.050000000003</v>
      </c>
      <c r="V68" s="56">
        <v>3725.29</v>
      </c>
    </row>
    <row r="69" spans="1:22">
      <c r="A69" s="5">
        <f t="shared" ref="A69:A76" si="27">A68+1</f>
        <v>50</v>
      </c>
      <c r="B69" t="s">
        <v>215</v>
      </c>
      <c r="D69" s="89">
        <v>12826</v>
      </c>
      <c r="E69" s="19">
        <f t="shared" si="24"/>
        <v>-993</v>
      </c>
      <c r="F69" s="89">
        <v>11833</v>
      </c>
      <c r="G69" s="89"/>
      <c r="H69" s="89">
        <v>772</v>
      </c>
      <c r="I69" s="92"/>
      <c r="J69" s="3">
        <f t="shared" si="25"/>
        <v>11832.575999999999</v>
      </c>
      <c r="K69" s="56">
        <v>986048</v>
      </c>
      <c r="L69" s="56">
        <v>986048</v>
      </c>
      <c r="M69" s="56">
        <v>986048</v>
      </c>
      <c r="N69" s="56">
        <v>986048</v>
      </c>
      <c r="O69" s="56">
        <v>986048</v>
      </c>
      <c r="P69" s="56">
        <v>986048</v>
      </c>
      <c r="Q69" s="56">
        <v>986048</v>
      </c>
      <c r="R69" s="56">
        <v>986048</v>
      </c>
      <c r="S69" s="56">
        <v>986048</v>
      </c>
      <c r="T69" s="56">
        <v>986048</v>
      </c>
      <c r="U69" s="56">
        <v>986048</v>
      </c>
      <c r="V69" s="56">
        <v>986048</v>
      </c>
    </row>
    <row r="70" spans="1:22">
      <c r="A70" s="5">
        <f t="shared" si="27"/>
        <v>51</v>
      </c>
      <c r="B70" t="s">
        <v>24</v>
      </c>
      <c r="D70" s="89">
        <v>1491</v>
      </c>
      <c r="E70" s="19">
        <f t="shared" si="24"/>
        <v>17</v>
      </c>
      <c r="F70" s="89">
        <v>1508</v>
      </c>
      <c r="G70" s="19" t="s">
        <v>164</v>
      </c>
      <c r="H70" s="19">
        <v>49</v>
      </c>
      <c r="I70" s="19"/>
      <c r="J70" s="3">
        <f t="shared" si="25"/>
        <v>1507.7159999999999</v>
      </c>
      <c r="K70" s="56">
        <v>125643</v>
      </c>
      <c r="L70" s="56">
        <v>125643</v>
      </c>
      <c r="M70" s="56">
        <v>125643</v>
      </c>
      <c r="N70" s="56">
        <v>125643</v>
      </c>
      <c r="O70" s="56">
        <v>125643</v>
      </c>
      <c r="P70" s="56">
        <v>125643</v>
      </c>
      <c r="Q70" s="56">
        <v>125643</v>
      </c>
      <c r="R70" s="56">
        <v>125643</v>
      </c>
      <c r="S70" s="56">
        <v>125643</v>
      </c>
      <c r="T70" s="56">
        <v>125643</v>
      </c>
      <c r="U70" s="56">
        <v>125643</v>
      </c>
      <c r="V70" s="56">
        <v>125643</v>
      </c>
    </row>
    <row r="71" spans="1:22">
      <c r="A71" s="5">
        <f t="shared" si="27"/>
        <v>52</v>
      </c>
      <c r="B71" t="s">
        <v>97</v>
      </c>
      <c r="D71" s="89">
        <v>1156</v>
      </c>
      <c r="E71" s="19">
        <f t="shared" si="24"/>
        <v>107</v>
      </c>
      <c r="F71" s="89">
        <v>1263</v>
      </c>
      <c r="G71" s="94"/>
      <c r="H71" s="19">
        <v>348</v>
      </c>
      <c r="I71" s="19"/>
      <c r="J71" s="3">
        <f t="shared" si="25"/>
        <v>1262.9560067999998</v>
      </c>
      <c r="K71" s="56">
        <v>129725.4906</v>
      </c>
      <c r="L71" s="56">
        <v>130881.4614</v>
      </c>
      <c r="M71" s="56">
        <v>102930.56819999999</v>
      </c>
      <c r="N71" s="56">
        <v>107703.045</v>
      </c>
      <c r="O71" s="56">
        <v>78754.608000000007</v>
      </c>
      <c r="P71" s="56">
        <v>69116.7834</v>
      </c>
      <c r="Q71" s="56">
        <v>93799.71</v>
      </c>
      <c r="R71" s="56">
        <v>127356.7338</v>
      </c>
      <c r="S71" s="56">
        <v>108078.89939999999</v>
      </c>
      <c r="T71" s="56">
        <v>68939.782200000001</v>
      </c>
      <c r="U71" s="56">
        <v>105898.0698</v>
      </c>
      <c r="V71" s="56">
        <v>139770.85500000001</v>
      </c>
    </row>
    <row r="72" spans="1:22">
      <c r="A72" s="5">
        <f t="shared" si="27"/>
        <v>53</v>
      </c>
      <c r="B72" t="s">
        <v>96</v>
      </c>
      <c r="D72" s="89">
        <v>45</v>
      </c>
      <c r="E72" s="19">
        <f t="shared" si="24"/>
        <v>0</v>
      </c>
      <c r="F72" s="89">
        <v>45</v>
      </c>
      <c r="G72" s="19"/>
      <c r="H72" s="19">
        <v>8315</v>
      </c>
      <c r="I72" s="19"/>
      <c r="J72" s="3">
        <f t="shared" si="25"/>
        <v>45.222000000000001</v>
      </c>
      <c r="K72" s="56">
        <v>3768.5</v>
      </c>
      <c r="L72" s="56">
        <v>3768.5</v>
      </c>
      <c r="M72" s="56">
        <v>3768.5</v>
      </c>
      <c r="N72" s="56">
        <v>3768.5</v>
      </c>
      <c r="O72" s="56">
        <v>3768.5</v>
      </c>
      <c r="P72" s="56">
        <v>3768.5</v>
      </c>
      <c r="Q72" s="56">
        <v>3768.5</v>
      </c>
      <c r="R72" s="56">
        <v>3768.5</v>
      </c>
      <c r="S72" s="56">
        <v>3768.5</v>
      </c>
      <c r="T72" s="56">
        <v>3768.5</v>
      </c>
      <c r="U72" s="56">
        <v>3768.5</v>
      </c>
      <c r="V72" s="56">
        <v>3768.5</v>
      </c>
    </row>
    <row r="73" spans="1:22">
      <c r="A73" s="5">
        <f t="shared" si="27"/>
        <v>54</v>
      </c>
      <c r="B73" t="s">
        <v>129</v>
      </c>
      <c r="D73" s="89">
        <v>134</v>
      </c>
      <c r="E73" s="19">
        <f t="shared" si="24"/>
        <v>0</v>
      </c>
      <c r="F73" s="89">
        <v>134</v>
      </c>
      <c r="G73" s="19"/>
      <c r="H73" s="19">
        <v>1245</v>
      </c>
      <c r="I73" s="19"/>
      <c r="J73" s="3">
        <f t="shared" si="25"/>
        <v>134.00000000000003</v>
      </c>
      <c r="K73" s="56">
        <f>$F73*1000/12</f>
        <v>11166.666666666666</v>
      </c>
      <c r="L73" s="56">
        <f t="shared" ref="L73:V73" si="28">$F73*1000/12</f>
        <v>11166.666666666666</v>
      </c>
      <c r="M73" s="56">
        <f t="shared" si="28"/>
        <v>11166.666666666666</v>
      </c>
      <c r="N73" s="56">
        <f t="shared" si="28"/>
        <v>11166.666666666666</v>
      </c>
      <c r="O73" s="56">
        <f t="shared" si="28"/>
        <v>11166.666666666666</v>
      </c>
      <c r="P73" s="56">
        <f t="shared" si="28"/>
        <v>11166.666666666666</v>
      </c>
      <c r="Q73" s="56">
        <f t="shared" si="28"/>
        <v>11166.666666666666</v>
      </c>
      <c r="R73" s="56">
        <f t="shared" si="28"/>
        <v>11166.666666666666</v>
      </c>
      <c r="S73" s="56">
        <f t="shared" si="28"/>
        <v>11166.666666666666</v>
      </c>
      <c r="T73" s="56">
        <f t="shared" si="28"/>
        <v>11166.666666666666</v>
      </c>
      <c r="U73" s="56">
        <f t="shared" si="28"/>
        <v>11166.666666666666</v>
      </c>
      <c r="V73" s="56">
        <f t="shared" si="28"/>
        <v>11166.666666666666</v>
      </c>
    </row>
    <row r="74" spans="1:22">
      <c r="A74" s="5">
        <f t="shared" si="27"/>
        <v>55</v>
      </c>
      <c r="B74" t="s">
        <v>216</v>
      </c>
      <c r="C74" s="12"/>
      <c r="D74" s="89">
        <v>279</v>
      </c>
      <c r="E74" s="19">
        <f t="shared" si="24"/>
        <v>0</v>
      </c>
      <c r="F74" s="89">
        <v>279</v>
      </c>
      <c r="G74" s="19"/>
      <c r="H74" s="19">
        <v>1689</v>
      </c>
      <c r="I74" s="19"/>
      <c r="J74" s="3">
        <f t="shared" si="25"/>
        <v>279.32200000000006</v>
      </c>
      <c r="K74" s="56">
        <f>279322/12</f>
        <v>23276.833333333332</v>
      </c>
      <c r="L74" s="56">
        <f t="shared" ref="L74:V74" si="29">279322/12</f>
        <v>23276.833333333332</v>
      </c>
      <c r="M74" s="56">
        <f t="shared" si="29"/>
        <v>23276.833333333332</v>
      </c>
      <c r="N74" s="56">
        <f t="shared" si="29"/>
        <v>23276.833333333332</v>
      </c>
      <c r="O74" s="56">
        <f t="shared" si="29"/>
        <v>23276.833333333332</v>
      </c>
      <c r="P74" s="56">
        <f t="shared" si="29"/>
        <v>23276.833333333332</v>
      </c>
      <c r="Q74" s="56">
        <f t="shared" si="29"/>
        <v>23276.833333333332</v>
      </c>
      <c r="R74" s="56">
        <f t="shared" si="29"/>
        <v>23276.833333333332</v>
      </c>
      <c r="S74" s="56">
        <f t="shared" si="29"/>
        <v>23276.833333333332</v>
      </c>
      <c r="T74" s="56">
        <f t="shared" si="29"/>
        <v>23276.833333333332</v>
      </c>
      <c r="U74" s="56">
        <f t="shared" si="29"/>
        <v>23276.833333333332</v>
      </c>
      <c r="V74" s="56">
        <f t="shared" si="29"/>
        <v>23276.833333333332</v>
      </c>
    </row>
    <row r="75" spans="1:22">
      <c r="A75" s="5">
        <f t="shared" si="27"/>
        <v>56</v>
      </c>
      <c r="B75" s="17" t="s">
        <v>28</v>
      </c>
      <c r="C75" s="17"/>
      <c r="D75" s="90">
        <v>643</v>
      </c>
      <c r="E75" s="39">
        <f t="shared" si="24"/>
        <v>0</v>
      </c>
      <c r="F75" s="90">
        <v>643</v>
      </c>
      <c r="G75" s="19"/>
      <c r="H75" s="19">
        <v>32.112000000000002</v>
      </c>
      <c r="I75" s="19"/>
      <c r="J75" s="85">
        <f t="shared" si="25"/>
        <v>642.58799999999997</v>
      </c>
      <c r="K75" s="103">
        <v>53549</v>
      </c>
      <c r="L75" s="103">
        <v>53549</v>
      </c>
      <c r="M75" s="103">
        <v>53549</v>
      </c>
      <c r="N75" s="103">
        <v>53549</v>
      </c>
      <c r="O75" s="103">
        <v>53549</v>
      </c>
      <c r="P75" s="103">
        <v>53549</v>
      </c>
      <c r="Q75" s="103">
        <v>53549</v>
      </c>
      <c r="R75" s="103">
        <v>53549</v>
      </c>
      <c r="S75" s="103">
        <v>53549</v>
      </c>
      <c r="T75" s="103">
        <v>53549</v>
      </c>
      <c r="U75" s="103">
        <v>53549</v>
      </c>
      <c r="V75" s="103">
        <v>53549</v>
      </c>
    </row>
    <row r="76" spans="1:22">
      <c r="A76" s="5">
        <f t="shared" si="27"/>
        <v>57</v>
      </c>
      <c r="B76" t="s">
        <v>11</v>
      </c>
      <c r="D76" s="89">
        <f>SUM(D67:D75)</f>
        <v>17563</v>
      </c>
      <c r="E76" s="19">
        <f>F76-D76</f>
        <v>-864</v>
      </c>
      <c r="F76" s="19">
        <f>SUM(F67:F75)</f>
        <v>16699</v>
      </c>
      <c r="G76" s="19"/>
      <c r="H76" s="19">
        <v>214</v>
      </c>
      <c r="I76" s="19"/>
      <c r="J76" s="3">
        <f t="shared" si="25"/>
        <v>16698.736756800005</v>
      </c>
      <c r="K76" s="25">
        <f t="shared" ref="K76:V76" si="30">SUM(K67:K75)</f>
        <v>1437624.8372666666</v>
      </c>
      <c r="L76" s="25">
        <f t="shared" si="30"/>
        <v>1419587.6280666667</v>
      </c>
      <c r="M76" s="25">
        <f t="shared" si="30"/>
        <v>1395407.5848666667</v>
      </c>
      <c r="N76" s="25">
        <f t="shared" si="30"/>
        <v>1384291.6016666666</v>
      </c>
      <c r="O76" s="25">
        <f t="shared" si="30"/>
        <v>1355156.9446666667</v>
      </c>
      <c r="P76" s="25">
        <f t="shared" si="30"/>
        <v>1343465.9100666668</v>
      </c>
      <c r="Q76" s="25">
        <f t="shared" si="30"/>
        <v>1367594.1066666667</v>
      </c>
      <c r="R76" s="25">
        <f t="shared" si="30"/>
        <v>1419356.1004666667</v>
      </c>
      <c r="S76" s="25">
        <f t="shared" si="30"/>
        <v>1404268.1560666666</v>
      </c>
      <c r="T76" s="25">
        <f t="shared" si="30"/>
        <v>1364972.2888666666</v>
      </c>
      <c r="U76" s="25">
        <f t="shared" si="30"/>
        <v>1393896.7864666667</v>
      </c>
      <c r="V76" s="25">
        <f t="shared" si="30"/>
        <v>1413114.8116666665</v>
      </c>
    </row>
    <row r="77" spans="1:22" ht="12.95" customHeight="1">
      <c r="A77" s="5"/>
      <c r="D77" s="19"/>
      <c r="E77" s="19"/>
      <c r="F77" s="19"/>
      <c r="G77" s="19"/>
      <c r="H77" s="39">
        <v>643</v>
      </c>
      <c r="I77" s="19"/>
      <c r="J77" s="3"/>
    </row>
    <row r="78" spans="1:22" ht="12" customHeight="1">
      <c r="A78" s="5"/>
      <c r="B78" s="7" t="s">
        <v>14</v>
      </c>
      <c r="D78" s="19"/>
      <c r="E78" s="19"/>
      <c r="F78" s="19"/>
      <c r="G78" s="19"/>
      <c r="H78" s="19">
        <v>13307.111999999999</v>
      </c>
      <c r="I78" s="19"/>
      <c r="J78" s="3"/>
    </row>
    <row r="79" spans="1:22" ht="12" customHeight="1">
      <c r="A79" s="5">
        <f>A76+1</f>
        <v>58</v>
      </c>
      <c r="B79" t="s">
        <v>106</v>
      </c>
      <c r="D79" s="89">
        <v>1075</v>
      </c>
      <c r="E79" s="89">
        <f>F79-D79</f>
        <v>-20</v>
      </c>
      <c r="F79" s="89">
        <v>1055</v>
      </c>
      <c r="G79" s="89"/>
      <c r="H79" s="89"/>
      <c r="I79" s="19"/>
      <c r="J79" s="3"/>
    </row>
    <row r="80" spans="1:22" ht="12" customHeight="1">
      <c r="A80" s="5"/>
      <c r="D80" s="19"/>
      <c r="E80" s="19"/>
      <c r="F80" s="19"/>
      <c r="G80" s="19"/>
      <c r="H80" s="19"/>
      <c r="I80" s="19"/>
      <c r="J80" s="3"/>
    </row>
    <row r="81" spans="1:22" ht="12" customHeight="1">
      <c r="A81" s="5"/>
      <c r="B81" s="7" t="s">
        <v>50</v>
      </c>
      <c r="D81" s="19"/>
      <c r="E81" s="19"/>
      <c r="F81" s="19"/>
      <c r="G81" s="19"/>
      <c r="H81" s="19">
        <v>6729</v>
      </c>
      <c r="I81" s="19"/>
      <c r="J81" s="3"/>
    </row>
    <row r="82" spans="1:22" ht="12" customHeight="1">
      <c r="A82" s="5">
        <f>A79+1</f>
        <v>59</v>
      </c>
      <c r="B82" t="s">
        <v>45</v>
      </c>
      <c r="D82" s="89">
        <v>160</v>
      </c>
      <c r="E82" s="89">
        <f>F82-D82</f>
        <v>-160</v>
      </c>
      <c r="F82" s="89">
        <v>0</v>
      </c>
      <c r="G82" s="89"/>
      <c r="H82" s="89"/>
      <c r="I82" s="19"/>
      <c r="J82" s="3"/>
    </row>
    <row r="83" spans="1:22" ht="12" customHeight="1">
      <c r="A83" s="5"/>
      <c r="D83" s="19"/>
      <c r="E83" s="19"/>
      <c r="F83" s="19"/>
      <c r="G83" s="19"/>
      <c r="H83" s="19"/>
      <c r="I83" s="19"/>
      <c r="J83" s="3"/>
    </row>
    <row r="84" spans="1:22" ht="12" customHeight="1">
      <c r="A84" s="5">
        <f>A82+1</f>
        <v>60</v>
      </c>
      <c r="B84" s="41" t="s">
        <v>15</v>
      </c>
      <c r="C84" s="35"/>
      <c r="D84" s="42">
        <f>D30+D39+D46+D61+D76+D79+D82</f>
        <v>504010</v>
      </c>
      <c r="E84" s="42">
        <f>F84-D84</f>
        <v>-257379.57318566088</v>
      </c>
      <c r="F84" s="43">
        <f>F30+F39+F46+F61+F76+F79+F82</f>
        <v>246630.42681433912</v>
      </c>
      <c r="G84" s="19"/>
      <c r="H84" s="19">
        <v>133</v>
      </c>
      <c r="I84" s="19"/>
      <c r="J84" s="3"/>
    </row>
    <row r="85" spans="1:22" ht="12" customHeight="1">
      <c r="A85" s="5"/>
      <c r="B85" s="2"/>
      <c r="D85" s="19"/>
      <c r="E85" s="19"/>
      <c r="F85" s="19"/>
      <c r="G85" s="19"/>
      <c r="H85" s="39"/>
      <c r="I85" s="19"/>
      <c r="J85" s="3"/>
    </row>
    <row r="86" spans="1:22" ht="12" customHeight="1">
      <c r="A86" s="5"/>
      <c r="B86" s="7" t="s">
        <v>16</v>
      </c>
      <c r="D86" s="19"/>
      <c r="E86" s="19"/>
      <c r="F86" s="19"/>
      <c r="G86" s="19"/>
      <c r="H86" s="42">
        <v>188457.26014905036</v>
      </c>
      <c r="I86" s="19"/>
      <c r="J86" s="3"/>
      <c r="K86" s="47">
        <v>39447</v>
      </c>
      <c r="L86" s="47">
        <v>39478</v>
      </c>
      <c r="M86" s="47">
        <v>39507</v>
      </c>
      <c r="N86" s="47">
        <v>39538</v>
      </c>
      <c r="O86" s="47">
        <v>39568</v>
      </c>
      <c r="P86" s="47">
        <v>39599</v>
      </c>
      <c r="Q86" s="47">
        <v>39629</v>
      </c>
      <c r="R86" s="47">
        <v>39660</v>
      </c>
      <c r="S86" s="47">
        <v>39691</v>
      </c>
      <c r="T86" s="47">
        <v>39721</v>
      </c>
      <c r="U86" s="47">
        <v>39752</v>
      </c>
      <c r="V86" s="47">
        <v>39782</v>
      </c>
    </row>
    <row r="87" spans="1:22" ht="12.95" customHeight="1">
      <c r="A87" s="5">
        <f>A84+1</f>
        <v>61</v>
      </c>
      <c r="B87" t="s">
        <v>157</v>
      </c>
      <c r="D87" s="89">
        <v>0</v>
      </c>
      <c r="E87" s="19">
        <f t="shared" ref="E87:E96" si="31">F87-D87</f>
        <v>40764.956964491677</v>
      </c>
      <c r="F87" s="19">
        <f>-'WGJ-4'!C9/1000</f>
        <v>40764.956964491677</v>
      </c>
      <c r="G87" s="19"/>
      <c r="H87" s="19"/>
      <c r="I87" s="18"/>
      <c r="J87" s="3">
        <f>SUM(K87:V87)/1000</f>
        <v>40764.956964491677</v>
      </c>
      <c r="K87" s="25">
        <f>-'WGJ-4'!D9</f>
        <v>3312231.4681530003</v>
      </c>
      <c r="L87" s="25">
        <f>-'WGJ-4'!E9</f>
        <v>3451193.7351226802</v>
      </c>
      <c r="M87" s="25">
        <f>-'WGJ-4'!F9</f>
        <v>4077477.9923439003</v>
      </c>
      <c r="N87" s="25">
        <f>-'WGJ-4'!G9</f>
        <v>5106159.0660095196</v>
      </c>
      <c r="O87" s="25">
        <f>-'WGJ-4'!H9</f>
        <v>3579419.4132327996</v>
      </c>
      <c r="P87" s="25">
        <f>-'WGJ-4'!I9</f>
        <v>2427828.5412956001</v>
      </c>
      <c r="Q87" s="25">
        <f>-'WGJ-4'!J9</f>
        <v>2878497.25031853</v>
      </c>
      <c r="R87" s="25">
        <f>-'WGJ-4'!K9</f>
        <v>1519475.25199056</v>
      </c>
      <c r="S87" s="25">
        <f>-'WGJ-4'!L9</f>
        <v>3014379.3462753301</v>
      </c>
      <c r="T87" s="25">
        <f>-'WGJ-4'!M9</f>
        <v>2776719.2771911602</v>
      </c>
      <c r="U87" s="25">
        <f>-'WGJ-4'!N9</f>
        <v>4098485.1028442401</v>
      </c>
      <c r="V87" s="25">
        <f>-'WGJ-4'!O9</f>
        <v>4523090.5197143601</v>
      </c>
    </row>
    <row r="88" spans="1:22" ht="12.95" customHeight="1">
      <c r="A88" s="5">
        <f t="shared" ref="A88:A95" si="32">A87+1</f>
        <v>62</v>
      </c>
      <c r="B88" t="s">
        <v>191</v>
      </c>
      <c r="D88" s="89">
        <v>146292</v>
      </c>
      <c r="E88" s="19">
        <f t="shared" si="31"/>
        <v>-146292</v>
      </c>
      <c r="F88" s="129">
        <v>0</v>
      </c>
      <c r="G88" s="19"/>
      <c r="H88" s="19"/>
      <c r="I88" s="18"/>
      <c r="J88" s="3">
        <f>SUM(K88:V88)/1000</f>
        <v>0</v>
      </c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</row>
    <row r="89" spans="1:22" ht="12.95" customHeight="1">
      <c r="A89" s="5">
        <f t="shared" si="32"/>
        <v>63</v>
      </c>
      <c r="B89" t="s">
        <v>190</v>
      </c>
      <c r="D89" s="89">
        <v>0</v>
      </c>
      <c r="E89" s="19">
        <f t="shared" si="31"/>
        <v>5289</v>
      </c>
      <c r="F89" s="129">
        <v>5289</v>
      </c>
      <c r="G89" s="19"/>
      <c r="H89" s="19"/>
      <c r="I89" s="18"/>
      <c r="J89" s="3">
        <f>SUM(K89:V89)/1000</f>
        <v>5289.452508580689</v>
      </c>
      <c r="K89" s="25">
        <v>9839.8570060737711</v>
      </c>
      <c r="L89" s="25">
        <v>-22351.363849638914</v>
      </c>
      <c r="M89" s="25">
        <v>394334.53707695683</v>
      </c>
      <c r="N89" s="25">
        <v>1594338.0274534265</v>
      </c>
      <c r="O89" s="25">
        <v>2704879.6851277333</v>
      </c>
      <c r="P89" s="25">
        <v>3381619.8136329642</v>
      </c>
      <c r="Q89" s="25">
        <v>-285415.47470093018</v>
      </c>
      <c r="R89" s="25">
        <v>-684644.72846984258</v>
      </c>
      <c r="S89" s="25">
        <v>-1061110.4789733931</v>
      </c>
      <c r="T89" s="25">
        <v>-292508.01887512387</v>
      </c>
      <c r="U89" s="25">
        <v>8484.8705291682345</v>
      </c>
      <c r="V89" s="25">
        <v>-458014.21737670421</v>
      </c>
    </row>
    <row r="90" spans="1:22">
      <c r="A90" s="5">
        <f t="shared" si="32"/>
        <v>64</v>
      </c>
      <c r="B90" s="6" t="s">
        <v>117</v>
      </c>
      <c r="D90" s="89">
        <v>1750</v>
      </c>
      <c r="E90" s="19">
        <f t="shared" si="31"/>
        <v>15985</v>
      </c>
      <c r="F90" s="89">
        <v>17735</v>
      </c>
      <c r="G90" s="19"/>
      <c r="H90" s="19"/>
      <c r="I90" s="19"/>
      <c r="J90" s="3">
        <f t="shared" ref="J90:J97" si="33">SUM(K90:V90)/1000</f>
        <v>17734.955000000002</v>
      </c>
      <c r="K90" s="132">
        <v>145955</v>
      </c>
      <c r="L90" s="132">
        <v>1599000</v>
      </c>
      <c r="M90" s="132">
        <v>1599000</v>
      </c>
      <c r="N90" s="132">
        <v>1599000</v>
      </c>
      <c r="O90" s="132">
        <v>1599000</v>
      </c>
      <c r="P90" s="132">
        <v>1599000</v>
      </c>
      <c r="Q90" s="132">
        <v>1599000</v>
      </c>
      <c r="R90" s="132">
        <v>1599000</v>
      </c>
      <c r="S90" s="132">
        <v>1599000</v>
      </c>
      <c r="T90" s="132">
        <v>1599000</v>
      </c>
      <c r="U90" s="132">
        <v>1599000</v>
      </c>
      <c r="V90" s="132">
        <v>1599000</v>
      </c>
    </row>
    <row r="91" spans="1:22">
      <c r="A91" s="5">
        <f t="shared" si="32"/>
        <v>65</v>
      </c>
      <c r="B91" t="s">
        <v>29</v>
      </c>
      <c r="D91" s="97">
        <v>1281</v>
      </c>
      <c r="E91" s="19">
        <f t="shared" si="31"/>
        <v>522.50025572514801</v>
      </c>
      <c r="F91" s="89">
        <f>Index!C15/1000</f>
        <v>1803.500255725148</v>
      </c>
      <c r="G91" s="118" t="s">
        <v>125</v>
      </c>
      <c r="H91" s="97">
        <v>1800</v>
      </c>
      <c r="I91" s="93" t="s">
        <v>125</v>
      </c>
      <c r="J91" s="3">
        <f t="shared" si="33"/>
        <v>1803.500255725148</v>
      </c>
      <c r="K91" s="25">
        <f>Index!D15</f>
        <v>166518.61406593284</v>
      </c>
      <c r="L91" s="25">
        <f>Index!E15</f>
        <v>151726.97011575219</v>
      </c>
      <c r="M91" s="25">
        <f>Index!F15</f>
        <v>159240.86497723963</v>
      </c>
      <c r="N91" s="25">
        <f>Index!G15</f>
        <v>119526.48496190159</v>
      </c>
      <c r="O91" s="25">
        <f>Index!H15</f>
        <v>96889.394690096044</v>
      </c>
      <c r="P91" s="25">
        <f>Index!I15</f>
        <v>78623.514544064441</v>
      </c>
      <c r="Q91" s="25">
        <f>Index!J15</f>
        <v>157435.0493211869</v>
      </c>
      <c r="R91" s="25">
        <f>Index!K15</f>
        <v>175444.6262509661</v>
      </c>
      <c r="S91" s="25">
        <f>Index!L15</f>
        <v>186653.63301382543</v>
      </c>
      <c r="T91" s="25">
        <f>Index!M15</f>
        <v>173689.73015458917</v>
      </c>
      <c r="U91" s="25">
        <f>Index!N15</f>
        <v>162155.5416432943</v>
      </c>
      <c r="V91" s="25">
        <f>Index!O15</f>
        <v>175595.83198629928</v>
      </c>
    </row>
    <row r="92" spans="1:22">
      <c r="A92" s="5">
        <f t="shared" si="32"/>
        <v>66</v>
      </c>
      <c r="B92" t="s">
        <v>122</v>
      </c>
      <c r="D92" s="97">
        <v>78</v>
      </c>
      <c r="E92" s="19">
        <f t="shared" si="31"/>
        <v>-71</v>
      </c>
      <c r="F92" s="89">
        <v>7</v>
      </c>
      <c r="G92" s="20"/>
      <c r="H92" s="20">
        <v>-63</v>
      </c>
      <c r="J92" s="3">
        <f t="shared" si="33"/>
        <v>6.9999999999999991</v>
      </c>
      <c r="K92" s="25">
        <f t="shared" ref="K92:K94" si="34">$F92/12*1000</f>
        <v>583.33333333333337</v>
      </c>
      <c r="L92" s="25">
        <f t="shared" ref="L92:V94" si="35">$F92/12*1000</f>
        <v>583.33333333333337</v>
      </c>
      <c r="M92" s="25">
        <f t="shared" si="35"/>
        <v>583.33333333333337</v>
      </c>
      <c r="N92" s="25">
        <f t="shared" si="35"/>
        <v>583.33333333333337</v>
      </c>
      <c r="O92" s="25">
        <f t="shared" si="35"/>
        <v>583.33333333333337</v>
      </c>
      <c r="P92" s="25">
        <f t="shared" si="35"/>
        <v>583.33333333333337</v>
      </c>
      <c r="Q92" s="25">
        <f t="shared" si="35"/>
        <v>583.33333333333337</v>
      </c>
      <c r="R92" s="25">
        <f t="shared" si="35"/>
        <v>583.33333333333337</v>
      </c>
      <c r="S92" s="25">
        <f t="shared" si="35"/>
        <v>583.33333333333337</v>
      </c>
      <c r="T92" s="25">
        <f t="shared" si="35"/>
        <v>583.33333333333337</v>
      </c>
      <c r="U92" s="25">
        <f t="shared" si="35"/>
        <v>583.33333333333337</v>
      </c>
      <c r="V92" s="25">
        <f t="shared" si="35"/>
        <v>583.33333333333337</v>
      </c>
    </row>
    <row r="93" spans="1:22">
      <c r="A93" s="5">
        <f t="shared" si="32"/>
        <v>67</v>
      </c>
      <c r="B93" t="s">
        <v>30</v>
      </c>
      <c r="D93" s="97">
        <v>443</v>
      </c>
      <c r="E93" s="19">
        <f t="shared" si="31"/>
        <v>0</v>
      </c>
      <c r="F93" s="89">
        <v>443</v>
      </c>
      <c r="G93" s="78"/>
      <c r="H93" s="78">
        <v>272</v>
      </c>
      <c r="J93" s="3">
        <f t="shared" si="33"/>
        <v>443.00000000000006</v>
      </c>
      <c r="K93" s="25">
        <f t="shared" si="34"/>
        <v>36916.666666666664</v>
      </c>
      <c r="L93" s="25">
        <f t="shared" si="35"/>
        <v>36916.666666666664</v>
      </c>
      <c r="M93" s="25">
        <f t="shared" si="35"/>
        <v>36916.666666666664</v>
      </c>
      <c r="N93" s="25">
        <f t="shared" si="35"/>
        <v>36916.666666666664</v>
      </c>
      <c r="O93" s="25">
        <f t="shared" si="35"/>
        <v>36916.666666666664</v>
      </c>
      <c r="P93" s="25">
        <f t="shared" si="35"/>
        <v>36916.666666666664</v>
      </c>
      <c r="Q93" s="25">
        <f t="shared" si="35"/>
        <v>36916.666666666664</v>
      </c>
      <c r="R93" s="25">
        <f t="shared" si="35"/>
        <v>36916.666666666664</v>
      </c>
      <c r="S93" s="25">
        <f t="shared" si="35"/>
        <v>36916.666666666664</v>
      </c>
      <c r="T93" s="25">
        <f t="shared" si="35"/>
        <v>36916.666666666664</v>
      </c>
      <c r="U93" s="25">
        <f t="shared" si="35"/>
        <v>36916.666666666664</v>
      </c>
      <c r="V93" s="25">
        <f t="shared" si="35"/>
        <v>36916.666666666664</v>
      </c>
    </row>
    <row r="94" spans="1:22">
      <c r="A94" s="5">
        <f t="shared" si="32"/>
        <v>68</v>
      </c>
      <c r="B94" t="s">
        <v>185</v>
      </c>
      <c r="D94" s="97">
        <v>278</v>
      </c>
      <c r="E94" s="19">
        <f t="shared" si="31"/>
        <v>-278</v>
      </c>
      <c r="F94" s="89">
        <v>0</v>
      </c>
      <c r="G94" s="93"/>
      <c r="H94" s="20"/>
      <c r="J94" s="3">
        <f t="shared" si="33"/>
        <v>0</v>
      </c>
      <c r="K94" s="25">
        <f t="shared" si="34"/>
        <v>0</v>
      </c>
      <c r="L94" s="25">
        <f t="shared" si="35"/>
        <v>0</v>
      </c>
      <c r="M94" s="25">
        <f t="shared" si="35"/>
        <v>0</v>
      </c>
      <c r="N94" s="25">
        <f t="shared" si="35"/>
        <v>0</v>
      </c>
      <c r="O94" s="25">
        <f t="shared" si="35"/>
        <v>0</v>
      </c>
      <c r="P94" s="25">
        <f t="shared" si="35"/>
        <v>0</v>
      </c>
      <c r="Q94" s="25">
        <f t="shared" si="35"/>
        <v>0</v>
      </c>
      <c r="R94" s="25">
        <f t="shared" si="35"/>
        <v>0</v>
      </c>
      <c r="S94" s="25">
        <f t="shared" si="35"/>
        <v>0</v>
      </c>
      <c r="T94" s="25">
        <f t="shared" si="35"/>
        <v>0</v>
      </c>
      <c r="U94" s="25">
        <f t="shared" si="35"/>
        <v>0</v>
      </c>
      <c r="V94" s="25">
        <f t="shared" si="35"/>
        <v>0</v>
      </c>
    </row>
    <row r="95" spans="1:22">
      <c r="A95" s="5">
        <f t="shared" si="32"/>
        <v>69</v>
      </c>
      <c r="B95" t="s">
        <v>244</v>
      </c>
      <c r="D95" s="97">
        <v>22065</v>
      </c>
      <c r="E95" s="19">
        <f t="shared" si="31"/>
        <v>-20751</v>
      </c>
      <c r="F95" s="89">
        <v>1314</v>
      </c>
      <c r="G95" s="20"/>
      <c r="H95" s="20"/>
      <c r="J95" s="3">
        <f t="shared" si="33"/>
        <v>1314</v>
      </c>
      <c r="K95" s="25">
        <v>111600</v>
      </c>
      <c r="L95" s="25">
        <v>100800</v>
      </c>
      <c r="M95" s="25">
        <v>111450</v>
      </c>
      <c r="N95" s="25">
        <v>108000</v>
      </c>
      <c r="O95" s="25">
        <v>111600</v>
      </c>
      <c r="P95" s="25">
        <v>108000</v>
      </c>
      <c r="Q95" s="25">
        <v>111600</v>
      </c>
      <c r="R95" s="25">
        <v>111600</v>
      </c>
      <c r="S95" s="25">
        <v>108000</v>
      </c>
      <c r="T95" s="25">
        <v>111600</v>
      </c>
      <c r="U95" s="25">
        <v>108150</v>
      </c>
      <c r="V95" s="25">
        <v>111600</v>
      </c>
    </row>
    <row r="96" spans="1:22">
      <c r="A96" s="5">
        <f>A95+1</f>
        <v>70</v>
      </c>
      <c r="B96" s="17" t="s">
        <v>146</v>
      </c>
      <c r="C96" s="17"/>
      <c r="D96" s="90">
        <v>627</v>
      </c>
      <c r="E96" s="39">
        <f t="shared" si="31"/>
        <v>-627</v>
      </c>
      <c r="F96" s="39">
        <v>0</v>
      </c>
      <c r="G96" s="20"/>
      <c r="H96" s="20"/>
      <c r="J96" s="3">
        <f t="shared" si="33"/>
        <v>0</v>
      </c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</row>
    <row r="97" spans="1:22">
      <c r="A97" s="5">
        <f>A96+1</f>
        <v>71</v>
      </c>
      <c r="B97" t="s">
        <v>17</v>
      </c>
      <c r="D97" s="19">
        <f>SUM(D87:D96)</f>
        <v>172814</v>
      </c>
      <c r="E97" s="19">
        <f>F97-D97</f>
        <v>-105457.54277978318</v>
      </c>
      <c r="F97" s="19">
        <f>SUM(F87:F96)</f>
        <v>67356.45722021682</v>
      </c>
      <c r="G97" s="19"/>
      <c r="H97" s="39">
        <v>0</v>
      </c>
      <c r="I97" s="19"/>
      <c r="J97" s="3">
        <f t="shared" si="33"/>
        <v>67356.864728797518</v>
      </c>
      <c r="K97" s="25">
        <f t="shared" ref="K97:V97" si="36">SUM(K87:K96)</f>
        <v>3783644.9392250073</v>
      </c>
      <c r="L97" s="25">
        <f t="shared" si="36"/>
        <v>5317869.3413887927</v>
      </c>
      <c r="M97" s="25">
        <f t="shared" si="36"/>
        <v>6379003.3943980969</v>
      </c>
      <c r="N97" s="25">
        <f t="shared" si="36"/>
        <v>8564523.5784248468</v>
      </c>
      <c r="O97" s="25">
        <f t="shared" si="36"/>
        <v>8129288.4930506293</v>
      </c>
      <c r="P97" s="25">
        <f t="shared" si="36"/>
        <v>7632571.8694726285</v>
      </c>
      <c r="Q97" s="25">
        <f t="shared" si="36"/>
        <v>4498616.8249387871</v>
      </c>
      <c r="R97" s="25">
        <f t="shared" si="36"/>
        <v>2758375.1497716834</v>
      </c>
      <c r="S97" s="25">
        <f t="shared" si="36"/>
        <v>3884422.5003157626</v>
      </c>
      <c r="T97" s="25">
        <f t="shared" si="36"/>
        <v>4406000.9884706251</v>
      </c>
      <c r="U97" s="25">
        <f t="shared" si="36"/>
        <v>6013775.5150167029</v>
      </c>
      <c r="V97" s="25">
        <f t="shared" si="36"/>
        <v>5988772.1343239555</v>
      </c>
    </row>
    <row r="98" spans="1:22">
      <c r="A98" s="5"/>
      <c r="D98" s="19"/>
      <c r="E98" s="19"/>
      <c r="F98" s="19"/>
      <c r="G98" s="19"/>
      <c r="H98" s="19">
        <v>62060.890920372694</v>
      </c>
      <c r="I98" s="19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>
      <c r="A99" s="5"/>
      <c r="B99" s="7" t="s">
        <v>18</v>
      </c>
      <c r="D99" s="19"/>
      <c r="E99" s="19" t="s">
        <v>9</v>
      </c>
      <c r="F99" s="19"/>
      <c r="G99" s="19"/>
      <c r="H99" s="19"/>
      <c r="I99" s="19"/>
      <c r="J99" s="3"/>
    </row>
    <row r="100" spans="1:22">
      <c r="A100" s="5">
        <f>A97+1</f>
        <v>72</v>
      </c>
      <c r="B100" t="s">
        <v>220</v>
      </c>
      <c r="D100" s="89">
        <v>1832</v>
      </c>
      <c r="E100" s="89">
        <f>F100-D100</f>
        <v>-1832</v>
      </c>
      <c r="F100" s="89">
        <v>0</v>
      </c>
      <c r="G100" s="89"/>
      <c r="H100" s="89"/>
      <c r="I100" s="19"/>
      <c r="J100" s="3">
        <f t="shared" ref="J100" si="37">SUM(K100:V100)/1000</f>
        <v>850.00000000000011</v>
      </c>
      <c r="K100" s="25">
        <f>850000/12</f>
        <v>70833.333333333328</v>
      </c>
      <c r="L100" s="25">
        <f t="shared" ref="L100:V100" si="38">850000/12</f>
        <v>70833.333333333328</v>
      </c>
      <c r="M100" s="25">
        <f t="shared" si="38"/>
        <v>70833.333333333328</v>
      </c>
      <c r="N100" s="25">
        <f t="shared" si="38"/>
        <v>70833.333333333328</v>
      </c>
      <c r="O100" s="25">
        <f t="shared" si="38"/>
        <v>70833.333333333328</v>
      </c>
      <c r="P100" s="25">
        <f t="shared" si="38"/>
        <v>70833.333333333328</v>
      </c>
      <c r="Q100" s="25">
        <f t="shared" si="38"/>
        <v>70833.333333333328</v>
      </c>
      <c r="R100" s="25">
        <f t="shared" si="38"/>
        <v>70833.333333333328</v>
      </c>
      <c r="S100" s="25">
        <f t="shared" si="38"/>
        <v>70833.333333333328</v>
      </c>
      <c r="T100" s="25">
        <f t="shared" si="38"/>
        <v>70833.333333333328</v>
      </c>
      <c r="U100" s="25">
        <f t="shared" si="38"/>
        <v>70833.333333333328</v>
      </c>
      <c r="V100" s="25">
        <f t="shared" si="38"/>
        <v>70833.333333333328</v>
      </c>
    </row>
    <row r="101" spans="1:22">
      <c r="A101" s="5">
        <f>A100+1</f>
        <v>73</v>
      </c>
      <c r="B101" t="s">
        <v>224</v>
      </c>
      <c r="D101" s="89">
        <v>163</v>
      </c>
      <c r="E101" s="89">
        <f>F101-D101</f>
        <v>-163</v>
      </c>
      <c r="F101" s="89">
        <v>0</v>
      </c>
      <c r="G101" s="89"/>
      <c r="H101" s="89"/>
      <c r="I101" s="19"/>
      <c r="J101" s="3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</row>
    <row r="102" spans="1:22">
      <c r="A102" s="5">
        <f t="shared" ref="A102:A103" si="39">A101+1</f>
        <v>74</v>
      </c>
      <c r="B102" s="17" t="s">
        <v>98</v>
      </c>
      <c r="C102" s="17"/>
      <c r="D102" s="89">
        <v>128314</v>
      </c>
      <c r="E102" s="39">
        <f>F102-D102</f>
        <v>-128314</v>
      </c>
      <c r="F102" s="19">
        <v>0</v>
      </c>
      <c r="G102" s="19"/>
      <c r="H102" s="19">
        <v>48</v>
      </c>
      <c r="I102" s="19"/>
      <c r="J102" s="3"/>
    </row>
    <row r="103" spans="1:22">
      <c r="A103" s="5">
        <f t="shared" si="39"/>
        <v>75</v>
      </c>
      <c r="B103" t="s">
        <v>19</v>
      </c>
      <c r="D103" s="105">
        <f>SUM(D100:D102)</f>
        <v>130309</v>
      </c>
      <c r="E103" s="19">
        <f>F103-D103</f>
        <v>-130309</v>
      </c>
      <c r="F103" s="21">
        <f>SUM(F100:F102)</f>
        <v>0</v>
      </c>
      <c r="G103" s="19"/>
      <c r="H103" s="19">
        <v>0</v>
      </c>
      <c r="I103" s="19"/>
      <c r="J103" s="3"/>
    </row>
    <row r="104" spans="1:22" ht="7.5" customHeight="1">
      <c r="A104" s="5" t="s">
        <v>9</v>
      </c>
      <c r="D104" s="19"/>
      <c r="E104" s="19"/>
      <c r="F104" s="19"/>
      <c r="G104" s="19"/>
      <c r="H104" s="39">
        <v>0</v>
      </c>
      <c r="I104" s="19"/>
      <c r="J104" s="3"/>
    </row>
    <row r="105" spans="1:22">
      <c r="A105" s="5"/>
      <c r="B105" s="44" t="s">
        <v>27</v>
      </c>
      <c r="D105" s="19"/>
      <c r="E105" s="19"/>
      <c r="F105" s="19" t="s">
        <v>9</v>
      </c>
      <c r="G105" s="19"/>
      <c r="H105" s="19">
        <v>48</v>
      </c>
      <c r="I105" s="19"/>
      <c r="J105" s="3"/>
    </row>
    <row r="106" spans="1:22">
      <c r="A106" s="5">
        <f>A103+1</f>
        <v>76</v>
      </c>
      <c r="B106" t="s">
        <v>25</v>
      </c>
      <c r="D106" s="89">
        <v>484</v>
      </c>
      <c r="E106" s="89">
        <f>F106-D106</f>
        <v>-45</v>
      </c>
      <c r="F106" s="89">
        <v>439</v>
      </c>
      <c r="G106" s="89"/>
      <c r="H106" s="89"/>
      <c r="I106" s="19"/>
      <c r="J106" s="3"/>
    </row>
    <row r="107" spans="1:22" ht="6.75" customHeight="1">
      <c r="A107" s="5"/>
      <c r="D107" s="89"/>
      <c r="E107" s="19"/>
      <c r="F107" s="89"/>
      <c r="G107" s="19"/>
      <c r="H107" s="19" t="s">
        <v>9</v>
      </c>
      <c r="I107" s="19"/>
      <c r="J107" s="3"/>
    </row>
    <row r="108" spans="1:22" ht="6" customHeight="1">
      <c r="A108" s="5"/>
      <c r="D108" s="19"/>
      <c r="E108" s="19"/>
      <c r="F108" s="19"/>
      <c r="G108" s="19"/>
      <c r="H108" s="19"/>
      <c r="I108" s="19"/>
      <c r="J108" s="3"/>
    </row>
    <row r="109" spans="1:22">
      <c r="A109" s="5">
        <f>A106+1</f>
        <v>77</v>
      </c>
      <c r="B109" s="41" t="s">
        <v>20</v>
      </c>
      <c r="C109" s="35"/>
      <c r="D109" s="42">
        <f>D97+D103+D106</f>
        <v>303607</v>
      </c>
      <c r="E109" s="42">
        <f>F109-D109</f>
        <v>-235811.54277978319</v>
      </c>
      <c r="F109" s="43">
        <f>F97+F103+F106</f>
        <v>67795.45722021682</v>
      </c>
      <c r="G109" s="19"/>
      <c r="H109" s="19">
        <v>24</v>
      </c>
      <c r="I109" s="19"/>
      <c r="J109" s="3"/>
    </row>
    <row r="110" spans="1:22" ht="7.5" customHeight="1">
      <c r="A110" s="5"/>
      <c r="D110" s="19"/>
      <c r="E110" s="19"/>
      <c r="F110" s="19"/>
      <c r="G110" s="19"/>
      <c r="H110" s="19"/>
      <c r="I110" s="19"/>
      <c r="J110" s="3"/>
    </row>
    <row r="111" spans="1:22">
      <c r="A111" s="5">
        <f>A109+1</f>
        <v>78</v>
      </c>
      <c r="B111" s="41" t="s">
        <v>145</v>
      </c>
      <c r="C111" s="35"/>
      <c r="D111" s="42">
        <f>D84-D109</f>
        <v>200403</v>
      </c>
      <c r="E111" s="42">
        <f>F111-D111</f>
        <v>-21568.030405877682</v>
      </c>
      <c r="F111" s="43">
        <f>F84-F109</f>
        <v>178834.96959412232</v>
      </c>
      <c r="G111" s="19"/>
      <c r="H111" s="42">
        <v>62497.890920372694</v>
      </c>
      <c r="I111" s="19"/>
      <c r="J111" s="3"/>
    </row>
    <row r="112" spans="1:22" ht="6" customHeight="1">
      <c r="A112" s="5"/>
      <c r="D112" s="19"/>
      <c r="E112" s="19"/>
      <c r="F112" s="19"/>
      <c r="G112" s="19"/>
      <c r="H112" s="19"/>
      <c r="I112" s="19"/>
      <c r="J112" s="3"/>
    </row>
    <row r="113" spans="1:22" ht="12.75" customHeight="1">
      <c r="A113" s="5"/>
      <c r="B113" s="2"/>
      <c r="D113" s="19"/>
      <c r="E113" s="143">
        <f>F111/D111-1</f>
        <v>-0.10762329109782631</v>
      </c>
      <c r="G113" s="19"/>
      <c r="H113" s="19"/>
      <c r="I113" s="19"/>
      <c r="J113" s="3"/>
    </row>
    <row r="114" spans="1:22" ht="9" customHeight="1">
      <c r="A114" s="5"/>
      <c r="B114" s="107"/>
      <c r="D114" s="19"/>
      <c r="F114"/>
      <c r="G114" s="19"/>
      <c r="H114" s="19"/>
      <c r="I114" s="19"/>
      <c r="J114" s="3"/>
    </row>
    <row r="115" spans="1:22" ht="12.75" customHeight="1">
      <c r="A115" s="5"/>
      <c r="B115" s="2"/>
      <c r="D115" s="3"/>
      <c r="J115" s="3"/>
    </row>
    <row r="116" spans="1:22">
      <c r="J116" s="3"/>
    </row>
    <row r="117" spans="1:22">
      <c r="J117" s="3">
        <f>SUM(K117:V117)</f>
        <v>160443718.96288732</v>
      </c>
      <c r="K117" s="25">
        <f t="shared" ref="K117:V117" si="40">K30+K46+K61-K97</f>
        <v>20755386.614111267</v>
      </c>
      <c r="L117" s="25">
        <f t="shared" si="40"/>
        <v>16580506.520312034</v>
      </c>
      <c r="M117" s="25">
        <f t="shared" si="40"/>
        <v>14812147.230982903</v>
      </c>
      <c r="N117" s="25">
        <f t="shared" si="40"/>
        <v>8188241.8947334047</v>
      </c>
      <c r="O117" s="25">
        <f t="shared" si="40"/>
        <v>3807445.619945867</v>
      </c>
      <c r="P117" s="25">
        <f t="shared" si="40"/>
        <v>3510378.5115083419</v>
      </c>
      <c r="Q117" s="25">
        <f t="shared" si="40"/>
        <v>11231499.941354936</v>
      </c>
      <c r="R117" s="25">
        <f t="shared" si="40"/>
        <v>17586519.94612883</v>
      </c>
      <c r="S117" s="25">
        <f t="shared" si="40"/>
        <v>14250366.874433111</v>
      </c>
      <c r="T117" s="25">
        <f t="shared" si="40"/>
        <v>14935052.124219105</v>
      </c>
      <c r="U117" s="25">
        <f t="shared" si="40"/>
        <v>16581361.086929662</v>
      </c>
      <c r="V117" s="25">
        <f t="shared" si="40"/>
        <v>18204812.598227851</v>
      </c>
    </row>
    <row r="118" spans="1:22">
      <c r="J118" s="3"/>
    </row>
    <row r="119" spans="1:22">
      <c r="J119" s="3"/>
    </row>
    <row r="120" spans="1:22">
      <c r="J120" s="3"/>
    </row>
    <row r="121" spans="1:22">
      <c r="J121" s="3"/>
    </row>
    <row r="122" spans="1:22">
      <c r="J122" s="3"/>
    </row>
    <row r="123" spans="1:22">
      <c r="J123" s="3"/>
    </row>
    <row r="124" spans="1:22">
      <c r="J124" s="3"/>
    </row>
    <row r="125" spans="1:22">
      <c r="J125" s="3"/>
    </row>
    <row r="126" spans="1:22">
      <c r="J126" s="3"/>
    </row>
    <row r="127" spans="1:22">
      <c r="J127" s="3"/>
    </row>
    <row r="128" spans="1:22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  <row r="690" spans="10:10">
      <c r="J690" s="3"/>
    </row>
  </sheetData>
  <phoneticPr fontId="6" type="noConversion"/>
  <pageMargins left="0.75" right="0.75" top="1" bottom="1" header="0.5" footer="0.5"/>
  <pageSetup scale="80" orientation="portrait" verticalDpi="4294967292" r:id="rId1"/>
  <headerFooter alignWithMargins="0">
    <oddHeader>&amp;R&amp;12Exhibit No.__ (WGJ-2)</oddHeader>
    <oddFooter>&amp;R&amp;"Arial,Regular"&amp;12Page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Q56"/>
  <sheetViews>
    <sheetView topLeftCell="A5" zoomScaleNormal="100" workbookViewId="0">
      <pane xSplit="6945" ySplit="1590" topLeftCell="J1" activePane="bottomRight"/>
      <selection activeCell="A7" sqref="A7"/>
      <selection pane="topRight" activeCell="D7" sqref="D7:O7"/>
      <selection pane="bottomLeft" activeCell="A5" sqref="A5"/>
      <selection pane="bottomRight" activeCell="O3" sqref="O3"/>
    </sheetView>
  </sheetViews>
  <sheetFormatPr defaultColWidth="11.42578125" defaultRowHeight="12.75"/>
  <cols>
    <col min="1" max="1" width="46.28515625" customWidth="1"/>
    <col min="2" max="2" width="2" hidden="1" customWidth="1"/>
    <col min="3" max="15" width="13.7109375" customWidth="1"/>
  </cols>
  <sheetData>
    <row r="1" spans="1:16" ht="18">
      <c r="A1" s="88" t="s">
        <v>31</v>
      </c>
    </row>
    <row r="2" spans="1:16" ht="18">
      <c r="A2" s="88" t="s">
        <v>121</v>
      </c>
    </row>
    <row r="3" spans="1:16" ht="18">
      <c r="A3" s="88" t="s">
        <v>230</v>
      </c>
      <c r="I3" s="14"/>
    </row>
    <row r="4" spans="1:16" ht="18">
      <c r="A4" s="88"/>
      <c r="B4" s="54"/>
      <c r="I4" s="14"/>
    </row>
    <row r="6" spans="1:16">
      <c r="C6" s="37"/>
      <c r="D6" s="37">
        <v>744</v>
      </c>
      <c r="E6" s="37">
        <v>672</v>
      </c>
      <c r="F6" s="37">
        <v>743</v>
      </c>
      <c r="G6" s="37">
        <v>720</v>
      </c>
      <c r="H6" s="37">
        <v>744</v>
      </c>
      <c r="I6" s="37">
        <v>720</v>
      </c>
      <c r="J6" s="37">
        <v>744</v>
      </c>
      <c r="K6" s="37">
        <v>744</v>
      </c>
      <c r="L6" s="37">
        <v>720</v>
      </c>
      <c r="M6" s="37">
        <v>744</v>
      </c>
      <c r="N6" s="37">
        <v>721</v>
      </c>
      <c r="O6" s="37">
        <v>744</v>
      </c>
    </row>
    <row r="7" spans="1:16">
      <c r="C7" s="23" t="s">
        <v>32</v>
      </c>
      <c r="D7" s="130">
        <v>40543</v>
      </c>
      <c r="E7" s="130">
        <v>40574</v>
      </c>
      <c r="F7" s="130">
        <v>40602</v>
      </c>
      <c r="G7" s="130">
        <v>40633</v>
      </c>
      <c r="H7" s="130">
        <v>40663</v>
      </c>
      <c r="I7" s="130">
        <v>40694</v>
      </c>
      <c r="J7" s="130">
        <v>40724</v>
      </c>
      <c r="K7" s="130">
        <v>40755</v>
      </c>
      <c r="L7" s="130">
        <v>40786</v>
      </c>
      <c r="M7" s="130">
        <v>40816</v>
      </c>
      <c r="N7" s="130">
        <v>40847</v>
      </c>
      <c r="O7" s="130">
        <v>40877</v>
      </c>
    </row>
    <row r="8" spans="1:16">
      <c r="C8" s="50"/>
    </row>
    <row r="9" spans="1:16">
      <c r="A9" t="s">
        <v>109</v>
      </c>
      <c r="B9" s="5" t="s">
        <v>52</v>
      </c>
      <c r="C9" s="38">
        <f>SUM(D9:O9)</f>
        <v>-40764956.96449168</v>
      </c>
      <c r="D9" s="25">
        <f>Aurora!B40*1000</f>
        <v>-3312231.4681530003</v>
      </c>
      <c r="E9" s="25">
        <f>Aurora!C40*1000</f>
        <v>-3451193.7351226802</v>
      </c>
      <c r="F9" s="25">
        <f>Aurora!D40*1000</f>
        <v>-4077477.9923439003</v>
      </c>
      <c r="G9" s="25">
        <f>Aurora!E40*1000</f>
        <v>-5106159.0660095196</v>
      </c>
      <c r="H9" s="25">
        <f>Aurora!F40*1000</f>
        <v>-3579419.4132327996</v>
      </c>
      <c r="I9" s="25">
        <f>Aurora!G40*1000</f>
        <v>-2427828.5412956001</v>
      </c>
      <c r="J9" s="25">
        <f>Aurora!H40*1000</f>
        <v>-2878497.25031853</v>
      </c>
      <c r="K9" s="25">
        <f>Aurora!I40*1000</f>
        <v>-1519475.25199056</v>
      </c>
      <c r="L9" s="25">
        <f>Aurora!J40*1000</f>
        <v>-3014379.3462753301</v>
      </c>
      <c r="M9" s="25">
        <f>Aurora!K40*1000</f>
        <v>-2776719.2771911602</v>
      </c>
      <c r="N9" s="25">
        <f>Aurora!L40*1000</f>
        <v>-4098485.1028442401</v>
      </c>
      <c r="O9" s="25">
        <f>Aurora!M40*1000</f>
        <v>-4523090.5197143601</v>
      </c>
      <c r="P9" s="25"/>
    </row>
    <row r="10" spans="1:16">
      <c r="A10" t="s">
        <v>110</v>
      </c>
      <c r="C10" s="26">
        <f>SUM(D10:O10)</f>
        <v>-1433096.4227202416</v>
      </c>
      <c r="D10" s="3">
        <f>Aurora!B36*1000</f>
        <v>-95423.656396484395</v>
      </c>
      <c r="E10" s="3">
        <f>Aurora!C36*1000</f>
        <v>-98551.157324218701</v>
      </c>
      <c r="F10" s="3">
        <f>Aurora!D36*1000</f>
        <v>-121219.08291015599</v>
      </c>
      <c r="G10" s="3">
        <f>Aurora!E36*1000</f>
        <v>-188241.34335937499</v>
      </c>
      <c r="H10" s="3">
        <f>Aurora!F36*1000</f>
        <v>-200066.50283203099</v>
      </c>
      <c r="I10" s="3">
        <f>Aurora!G36*1000</f>
        <v>-179576.711523437</v>
      </c>
      <c r="J10" s="3">
        <f>Aurora!H36*1000</f>
        <v>-102805.98761596701</v>
      </c>
      <c r="K10" s="3">
        <f>Aurora!I36*1000</f>
        <v>-44910.395718288397</v>
      </c>
      <c r="L10" s="3">
        <f>Aurora!J36*1000</f>
        <v>-77935.288458251904</v>
      </c>
      <c r="M10" s="3">
        <f>Aurora!K36*1000</f>
        <v>-80340.0234375</v>
      </c>
      <c r="N10" s="3">
        <f>Aurora!L36*1000</f>
        <v>-120224.77910156299</v>
      </c>
      <c r="O10" s="3">
        <f>Aurora!M36*1000</f>
        <v>-123801.494042969</v>
      </c>
    </row>
    <row r="11" spans="1:16" hidden="1">
      <c r="A11" t="s">
        <v>53</v>
      </c>
      <c r="C11" s="28">
        <f>C9/C10</f>
        <v>28.445369284443125</v>
      </c>
      <c r="D11" s="29">
        <f>D9/D10</f>
        <v>34.710800164591362</v>
      </c>
      <c r="E11" s="29">
        <f t="shared" ref="E11:O11" si="0">E9/E10</f>
        <v>35.019312089545174</v>
      </c>
      <c r="F11" s="29">
        <f t="shared" si="0"/>
        <v>33.637261514063809</v>
      </c>
      <c r="G11" s="29">
        <f t="shared" si="0"/>
        <v>27.125598313762868</v>
      </c>
      <c r="H11" s="29">
        <f t="shared" si="0"/>
        <v>17.891148006110537</v>
      </c>
      <c r="I11" s="29">
        <f t="shared" si="0"/>
        <v>13.51972937191657</v>
      </c>
      <c r="J11" s="29">
        <f t="shared" si="0"/>
        <v>27.999315186496634</v>
      </c>
      <c r="K11" s="29">
        <f t="shared" si="0"/>
        <v>33.833486160350169</v>
      </c>
      <c r="L11" s="29">
        <f t="shared" si="0"/>
        <v>38.677977664637268</v>
      </c>
      <c r="M11" s="29">
        <f t="shared" si="0"/>
        <v>34.562091948495521</v>
      </c>
      <c r="N11" s="29">
        <f t="shared" si="0"/>
        <v>34.090186178524306</v>
      </c>
      <c r="O11" s="29">
        <f t="shared" si="0"/>
        <v>36.535023706131419</v>
      </c>
    </row>
    <row r="12" spans="1:16">
      <c r="A12" t="s">
        <v>108</v>
      </c>
      <c r="C12" s="51">
        <f>C9/C10</f>
        <v>28.445369284443125</v>
      </c>
      <c r="D12" s="49">
        <f>D9/D10</f>
        <v>34.710800164591362</v>
      </c>
      <c r="E12" s="49">
        <f t="shared" ref="E12:O12" si="1">E9/E10</f>
        <v>35.019312089545174</v>
      </c>
      <c r="F12" s="49">
        <f t="shared" si="1"/>
        <v>33.637261514063809</v>
      </c>
      <c r="G12" s="49">
        <f t="shared" si="1"/>
        <v>27.125598313762868</v>
      </c>
      <c r="H12" s="49">
        <f t="shared" si="1"/>
        <v>17.891148006110537</v>
      </c>
      <c r="I12" s="49">
        <f t="shared" si="1"/>
        <v>13.51972937191657</v>
      </c>
      <c r="J12" s="49">
        <f t="shared" si="1"/>
        <v>27.999315186496634</v>
      </c>
      <c r="K12" s="49">
        <f t="shared" si="1"/>
        <v>33.833486160350169</v>
      </c>
      <c r="L12" s="49">
        <f t="shared" si="1"/>
        <v>38.677977664637268</v>
      </c>
      <c r="M12" s="49">
        <f t="shared" si="1"/>
        <v>34.562091948495521</v>
      </c>
      <c r="N12" s="49">
        <f t="shared" si="1"/>
        <v>34.090186178524306</v>
      </c>
      <c r="O12" s="49">
        <f t="shared" si="1"/>
        <v>36.535023706131419</v>
      </c>
    </row>
    <row r="13" spans="1:16">
      <c r="A13" t="s">
        <v>111</v>
      </c>
      <c r="B13" s="5" t="s">
        <v>52</v>
      </c>
      <c r="C13" s="38">
        <f>SUM(D13:O13)</f>
        <v>19717182.742169503</v>
      </c>
      <c r="D13" s="25">
        <f>Aurora!B39*1000</f>
        <v>1264297.3930597301</v>
      </c>
      <c r="E13" s="25">
        <f>Aurora!C39*1000</f>
        <v>757194.04040575004</v>
      </c>
      <c r="F13" s="25">
        <f>Aurora!D39*1000</f>
        <v>758497.91094064701</v>
      </c>
      <c r="G13" s="25">
        <f>Aurora!E39*1000</f>
        <v>488500.79388171399</v>
      </c>
      <c r="H13" s="25">
        <f>Aurora!F39*1000</f>
        <v>293114.18789178098</v>
      </c>
      <c r="I13" s="25">
        <f>Aurora!G39*1000</f>
        <v>395586.70171499299</v>
      </c>
      <c r="J13" s="25">
        <f>Aurora!H39*1000</f>
        <v>2410489.74170685</v>
      </c>
      <c r="K13" s="25">
        <f>Aurora!I39*1000</f>
        <v>5007776.92089081</v>
      </c>
      <c r="L13" s="25">
        <f>Aurora!J39*1000</f>
        <v>2853988.4368896503</v>
      </c>
      <c r="M13" s="25">
        <f>Aurora!K39*1000</f>
        <v>2418458.2258224501</v>
      </c>
      <c r="N13" s="25">
        <f>Aurora!L39*1000</f>
        <v>1598939.6069884298</v>
      </c>
      <c r="O13" s="25">
        <f>Aurora!M39*1000</f>
        <v>1470338.7819766998</v>
      </c>
    </row>
    <row r="14" spans="1:16" s="3" customFormat="1">
      <c r="A14" s="3" t="s">
        <v>115</v>
      </c>
      <c r="C14" s="27">
        <f>SUM(D14:O14)</f>
        <v>501678.29148616781</v>
      </c>
      <c r="D14" s="3">
        <f>Aurora!B35*1000</f>
        <v>36997.687557983401</v>
      </c>
      <c r="E14" s="3">
        <f>Aurora!C35*1000</f>
        <v>23036.784185218799</v>
      </c>
      <c r="F14" s="3">
        <f>Aurora!D35*1000</f>
        <v>23592.842081069899</v>
      </c>
      <c r="G14" s="3">
        <f>Aurora!E35*1000</f>
        <v>14837.243264675099</v>
      </c>
      <c r="H14" s="3">
        <f>Aurora!F35*1000</f>
        <v>11231.1498381615</v>
      </c>
      <c r="I14" s="3">
        <f>Aurora!G35*1000</f>
        <v>17538.0911624908</v>
      </c>
      <c r="J14" s="3">
        <f>Aurora!H35*1000</f>
        <v>53433.4555877686</v>
      </c>
      <c r="K14" s="3">
        <f>Aurora!I35*1000</f>
        <v>122242.77891845698</v>
      </c>
      <c r="L14" s="3">
        <f>Aurora!J35*1000</f>
        <v>64641.030817604107</v>
      </c>
      <c r="M14" s="3">
        <f>Aurora!K35*1000</f>
        <v>58516.435385131801</v>
      </c>
      <c r="N14" s="3">
        <f>Aurora!L35*1000</f>
        <v>39401.381742477402</v>
      </c>
      <c r="O14" s="3">
        <f>Aurora!M35*1000</f>
        <v>36209.410945129399</v>
      </c>
    </row>
    <row r="15" spans="1:16" hidden="1">
      <c r="A15" s="3" t="s">
        <v>54</v>
      </c>
      <c r="C15" s="28">
        <f>C13/C14</f>
        <v>39.302443571475806</v>
      </c>
      <c r="D15" s="29">
        <f>D13/D14</f>
        <v>34.172335529843636</v>
      </c>
      <c r="E15" s="29">
        <f t="shared" ref="E15:O15" si="2">E13/E14</f>
        <v>32.868912358504971</v>
      </c>
      <c r="F15" s="29">
        <f t="shared" si="2"/>
        <v>32.149492983265468</v>
      </c>
      <c r="G15" s="29">
        <f t="shared" si="2"/>
        <v>32.92395933446408</v>
      </c>
      <c r="H15" s="29">
        <f t="shared" si="2"/>
        <v>26.098324046557529</v>
      </c>
      <c r="I15" s="29">
        <f t="shared" si="2"/>
        <v>22.555858448326759</v>
      </c>
      <c r="J15" s="29">
        <f t="shared" si="2"/>
        <v>45.111994258867149</v>
      </c>
      <c r="K15" s="29">
        <f t="shared" si="2"/>
        <v>40.965830171705171</v>
      </c>
      <c r="L15" s="29">
        <f t="shared" si="2"/>
        <v>44.151344754118696</v>
      </c>
      <c r="M15" s="29">
        <f t="shared" si="2"/>
        <v>41.32955484907999</v>
      </c>
      <c r="N15" s="29">
        <f t="shared" si="2"/>
        <v>40.580800374943777</v>
      </c>
      <c r="O15" s="29">
        <f t="shared" si="2"/>
        <v>40.606536908451922</v>
      </c>
    </row>
    <row r="16" spans="1:16">
      <c r="A16" s="3" t="s">
        <v>113</v>
      </c>
      <c r="C16" s="51">
        <f>C13/C14</f>
        <v>39.302443571475806</v>
      </c>
      <c r="D16" s="49">
        <f>D13/D14</f>
        <v>34.172335529843636</v>
      </c>
      <c r="E16" s="49">
        <f t="shared" ref="E16:O16" si="3">E13/E14</f>
        <v>32.868912358504971</v>
      </c>
      <c r="F16" s="49">
        <f t="shared" si="3"/>
        <v>32.149492983265468</v>
      </c>
      <c r="G16" s="49">
        <f t="shared" si="3"/>
        <v>32.92395933446408</v>
      </c>
      <c r="H16" s="49">
        <f t="shared" si="3"/>
        <v>26.098324046557529</v>
      </c>
      <c r="I16" s="49"/>
      <c r="J16" s="49">
        <f t="shared" si="3"/>
        <v>45.111994258867149</v>
      </c>
      <c r="K16" s="49">
        <f t="shared" si="3"/>
        <v>40.965830171705171</v>
      </c>
      <c r="L16" s="49">
        <f t="shared" si="3"/>
        <v>44.151344754118696</v>
      </c>
      <c r="M16" s="49">
        <f t="shared" si="3"/>
        <v>41.32955484907999</v>
      </c>
      <c r="N16" s="49">
        <f t="shared" si="3"/>
        <v>40.580800374943777</v>
      </c>
      <c r="O16" s="49">
        <f t="shared" si="3"/>
        <v>40.606536908451922</v>
      </c>
    </row>
    <row r="17" spans="1:17">
      <c r="A17" t="s">
        <v>112</v>
      </c>
      <c r="C17" s="27">
        <f>C14+C10</f>
        <v>-931418.13123407378</v>
      </c>
      <c r="D17" s="19">
        <f>D14+D10</f>
        <v>-58425.968838500994</v>
      </c>
      <c r="E17" s="19">
        <f>E14+E10</f>
        <v>-75514.373138999901</v>
      </c>
      <c r="F17" s="19">
        <f t="shared" ref="F17:O17" si="4">F14+F10</f>
        <v>-97626.240829086091</v>
      </c>
      <c r="G17" s="19">
        <f t="shared" si="4"/>
        <v>-173404.10009469988</v>
      </c>
      <c r="H17" s="19">
        <f t="shared" si="4"/>
        <v>-188835.35299386948</v>
      </c>
      <c r="I17" s="19">
        <f t="shared" si="4"/>
        <v>-162038.6203609462</v>
      </c>
      <c r="J17" s="19">
        <f t="shared" si="4"/>
        <v>-49372.53202819841</v>
      </c>
      <c r="K17" s="19">
        <f t="shared" si="4"/>
        <v>77332.383200168581</v>
      </c>
      <c r="L17" s="19">
        <f t="shared" si="4"/>
        <v>-13294.257640647797</v>
      </c>
      <c r="M17" s="19">
        <f t="shared" si="4"/>
        <v>-21823.588052368199</v>
      </c>
      <c r="N17" s="19">
        <f t="shared" si="4"/>
        <v>-80823.397359085589</v>
      </c>
      <c r="O17" s="19">
        <f t="shared" si="4"/>
        <v>-87592.083097839612</v>
      </c>
    </row>
    <row r="18" spans="1:17">
      <c r="A18" t="s">
        <v>114</v>
      </c>
      <c r="C18" s="115">
        <f>C17/8760</f>
        <v>-106.32627068882121</v>
      </c>
      <c r="D18" s="3">
        <f>D17/D6</f>
        <v>-78.529528008737898</v>
      </c>
      <c r="E18" s="3">
        <f t="shared" ref="E18:O18" si="5">E17/E6</f>
        <v>-112.37257907589272</v>
      </c>
      <c r="F18" s="3">
        <f t="shared" si="5"/>
        <v>-131.39467137158289</v>
      </c>
      <c r="G18" s="3">
        <f t="shared" si="5"/>
        <v>-240.8390279093054</v>
      </c>
      <c r="H18" s="3">
        <f t="shared" si="5"/>
        <v>-253.8109583250934</v>
      </c>
      <c r="I18" s="3">
        <f t="shared" si="5"/>
        <v>-225.05363939020305</v>
      </c>
      <c r="J18" s="3">
        <f t="shared" si="5"/>
        <v>-66.360930145427972</v>
      </c>
      <c r="K18" s="3">
        <f t="shared" si="5"/>
        <v>103.94137526904379</v>
      </c>
      <c r="L18" s="3">
        <f t="shared" si="5"/>
        <v>-18.464246723121938</v>
      </c>
      <c r="M18" s="3">
        <f t="shared" si="5"/>
        <v>-29.332779640279838</v>
      </c>
      <c r="N18" s="3">
        <f t="shared" si="5"/>
        <v>-112.0990254633642</v>
      </c>
      <c r="O18" s="3">
        <f t="shared" si="5"/>
        <v>-117.73129448634356</v>
      </c>
    </row>
    <row r="19" spans="1:17">
      <c r="A19" t="s">
        <v>116</v>
      </c>
      <c r="C19" s="79">
        <f>(-C9+C13)/(-C10+C14)</f>
        <v>31.260559310890759</v>
      </c>
      <c r="D19" s="29">
        <f>(-D9+D13)/(-D10+D14)</f>
        <v>34.560356544835699</v>
      </c>
      <c r="E19" s="29">
        <f>(-E9+E13)/(-E10+E14)</f>
        <v>34.611884396461967</v>
      </c>
      <c r="F19" s="29">
        <f t="shared" ref="F19:O19" si="6">(-F9+F13)/(-F10+F14)</f>
        <v>33.394873409614277</v>
      </c>
      <c r="G19" s="29">
        <f t="shared" si="6"/>
        <v>27.549235755950804</v>
      </c>
      <c r="H19" s="29">
        <f t="shared" si="6"/>
        <v>18.32738580948218</v>
      </c>
      <c r="I19" s="29">
        <f t="shared" si="6"/>
        <v>14.323709861147629</v>
      </c>
      <c r="J19" s="29">
        <f t="shared" si="6"/>
        <v>33.85180389518262</v>
      </c>
      <c r="K19" s="29">
        <f t="shared" si="6"/>
        <v>39.049525604681399</v>
      </c>
      <c r="L19" s="29">
        <f t="shared" si="6"/>
        <v>41.159484358765695</v>
      </c>
      <c r="M19" s="29">
        <f t="shared" si="6"/>
        <v>37.414014062173855</v>
      </c>
      <c r="N19" s="29">
        <f t="shared" si="6"/>
        <v>35.692299305495588</v>
      </c>
      <c r="O19" s="29">
        <f t="shared" si="6"/>
        <v>37.456380251938775</v>
      </c>
    </row>
    <row r="20" spans="1:17">
      <c r="C20" s="28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7" s="3" customFormat="1">
      <c r="A21" s="3" t="s">
        <v>33</v>
      </c>
      <c r="C21" s="27">
        <f>SUM(D21:O21)</f>
        <v>1558598.5300292964</v>
      </c>
      <c r="D21" s="3">
        <f>Aurora!B6*1000</f>
        <v>145236.3577636719</v>
      </c>
      <c r="E21" s="3">
        <f>Aurora!C6*1000</f>
        <v>131874.31982421869</v>
      </c>
      <c r="F21" s="3">
        <f>Aurora!D6*1000</f>
        <v>142903.21411132812</v>
      </c>
      <c r="G21" s="3">
        <f>Aurora!E6*1000</f>
        <v>110014.1258300781</v>
      </c>
      <c r="H21" s="3">
        <f>Aurora!F6*1000</f>
        <v>86577.995629882789</v>
      </c>
      <c r="I21" s="3">
        <f>Aurora!G6*1000</f>
        <v>82248.763647460903</v>
      </c>
      <c r="J21" s="3">
        <f>Aurora!H6*1000</f>
        <v>130984.65307617189</v>
      </c>
      <c r="K21" s="3">
        <f>Aurora!I6*1000</f>
        <v>144957.53427734372</v>
      </c>
      <c r="L21" s="3">
        <f>Aurora!J6*1000</f>
        <v>144654.08544921881</v>
      </c>
      <c r="M21" s="3">
        <f>Aurora!K6*1000</f>
        <v>149478.9993164062</v>
      </c>
      <c r="N21" s="3">
        <f>Aurora!L6*1000</f>
        <v>143902.52060546872</v>
      </c>
      <c r="O21" s="3">
        <f>Aurora!M6*1000</f>
        <v>145765.96049804689</v>
      </c>
      <c r="P21" s="3">
        <f>C21/8784</f>
        <v>177.43608037674139</v>
      </c>
      <c r="Q21" s="114">
        <f>P21/230</f>
        <v>0.77146121902931042</v>
      </c>
    </row>
    <row r="22" spans="1:17">
      <c r="A22" s="3" t="s">
        <v>104</v>
      </c>
      <c r="C22" s="73">
        <f>C23/C21</f>
        <v>14.461089176117646</v>
      </c>
      <c r="D22" s="76">
        <f>D23/D21</f>
        <v>13.890660487854547</v>
      </c>
      <c r="E22" s="76">
        <f t="shared" ref="E22:O22" si="7">E23/E21</f>
        <v>14.340480454084991</v>
      </c>
      <c r="F22" s="76">
        <f t="shared" si="7"/>
        <v>13.974369783261219</v>
      </c>
      <c r="G22" s="76">
        <f t="shared" si="7"/>
        <v>15.415766880332844</v>
      </c>
      <c r="H22" s="76">
        <f t="shared" si="7"/>
        <v>17.142283715664025</v>
      </c>
      <c r="I22" s="76">
        <f t="shared" si="7"/>
        <v>17.648397810270392</v>
      </c>
      <c r="J22" s="76">
        <f t="shared" si="7"/>
        <v>14.497205819129066</v>
      </c>
      <c r="K22" s="76">
        <f t="shared" si="7"/>
        <v>13.910015590564077</v>
      </c>
      <c r="L22" s="76">
        <f t="shared" si="7"/>
        <v>13.886424861931607</v>
      </c>
      <c r="M22" s="76">
        <f t="shared" si="7"/>
        <v>13.743516629827745</v>
      </c>
      <c r="N22" s="76">
        <f t="shared" si="7"/>
        <v>13.915049812508339</v>
      </c>
      <c r="O22" s="76">
        <f t="shared" si="7"/>
        <v>13.865002252659556</v>
      </c>
    </row>
    <row r="23" spans="1:17">
      <c r="A23" t="s">
        <v>34</v>
      </c>
      <c r="C23" s="30">
        <f>SUM(D23:O23)</f>
        <v>22539032.332519531</v>
      </c>
      <c r="D23" s="31">
        <f>Aurora!B26*1000</f>
        <v>2017428.9361877441</v>
      </c>
      <c r="E23" s="31">
        <f>Aurora!C26*1000</f>
        <v>1891141.1058349609</v>
      </c>
      <c r="F23" s="31">
        <f>Aurora!D26*1000</f>
        <v>1996982.357208252</v>
      </c>
      <c r="G23" s="31">
        <f>Aurora!E26*1000</f>
        <v>1695952.1173400881</v>
      </c>
      <c r="H23" s="31">
        <f>Aurora!F26*1000</f>
        <v>1484144.564620971</v>
      </c>
      <c r="I23" s="31">
        <f>Aurora!G26*1000</f>
        <v>1451558.9002532961</v>
      </c>
      <c r="J23" s="31">
        <f>Aurora!H26*1000</f>
        <v>1898911.4747924809</v>
      </c>
      <c r="K23" s="31">
        <f>Aurora!I26*1000</f>
        <v>2016361.5617675777</v>
      </c>
      <c r="L23" s="31">
        <f>Aurora!J26*1000</f>
        <v>2008728.0885620113</v>
      </c>
      <c r="M23" s="31">
        <f>Aurora!K26*1000</f>
        <v>2054367.1129150388</v>
      </c>
      <c r="N23" s="31">
        <f>Aurora!L26*1000</f>
        <v>2002410.742370605</v>
      </c>
      <c r="O23" s="31">
        <f>Aurora!M26*1000</f>
        <v>2021045.3706665039</v>
      </c>
    </row>
    <row r="24" spans="1:17">
      <c r="C24" s="28"/>
    </row>
    <row r="25" spans="1:17" s="3" customFormat="1">
      <c r="A25" s="3" t="s">
        <v>35</v>
      </c>
      <c r="C25" s="27">
        <f>SUM(D25:O25)</f>
        <v>262397.55803890224</v>
      </c>
      <c r="D25" s="3">
        <f>Aurora!B8*1000</f>
        <v>28973.129165649396</v>
      </c>
      <c r="E25" s="3">
        <f>Aurora!C8*1000</f>
        <v>26475.230975341801</v>
      </c>
      <c r="F25" s="3">
        <f>Aurora!D8*1000</f>
        <v>25788.598831176801</v>
      </c>
      <c r="G25" s="3">
        <f>Aurora!E8*1000</f>
        <v>16469.662791442901</v>
      </c>
      <c r="H25" s="3">
        <f>Aurora!F8*1000</f>
        <v>6934.1546253204297</v>
      </c>
      <c r="I25" s="3">
        <f>Aurora!G8*1000</f>
        <v>1247.88176460266</v>
      </c>
      <c r="J25" s="3">
        <f>Aurora!H8*1000</f>
        <v>11151.3199979782</v>
      </c>
      <c r="K25" s="3">
        <f>Aurora!I8*1000</f>
        <v>23895.3433853149</v>
      </c>
      <c r="L25" s="3">
        <f>Aurora!J8*1000</f>
        <v>30388.9306488037</v>
      </c>
      <c r="M25" s="3">
        <f>Aurora!K8*1000</f>
        <v>31582.078161621099</v>
      </c>
      <c r="N25" s="3">
        <f>Aurora!L8*1000</f>
        <v>28841.700549316403</v>
      </c>
      <c r="O25" s="3">
        <f>Aurora!M8*1000</f>
        <v>30649.527142333998</v>
      </c>
      <c r="P25" s="3">
        <f>C25/8760</f>
        <v>29.954059136860987</v>
      </c>
    </row>
    <row r="26" spans="1:17">
      <c r="A26" s="3" t="s">
        <v>103</v>
      </c>
      <c r="C26" s="73">
        <f t="shared" ref="C26:O26" si="8">C27/C25</f>
        <v>21.494925448943764</v>
      </c>
      <c r="D26" s="76">
        <f>D27/D25</f>
        <v>21.495435227705375</v>
      </c>
      <c r="E26" s="76">
        <f t="shared" si="8"/>
        <v>21.487131856131342</v>
      </c>
      <c r="F26" s="76">
        <f t="shared" si="8"/>
        <v>21.523621401691326</v>
      </c>
      <c r="G26" s="76">
        <f t="shared" si="8"/>
        <v>21.676678779467512</v>
      </c>
      <c r="H26" s="76">
        <f t="shared" si="8"/>
        <v>21.767732958597236</v>
      </c>
      <c r="I26" s="76"/>
      <c r="J26" s="76">
        <f t="shared" si="8"/>
        <v>21.628535549763125</v>
      </c>
      <c r="K26" s="76">
        <f t="shared" si="8"/>
        <v>21.502000255124855</v>
      </c>
      <c r="L26" s="76">
        <f t="shared" si="8"/>
        <v>21.412079167271003</v>
      </c>
      <c r="M26" s="76">
        <f t="shared" si="8"/>
        <v>21.415309558002996</v>
      </c>
      <c r="N26" s="76">
        <f t="shared" si="8"/>
        <v>21.45899553340378</v>
      </c>
      <c r="O26" s="76">
        <f t="shared" si="8"/>
        <v>21.455045864836951</v>
      </c>
    </row>
    <row r="27" spans="1:17">
      <c r="A27" t="s">
        <v>36</v>
      </c>
      <c r="C27" s="30">
        <f>SUM(D27:O27)</f>
        <v>5640215.9480310977</v>
      </c>
      <c r="D27" s="32">
        <f>Aurora!B28*1000</f>
        <v>622790.02132415806</v>
      </c>
      <c r="E27" s="32">
        <f>Aurora!C28*1000</f>
        <v>568876.77888870204</v>
      </c>
      <c r="F27" s="32">
        <f>Aurora!D28*1000</f>
        <v>555064.03772234893</v>
      </c>
      <c r="G27" s="32">
        <f>Aurora!E28*1000</f>
        <v>357007.589936256</v>
      </c>
      <c r="H27" s="32">
        <f>Aurora!F28*1000</f>
        <v>150940.82617759699</v>
      </c>
      <c r="I27" s="32">
        <f>Aurora!G28*1000</f>
        <v>27021.1903966963</v>
      </c>
      <c r="J27" s="32">
        <f>Aurora!H28*1000</f>
        <v>241186.72100305598</v>
      </c>
      <c r="K27" s="32">
        <f>Aurora!I28*1000</f>
        <v>513797.67956733704</v>
      </c>
      <c r="L27" s="32">
        <f>Aurora!J28*1000</f>
        <v>650690.18886089302</v>
      </c>
      <c r="M27" s="32">
        <f>Aurora!K28*1000</f>
        <v>676339.98031616199</v>
      </c>
      <c r="N27" s="32">
        <f>Aurora!L28*1000</f>
        <v>618913.92326355004</v>
      </c>
      <c r="O27" s="32">
        <f>Aurora!M28*1000</f>
        <v>657587.01057434094</v>
      </c>
    </row>
    <row r="28" spans="1:17">
      <c r="C28" s="7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>
      <c r="A29" t="s">
        <v>91</v>
      </c>
      <c r="C29" s="27">
        <f>SUM(D29:O29)</f>
        <v>1367106.6133544918</v>
      </c>
      <c r="D29" s="3">
        <f>Aurora!B7*1000</f>
        <v>155635.37720947299</v>
      </c>
      <c r="E29" s="3">
        <f>Aurora!C7*1000</f>
        <v>145469.806604004</v>
      </c>
      <c r="F29" s="3">
        <f>Aurora!D7*1000</f>
        <v>147948.44501953101</v>
      </c>
      <c r="G29" s="3">
        <f>Aurora!E7*1000</f>
        <v>95113.253662109404</v>
      </c>
      <c r="H29" s="3">
        <f>Aurora!F7*1000</f>
        <v>42958.522677612302</v>
      </c>
      <c r="I29" s="3">
        <f>Aurora!G7*1000</f>
        <v>28977.790457153296</v>
      </c>
      <c r="J29" s="3">
        <f>Aurora!H7*1000</f>
        <v>80192.812854003903</v>
      </c>
      <c r="K29" s="3">
        <f>Aurora!I7*1000</f>
        <v>118001.29312744099</v>
      </c>
      <c r="L29" s="3">
        <f>Aurora!J7*1000</f>
        <v>129071.35354003898</v>
      </c>
      <c r="M29" s="3">
        <f>Aurora!K7*1000</f>
        <v>139306.772314453</v>
      </c>
      <c r="N29" s="3">
        <f>Aurora!L7*1000</f>
        <v>136217.98491210901</v>
      </c>
      <c r="O29" s="3">
        <f>Aurora!M7*1000</f>
        <v>148213.20097656301</v>
      </c>
      <c r="P29" s="3">
        <f>C29/8784</f>
        <v>155.63599878807966</v>
      </c>
    </row>
    <row r="30" spans="1:17">
      <c r="A30" t="s">
        <v>101</v>
      </c>
      <c r="C30" s="73">
        <f>C31/C29</f>
        <v>27.993564112101957</v>
      </c>
      <c r="D30" s="76">
        <f>D31/D29</f>
        <v>29.110130548290211</v>
      </c>
      <c r="E30" s="76">
        <f t="shared" ref="E30:O30" si="9">E31/E29</f>
        <v>28.935708274454054</v>
      </c>
      <c r="F30" s="76">
        <f t="shared" si="9"/>
        <v>28.520919787184781</v>
      </c>
      <c r="G30" s="76">
        <f t="shared" si="9"/>
        <v>26.433386506968144</v>
      </c>
      <c r="H30" s="76">
        <f t="shared" si="9"/>
        <v>26.843572601776692</v>
      </c>
      <c r="I30" s="76">
        <f t="shared" si="9"/>
        <v>26.973417856944145</v>
      </c>
      <c r="J30" s="76">
        <f t="shared" si="9"/>
        <v>27.178161929013868</v>
      </c>
      <c r="K30" s="76">
        <f t="shared" si="9"/>
        <v>27.056156799790365</v>
      </c>
      <c r="L30" s="76">
        <f t="shared" si="9"/>
        <v>26.924758022657812</v>
      </c>
      <c r="M30" s="76">
        <f t="shared" si="9"/>
        <v>27.17258673375061</v>
      </c>
      <c r="N30" s="76">
        <f t="shared" si="9"/>
        <v>28.316170110932486</v>
      </c>
      <c r="O30" s="76">
        <f t="shared" si="9"/>
        <v>29.497375891067207</v>
      </c>
    </row>
    <row r="31" spans="1:17">
      <c r="A31" t="s">
        <v>89</v>
      </c>
      <c r="C31" s="30">
        <f>SUM(D31:O31)</f>
        <v>38270186.629017547</v>
      </c>
      <c r="D31" s="25">
        <f>Aurora!B27*1000</f>
        <v>4530566.1485001501</v>
      </c>
      <c r="E31" s="25">
        <f>Aurora!C27*1000</f>
        <v>4209271.8866347093</v>
      </c>
      <c r="F31" s="25">
        <f>Aurora!D27*1000</f>
        <v>4219625.7330407612</v>
      </c>
      <c r="G31" s="25">
        <f>Aurora!E27*1000</f>
        <v>2514165.3959858413</v>
      </c>
      <c r="H31" s="25">
        <f>Aurora!F27*1000</f>
        <v>1153160.2223615563</v>
      </c>
      <c r="I31" s="25">
        <f>Aurora!G27*1000</f>
        <v>781630.05057176435</v>
      </c>
      <c r="J31" s="25">
        <f>Aurora!H27*1000</f>
        <v>2179493.2532892227</v>
      </c>
      <c r="K31" s="25">
        <f>Aurora!I27*1000</f>
        <v>3192661.4894340686</v>
      </c>
      <c r="L31" s="25">
        <f>Aurora!J27*1000</f>
        <v>3475214.9617224676</v>
      </c>
      <c r="M31" s="25">
        <f>Aurora!K27*1000</f>
        <v>3785325.3533133222</v>
      </c>
      <c r="N31" s="25">
        <f>Aurora!L27*1000</f>
        <v>3857171.6329397135</v>
      </c>
      <c r="O31" s="25">
        <f>Aurora!M27*1000</f>
        <v>4371900.5012239683</v>
      </c>
    </row>
    <row r="32" spans="1:17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7">
      <c r="A33" t="s">
        <v>175</v>
      </c>
      <c r="C33" s="27">
        <f>SUM(D33:O33)</f>
        <v>1324731.4922470087</v>
      </c>
      <c r="D33" s="3">
        <f>Aurora!B10*1000</f>
        <v>153197.97408447301</v>
      </c>
      <c r="E33" s="3">
        <f>Aurora!C10*1000</f>
        <v>143072.75895996101</v>
      </c>
      <c r="F33" s="3">
        <f>Aurora!D10*1000</f>
        <v>147848.62321777301</v>
      </c>
      <c r="G33" s="3">
        <f>Aurora!E10*1000</f>
        <v>93021.392510986305</v>
      </c>
      <c r="H33" s="3">
        <f>Aurora!F10*1000</f>
        <v>37944.3737838745</v>
      </c>
      <c r="I33" s="3">
        <f>Aurora!G10*1000</f>
        <v>30141.211201477101</v>
      </c>
      <c r="J33" s="3">
        <f>Aurora!H10*1000</f>
        <v>72827.138798522996</v>
      </c>
      <c r="K33" s="3">
        <f>Aurora!I10*1000</f>
        <v>107902.09573974599</v>
      </c>
      <c r="L33" s="3">
        <f>Aurora!J10*1000</f>
        <v>122469.488793945</v>
      </c>
      <c r="M33" s="3">
        <f>Aurora!K10*1000</f>
        <v>138335.35942382799</v>
      </c>
      <c r="N33" s="3">
        <f>Aurora!L10*1000</f>
        <v>135192.34609375001</v>
      </c>
      <c r="O33" s="3">
        <f>Aurora!M10*1000</f>
        <v>142778.729638672</v>
      </c>
      <c r="P33" s="3">
        <f>C33/8784</f>
        <v>150.81187297893996</v>
      </c>
    </row>
    <row r="34" spans="1:17">
      <c r="A34" t="s">
        <v>176</v>
      </c>
      <c r="C34" s="73">
        <f>C35/C33</f>
        <v>28.621248468586799</v>
      </c>
      <c r="D34" s="76">
        <f>D35/D33</f>
        <v>29.617209466444198</v>
      </c>
      <c r="E34" s="76">
        <f t="shared" ref="E34:O34" si="10">E35/E33</f>
        <v>29.432057469445727</v>
      </c>
      <c r="F34" s="76">
        <f t="shared" si="10"/>
        <v>29.045986955859068</v>
      </c>
      <c r="G34" s="76">
        <f t="shared" si="10"/>
        <v>27.129191168445793</v>
      </c>
      <c r="H34" s="76">
        <f t="shared" si="10"/>
        <v>27.807887729423197</v>
      </c>
      <c r="I34" s="76">
        <f t="shared" si="10"/>
        <v>28.064476463128862</v>
      </c>
      <c r="J34" s="76">
        <f t="shared" si="10"/>
        <v>28.127960004034609</v>
      </c>
      <c r="K34" s="76">
        <f t="shared" si="10"/>
        <v>27.86890996492285</v>
      </c>
      <c r="L34" s="76">
        <f t="shared" si="10"/>
        <v>27.604340695515244</v>
      </c>
      <c r="M34" s="76">
        <f t="shared" si="10"/>
        <v>27.720673038492873</v>
      </c>
      <c r="N34" s="76">
        <f t="shared" si="10"/>
        <v>28.757908882899905</v>
      </c>
      <c r="O34" s="76">
        <f t="shared" si="10"/>
        <v>30.041673303353356</v>
      </c>
    </row>
    <row r="35" spans="1:17">
      <c r="A35" t="s">
        <v>177</v>
      </c>
      <c r="C35" s="30">
        <f>SUM(D35:O35)</f>
        <v>37915469.193763405</v>
      </c>
      <c r="D35" s="25">
        <f>Aurora!B30*1000</f>
        <v>4537296.4882947272</v>
      </c>
      <c r="E35" s="25">
        <f>Aurora!C30*1000</f>
        <v>4210925.6640217286</v>
      </c>
      <c r="F35" s="25">
        <f>Aurora!D30*1000</f>
        <v>4294409.181425157</v>
      </c>
      <c r="G35" s="25">
        <f>Aurora!E30*1000</f>
        <v>2523595.1401855792</v>
      </c>
      <c r="H35" s="25">
        <f>Aurora!F30*1000</f>
        <v>1055152.8861452509</v>
      </c>
      <c r="I35" s="25">
        <f>Aurora!G30*1000</f>
        <v>845897.31233405008</v>
      </c>
      <c r="J35" s="25">
        <f>Aurora!H30*1000</f>
        <v>2048478.8473331318</v>
      </c>
      <c r="K35" s="25">
        <f>Aurora!I30*1000</f>
        <v>3007113.7911974662</v>
      </c>
      <c r="L35" s="25">
        <f>Aurora!J30*1000</f>
        <v>3380689.4934736439</v>
      </c>
      <c r="M35" s="25">
        <f>Aurora!K30*1000</f>
        <v>3834749.2682503294</v>
      </c>
      <c r="N35" s="25">
        <f>Aurora!L30*1000</f>
        <v>3887849.1706295316</v>
      </c>
      <c r="O35" s="25">
        <f>Aurora!M30*1000</f>
        <v>4289311.9504727991</v>
      </c>
    </row>
    <row r="36" spans="1:17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7">
      <c r="A37" t="s">
        <v>56</v>
      </c>
      <c r="C37" s="27">
        <f>SUM(D37:O37)</f>
        <v>21499.205173507315</v>
      </c>
      <c r="D37" s="3">
        <f>Aurora!B5*1000</f>
        <v>1177.18106565475</v>
      </c>
      <c r="E37" s="3">
        <f>Aurora!C5*1000</f>
        <v>1136.8131032973499</v>
      </c>
      <c r="F37" s="3">
        <f>Aurora!D5*1000</f>
        <v>491.13510626554501</v>
      </c>
      <c r="G37" s="3">
        <f>Aurora!E5*1000</f>
        <v>1051.2084886074099</v>
      </c>
      <c r="H37" s="3">
        <f>Aurora!F5*1000</f>
        <v>469.10558540821097</v>
      </c>
      <c r="I37" s="3">
        <f>Aurora!G5*1000</f>
        <v>720.27245788574203</v>
      </c>
      <c r="J37" s="3">
        <f>Aurora!H5*1000</f>
        <v>4903.4117431640598</v>
      </c>
      <c r="K37" s="3">
        <f>Aurora!I5*1000</f>
        <v>4333.9381988525402</v>
      </c>
      <c r="L37" s="3">
        <f>Aurora!J5*1000</f>
        <v>1688.81011786461</v>
      </c>
      <c r="M37" s="3">
        <f>Aurora!K5*1000</f>
        <v>2682.1079950332601</v>
      </c>
      <c r="N37" s="3">
        <f>Aurora!L5*1000</f>
        <v>1106.6246623992899</v>
      </c>
      <c r="O37" s="3">
        <f>Aurora!M5*1000</f>
        <v>1738.59664907455</v>
      </c>
      <c r="P37" s="3">
        <f>C37/8760</f>
        <v>2.4542471659254925</v>
      </c>
      <c r="Q37" s="86">
        <f>SUM(P37:P49)</f>
        <v>7.4856439507366916</v>
      </c>
    </row>
    <row r="38" spans="1:17">
      <c r="A38" t="s">
        <v>102</v>
      </c>
      <c r="C38" s="73">
        <f>C39/C37</f>
        <v>36.096676257346452</v>
      </c>
      <c r="D38" s="76">
        <f>IF(D37&gt;0,D39/D37,"")</f>
        <v>38.427091062931822</v>
      </c>
      <c r="E38" s="76">
        <f t="shared" ref="E38:O38" si="11">IF(E37&gt;0,E39/E37,"")</f>
        <v>38.526100358850691</v>
      </c>
      <c r="F38" s="76">
        <f t="shared" si="11"/>
        <v>38.091843807527169</v>
      </c>
      <c r="G38" s="76">
        <f t="shared" si="11"/>
        <v>34.685639261255091</v>
      </c>
      <c r="H38" s="76">
        <f t="shared" si="11"/>
        <v>34.826717361893593</v>
      </c>
      <c r="I38" s="76">
        <f t="shared" si="11"/>
        <v>35.018228117354191</v>
      </c>
      <c r="J38" s="76">
        <f t="shared" si="11"/>
        <v>35.427212178054248</v>
      </c>
      <c r="K38" s="76">
        <f t="shared" si="11"/>
        <v>35.360431125231244</v>
      </c>
      <c r="L38" s="76">
        <f t="shared" si="11"/>
        <v>34.879107610084191</v>
      </c>
      <c r="M38" s="76">
        <f t="shared" si="11"/>
        <v>35.749541701494749</v>
      </c>
      <c r="N38" s="76">
        <f t="shared" si="11"/>
        <v>37.317500949637243</v>
      </c>
      <c r="O38" s="76">
        <f t="shared" si="11"/>
        <v>38.673809973827844</v>
      </c>
    </row>
    <row r="39" spans="1:17">
      <c r="A39" t="s">
        <v>55</v>
      </c>
      <c r="C39" s="30">
        <f>SUM(D39:O39)</f>
        <v>776049.84893836151</v>
      </c>
      <c r="D39" s="25">
        <f>Aurora!B25*1000</f>
        <v>45235.644007474199</v>
      </c>
      <c r="E39" s="25">
        <f>Aurora!C25*1000</f>
        <v>43796.975706890204</v>
      </c>
      <c r="F39" s="25">
        <f>Aurora!D25*1000</f>
        <v>18708.241756260399</v>
      </c>
      <c r="G39" s="25">
        <f>Aurora!E25*1000</f>
        <v>36461.838424205802</v>
      </c>
      <c r="H39" s="25">
        <f>Aurora!F25*1000</f>
        <v>16337.4076358974</v>
      </c>
      <c r="I39" s="25">
        <f>Aurora!G25*1000</f>
        <v>25222.665236890301</v>
      </c>
      <c r="J39" s="25">
        <f>Aurora!H25*1000</f>
        <v>173714.20822143598</v>
      </c>
      <c r="K39" s="25">
        <f>Aurora!I25*1000</f>
        <v>153249.92318153399</v>
      </c>
      <c r="L39" s="25">
        <f>Aurora!J25*1000</f>
        <v>58904.189833998702</v>
      </c>
      <c r="M39" s="25">
        <f>Aurora!K25*1000</f>
        <v>95884.131616354003</v>
      </c>
      <c r="N39" s="25">
        <f>Aurora!L25*1000</f>
        <v>41296.466889977499</v>
      </c>
      <c r="O39" s="25">
        <f>Aurora!M25*1000</f>
        <v>67238.156427442998</v>
      </c>
    </row>
    <row r="40" spans="1:17"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7">
      <c r="A41" t="s">
        <v>58</v>
      </c>
      <c r="C41" s="27">
        <f>SUM(D41:O41)</f>
        <v>14816.005638600509</v>
      </c>
      <c r="D41" s="3">
        <f>Aurora!B9*1000</f>
        <v>1400.1317369937904</v>
      </c>
      <c r="E41" s="3">
        <f>Aurora!C9*1000</f>
        <v>1355.8364875853049</v>
      </c>
      <c r="F41" s="3">
        <f>Aurora!D9*1000</f>
        <v>822.78967992067305</v>
      </c>
      <c r="G41" s="3">
        <f>Aurora!E9*1000</f>
        <v>727.16526102200146</v>
      </c>
      <c r="H41" s="3">
        <f>Aurora!F9*1000</f>
        <v>277.13439988791976</v>
      </c>
      <c r="I41" s="3">
        <f>Aurora!G9*1000</f>
        <v>331.65982636846581</v>
      </c>
      <c r="J41" s="3">
        <f>Aurora!H9*1000</f>
        <v>1710.726414835452</v>
      </c>
      <c r="K41" s="3">
        <f>Aurora!I9*1000</f>
        <v>2231.0128711581237</v>
      </c>
      <c r="L41" s="3">
        <f>Aurora!J9*1000</f>
        <v>1319.2812617897971</v>
      </c>
      <c r="M41" s="3">
        <f>Aurora!K9*1000</f>
        <v>1758.3448777735271</v>
      </c>
      <c r="N41" s="3">
        <f>Aurora!L9*1000</f>
        <v>1239.6727178871586</v>
      </c>
      <c r="O41" s="3">
        <f>Aurora!M9*1000</f>
        <v>1642.2501033782962</v>
      </c>
      <c r="P41" s="3">
        <f>C41/8760</f>
        <v>1.6913248445890992</v>
      </c>
    </row>
    <row r="42" spans="1:17">
      <c r="A42" t="s">
        <v>105</v>
      </c>
      <c r="C42" s="73">
        <f>C43/C41</f>
        <v>35.657536079878263</v>
      </c>
      <c r="D42" s="76">
        <f t="shared" ref="D42:O42" si="12">IF(D41&gt;0,D43/D41,"")</f>
        <v>37.25308685127127</v>
      </c>
      <c r="E42" s="76">
        <f t="shared" si="12"/>
        <v>37.285983397578534</v>
      </c>
      <c r="F42" s="76">
        <f t="shared" si="12"/>
        <v>36.834929961050925</v>
      </c>
      <c r="G42" s="76">
        <f t="shared" si="12"/>
        <v>33.741895552801836</v>
      </c>
      <c r="H42" s="76">
        <f t="shared" si="12"/>
        <v>33.742746604334762</v>
      </c>
      <c r="I42" s="76">
        <f t="shared" si="12"/>
        <v>34.073598598540627</v>
      </c>
      <c r="J42" s="76">
        <f t="shared" si="12"/>
        <v>35.722054674814906</v>
      </c>
      <c r="K42" s="76">
        <f t="shared" si="12"/>
        <v>34.533472527420436</v>
      </c>
      <c r="L42" s="76">
        <f t="shared" si="12"/>
        <v>33.837767969945098</v>
      </c>
      <c r="M42" s="76">
        <f t="shared" si="12"/>
        <v>34.644643529677516</v>
      </c>
      <c r="N42" s="76">
        <f t="shared" si="12"/>
        <v>36.162984166493459</v>
      </c>
      <c r="O42" s="76">
        <f t="shared" si="12"/>
        <v>37.478799103194163</v>
      </c>
    </row>
    <row r="43" spans="1:17">
      <c r="A43" t="s">
        <v>57</v>
      </c>
      <c r="C43" s="30">
        <f>SUM(D43:O43)</f>
        <v>528302.25561807747</v>
      </c>
      <c r="D43" s="25">
        <f>Aurora!B29*1000</f>
        <v>52159.22920145098</v>
      </c>
      <c r="E43" s="25">
        <f>Aurora!C29*1000</f>
        <v>50553.696765936875</v>
      </c>
      <c r="F43" s="25">
        <f>Aurora!D29*1000</f>
        <v>30307.4002325535</v>
      </c>
      <c r="G43" s="25">
        <f>Aurora!E29*1000</f>
        <v>24535.934287030257</v>
      </c>
      <c r="H43" s="25">
        <f>Aurora!F29*1000</f>
        <v>9351.2758307624572</v>
      </c>
      <c r="I43" s="25">
        <f>Aurora!G29*1000</f>
        <v>11300.843794940785</v>
      </c>
      <c r="J43" s="25">
        <f>Aurora!H29*1000</f>
        <v>61110.662524402105</v>
      </c>
      <c r="K43" s="25">
        <f>Aurora!I29*1000</f>
        <v>77044.621694460453</v>
      </c>
      <c r="L43" s="25">
        <f>Aurora!J29*1000</f>
        <v>44641.533223539547</v>
      </c>
      <c r="M43" s="25">
        <f>Aurora!K29*1000</f>
        <v>60917.231492698229</v>
      </c>
      <c r="N43" s="25">
        <f>Aurora!L29*1000</f>
        <v>44830.264868587226</v>
      </c>
      <c r="O43" s="25">
        <f>Aurora!M29*1000</f>
        <v>61549.561701715007</v>
      </c>
    </row>
    <row r="44" spans="1:17"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7">
      <c r="A45" t="s">
        <v>37</v>
      </c>
      <c r="C45" s="27">
        <f>SUM(D45:O45)</f>
        <v>25253.942435571553</v>
      </c>
      <c r="D45" s="3">
        <f>Aurora!B12*1000</f>
        <v>2031.9425813615348</v>
      </c>
      <c r="E45" s="3">
        <f>Aurora!C12*1000</f>
        <v>1618.739925944805</v>
      </c>
      <c r="F45" s="3">
        <f>Aurora!D12*1000</f>
        <v>240.55552418232</v>
      </c>
      <c r="G45" s="3">
        <f>Aurora!E12*1000</f>
        <v>266.84429163932805</v>
      </c>
      <c r="H45" s="3">
        <f>Aurora!F12*1000</f>
        <v>12.53776217699051</v>
      </c>
      <c r="I45" s="3">
        <f>Aurora!G12*1000</f>
        <v>556.93149812519596</v>
      </c>
      <c r="J45" s="3">
        <f>Aurora!H12*1000</f>
        <v>7337.31033682823</v>
      </c>
      <c r="K45" s="3">
        <f>Aurora!I12*1000</f>
        <v>7067.9842256367201</v>
      </c>
      <c r="L45" s="3">
        <f>Aurora!J12*1000</f>
        <v>1262.742116689682</v>
      </c>
      <c r="M45" s="3">
        <f>Aurora!K12*1000</f>
        <v>1879.2734490633009</v>
      </c>
      <c r="N45" s="3">
        <f>Aurora!L12*1000</f>
        <v>767.62759277224495</v>
      </c>
      <c r="O45" s="3">
        <f>Aurora!M12*1000</f>
        <v>2211.4531311512001</v>
      </c>
      <c r="P45" s="3">
        <f>C45/8760</f>
        <v>2.8828701410469808</v>
      </c>
    </row>
    <row r="46" spans="1:17">
      <c r="A46" t="s">
        <v>99</v>
      </c>
      <c r="C46" s="73">
        <f>C47/C45</f>
        <v>49.688478081205666</v>
      </c>
      <c r="D46" s="76">
        <f t="shared" ref="D46:O46" si="13">IF(D45&gt;0,D47/D45,"")</f>
        <v>53.063643014112685</v>
      </c>
      <c r="E46" s="76">
        <f t="shared" si="13"/>
        <v>53.549119339051302</v>
      </c>
      <c r="F46" s="76">
        <f t="shared" si="13"/>
        <v>54.647620985158525</v>
      </c>
      <c r="G46" s="76">
        <f t="shared" si="13"/>
        <v>50.162228771717331</v>
      </c>
      <c r="H46" s="76">
        <f t="shared" si="13"/>
        <v>51.666638388231455</v>
      </c>
      <c r="I46" s="76">
        <f t="shared" si="13"/>
        <v>46.251719176398581</v>
      </c>
      <c r="J46" s="76">
        <f t="shared" si="13"/>
        <v>48.121031040659467</v>
      </c>
      <c r="K46" s="76">
        <f t="shared" si="13"/>
        <v>47.772796465592528</v>
      </c>
      <c r="L46" s="76">
        <f t="shared" si="13"/>
        <v>47.601962065677988</v>
      </c>
      <c r="M46" s="76">
        <f t="shared" si="13"/>
        <v>50.659283155679866</v>
      </c>
      <c r="N46" s="76">
        <f t="shared" si="13"/>
        <v>53.61332781953675</v>
      </c>
      <c r="O46" s="76">
        <f t="shared" si="13"/>
        <v>54.346369476169151</v>
      </c>
    </row>
    <row r="47" spans="1:17">
      <c r="A47" t="s">
        <v>38</v>
      </c>
      <c r="C47" s="30">
        <f>SUM(D47:O47)</f>
        <v>1254829.9651739267</v>
      </c>
      <c r="D47" s="25">
        <f>Aurora!B32*1000</f>
        <v>107822.27576254311</v>
      </c>
      <c r="E47" s="25">
        <f>Aurora!C32*1000</f>
        <v>86682.097473305432</v>
      </c>
      <c r="F47" s="25">
        <f>Aurora!D32*1000</f>
        <v>13145.78711140156</v>
      </c>
      <c r="G47" s="25">
        <f>Aurora!E32*1000</f>
        <v>13385.504403638832</v>
      </c>
      <c r="H47" s="25">
        <f>Aurora!F32*1000</f>
        <v>647.78402459621429</v>
      </c>
      <c r="I47" s="25">
        <f>Aurora!G32*1000</f>
        <v>25759.039251777514</v>
      </c>
      <c r="J47" s="25">
        <f>Aurora!H32*1000</f>
        <v>353078.93847346283</v>
      </c>
      <c r="K47" s="25">
        <f>Aurora!I32*1000</f>
        <v>337657.37183336163</v>
      </c>
      <c r="L47" s="25">
        <f>Aurora!J32*1000</f>
        <v>60109.002337396174</v>
      </c>
      <c r="M47" s="25">
        <f>Aurora!K32*1000</f>
        <v>95202.64578304888</v>
      </c>
      <c r="N47" s="25">
        <f>Aurora!L32*1000</f>
        <v>41155.069774620228</v>
      </c>
      <c r="O47" s="25">
        <f>Aurora!M32*1000</f>
        <v>120184.44894477427</v>
      </c>
    </row>
    <row r="48" spans="1:17"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6">
      <c r="A49" t="s">
        <v>42</v>
      </c>
      <c r="C49" s="27">
        <f>SUM(D49:O49)</f>
        <v>4005.087760774044</v>
      </c>
      <c r="D49" s="3">
        <f>Aurora!B11*1000</f>
        <v>264.76676592677802</v>
      </c>
      <c r="E49" s="3">
        <f>Aurora!C11*1000</f>
        <v>175.78617881983519</v>
      </c>
      <c r="F49" s="3">
        <f>Aurora!D11*1000</f>
        <v>38.828645539283798</v>
      </c>
      <c r="G49" s="3">
        <f>Aurora!E11*1000</f>
        <v>56.334562605619389</v>
      </c>
      <c r="H49" s="3">
        <f>Aurora!F11*1000</f>
        <v>1.8958399653434759</v>
      </c>
      <c r="I49" s="3">
        <f>Aurora!G11*1000</f>
        <v>116.2635931015015</v>
      </c>
      <c r="J49" s="3">
        <f>Aurora!H11*1000</f>
        <v>1554.4418546706427</v>
      </c>
      <c r="K49" s="3">
        <f>Aurora!I11*1000</f>
        <v>1101.2376758217811</v>
      </c>
      <c r="L49" s="3">
        <f>Aurora!J11*1000</f>
        <v>151.70683235712352</v>
      </c>
      <c r="M49" s="3">
        <f>Aurora!K11*1000</f>
        <v>235.36342926919397</v>
      </c>
      <c r="N49" s="3">
        <f>Aurora!L11*1000</f>
        <v>98.953097327426093</v>
      </c>
      <c r="O49" s="3">
        <f>Aurora!M11*1000</f>
        <v>209.50928536951571</v>
      </c>
      <c r="P49" s="3">
        <f>C49/8760</f>
        <v>0.45720179917511916</v>
      </c>
    </row>
    <row r="50" spans="1:16">
      <c r="A50" t="s">
        <v>100</v>
      </c>
      <c r="C50" s="73">
        <f>C51/C49</f>
        <v>51.622790764961941</v>
      </c>
      <c r="D50" s="76">
        <f t="shared" ref="D50:O50" si="14">IF(D49&gt;0,D51/D49,"")</f>
        <v>55.343654538644223</v>
      </c>
      <c r="E50" s="76">
        <f t="shared" si="14"/>
        <v>55.090764603870689</v>
      </c>
      <c r="F50" s="76">
        <f t="shared" si="14"/>
        <v>54.31484845284691</v>
      </c>
      <c r="G50" s="76">
        <f t="shared" si="14"/>
        <v>49.843196104364921</v>
      </c>
      <c r="H50" s="76">
        <f t="shared" si="14"/>
        <v>50.00080391319667</v>
      </c>
      <c r="I50" s="76">
        <f t="shared" si="14"/>
        <v>50.332525133409938</v>
      </c>
      <c r="J50" s="76">
        <f t="shared" si="14"/>
        <v>50.723825805241887</v>
      </c>
      <c r="K50" s="76">
        <f t="shared" si="14"/>
        <v>50.917065380204981</v>
      </c>
      <c r="L50" s="76">
        <f t="shared" si="14"/>
        <v>50.912018557959868</v>
      </c>
      <c r="M50" s="76">
        <f t="shared" si="14"/>
        <v>51.192550586946339</v>
      </c>
      <c r="N50" s="76">
        <f t="shared" si="14"/>
        <v>53.170746821552235</v>
      </c>
      <c r="O50" s="76">
        <f t="shared" si="14"/>
        <v>55.367272254456097</v>
      </c>
    </row>
    <row r="51" spans="1:16">
      <c r="A51" t="s">
        <v>43</v>
      </c>
      <c r="C51" s="30">
        <f>SUM(D51:O51)</f>
        <v>206753.80746974843</v>
      </c>
      <c r="D51" s="25">
        <f>Aurora!B31*1000</f>
        <v>14653.16042676568</v>
      </c>
      <c r="E51" s="25">
        <f>Aurora!C31*1000</f>
        <v>9684.1949979774599</v>
      </c>
      <c r="F51" s="25">
        <f>Aurora!D31*1000</f>
        <v>2108.9719980955097</v>
      </c>
      <c r="G51" s="25">
        <f>Aurora!E31*1000</f>
        <v>2807.8946514055101</v>
      </c>
      <c r="H51" s="25">
        <f>Aurora!F31*1000</f>
        <v>94.793522357940702</v>
      </c>
      <c r="I51" s="25">
        <f>Aurora!G31*1000</f>
        <v>5851.8402218818701</v>
      </c>
      <c r="J51" s="25">
        <f>Aurora!H31*1000</f>
        <v>78847.237860690802</v>
      </c>
      <c r="K51" s="25">
        <f>Aurora!I31*1000</f>
        <v>56071.790738962605</v>
      </c>
      <c r="L51" s="25">
        <f>Aurora!J31*1000</f>
        <v>7723.7010643351796</v>
      </c>
      <c r="M51" s="25">
        <f>Aurora!K31*1000</f>
        <v>12048.85425918038</v>
      </c>
      <c r="N51" s="25">
        <f>Aurora!L31*1000</f>
        <v>5261.4100852049896</v>
      </c>
      <c r="O51" s="25">
        <f>Aurora!M31*1000</f>
        <v>11599.957642890511</v>
      </c>
    </row>
    <row r="52" spans="1:16"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6">
      <c r="A53" t="s">
        <v>39</v>
      </c>
      <c r="C53" s="52">
        <f>SUM(D53:O53)</f>
        <v>107130839.98053166</v>
      </c>
      <c r="D53" s="32">
        <f t="shared" ref="D53:J53" si="15">D23+D27+D31+D35+D39+D43+D47+D51</f>
        <v>11927951.903705012</v>
      </c>
      <c r="E53" s="32">
        <f t="shared" si="15"/>
        <v>11070932.400324211</v>
      </c>
      <c r="F53" s="32">
        <f t="shared" si="15"/>
        <v>11130351.710494831</v>
      </c>
      <c r="G53" s="32">
        <f t="shared" si="15"/>
        <v>7167911.415214044</v>
      </c>
      <c r="H53" s="32">
        <f t="shared" si="15"/>
        <v>3869829.7603189889</v>
      </c>
      <c r="I53" s="32">
        <f t="shared" si="15"/>
        <v>3174241.8420612975</v>
      </c>
      <c r="J53" s="32">
        <f t="shared" si="15"/>
        <v>7034821.3434978835</v>
      </c>
      <c r="K53" s="32">
        <f>K23+K27+K31+K35+K39+K43+K47+K51</f>
        <v>9353958.2294147685</v>
      </c>
      <c r="L53" s="32">
        <f>L23+L27+L31+L35+L39+L43+L47+L51</f>
        <v>9686701.1590782851</v>
      </c>
      <c r="M53" s="32">
        <f>M23+M27+M31+M35+M39+M43+M47+M51</f>
        <v>10614834.577946132</v>
      </c>
      <c r="N53" s="32">
        <f>N23+N27+N31+N35+N39+N43+N47+N51</f>
        <v>10498888.680821789</v>
      </c>
      <c r="O53" s="32">
        <f>O23+O27+O31+O35+O39+O43+O47+O51</f>
        <v>11600416.957654435</v>
      </c>
    </row>
    <row r="54" spans="1:16">
      <c r="C54" s="25"/>
      <c r="D54" s="25"/>
      <c r="E54" s="25"/>
      <c r="F54" s="25"/>
      <c r="G54" s="25"/>
      <c r="H54" s="25"/>
      <c r="I54" s="25"/>
    </row>
    <row r="55" spans="1:16" s="12" customFormat="1">
      <c r="A55" s="34" t="s">
        <v>90</v>
      </c>
      <c r="B55" s="35"/>
      <c r="C55" s="71">
        <f>C53+C13+C9</f>
        <v>86083065.758209482</v>
      </c>
    </row>
    <row r="56" spans="1:16" s="12" customFormat="1">
      <c r="A56" s="9"/>
      <c r="C56" s="36"/>
      <c r="D56" s="36"/>
      <c r="E56" s="36"/>
      <c r="F56" s="36"/>
      <c r="G56" s="36"/>
      <c r="H56" s="36"/>
      <c r="I56" s="36"/>
    </row>
  </sheetData>
  <phoneticPr fontId="6" type="noConversion"/>
  <pageMargins left="0.75" right="0.75" top="1" bottom="1" header="0.5" footer="0.5"/>
  <pageSetup scale="54" orientation="landscape" r:id="rId1"/>
  <headerFooter alignWithMargins="0">
    <oddHeader>&amp;R&amp;12Exhibit No.__ (WGJ-4)</oddHeader>
    <oddFooter>&amp;R&amp;12Page 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N40"/>
  <sheetViews>
    <sheetView tabSelected="1" zoomScaleNormal="100" workbookViewId="0">
      <selection activeCell="C20" sqref="C20"/>
    </sheetView>
  </sheetViews>
  <sheetFormatPr defaultColWidth="9.140625" defaultRowHeight="12.75"/>
  <cols>
    <col min="1" max="1" width="32.5703125" style="116" customWidth="1"/>
    <col min="2" max="2" width="13.140625" style="116" customWidth="1"/>
    <col min="3" max="14" width="11.7109375" style="116" customWidth="1"/>
    <col min="15" max="16384" width="9.140625" style="116"/>
  </cols>
  <sheetData>
    <row r="1" spans="1:14" ht="15.75">
      <c r="A1" s="134" t="s">
        <v>160</v>
      </c>
    </row>
    <row r="2" spans="1:14" ht="15.75">
      <c r="A2" s="134" t="s">
        <v>248</v>
      </c>
    </row>
    <row r="3" spans="1:14" ht="15.75">
      <c r="A3" s="134" t="s">
        <v>182</v>
      </c>
    </row>
    <row r="4" spans="1:14" s="135" customFormat="1" ht="15.75">
      <c r="A4" s="134" t="s">
        <v>249</v>
      </c>
    </row>
    <row r="5" spans="1:14" ht="15.75">
      <c r="A5" s="134"/>
    </row>
    <row r="6" spans="1:14">
      <c r="A6" s="117" t="s">
        <v>197</v>
      </c>
    </row>
    <row r="7" spans="1:14">
      <c r="A7" s="117"/>
    </row>
    <row r="8" spans="1:14">
      <c r="B8" s="136" t="s">
        <v>32</v>
      </c>
      <c r="C8" s="137" t="s">
        <v>204</v>
      </c>
      <c r="D8" s="137" t="s">
        <v>205</v>
      </c>
      <c r="E8" s="137" t="s">
        <v>206</v>
      </c>
      <c r="F8" s="137" t="s">
        <v>207</v>
      </c>
      <c r="G8" s="137" t="s">
        <v>81</v>
      </c>
      <c r="H8" s="137" t="s">
        <v>208</v>
      </c>
      <c r="I8" s="137" t="s">
        <v>209</v>
      </c>
      <c r="J8" s="137" t="s">
        <v>210</v>
      </c>
      <c r="K8" s="137" t="s">
        <v>211</v>
      </c>
      <c r="L8" s="137" t="s">
        <v>212</v>
      </c>
      <c r="M8" s="137" t="s">
        <v>213</v>
      </c>
      <c r="N8" s="137" t="s">
        <v>214</v>
      </c>
    </row>
    <row r="10" spans="1:14">
      <c r="A10" s="116" t="s">
        <v>149</v>
      </c>
      <c r="B10" s="138">
        <f>SUM(C10:N10)</f>
        <v>116667237.98140541</v>
      </c>
      <c r="C10" s="138">
        <f>'WGJ-2'!K30</f>
        <v>12273287.793320868</v>
      </c>
      <c r="D10" s="138">
        <f>'WGJ-2'!L30</f>
        <v>10448731.034393556</v>
      </c>
      <c r="E10" s="138">
        <f>'WGJ-2'!M30</f>
        <v>9726298.328854708</v>
      </c>
      <c r="F10" s="138">
        <f>'WGJ-2'!N30</f>
        <v>9247709.9764492381</v>
      </c>
      <c r="G10" s="138">
        <f>'WGJ-2'!O30</f>
        <v>7747048.5954767345</v>
      </c>
      <c r="H10" s="138">
        <f>'WGJ-2'!P30</f>
        <v>7635899.1903049797</v>
      </c>
      <c r="I10" s="138">
        <f>'WGJ-2'!Q30</f>
        <v>8375689.0267956499</v>
      </c>
      <c r="J10" s="138">
        <f>'WGJ-2'!R30</f>
        <v>10670122.815410659</v>
      </c>
      <c r="K10" s="138">
        <f>'WGJ-2'!S30</f>
        <v>8114351.6794262417</v>
      </c>
      <c r="L10" s="138">
        <f>'WGJ-2'!T30</f>
        <v>8403861.5678223204</v>
      </c>
      <c r="M10" s="138">
        <f>'WGJ-2'!U30</f>
        <v>11757944.528284371</v>
      </c>
      <c r="N10" s="138">
        <f>'WGJ-2'!V30</f>
        <v>12266293.444866087</v>
      </c>
    </row>
    <row r="11" spans="1:14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</row>
    <row r="12" spans="1:14">
      <c r="A12" s="116" t="s">
        <v>148</v>
      </c>
      <c r="B12" s="138">
        <f>SUM(C12:N12)</f>
        <v>28423248.280550621</v>
      </c>
      <c r="C12" s="138">
        <f>'WGJ-2'!K46</f>
        <v>2660552.2908452353</v>
      </c>
      <c r="D12" s="138">
        <f>'WGJ-2'!L46</f>
        <v>2480351.2180569959</v>
      </c>
      <c r="E12" s="138">
        <f>'WGJ-2'!M46</f>
        <v>2572379.7282639341</v>
      </c>
      <c r="F12" s="138">
        <f>'WGJ-2'!N46</f>
        <v>2073293.0406096776</v>
      </c>
      <c r="G12" s="138">
        <f>'WGJ-2'!O46</f>
        <v>1655418.7241319013</v>
      </c>
      <c r="H12" s="138">
        <f>'WGJ-2'!P46</f>
        <v>1498913.4239833259</v>
      </c>
      <c r="I12" s="138">
        <f>'WGJ-2'!Q46</f>
        <v>2160431.52912887</v>
      </c>
      <c r="J12" s="138">
        <f>'WGJ-2'!R46</f>
        <v>2550492.5746682477</v>
      </c>
      <c r="K12" s="138">
        <f>'WGJ-2'!S46</f>
        <v>2679751.6107562375</v>
      </c>
      <c r="L12" s="138">
        <f>'WGJ-2'!T46</f>
        <v>2751040.4265645337</v>
      </c>
      <c r="M12" s="138">
        <f>'WGJ-2'!U46</f>
        <v>2641657.9989674883</v>
      </c>
      <c r="N12" s="138">
        <f>'WGJ-2'!V46</f>
        <v>2698965.7145741782</v>
      </c>
    </row>
    <row r="13" spans="1:14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</row>
    <row r="14" spans="1:14">
      <c r="A14" s="116" t="s">
        <v>196</v>
      </c>
      <c r="B14" s="138">
        <f>SUM(C14:N14)</f>
        <v>82710097.429728806</v>
      </c>
      <c r="C14" s="138">
        <f>'WGJ-2'!K61</f>
        <v>9605191.4691701699</v>
      </c>
      <c r="D14" s="138">
        <f>'WGJ-2'!L61</f>
        <v>8969293.6092502754</v>
      </c>
      <c r="E14" s="138">
        <f>'WGJ-2'!M61</f>
        <v>8892472.5682623554</v>
      </c>
      <c r="F14" s="138">
        <f>'WGJ-2'!N61</f>
        <v>5431762.4560993351</v>
      </c>
      <c r="G14" s="138">
        <f>'WGJ-2'!O61</f>
        <v>2534266.7933878591</v>
      </c>
      <c r="H14" s="138">
        <f>'WGJ-2'!P61</f>
        <v>2008137.7666926647</v>
      </c>
      <c r="I14" s="138">
        <f>'WGJ-2'!Q61</f>
        <v>5193996.2103692023</v>
      </c>
      <c r="J14" s="138">
        <f>'WGJ-2'!R61</f>
        <v>7124279.7058216082</v>
      </c>
      <c r="K14" s="138">
        <f>'WGJ-2'!S61</f>
        <v>7340686.0845663967</v>
      </c>
      <c r="L14" s="138">
        <f>'WGJ-2'!T61</f>
        <v>8186151.1183028752</v>
      </c>
      <c r="M14" s="138">
        <f>'WGJ-2'!U61</f>
        <v>8195534.0746945078</v>
      </c>
      <c r="N14" s="138">
        <f>'WGJ-2'!V61</f>
        <v>9228325.5731115416</v>
      </c>
    </row>
    <row r="15" spans="1:14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</row>
    <row r="16" spans="1:14">
      <c r="A16" s="139" t="s">
        <v>147</v>
      </c>
      <c r="B16" s="140">
        <f>SUM(C16:N16)</f>
        <v>67356864.728797525</v>
      </c>
      <c r="C16" s="140">
        <f>'WGJ-2'!K97</f>
        <v>3783644.9392250073</v>
      </c>
      <c r="D16" s="140">
        <f>'WGJ-2'!L97</f>
        <v>5317869.3413887927</v>
      </c>
      <c r="E16" s="140">
        <f>'WGJ-2'!M97</f>
        <v>6379003.3943980969</v>
      </c>
      <c r="F16" s="140">
        <f>'WGJ-2'!N97</f>
        <v>8564523.5784248468</v>
      </c>
      <c r="G16" s="140">
        <f>'WGJ-2'!O97</f>
        <v>8129288.4930506293</v>
      </c>
      <c r="H16" s="140">
        <f>'WGJ-2'!P97</f>
        <v>7632571.8694726285</v>
      </c>
      <c r="I16" s="140">
        <f>'WGJ-2'!Q97</f>
        <v>4498616.8249387871</v>
      </c>
      <c r="J16" s="140">
        <f>'WGJ-2'!R97</f>
        <v>2758375.1497716834</v>
      </c>
      <c r="K16" s="140">
        <f>'WGJ-2'!S97</f>
        <v>3884422.5003157626</v>
      </c>
      <c r="L16" s="140">
        <f>'WGJ-2'!T97</f>
        <v>4406000.9884706251</v>
      </c>
      <c r="M16" s="140">
        <f>'WGJ-2'!U97</f>
        <v>6013775.5150167029</v>
      </c>
      <c r="N16" s="140">
        <f>'WGJ-2'!V97</f>
        <v>5988772.1343239555</v>
      </c>
    </row>
    <row r="17" spans="1:14" ht="12.75" customHeight="1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1:14">
      <c r="A18" s="133" t="s">
        <v>144</v>
      </c>
      <c r="B18" s="138">
        <f>SUM(C18:N18)</f>
        <v>160443718.96288732</v>
      </c>
      <c r="C18" s="138">
        <f>SUM(C10:C14)-C16</f>
        <v>20755386.614111267</v>
      </c>
      <c r="D18" s="138">
        <f t="shared" ref="D18:N18" si="0">SUM(D10:D14)-D16</f>
        <v>16580506.520312034</v>
      </c>
      <c r="E18" s="138">
        <f t="shared" si="0"/>
        <v>14812147.230982903</v>
      </c>
      <c r="F18" s="138">
        <f t="shared" si="0"/>
        <v>8188241.8947334047</v>
      </c>
      <c r="G18" s="138">
        <f t="shared" si="0"/>
        <v>3807445.619945867</v>
      </c>
      <c r="H18" s="138">
        <f t="shared" si="0"/>
        <v>3510378.5115083419</v>
      </c>
      <c r="I18" s="138">
        <f t="shared" si="0"/>
        <v>11231499.941354936</v>
      </c>
      <c r="J18" s="138">
        <f t="shared" si="0"/>
        <v>17586519.94612883</v>
      </c>
      <c r="K18" s="138">
        <f t="shared" si="0"/>
        <v>14250366.874433111</v>
      </c>
      <c r="L18" s="138">
        <f t="shared" si="0"/>
        <v>14935052.124219105</v>
      </c>
      <c r="M18" s="138">
        <f t="shared" si="0"/>
        <v>16581361.086929662</v>
      </c>
      <c r="N18" s="138">
        <f t="shared" si="0"/>
        <v>18204812.598227851</v>
      </c>
    </row>
    <row r="19" spans="1:14" ht="12.75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  <row r="20" spans="1:14" ht="12.75" customHeight="1">
      <c r="A20" s="133" t="s">
        <v>183</v>
      </c>
      <c r="B20" s="138">
        <f>SUM(C20:N20)</f>
        <v>16698736.756800003</v>
      </c>
      <c r="C20" s="138">
        <f>'WGJ-2'!K76</f>
        <v>1437624.8372666666</v>
      </c>
      <c r="D20" s="138">
        <f>'WGJ-2'!L76</f>
        <v>1419587.6280666667</v>
      </c>
      <c r="E20" s="138">
        <f>'WGJ-2'!M76</f>
        <v>1395407.5848666667</v>
      </c>
      <c r="F20" s="138">
        <f>'WGJ-2'!N76</f>
        <v>1384291.6016666666</v>
      </c>
      <c r="G20" s="138">
        <f>'WGJ-2'!O76</f>
        <v>1355156.9446666667</v>
      </c>
      <c r="H20" s="138">
        <f>'WGJ-2'!P76</f>
        <v>1343465.9100666668</v>
      </c>
      <c r="I20" s="138">
        <f>'WGJ-2'!Q76</f>
        <v>1367594.1066666667</v>
      </c>
      <c r="J20" s="138">
        <f>'WGJ-2'!R76</f>
        <v>1419356.1004666667</v>
      </c>
      <c r="K20" s="138">
        <f>'WGJ-2'!S76</f>
        <v>1404268.1560666666</v>
      </c>
      <c r="L20" s="138">
        <f>'WGJ-2'!T76</f>
        <v>1364972.2888666666</v>
      </c>
      <c r="M20" s="138">
        <f>'WGJ-2'!U76</f>
        <v>1393896.7864666667</v>
      </c>
      <c r="N20" s="138">
        <f>'WGJ-2'!V76</f>
        <v>1413114.8116666665</v>
      </c>
    </row>
    <row r="21" spans="1:14" ht="12.75" customHeight="1">
      <c r="A21" s="133"/>
    </row>
    <row r="22" spans="1:14" ht="12.75" customHeight="1">
      <c r="A22" s="133" t="s">
        <v>246</v>
      </c>
      <c r="B22" s="120">
        <f>SUM(C22:N22)</f>
        <v>16015348.880000001</v>
      </c>
      <c r="C22" s="120">
        <v>1304329.49</v>
      </c>
      <c r="D22" s="120">
        <v>1105921.49</v>
      </c>
      <c r="E22" s="120">
        <v>1123977.49</v>
      </c>
      <c r="F22" s="120">
        <v>1154782.49</v>
      </c>
      <c r="G22" s="120">
        <v>1377232.49</v>
      </c>
      <c r="H22" s="120">
        <v>1552357.49</v>
      </c>
      <c r="I22" s="120">
        <v>1659835.49</v>
      </c>
      <c r="J22" s="120">
        <v>1502892.49</v>
      </c>
      <c r="K22" s="120">
        <v>1306364.49</v>
      </c>
      <c r="L22" s="120">
        <v>1460291.49</v>
      </c>
      <c r="M22" s="120">
        <v>1241936.49</v>
      </c>
      <c r="N22" s="120">
        <v>1225427.49</v>
      </c>
    </row>
    <row r="23" spans="1:14" ht="12.75" customHeight="1">
      <c r="A23" s="133"/>
      <c r="B23" s="120"/>
    </row>
    <row r="24" spans="1:14" ht="12.75" customHeight="1">
      <c r="A24" s="133" t="s">
        <v>192</v>
      </c>
      <c r="B24" s="120">
        <f>SUM(C24:N24)</f>
        <v>1075999.9999999998</v>
      </c>
      <c r="C24" s="138">
        <f>'WGJ-2'!K33</f>
        <v>89666.666666666672</v>
      </c>
      <c r="D24" s="138">
        <f>'WGJ-2'!L33</f>
        <v>89666.666666666672</v>
      </c>
      <c r="E24" s="138">
        <f>'WGJ-2'!M33</f>
        <v>89666.666666666672</v>
      </c>
      <c r="F24" s="138">
        <f>'WGJ-2'!N33</f>
        <v>89666.666666666672</v>
      </c>
      <c r="G24" s="138">
        <f>'WGJ-2'!O33</f>
        <v>89666.666666666672</v>
      </c>
      <c r="H24" s="138">
        <f>'WGJ-2'!P33</f>
        <v>89666.666666666672</v>
      </c>
      <c r="I24" s="138">
        <f>'WGJ-2'!Q33</f>
        <v>89666.666666666672</v>
      </c>
      <c r="J24" s="138">
        <f>'WGJ-2'!R33</f>
        <v>89666.666666666672</v>
      </c>
      <c r="K24" s="138">
        <f>'WGJ-2'!S33</f>
        <v>89666.666666666672</v>
      </c>
      <c r="L24" s="138">
        <f>'WGJ-2'!T33</f>
        <v>89666.666666666672</v>
      </c>
      <c r="M24" s="138">
        <f>'WGJ-2'!U33</f>
        <v>89666.666666666672</v>
      </c>
      <c r="N24" s="138">
        <f>'WGJ-2'!V33</f>
        <v>89666.666666666672</v>
      </c>
    </row>
    <row r="25" spans="1:14" ht="12.75" customHeight="1">
      <c r="A25" s="133"/>
    </row>
    <row r="26" spans="1:14" ht="12.75" customHeight="1">
      <c r="A26" s="133"/>
    </row>
    <row r="28" spans="1:14">
      <c r="A28" s="117" t="s">
        <v>239</v>
      </c>
    </row>
    <row r="30" spans="1:14">
      <c r="B30" s="136" t="s">
        <v>32</v>
      </c>
      <c r="C30" s="137" t="str">
        <f>C8</f>
        <v>January</v>
      </c>
      <c r="D30" s="137" t="str">
        <f t="shared" ref="D30:N30" si="1">D8</f>
        <v>February</v>
      </c>
      <c r="E30" s="137" t="str">
        <f t="shared" si="1"/>
        <v>March</v>
      </c>
      <c r="F30" s="137" t="str">
        <f t="shared" si="1"/>
        <v>April</v>
      </c>
      <c r="G30" s="137" t="str">
        <f t="shared" si="1"/>
        <v>May</v>
      </c>
      <c r="H30" s="137" t="str">
        <f t="shared" si="1"/>
        <v>June</v>
      </c>
      <c r="I30" s="137" t="str">
        <f t="shared" si="1"/>
        <v>July</v>
      </c>
      <c r="J30" s="137" t="str">
        <f t="shared" si="1"/>
        <v>August</v>
      </c>
      <c r="K30" s="137" t="str">
        <f t="shared" si="1"/>
        <v>September</v>
      </c>
      <c r="L30" s="137" t="str">
        <f t="shared" si="1"/>
        <v>October</v>
      </c>
      <c r="M30" s="137" t="str">
        <f t="shared" si="1"/>
        <v>November</v>
      </c>
      <c r="N30" s="137" t="str">
        <f t="shared" si="1"/>
        <v>December</v>
      </c>
    </row>
    <row r="32" spans="1:14">
      <c r="A32" s="133" t="s">
        <v>247</v>
      </c>
      <c r="B32" s="146">
        <v>5571472.3662813334</v>
      </c>
      <c r="C32" s="146">
        <v>532247.54492599994</v>
      </c>
      <c r="D32" s="146">
        <v>504024.88079999998</v>
      </c>
      <c r="E32" s="146">
        <v>463677.72073300002</v>
      </c>
      <c r="F32" s="146">
        <v>424206.43495999998</v>
      </c>
      <c r="G32" s="146">
        <v>436380.0638</v>
      </c>
      <c r="H32" s="146">
        <v>415284.87874299998</v>
      </c>
      <c r="I32" s="146">
        <v>448795.90569777798</v>
      </c>
      <c r="J32" s="146">
        <v>488956.47559277801</v>
      </c>
      <c r="K32" s="146">
        <v>417253.10453577799</v>
      </c>
      <c r="L32" s="146">
        <v>446190.75224</v>
      </c>
      <c r="M32" s="146">
        <v>464277.00914099999</v>
      </c>
      <c r="N32" s="146">
        <v>530177.59511200001</v>
      </c>
    </row>
    <row r="34" spans="1:3">
      <c r="A34" s="133" t="s">
        <v>193</v>
      </c>
      <c r="B34" s="147">
        <v>33.6</v>
      </c>
      <c r="C34" s="148" t="s">
        <v>194</v>
      </c>
    </row>
    <row r="39" spans="1:3">
      <c r="A39" s="116" t="s">
        <v>245</v>
      </c>
    </row>
    <row r="40" spans="1:3">
      <c r="A40" s="116" t="s">
        <v>250</v>
      </c>
    </row>
  </sheetData>
  <phoneticPr fontId="6" type="noConversion"/>
  <pageMargins left="0.75" right="0.75" top="1" bottom="1" header="0.5" footer="0.5"/>
  <pageSetup scale="65" orientation="landscape" r:id="rId1"/>
  <headerFooter alignWithMargins="0">
    <oddHeader>&amp;R&amp;"Times New Roman,Regular"&amp;12Exhibit No.__ (WGJ-7)</oddHeader>
    <oddFooter>&amp;R&amp;"Times New Roman,Regular"&amp;12Page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P43"/>
  <sheetViews>
    <sheetView workbookViewId="0">
      <pane xSplit="4470" ySplit="825" activePane="bottomRight"/>
      <selection activeCell="B2" sqref="B2"/>
      <selection pane="topRight" activeCell="K1" sqref="K1"/>
      <selection pane="bottomLeft" activeCell="A48" sqref="A48"/>
      <selection pane="bottomRight" activeCell="B35" sqref="B35:M36"/>
    </sheetView>
  </sheetViews>
  <sheetFormatPr defaultColWidth="9.140625" defaultRowHeight="12.75"/>
  <cols>
    <col min="1" max="1" width="20.140625" style="60" customWidth="1"/>
    <col min="2" max="13" width="9.140625" style="60"/>
    <col min="14" max="14" width="10.28515625" style="62" customWidth="1"/>
    <col min="15" max="15" width="9.28515625" style="60" customWidth="1"/>
    <col min="16" max="16384" width="9.140625" style="60"/>
  </cols>
  <sheetData>
    <row r="1" spans="1:16" ht="16.5" thickBot="1">
      <c r="A1" s="57" t="s">
        <v>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58"/>
    </row>
    <row r="2" spans="1:16">
      <c r="A2" s="61"/>
      <c r="B2" s="70" t="s">
        <v>77</v>
      </c>
      <c r="C2" s="70" t="s">
        <v>78</v>
      </c>
      <c r="D2" s="70" t="s">
        <v>79</v>
      </c>
      <c r="E2" s="70" t="s">
        <v>80</v>
      </c>
      <c r="F2" s="70" t="s">
        <v>81</v>
      </c>
      <c r="G2" s="70" t="s">
        <v>82</v>
      </c>
      <c r="H2" s="70" t="s">
        <v>83</v>
      </c>
      <c r="I2" s="70" t="s">
        <v>84</v>
      </c>
      <c r="J2" s="70" t="s">
        <v>85</v>
      </c>
      <c r="K2" s="70" t="s">
        <v>86</v>
      </c>
      <c r="L2" s="70" t="s">
        <v>87</v>
      </c>
      <c r="M2" s="70" t="s">
        <v>88</v>
      </c>
    </row>
    <row r="3" spans="1:16"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3">
        <v>7</v>
      </c>
      <c r="I3" s="63">
        <v>8</v>
      </c>
      <c r="J3" s="63">
        <v>9</v>
      </c>
      <c r="K3" s="63">
        <v>10</v>
      </c>
      <c r="L3" s="63">
        <v>11</v>
      </c>
      <c r="M3" s="63">
        <v>12</v>
      </c>
      <c r="N3" s="64" t="s">
        <v>65</v>
      </c>
    </row>
    <row r="4" spans="1:16">
      <c r="A4" s="74" t="s">
        <v>66</v>
      </c>
      <c r="N4" s="75" t="s">
        <v>92</v>
      </c>
    </row>
    <row r="5" spans="1:16">
      <c r="A5" s="65" t="s">
        <v>67</v>
      </c>
      <c r="B5" s="66">
        <v>1.1771810656547499</v>
      </c>
      <c r="C5" s="66">
        <v>1.1368131032973499</v>
      </c>
      <c r="D5" s="66">
        <v>0.49113510626554502</v>
      </c>
      <c r="E5" s="66">
        <v>1.0512084886074098</v>
      </c>
      <c r="F5" s="66">
        <v>0.46910558540821096</v>
      </c>
      <c r="G5" s="66">
        <v>0.72027245788574201</v>
      </c>
      <c r="H5" s="66">
        <v>4.9034117431640594</v>
      </c>
      <c r="I5" s="66">
        <v>4.3339381988525405</v>
      </c>
      <c r="J5" s="66">
        <v>1.68881011786461</v>
      </c>
      <c r="K5" s="66">
        <v>2.68210799503326</v>
      </c>
      <c r="L5" s="66">
        <v>1.1066246623992899</v>
      </c>
      <c r="M5" s="66">
        <v>1.7385966490745499</v>
      </c>
      <c r="N5" s="62">
        <f>SUM(B5:M5)</f>
        <v>21.49920517350732</v>
      </c>
      <c r="O5" s="60">
        <f>N5/8760*1000</f>
        <v>2.454247165925493</v>
      </c>
    </row>
    <row r="6" spans="1:16">
      <c r="A6" s="65" t="s">
        <v>23</v>
      </c>
      <c r="B6" s="66">
        <v>145.23635776367189</v>
      </c>
      <c r="C6" s="66">
        <v>131.8743198242187</v>
      </c>
      <c r="D6" s="66">
        <v>142.90321411132811</v>
      </c>
      <c r="E6" s="66">
        <v>110.0141258300781</v>
      </c>
      <c r="F6" s="66">
        <v>86.577995629882793</v>
      </c>
      <c r="G6" s="66">
        <v>82.248763647460905</v>
      </c>
      <c r="H6" s="66">
        <v>130.9846530761719</v>
      </c>
      <c r="I6" s="66">
        <v>144.95753427734371</v>
      </c>
      <c r="J6" s="66">
        <v>144.6540854492188</v>
      </c>
      <c r="K6" s="66">
        <v>149.4789993164062</v>
      </c>
      <c r="L6" s="66">
        <v>143.90252060546871</v>
      </c>
      <c r="M6" s="66">
        <v>145.76596049804689</v>
      </c>
      <c r="N6" s="62">
        <f t="shared" ref="N6:N12" si="0">SUM(B6:M6)</f>
        <v>1558.5985300292969</v>
      </c>
      <c r="O6" s="60">
        <f t="shared" ref="O6:O14" si="1">N6/8760*1000</f>
        <v>177.92220662434897</v>
      </c>
    </row>
    <row r="7" spans="1:16">
      <c r="A7" s="65" t="s">
        <v>68</v>
      </c>
      <c r="B7" s="66">
        <v>155.63537720947301</v>
      </c>
      <c r="C7" s="66">
        <v>145.46980660400399</v>
      </c>
      <c r="D7" s="66">
        <v>147.94844501953099</v>
      </c>
      <c r="E7" s="66">
        <v>95.1132536621094</v>
      </c>
      <c r="F7" s="66">
        <v>42.958522677612301</v>
      </c>
      <c r="G7" s="66">
        <v>28.977790457153297</v>
      </c>
      <c r="H7" s="66">
        <v>80.192812854003904</v>
      </c>
      <c r="I7" s="66">
        <v>118.00129312744099</v>
      </c>
      <c r="J7" s="66">
        <v>129.07135354003898</v>
      </c>
      <c r="K7" s="66">
        <v>139.30677231445301</v>
      </c>
      <c r="L7" s="66">
        <v>136.21798491210902</v>
      </c>
      <c r="M7" s="66">
        <v>148.213200976563</v>
      </c>
      <c r="N7" s="62">
        <f t="shared" si="0"/>
        <v>1367.1066133544919</v>
      </c>
      <c r="O7" s="60">
        <f t="shared" si="1"/>
        <v>156.06239878475932</v>
      </c>
      <c r="P7" s="60">
        <f>SUM(B7:M7)</f>
        <v>1367.1066133544919</v>
      </c>
    </row>
    <row r="8" spans="1:16">
      <c r="A8" s="65" t="s">
        <v>21</v>
      </c>
      <c r="B8" s="66">
        <v>28.973129165649397</v>
      </c>
      <c r="C8" s="66">
        <v>26.475230975341802</v>
      </c>
      <c r="D8" s="66">
        <v>25.788598831176802</v>
      </c>
      <c r="E8" s="66">
        <v>16.4696627914429</v>
      </c>
      <c r="F8" s="66">
        <v>6.9341546253204296</v>
      </c>
      <c r="G8" s="66">
        <v>1.2478817646026601</v>
      </c>
      <c r="H8" s="66">
        <v>11.151319997978201</v>
      </c>
      <c r="I8" s="66">
        <v>23.895343385314899</v>
      </c>
      <c r="J8" s="66">
        <v>30.388930648803701</v>
      </c>
      <c r="K8" s="66">
        <v>31.582078161621098</v>
      </c>
      <c r="L8" s="66">
        <v>28.841700549316403</v>
      </c>
      <c r="M8" s="66">
        <v>30.649527142333998</v>
      </c>
      <c r="N8" s="62">
        <f t="shared" si="0"/>
        <v>262.39755803890233</v>
      </c>
      <c r="O8" s="60">
        <f t="shared" si="1"/>
        <v>29.954059136860998</v>
      </c>
    </row>
    <row r="9" spans="1:16">
      <c r="A9" s="65" t="s">
        <v>69</v>
      </c>
      <c r="B9" s="66">
        <v>1.4001317369937905</v>
      </c>
      <c r="C9" s="66">
        <v>1.3558364875853048</v>
      </c>
      <c r="D9" s="66">
        <v>0.82278967992067309</v>
      </c>
      <c r="E9" s="66">
        <v>0.72716526102200141</v>
      </c>
      <c r="F9" s="66">
        <v>0.27713439988791977</v>
      </c>
      <c r="G9" s="66">
        <v>0.3316598263684658</v>
      </c>
      <c r="H9" s="66">
        <v>1.710726414835452</v>
      </c>
      <c r="I9" s="66">
        <v>2.2310128711581236</v>
      </c>
      <c r="J9" s="66">
        <v>1.3192812617897971</v>
      </c>
      <c r="K9" s="66">
        <v>1.7583448777735271</v>
      </c>
      <c r="L9" s="66">
        <v>1.2396727178871585</v>
      </c>
      <c r="M9" s="66">
        <v>1.6422501033782961</v>
      </c>
      <c r="N9" s="62">
        <f t="shared" si="0"/>
        <v>14.81600563860051</v>
      </c>
      <c r="O9" s="60">
        <f t="shared" si="1"/>
        <v>1.6913248445890994</v>
      </c>
    </row>
    <row r="10" spans="1:16">
      <c r="A10" s="65" t="s">
        <v>174</v>
      </c>
      <c r="B10" s="66">
        <v>153.197974084473</v>
      </c>
      <c r="C10" s="66">
        <v>143.07275895996102</v>
      </c>
      <c r="D10" s="66">
        <v>147.84862321777302</v>
      </c>
      <c r="E10" s="66">
        <v>93.021392510986303</v>
      </c>
      <c r="F10" s="66">
        <v>37.944373783874497</v>
      </c>
      <c r="G10" s="66">
        <v>30.141211201477102</v>
      </c>
      <c r="H10" s="66">
        <v>72.827138798522995</v>
      </c>
      <c r="I10" s="66">
        <v>107.90209573974599</v>
      </c>
      <c r="J10" s="66">
        <v>122.469488793945</v>
      </c>
      <c r="K10" s="66">
        <v>138.33535942382798</v>
      </c>
      <c r="L10" s="66">
        <v>135.19234609375002</v>
      </c>
      <c r="M10" s="66">
        <v>142.77872963867199</v>
      </c>
    </row>
    <row r="11" spans="1:16">
      <c r="A11" s="65" t="s">
        <v>70</v>
      </c>
      <c r="B11" s="66">
        <v>0.264766765926778</v>
      </c>
      <c r="C11" s="66">
        <v>0.17578617881983519</v>
      </c>
      <c r="D11" s="66">
        <v>3.88286455392838E-2</v>
      </c>
      <c r="E11" s="66">
        <v>5.6334562605619393E-2</v>
      </c>
      <c r="F11" s="66">
        <v>1.8958399653434758E-3</v>
      </c>
      <c r="G11" s="66">
        <v>0.1162635931015015</v>
      </c>
      <c r="H11" s="66">
        <v>1.5544418546706427</v>
      </c>
      <c r="I11" s="66">
        <v>1.101237675821781</v>
      </c>
      <c r="J11" s="66">
        <v>0.15170683235712351</v>
      </c>
      <c r="K11" s="66">
        <v>0.23536342926919399</v>
      </c>
      <c r="L11" s="66">
        <v>9.895309732742609E-2</v>
      </c>
      <c r="M11" s="66">
        <v>0.20950928536951571</v>
      </c>
      <c r="N11" s="62">
        <f t="shared" si="0"/>
        <v>4.0050877607740443</v>
      </c>
      <c r="O11" s="60">
        <f t="shared" si="1"/>
        <v>0.45720179917511922</v>
      </c>
    </row>
    <row r="12" spans="1:16">
      <c r="A12" s="65" t="s">
        <v>71</v>
      </c>
      <c r="B12" s="66">
        <v>2.0319425813615348</v>
      </c>
      <c r="C12" s="66">
        <v>1.618739925944805</v>
      </c>
      <c r="D12" s="66">
        <v>0.24055552418232001</v>
      </c>
      <c r="E12" s="66">
        <v>0.26684429163932805</v>
      </c>
      <c r="F12" s="66">
        <v>1.253776217699051E-2</v>
      </c>
      <c r="G12" s="66">
        <v>0.55693149812519593</v>
      </c>
      <c r="H12" s="66">
        <v>7.3373103368282298</v>
      </c>
      <c r="I12" s="66">
        <v>7.06798422563672</v>
      </c>
      <c r="J12" s="66">
        <v>1.2627421166896819</v>
      </c>
      <c r="K12" s="66">
        <v>1.879273449063301</v>
      </c>
      <c r="L12" s="66">
        <v>0.7676275927722449</v>
      </c>
      <c r="M12" s="66">
        <v>2.2114531311512002</v>
      </c>
      <c r="N12" s="62">
        <f t="shared" si="0"/>
        <v>25.253942435571556</v>
      </c>
      <c r="O12" s="60">
        <f t="shared" si="1"/>
        <v>2.8828701410469812</v>
      </c>
    </row>
    <row r="13" spans="1:16">
      <c r="A13" s="65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8">
        <f>SUM(N5:N12)</f>
        <v>3253.6769424311442</v>
      </c>
      <c r="O13" s="60">
        <f t="shared" si="1"/>
        <v>371.42430849670592</v>
      </c>
    </row>
    <row r="14" spans="1:16">
      <c r="A14" s="61" t="s">
        <v>93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  <c r="O14" s="60">
        <f t="shared" si="1"/>
        <v>0</v>
      </c>
    </row>
    <row r="15" spans="1:16">
      <c r="A15" s="65" t="s">
        <v>67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6">
      <c r="A16" s="65" t="s">
        <v>23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</row>
    <row r="17" spans="1:15">
      <c r="A17" s="65" t="s">
        <v>68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5">
      <c r="A18" s="65" t="s">
        <v>21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7"/>
    </row>
    <row r="19" spans="1:15">
      <c r="A19" s="65" t="s">
        <v>69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7"/>
    </row>
    <row r="20" spans="1:15">
      <c r="A20" s="65" t="s">
        <v>174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7"/>
    </row>
    <row r="21" spans="1:15">
      <c r="A21" s="65" t="s">
        <v>70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7"/>
    </row>
    <row r="22" spans="1:15">
      <c r="A22" s="65" t="s">
        <v>71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7"/>
    </row>
    <row r="23" spans="1:15">
      <c r="A23" s="65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>
        <f>SUM(N15:N22)</f>
        <v>0</v>
      </c>
    </row>
    <row r="24" spans="1:15">
      <c r="A24" s="74" t="s">
        <v>72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7"/>
    </row>
    <row r="25" spans="1:15">
      <c r="A25" s="65" t="s">
        <v>67</v>
      </c>
      <c r="B25" s="66">
        <v>45.2356440074742</v>
      </c>
      <c r="C25" s="66">
        <v>43.796975706890201</v>
      </c>
      <c r="D25" s="66">
        <v>18.708241756260399</v>
      </c>
      <c r="E25" s="66">
        <v>36.461838424205801</v>
      </c>
      <c r="F25" s="66">
        <v>16.337407635897399</v>
      </c>
      <c r="G25" s="66">
        <v>25.2226652368903</v>
      </c>
      <c r="H25" s="66">
        <v>173.714208221436</v>
      </c>
      <c r="I25" s="66">
        <v>153.249923181534</v>
      </c>
      <c r="J25" s="66">
        <v>58.9041898339987</v>
      </c>
      <c r="K25" s="66">
        <v>95.884131616353997</v>
      </c>
      <c r="L25" s="66">
        <v>41.296466889977502</v>
      </c>
      <c r="M25" s="66">
        <v>67.238156427443002</v>
      </c>
      <c r="N25" s="67">
        <f>SUM(B25:M25)</f>
        <v>776.04984893836138</v>
      </c>
    </row>
    <row r="26" spans="1:15">
      <c r="A26" s="65" t="s">
        <v>23</v>
      </c>
      <c r="B26" s="66">
        <v>2017.4289361877441</v>
      </c>
      <c r="C26" s="66">
        <v>1891.1411058349609</v>
      </c>
      <c r="D26" s="66">
        <v>1996.9823572082519</v>
      </c>
      <c r="E26" s="66">
        <v>1695.9521173400881</v>
      </c>
      <c r="F26" s="66">
        <v>1484.1445646209709</v>
      </c>
      <c r="G26" s="66">
        <v>1451.5589002532961</v>
      </c>
      <c r="H26" s="66">
        <v>1898.9114747924809</v>
      </c>
      <c r="I26" s="66">
        <v>2016.3615617675778</v>
      </c>
      <c r="J26" s="66">
        <v>2008.7280885620112</v>
      </c>
      <c r="K26" s="66">
        <v>2054.3671129150389</v>
      </c>
      <c r="L26" s="66">
        <v>2002.410742370605</v>
      </c>
      <c r="M26" s="66">
        <v>2021.0453706665039</v>
      </c>
      <c r="N26" s="67">
        <f t="shared" ref="N26:N32" si="2">SUM(B26:M26)</f>
        <v>22539.032332519528</v>
      </c>
    </row>
    <row r="27" spans="1:15">
      <c r="A27" s="65" t="s">
        <v>68</v>
      </c>
      <c r="B27" s="66">
        <v>4530.5661485001501</v>
      </c>
      <c r="C27" s="66">
        <v>4209.2718866347095</v>
      </c>
      <c r="D27" s="66">
        <v>4219.6257330407616</v>
      </c>
      <c r="E27" s="66">
        <v>2514.1653959858413</v>
      </c>
      <c r="F27" s="66">
        <v>1153.1602223615562</v>
      </c>
      <c r="G27" s="66">
        <v>781.6300505717644</v>
      </c>
      <c r="H27" s="66">
        <v>2179.4932532892226</v>
      </c>
      <c r="I27" s="66">
        <v>3192.6614894340687</v>
      </c>
      <c r="J27" s="66">
        <v>3475.2149617224677</v>
      </c>
      <c r="K27" s="66">
        <v>3785.325353313322</v>
      </c>
      <c r="L27" s="66">
        <v>3857.1716329397136</v>
      </c>
      <c r="M27" s="66">
        <v>4371.9005012239686</v>
      </c>
      <c r="N27" s="67">
        <f t="shared" si="2"/>
        <v>38270.186629017539</v>
      </c>
      <c r="O27" s="60">
        <f>N27/8760*1000</f>
        <v>4368.7427658695824</v>
      </c>
    </row>
    <row r="28" spans="1:15">
      <c r="A28" s="65" t="s">
        <v>21</v>
      </c>
      <c r="B28" s="66">
        <v>622.79002132415803</v>
      </c>
      <c r="C28" s="66">
        <v>568.87677888870201</v>
      </c>
      <c r="D28" s="66">
        <v>555.06403772234898</v>
      </c>
      <c r="E28" s="66">
        <v>357.00758993625601</v>
      </c>
      <c r="F28" s="66">
        <v>150.94082617759699</v>
      </c>
      <c r="G28" s="66">
        <v>27.021190396696301</v>
      </c>
      <c r="H28" s="66">
        <v>241.18672100305599</v>
      </c>
      <c r="I28" s="66">
        <v>513.79767956733701</v>
      </c>
      <c r="J28" s="66">
        <v>650.69018886089304</v>
      </c>
      <c r="K28" s="66">
        <v>676.33998031616204</v>
      </c>
      <c r="L28" s="66">
        <v>618.91392326355003</v>
      </c>
      <c r="M28" s="66">
        <v>657.58701057434098</v>
      </c>
      <c r="N28" s="67">
        <f t="shared" si="2"/>
        <v>5640.2159480310975</v>
      </c>
      <c r="O28" s="60">
        <f>N28/8760*1000</f>
        <v>643.86026804007963</v>
      </c>
    </row>
    <row r="29" spans="1:15">
      <c r="A29" s="65" t="s">
        <v>69</v>
      </c>
      <c r="B29" s="66">
        <v>52.159229201450984</v>
      </c>
      <c r="C29" s="66">
        <v>50.553696765936877</v>
      </c>
      <c r="D29" s="66">
        <v>30.307400232553501</v>
      </c>
      <c r="E29" s="66">
        <v>24.535934287030258</v>
      </c>
      <c r="F29" s="66">
        <v>9.3512758307624573</v>
      </c>
      <c r="G29" s="66">
        <v>11.300843794940786</v>
      </c>
      <c r="H29" s="66">
        <v>61.110662524402102</v>
      </c>
      <c r="I29" s="66">
        <v>77.04462169446046</v>
      </c>
      <c r="J29" s="66">
        <v>44.641533223539547</v>
      </c>
      <c r="K29" s="66">
        <v>60.917231492698228</v>
      </c>
      <c r="L29" s="66">
        <v>44.830264868587228</v>
      </c>
      <c r="M29" s="66">
        <v>61.549561701715007</v>
      </c>
      <c r="N29" s="67">
        <f t="shared" si="2"/>
        <v>528.30225561807742</v>
      </c>
      <c r="O29" s="60">
        <f>N29/8760*1000</f>
        <v>60.3084766687303</v>
      </c>
    </row>
    <row r="30" spans="1:15">
      <c r="A30" s="65" t="s">
        <v>174</v>
      </c>
      <c r="B30" s="66">
        <v>4537.2964882947272</v>
      </c>
      <c r="C30" s="66">
        <v>4210.9256640217282</v>
      </c>
      <c r="D30" s="66">
        <v>4294.4091814251569</v>
      </c>
      <c r="E30" s="66">
        <v>2523.5951401855791</v>
      </c>
      <c r="F30" s="66">
        <v>1055.1528861452509</v>
      </c>
      <c r="G30" s="66">
        <v>845.89731233405007</v>
      </c>
      <c r="H30" s="66">
        <v>2048.4788473331319</v>
      </c>
      <c r="I30" s="66">
        <v>3007.1137911974661</v>
      </c>
      <c r="J30" s="66">
        <v>3380.6894934736438</v>
      </c>
      <c r="K30" s="66">
        <v>3834.7492682503294</v>
      </c>
      <c r="L30" s="66">
        <v>3887.8491706295317</v>
      </c>
      <c r="M30" s="66">
        <v>4289.3119504727993</v>
      </c>
      <c r="N30" s="67"/>
    </row>
    <row r="31" spans="1:15">
      <c r="A31" s="65" t="s">
        <v>70</v>
      </c>
      <c r="B31" s="66">
        <v>14.65316042676568</v>
      </c>
      <c r="C31" s="66">
        <v>9.6841949979774604</v>
      </c>
      <c r="D31" s="66">
        <v>2.1089719980955097</v>
      </c>
      <c r="E31" s="66">
        <v>2.8078946514055101</v>
      </c>
      <c r="F31" s="66">
        <v>9.4793522357940696E-2</v>
      </c>
      <c r="G31" s="66">
        <v>5.8518402218818704</v>
      </c>
      <c r="H31" s="66">
        <v>78.847237860690797</v>
      </c>
      <c r="I31" s="66">
        <v>56.071790738962605</v>
      </c>
      <c r="J31" s="66">
        <v>7.72370106433518</v>
      </c>
      <c r="K31" s="66">
        <v>12.048854259180381</v>
      </c>
      <c r="L31" s="66">
        <v>5.2614100852049894</v>
      </c>
      <c r="M31" s="66">
        <v>11.59995764289051</v>
      </c>
      <c r="N31" s="67">
        <f t="shared" si="2"/>
        <v>206.75380746974844</v>
      </c>
    </row>
    <row r="32" spans="1:15">
      <c r="A32" s="65" t="s">
        <v>71</v>
      </c>
      <c r="B32" s="66">
        <v>107.82227576254311</v>
      </c>
      <c r="C32" s="66">
        <v>86.682097473305433</v>
      </c>
      <c r="D32" s="66">
        <v>13.14578711140156</v>
      </c>
      <c r="E32" s="66">
        <v>13.385504403638832</v>
      </c>
      <c r="F32" s="66">
        <v>0.64778402459621431</v>
      </c>
      <c r="G32" s="66">
        <v>25.759039251777516</v>
      </c>
      <c r="H32" s="66">
        <v>353.07893847346281</v>
      </c>
      <c r="I32" s="66">
        <v>337.65737183336165</v>
      </c>
      <c r="J32" s="66">
        <v>60.109002337396177</v>
      </c>
      <c r="K32" s="66">
        <v>95.202645783048879</v>
      </c>
      <c r="L32" s="66">
        <v>41.15506977462023</v>
      </c>
      <c r="M32" s="66">
        <v>120.18444894477426</v>
      </c>
      <c r="N32" s="67">
        <f t="shared" si="2"/>
        <v>1254.8299651739267</v>
      </c>
    </row>
    <row r="33" spans="1:15">
      <c r="A33" s="65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>
        <f>SUM(N25:N32)</f>
        <v>69215.370786768282</v>
      </c>
    </row>
    <row r="34" spans="1:15">
      <c r="A34" s="74" t="s">
        <v>73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5">
      <c r="A35" s="65" t="s">
        <v>74</v>
      </c>
      <c r="B35" s="67">
        <v>36.997687557983404</v>
      </c>
      <c r="C35" s="60">
        <v>23.036784185218799</v>
      </c>
      <c r="D35" s="60">
        <v>23.5928420810699</v>
      </c>
      <c r="E35" s="60">
        <v>14.837243264675099</v>
      </c>
      <c r="F35" s="66">
        <v>11.2311498381615</v>
      </c>
      <c r="G35" s="66">
        <v>17.538091162490801</v>
      </c>
      <c r="H35" s="66">
        <v>53.433455587768599</v>
      </c>
      <c r="I35" s="66">
        <v>122.24277891845699</v>
      </c>
      <c r="J35" s="66">
        <v>64.641030817604104</v>
      </c>
      <c r="K35" s="66">
        <v>58.5164353851318</v>
      </c>
      <c r="L35" s="66">
        <v>39.401381742477405</v>
      </c>
      <c r="M35" s="66">
        <v>36.209410945129399</v>
      </c>
      <c r="N35" s="67">
        <f>SUM(B35:M35)</f>
        <v>501.67829148616778</v>
      </c>
    </row>
    <row r="36" spans="1:15">
      <c r="A36" s="65" t="s">
        <v>75</v>
      </c>
      <c r="B36" s="67">
        <v>-95.42365639648439</v>
      </c>
      <c r="C36" s="66">
        <v>-98.551157324218707</v>
      </c>
      <c r="D36" s="60">
        <v>-121.21908291015599</v>
      </c>
      <c r="E36" s="60">
        <v>-188.24134335937498</v>
      </c>
      <c r="F36" s="66">
        <v>-200.06650283203101</v>
      </c>
      <c r="G36" s="66">
        <v>-179.57671152343701</v>
      </c>
      <c r="H36" s="66">
        <v>-102.80598761596701</v>
      </c>
      <c r="I36" s="66">
        <v>-44.910395718288399</v>
      </c>
      <c r="J36" s="66">
        <v>-77.935288458251904</v>
      </c>
      <c r="K36" s="66">
        <v>-80.340023437499994</v>
      </c>
      <c r="L36" s="66">
        <v>-120.22477910156299</v>
      </c>
      <c r="M36" s="66">
        <v>-123.801494042969</v>
      </c>
      <c r="N36" s="67">
        <f>SUM(B36:M36)</f>
        <v>-1433.096422720241</v>
      </c>
    </row>
    <row r="37" spans="1:1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8">
        <f>SUM(B35:B36)</f>
        <v>-58.425968838500985</v>
      </c>
      <c r="O37" s="60">
        <f>N37/8.76</f>
        <v>-6.6696311459476014</v>
      </c>
    </row>
    <row r="38" spans="1:15">
      <c r="A38" s="74" t="s">
        <v>76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7"/>
    </row>
    <row r="39" spans="1:15">
      <c r="A39" s="65" t="s">
        <v>74</v>
      </c>
      <c r="B39" s="62">
        <v>1264.29739305973</v>
      </c>
      <c r="C39" s="60">
        <v>757.19404040575</v>
      </c>
      <c r="D39" s="60">
        <v>758.49791094064699</v>
      </c>
      <c r="E39" s="60">
        <v>488.500793881714</v>
      </c>
      <c r="F39" s="66">
        <v>293.114187891781</v>
      </c>
      <c r="G39" s="66">
        <v>395.58670171499301</v>
      </c>
      <c r="H39" s="66">
        <v>2410.4897417068501</v>
      </c>
      <c r="I39" s="66">
        <v>5007.7769208908103</v>
      </c>
      <c r="J39" s="66">
        <v>2853.9884368896501</v>
      </c>
      <c r="K39" s="66">
        <v>2418.45822582245</v>
      </c>
      <c r="L39" s="66">
        <v>1598.9396069884299</v>
      </c>
      <c r="M39" s="66">
        <v>1470.3387819766999</v>
      </c>
      <c r="N39" s="67">
        <f>SUM(B39:M39)</f>
        <v>19717.182742169509</v>
      </c>
    </row>
    <row r="40" spans="1:15">
      <c r="A40" s="65" t="s">
        <v>75</v>
      </c>
      <c r="B40" s="62">
        <v>-3312.2314681530002</v>
      </c>
      <c r="C40" s="60">
        <v>-3451.1937351226802</v>
      </c>
      <c r="D40" s="60">
        <v>-4077.4779923439</v>
      </c>
      <c r="E40" s="60">
        <v>-5106.1590660095198</v>
      </c>
      <c r="F40" s="66">
        <v>-3579.4194132327998</v>
      </c>
      <c r="G40" s="66">
        <v>-2427.8285412956002</v>
      </c>
      <c r="H40" s="66">
        <v>-2878.49725031853</v>
      </c>
      <c r="I40" s="66">
        <v>-1519.4752519905601</v>
      </c>
      <c r="J40" s="66">
        <v>-3014.3793462753301</v>
      </c>
      <c r="K40" s="66">
        <v>-2776.71927719116</v>
      </c>
      <c r="L40" s="66">
        <v>-4098.4851028442399</v>
      </c>
      <c r="M40" s="66">
        <v>-4523.0905197143602</v>
      </c>
      <c r="N40" s="67">
        <f>SUM(B40:M40)</f>
        <v>-40764.956964491685</v>
      </c>
    </row>
    <row r="41" spans="1:15">
      <c r="N41" s="68">
        <f>SUM(N39:N40)</f>
        <v>-21047.774222322176</v>
      </c>
    </row>
    <row r="43" spans="1:15">
      <c r="M43" s="69" t="s">
        <v>94</v>
      </c>
      <c r="N43" s="68">
        <f>N33+N41</f>
        <v>48167.59656444611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155D1A13B81845BCDB9E0BC8A67242" ma:contentTypeVersion="175" ma:contentTypeDescription="" ma:contentTypeScope="" ma:versionID="497aa7b913c45b4e49d8e41b8d971f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2014-02-04T08:00:00+00:00</OpenedDate>
    <Date1 xmlns="dc463f71-b30c-4ab2-9473-d307f9d35888">2014-02-05T08:00:00+00:00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F70E11F-ECAC-4012-A4AD-B333AC16007C}"/>
</file>

<file path=customXml/itemProps2.xml><?xml version="1.0" encoding="utf-8"?>
<ds:datastoreItem xmlns:ds="http://schemas.openxmlformats.org/officeDocument/2006/customXml" ds:itemID="{768CA13C-8959-45D3-8703-05E5C759CC95}"/>
</file>

<file path=customXml/itemProps3.xml><?xml version="1.0" encoding="utf-8"?>
<ds:datastoreItem xmlns:ds="http://schemas.openxmlformats.org/officeDocument/2006/customXml" ds:itemID="{1EE8750B-126D-45D8-AC87-4AB94B7D67DC}"/>
</file>

<file path=customXml/itemProps4.xml><?xml version="1.0" encoding="utf-8"?>
<ds:datastoreItem xmlns:ds="http://schemas.openxmlformats.org/officeDocument/2006/customXml" ds:itemID="{6DD2FF60-7D1C-42F7-8953-31710C4B9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WGJ-2</vt:lpstr>
      <vt:lpstr>WGJ-4</vt:lpstr>
      <vt:lpstr>WGJ-7</vt:lpstr>
      <vt:lpstr>Aurora</vt:lpstr>
      <vt:lpstr>Index!Print_Area</vt:lpstr>
      <vt:lpstr>'WGJ-2'!Print_Area</vt:lpstr>
      <vt:lpstr>'WGJ-4'!Print_Area</vt:lpstr>
      <vt:lpstr>'WGJ-2'!Print_Titles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jzlfgj</cp:lastModifiedBy>
  <cp:lastPrinted>2014-01-27T22:58:09Z</cp:lastPrinted>
  <dcterms:created xsi:type="dcterms:W3CDTF">1998-10-07T00:01:47Z</dcterms:created>
  <dcterms:modified xsi:type="dcterms:W3CDTF">2014-01-27T22:58:42Z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0x0101006E56B4D1795A2E4DB2F0B01679ED314A00B4155D1A13B81845BCDB9E0BC8A67242</vt:lpwstr>
  </property>
  <property fmtid="{D5CDD505-2E9C-101B-9397-08002B2CF9AE}" pid="3" name="_docset_NoMedatataSyncRequired">
    <vt:lpwstr>False</vt:lpwstr>
  </property>
</Properties>
</file>