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334-35_Avista_2019_GRC\1_Filings\Testimony_Direct_Response\PC\01 Drafts\Avi Allison\Exhibits\"/>
    </mc:Choice>
  </mc:AlternateContent>
  <bookViews>
    <workbookView xWindow="0" yWindow="0" windowWidth="16800" windowHeight="6465"/>
  </bookViews>
  <sheets>
    <sheet name="PC_DR_106" sheetId="3" r:id="rId1"/>
  </sheets>
  <definedNames>
    <definedName name="_xlnm.Print_Area" localSheetId="0">PC_DR_106!$A$1:$Q$20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D20" i="3"/>
  <c r="L20" i="3" s="1"/>
  <c r="E20" i="3" l="1"/>
  <c r="J19" i="3"/>
  <c r="C19" i="3"/>
  <c r="B19" i="3"/>
  <c r="E19" i="3"/>
  <c r="L19" i="3"/>
  <c r="B17" i="3" l="1"/>
  <c r="B18" i="3"/>
  <c r="B10" i="3"/>
  <c r="B5" i="3"/>
  <c r="B16" i="3"/>
  <c r="B11" i="3"/>
  <c r="B9" i="3"/>
  <c r="C10" i="3"/>
  <c r="C18" i="3"/>
  <c r="C17" i="3"/>
  <c r="C16" i="3" l="1"/>
  <c r="B15" i="3" l="1"/>
  <c r="C15" i="3"/>
  <c r="B14" i="3" l="1"/>
  <c r="C14" i="3"/>
  <c r="B13" i="3"/>
  <c r="C13" i="3"/>
  <c r="C11" i="3"/>
  <c r="C9" i="3"/>
  <c r="B8" i="3"/>
  <c r="C8" i="3"/>
  <c r="B7" i="3"/>
  <c r="C7" i="3"/>
  <c r="B6" i="3"/>
  <c r="C6" i="3"/>
  <c r="C5" i="3"/>
  <c r="L18" i="3"/>
  <c r="J18" i="3"/>
  <c r="E18" i="3"/>
  <c r="L17" i="3"/>
  <c r="J17" i="3"/>
  <c r="E17" i="3"/>
  <c r="L16" i="3"/>
  <c r="J16" i="3"/>
  <c r="E16" i="3"/>
  <c r="L15" i="3"/>
  <c r="J15" i="3"/>
  <c r="E15" i="3"/>
  <c r="L14" i="3"/>
  <c r="I14" i="3"/>
  <c r="J14" i="3" s="1"/>
  <c r="E14" i="3"/>
  <c r="L13" i="3"/>
  <c r="H13" i="3"/>
  <c r="E13" i="3"/>
  <c r="L12" i="3"/>
  <c r="J12" i="3"/>
  <c r="E12" i="3"/>
  <c r="L11" i="3"/>
  <c r="J11" i="3"/>
  <c r="E11" i="3"/>
  <c r="L10" i="3"/>
  <c r="J10" i="3"/>
  <c r="E10" i="3"/>
  <c r="L9" i="3"/>
  <c r="J9" i="3"/>
  <c r="E9" i="3"/>
  <c r="L8" i="3"/>
  <c r="J8" i="3"/>
  <c r="E8" i="3"/>
  <c r="L7" i="3"/>
  <c r="J7" i="3"/>
  <c r="E7" i="3"/>
  <c r="L6" i="3"/>
  <c r="J6" i="3"/>
  <c r="E6" i="3"/>
  <c r="L5" i="3"/>
  <c r="J5" i="3"/>
  <c r="E5" i="3"/>
  <c r="I13" i="3" l="1"/>
  <c r="J13" i="3" l="1"/>
</calcChain>
</file>

<file path=xl/sharedStrings.xml><?xml version="1.0" encoding="utf-8"?>
<sst xmlns="http://schemas.openxmlformats.org/spreadsheetml/2006/main" count="16" uniqueCount="14">
  <si>
    <t>Total</t>
  </si>
  <si>
    <t>Cumulative</t>
  </si>
  <si>
    <t>ERM History</t>
  </si>
  <si>
    <t>Actual vs Authorized Power Supply  Expense</t>
  </si>
  <si>
    <t>ERM Actual Costs vs. Authorized Costs</t>
  </si>
  <si>
    <t>Deadband</t>
  </si>
  <si>
    <t>for 2003-2005, $9MM deadband then 10%</t>
  </si>
  <si>
    <t>Actual</t>
  </si>
  <si>
    <t>Authorized</t>
  </si>
  <si>
    <t>Year</t>
  </si>
  <si>
    <t>Amount Deferred</t>
  </si>
  <si>
    <t>Amount Absorbed by the Company</t>
  </si>
  <si>
    <t>ERM Deferrals and Amounts Absorbed by the Company</t>
  </si>
  <si>
    <t>2010 No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</si>
</sst>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5" fontId="0" fillId="3" borderId="0" xfId="1" applyNumberFormat="1" applyFont="1" applyFill="1"/>
    <xf numFmtId="166" fontId="0" fillId="0" borderId="0" xfId="2" applyNumberFormat="1" applyFont="1"/>
    <xf numFmtId="166" fontId="0" fillId="0" borderId="0" xfId="0" applyNumberFormat="1"/>
    <xf numFmtId="164" fontId="0" fillId="0" borderId="0" xfId="0" applyNumberFormat="1" applyFill="1"/>
    <xf numFmtId="5" fontId="0" fillId="0" borderId="0" xfId="2" applyNumberFormat="1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70" zoomScaleNormal="70" workbookViewId="0">
      <selection activeCell="M5" sqref="M5"/>
    </sheetView>
  </sheetViews>
  <sheetFormatPr defaultRowHeight="15" x14ac:dyDescent="0.25"/>
  <cols>
    <col min="1" max="1" width="9.140625" customWidth="1"/>
    <col min="2" max="3" width="16" customWidth="1"/>
    <col min="4" max="4" width="18.7109375" customWidth="1"/>
    <col min="5" max="5" width="13.42578125" bestFit="1" customWidth="1"/>
    <col min="6" max="6" width="4.28515625" customWidth="1"/>
    <col min="7" max="7" width="13.7109375" customWidth="1"/>
    <col min="8" max="8" width="14.5703125" customWidth="1"/>
    <col min="9" max="9" width="17" customWidth="1"/>
    <col min="10" max="10" width="16.140625" customWidth="1"/>
    <col min="11" max="11" width="10.28515625" customWidth="1"/>
    <col min="12" max="12" width="13" style="5" bestFit="1" customWidth="1"/>
  </cols>
  <sheetData>
    <row r="1" spans="1:13" ht="18.75" x14ac:dyDescent="0.3">
      <c r="C1" s="4" t="s">
        <v>2</v>
      </c>
      <c r="I1" s="4" t="s">
        <v>2</v>
      </c>
    </row>
    <row r="2" spans="1:13" ht="18.75" x14ac:dyDescent="0.3">
      <c r="C2" s="4" t="s">
        <v>3</v>
      </c>
      <c r="I2" s="4" t="s">
        <v>12</v>
      </c>
    </row>
    <row r="3" spans="1:13" ht="14.65" customHeight="1" x14ac:dyDescent="0.25">
      <c r="D3" s="2"/>
      <c r="E3" s="2"/>
      <c r="F3" s="2"/>
      <c r="G3" s="2"/>
      <c r="H3" s="6"/>
      <c r="I3" s="6"/>
      <c r="J3" s="6"/>
      <c r="L3" s="7" t="s">
        <v>5</v>
      </c>
    </row>
    <row r="4" spans="1:13" ht="45" x14ac:dyDescent="0.25">
      <c r="A4" s="13" t="s">
        <v>9</v>
      </c>
      <c r="B4" s="13" t="s">
        <v>7</v>
      </c>
      <c r="C4" s="13" t="s">
        <v>8</v>
      </c>
      <c r="D4" s="14" t="s">
        <v>4</v>
      </c>
      <c r="E4" s="13" t="s">
        <v>1</v>
      </c>
      <c r="G4" s="13" t="s">
        <v>9</v>
      </c>
      <c r="H4" s="15" t="s">
        <v>10</v>
      </c>
      <c r="I4" s="15" t="s">
        <v>11</v>
      </c>
      <c r="J4" s="16" t="s">
        <v>0</v>
      </c>
    </row>
    <row r="5" spans="1:13" x14ac:dyDescent="0.25">
      <c r="A5">
        <v>2003</v>
      </c>
      <c r="B5" s="12">
        <f>(94611130+25309296)*0.6629-2146841+114176-2</f>
        <v>77462583.395400003</v>
      </c>
      <c r="C5" s="12">
        <f>65866619*0.6629</f>
        <v>43662981.735100001</v>
      </c>
      <c r="D5" s="3">
        <v>33799602</v>
      </c>
      <c r="E5" s="3">
        <f>SUM(D$5:D5)</f>
        <v>33799602</v>
      </c>
      <c r="F5" s="3"/>
      <c r="G5" s="1">
        <v>2003</v>
      </c>
      <c r="H5" s="3">
        <v>22319644</v>
      </c>
      <c r="I5" s="3">
        <v>11479958</v>
      </c>
      <c r="J5" s="3">
        <f>SUM(H5:I5)</f>
        <v>33799602</v>
      </c>
      <c r="L5" s="8">
        <f>IF($D5&gt;0,MIN(9000000,$D5),MAX(-9000000,$D5))</f>
        <v>9000000</v>
      </c>
      <c r="M5" t="s">
        <v>6</v>
      </c>
    </row>
    <row r="6" spans="1:13" x14ac:dyDescent="0.25">
      <c r="A6">
        <v>2004</v>
      </c>
      <c r="B6" s="12">
        <f>43662982+20663573</f>
        <v>64326555</v>
      </c>
      <c r="C6" s="12">
        <f>65866619*0.6629</f>
        <v>43662981.735100001</v>
      </c>
      <c r="D6" s="11">
        <v>20663573</v>
      </c>
      <c r="E6" s="3">
        <f>SUM(D$5:D6)</f>
        <v>54463175</v>
      </c>
      <c r="F6" s="3"/>
      <c r="G6" s="1">
        <v>2004</v>
      </c>
      <c r="H6" s="3">
        <v>10497216</v>
      </c>
      <c r="I6" s="3">
        <v>10166357</v>
      </c>
      <c r="J6" s="3">
        <f t="shared" ref="J6:J20" si="0">SUM(H6:I6)</f>
        <v>20663573</v>
      </c>
      <c r="L6" s="8">
        <f t="shared" ref="L6:L7" si="1">IF($D6&gt;0,MIN(9000000,$D6),MAX(-9000000,$D6))</f>
        <v>9000000</v>
      </c>
    </row>
    <row r="7" spans="1:13" x14ac:dyDescent="0.25">
      <c r="A7">
        <v>2005</v>
      </c>
      <c r="B7" s="12">
        <f>43662982+13588374</f>
        <v>57251356</v>
      </c>
      <c r="C7" s="12">
        <f>65866619*0.6629</f>
        <v>43662981.735100001</v>
      </c>
      <c r="D7" s="3">
        <v>13588374</v>
      </c>
      <c r="E7" s="3">
        <f>SUM(D$5:D7)</f>
        <v>68051549</v>
      </c>
      <c r="F7" s="3"/>
      <c r="G7" s="1">
        <v>2005</v>
      </c>
      <c r="H7" s="3">
        <v>4129537</v>
      </c>
      <c r="I7" s="3">
        <v>9458837</v>
      </c>
      <c r="J7" s="3">
        <f t="shared" si="0"/>
        <v>13588374</v>
      </c>
      <c r="L7" s="8">
        <f t="shared" si="1"/>
        <v>9000000</v>
      </c>
    </row>
    <row r="8" spans="1:13" x14ac:dyDescent="0.25">
      <c r="A8">
        <v>2006</v>
      </c>
      <c r="B8" s="12">
        <f>70389766-2601664</f>
        <v>67788102</v>
      </c>
      <c r="C8" s="12">
        <f>108026038*0.6516</f>
        <v>70389766.360799998</v>
      </c>
      <c r="D8" s="3">
        <v>-2601664</v>
      </c>
      <c r="E8" s="3">
        <f>SUM(D$5:D8)</f>
        <v>65449885</v>
      </c>
      <c r="F8" s="3"/>
      <c r="G8" s="1">
        <v>2006</v>
      </c>
      <c r="H8" s="3">
        <v>0</v>
      </c>
      <c r="I8" s="3">
        <v>-2601664</v>
      </c>
      <c r="J8" s="3">
        <f t="shared" si="0"/>
        <v>-2601664</v>
      </c>
      <c r="L8" s="5">
        <f t="shared" ref="L8:L20" si="2">IF($D8&gt;0,MIN(4000000,$D8),MAX(-4000000,$D8))</f>
        <v>-2601664</v>
      </c>
    </row>
    <row r="9" spans="1:13" x14ac:dyDescent="0.25">
      <c r="A9">
        <v>2007</v>
      </c>
      <c r="B9" s="12">
        <f>70389766+24826407</f>
        <v>95216173</v>
      </c>
      <c r="C9" s="12">
        <f>108026038*0.6516</f>
        <v>70389766.360799998</v>
      </c>
      <c r="D9" s="3">
        <v>24826407</v>
      </c>
      <c r="E9" s="3">
        <f>SUM(D$5:D9)</f>
        <v>90276292</v>
      </c>
      <c r="F9" s="3"/>
      <c r="G9" s="1">
        <v>2007</v>
      </c>
      <c r="H9" s="3">
        <v>16343766</v>
      </c>
      <c r="I9" s="3">
        <v>8482641</v>
      </c>
      <c r="J9" s="3">
        <f t="shared" si="0"/>
        <v>24826407</v>
      </c>
      <c r="L9" s="5">
        <f t="shared" si="2"/>
        <v>4000000</v>
      </c>
    </row>
    <row r="10" spans="1:13" x14ac:dyDescent="0.25">
      <c r="A10">
        <v>2008</v>
      </c>
      <c r="B10" s="12">
        <f>122166945+1</f>
        <v>122166946</v>
      </c>
      <c r="C10" s="12">
        <f>163555401*0.6583</f>
        <v>107668520.47830001</v>
      </c>
      <c r="D10" s="3">
        <v>14498426</v>
      </c>
      <c r="E10" s="3">
        <f>SUM(D$5:D10)</f>
        <v>104774718</v>
      </c>
      <c r="F10" s="3"/>
      <c r="G10" s="1">
        <v>2008</v>
      </c>
      <c r="H10" s="3">
        <v>7048583</v>
      </c>
      <c r="I10" s="3">
        <v>7449843</v>
      </c>
      <c r="J10" s="3">
        <f t="shared" si="0"/>
        <v>14498426</v>
      </c>
      <c r="L10" s="5">
        <f t="shared" si="2"/>
        <v>4000000</v>
      </c>
    </row>
    <row r="11" spans="1:13" x14ac:dyDescent="0.25">
      <c r="A11">
        <v>2009</v>
      </c>
      <c r="B11" s="12">
        <f>122589229-3037637</f>
        <v>119551592</v>
      </c>
      <c r="C11" s="12">
        <f>189795989*0.6459</f>
        <v>122589229.2951</v>
      </c>
      <c r="D11" s="3">
        <v>-3037637</v>
      </c>
      <c r="E11" s="3">
        <f>SUM(D$5:D11)</f>
        <v>101737081</v>
      </c>
      <c r="F11" s="3"/>
      <c r="G11" s="1">
        <v>2009</v>
      </c>
      <c r="H11" s="3">
        <v>0</v>
      </c>
      <c r="I11" s="3">
        <v>-3037637</v>
      </c>
      <c r="J11" s="3">
        <f t="shared" si="0"/>
        <v>-3037637</v>
      </c>
      <c r="L11" s="5">
        <f t="shared" si="2"/>
        <v>-3037637</v>
      </c>
    </row>
    <row r="12" spans="1:13" x14ac:dyDescent="0.25">
      <c r="A12" s="17" t="s">
        <v>13</v>
      </c>
      <c r="B12" s="12"/>
      <c r="C12" s="12"/>
      <c r="D12" s="3">
        <v>0</v>
      </c>
      <c r="E12" s="3">
        <f>SUM(D$5:D12)</f>
        <v>101737081</v>
      </c>
      <c r="F12" s="3"/>
      <c r="G12" s="1">
        <v>2010</v>
      </c>
      <c r="H12" s="3">
        <v>0</v>
      </c>
      <c r="I12" s="3">
        <v>0</v>
      </c>
      <c r="J12" s="3">
        <f t="shared" si="0"/>
        <v>0</v>
      </c>
      <c r="L12" s="5">
        <f t="shared" si="2"/>
        <v>0</v>
      </c>
    </row>
    <row r="13" spans="1:13" x14ac:dyDescent="0.25">
      <c r="A13">
        <v>2011</v>
      </c>
      <c r="B13" s="12">
        <f>120930162-19208401</f>
        <v>101721761</v>
      </c>
      <c r="C13" s="12">
        <f>(22736207+19448034+19950428+8461615+3661014+4078472+11240539+17168148+16063688+18506590+21138950+23965556)*0.6487</f>
        <v>120930161.6367</v>
      </c>
      <c r="D13" s="3">
        <v>-19208401</v>
      </c>
      <c r="E13" s="3">
        <f>SUM(D$5:D13)</f>
        <v>82528680</v>
      </c>
      <c r="F13" s="3"/>
      <c r="G13" s="1">
        <v>2011</v>
      </c>
      <c r="H13" s="3">
        <f>-12787561</f>
        <v>-12787561</v>
      </c>
      <c r="I13" s="3">
        <f>D13-H13</f>
        <v>-6420840</v>
      </c>
      <c r="J13" s="3">
        <f t="shared" si="0"/>
        <v>-19208401</v>
      </c>
      <c r="L13" s="5">
        <f t="shared" si="2"/>
        <v>-4000000</v>
      </c>
    </row>
    <row r="14" spans="1:13" x14ac:dyDescent="0.25">
      <c r="A14">
        <v>2012</v>
      </c>
      <c r="B14" s="12">
        <f>128931859-14704389</f>
        <v>114227470</v>
      </c>
      <c r="C14" s="12">
        <f>197869642*0.6516</f>
        <v>128931858.72719999</v>
      </c>
      <c r="D14" s="3">
        <v>-14704389</v>
      </c>
      <c r="E14" s="3">
        <f>SUM(D$5:D14)</f>
        <v>67824291</v>
      </c>
      <c r="F14" s="3"/>
      <c r="G14" s="1">
        <v>2012</v>
      </c>
      <c r="H14" s="3">
        <v>-8733950</v>
      </c>
      <c r="I14" s="3">
        <f>D14-H14</f>
        <v>-5970439</v>
      </c>
      <c r="J14" s="3">
        <f t="shared" si="0"/>
        <v>-14704389</v>
      </c>
      <c r="L14" s="5">
        <f t="shared" si="2"/>
        <v>-4000000</v>
      </c>
    </row>
    <row r="15" spans="1:13" x14ac:dyDescent="0.25">
      <c r="A15">
        <v>2013</v>
      </c>
      <c r="B15" s="12">
        <f>118241099+5037302</f>
        <v>123278401</v>
      </c>
      <c r="C15" s="12">
        <f>181240188*0.6524</f>
        <v>118241098.6512</v>
      </c>
      <c r="D15" s="3">
        <v>5037302</v>
      </c>
      <c r="E15" s="3">
        <f>SUM(D$5:D15)</f>
        <v>72861593</v>
      </c>
      <c r="F15" s="3"/>
      <c r="G15" s="1">
        <v>2013</v>
      </c>
      <c r="H15" s="3">
        <v>518651</v>
      </c>
      <c r="I15" s="3">
        <v>4518651</v>
      </c>
      <c r="J15" s="3">
        <f t="shared" si="0"/>
        <v>5037302</v>
      </c>
      <c r="L15" s="5">
        <f t="shared" si="2"/>
        <v>4000000</v>
      </c>
    </row>
    <row r="16" spans="1:13" x14ac:dyDescent="0.25">
      <c r="A16">
        <v>2014</v>
      </c>
      <c r="B16" s="12">
        <f>118241099-9526639</f>
        <v>108714460</v>
      </c>
      <c r="C16" s="12">
        <f>181240188*0.6524</f>
        <v>118241098.6512</v>
      </c>
      <c r="D16" s="3">
        <v>-9526639</v>
      </c>
      <c r="E16" s="3">
        <f>SUM(D$5:D16)</f>
        <v>63334954</v>
      </c>
      <c r="F16" s="3"/>
      <c r="G16" s="1">
        <v>2014</v>
      </c>
      <c r="H16" s="3">
        <v>-4144980</v>
      </c>
      <c r="I16" s="3">
        <v>-5381660</v>
      </c>
      <c r="J16" s="3">
        <f t="shared" si="0"/>
        <v>-9526640</v>
      </c>
      <c r="L16" s="5">
        <f t="shared" si="2"/>
        <v>-4000000</v>
      </c>
    </row>
    <row r="17" spans="1:12" x14ac:dyDescent="0.25">
      <c r="A17">
        <v>2015</v>
      </c>
      <c r="B17" s="12">
        <f>113768576-17578148-1</f>
        <v>96190427</v>
      </c>
      <c r="C17" s="12">
        <f>174518448*0.6519</f>
        <v>113768576.25120001</v>
      </c>
      <c r="D17" s="3">
        <v>-17578149</v>
      </c>
      <c r="E17" s="3">
        <f>SUM(D$5:D17)</f>
        <v>45756805</v>
      </c>
      <c r="F17" s="3"/>
      <c r="G17" s="1">
        <v>2015</v>
      </c>
      <c r="H17" s="3">
        <v>-11320333</v>
      </c>
      <c r="I17" s="3">
        <v>-6257815</v>
      </c>
      <c r="J17" s="3">
        <f t="shared" si="0"/>
        <v>-17578148</v>
      </c>
      <c r="L17" s="5">
        <f t="shared" si="2"/>
        <v>-4000000</v>
      </c>
    </row>
    <row r="18" spans="1:12" x14ac:dyDescent="0.25">
      <c r="A18">
        <v>2016</v>
      </c>
      <c r="B18" s="12">
        <f>89760656-8426688</f>
        <v>81333968</v>
      </c>
      <c r="C18" s="12">
        <f>(18022781*0.6486)+((138670410-18022781)*0.6471)</f>
        <v>89760656.482499987</v>
      </c>
      <c r="D18" s="3">
        <v>-8426688</v>
      </c>
      <c r="E18" s="3">
        <f>SUM(D$5:D18)</f>
        <v>37330117</v>
      </c>
      <c r="F18" s="3"/>
      <c r="G18" s="1">
        <v>2016</v>
      </c>
      <c r="H18" s="3">
        <v>-3320016</v>
      </c>
      <c r="I18" s="3">
        <v>-5106672</v>
      </c>
      <c r="J18" s="3">
        <f t="shared" si="0"/>
        <v>-8426688</v>
      </c>
      <c r="L18" s="5">
        <f t="shared" si="2"/>
        <v>-4000000</v>
      </c>
    </row>
    <row r="19" spans="1:12" x14ac:dyDescent="0.25">
      <c r="A19">
        <v>2017</v>
      </c>
      <c r="B19" s="12">
        <f>(137235359-6059188)*0.6471-2560676</f>
        <v>82323424.254099995</v>
      </c>
      <c r="C19" s="12">
        <f>136830730*0.6471-1</f>
        <v>88543164.383000001</v>
      </c>
      <c r="D19" s="3">
        <v>-6219740</v>
      </c>
      <c r="E19" s="3">
        <f>SUM(D$5:D19)</f>
        <v>31110377</v>
      </c>
      <c r="G19" s="1">
        <v>2017</v>
      </c>
      <c r="H19" s="3">
        <v>-1664805</v>
      </c>
      <c r="I19" s="3">
        <v>-4554935</v>
      </c>
      <c r="J19" s="3">
        <f t="shared" si="0"/>
        <v>-6219740</v>
      </c>
      <c r="L19" s="5">
        <f t="shared" si="2"/>
        <v>-4000000</v>
      </c>
    </row>
    <row r="20" spans="1:12" x14ac:dyDescent="0.25">
      <c r="A20">
        <v>2018</v>
      </c>
      <c r="B20" s="9">
        <v>81490913</v>
      </c>
      <c r="C20" s="9">
        <v>97035181</v>
      </c>
      <c r="D20" s="3">
        <f>B20-C20</f>
        <v>-15544268</v>
      </c>
      <c r="E20" s="3">
        <f>SUM(D$5:D20)</f>
        <v>15566109</v>
      </c>
      <c r="G20" s="1">
        <v>2018</v>
      </c>
      <c r="H20" s="3">
        <v>-9489841</v>
      </c>
      <c r="I20" s="3">
        <v>-6054427</v>
      </c>
      <c r="J20" s="3">
        <f t="shared" si="0"/>
        <v>-15544268</v>
      </c>
      <c r="L20" s="5">
        <f t="shared" si="2"/>
        <v>-4000000</v>
      </c>
    </row>
    <row r="22" spans="1:12" x14ac:dyDescent="0.25">
      <c r="C22" s="10"/>
    </row>
  </sheetData>
  <printOptions horizontalCentered="1" verticalCentered="1" headings="1" gridLines="1"/>
  <pageMargins left="0.7" right="0.7" top="0.75" bottom="0.75" header="0.3" footer="0.3"/>
  <pageSetup scale="58" orientation="landscape" r:id="rId1"/>
  <headerFooter>
    <oddFooter>&amp;L&amp;A&amp;RPage 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B146ED-5597-4284-8326-F51785AA7407}"/>
</file>

<file path=customXml/itemProps2.xml><?xml version="1.0" encoding="utf-8"?>
<ds:datastoreItem xmlns:ds="http://schemas.openxmlformats.org/officeDocument/2006/customXml" ds:itemID="{A68CAEAF-7C1A-43C2-B979-71E838EC9DAC}"/>
</file>

<file path=customXml/itemProps3.xml><?xml version="1.0" encoding="utf-8"?>
<ds:datastoreItem xmlns:ds="http://schemas.openxmlformats.org/officeDocument/2006/customXml" ds:itemID="{260BAF34-AF55-4A2D-B85A-B65C445017B5}"/>
</file>

<file path=customXml/itemProps4.xml><?xml version="1.0" encoding="utf-8"?>
<ds:datastoreItem xmlns:ds="http://schemas.openxmlformats.org/officeDocument/2006/customXml" ds:itemID="{87A647E8-D4F4-4682-9B09-407A74894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PC_DR_106</vt:lpstr>
      <vt:lpstr>PC_DR_106!Print_Area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Burdet, Kevin (ATG)</cp:lastModifiedBy>
  <cp:lastPrinted>2019-10-02T22:15:26Z</cp:lastPrinted>
  <dcterms:created xsi:type="dcterms:W3CDTF">2017-07-31T22:43:19Z</dcterms:created>
  <dcterms:modified xsi:type="dcterms:W3CDTF">2019-10-02T22:16:04Z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