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3.xml" ContentType="application/vnd.openxmlformats-officedocument.customXm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30" yWindow="90" windowWidth="15090" windowHeight="8085" tabRatio="719" activeTab="2"/>
  </bookViews>
  <sheets>
    <sheet name="Background" sheetId="21" r:id="rId1"/>
    <sheet name="Instructions - Revise 2014" sheetId="20" r:id="rId2"/>
    <sheet name="PSE EE Title Page" sheetId="24" r:id="rId3"/>
    <sheet name="Conservation Report" sheetId="18" r:id="rId4"/>
    <sheet name="Renewables Report" sheetId="16" r:id="rId5"/>
    <sheet name="Renewable Cost Report" sheetId="23" r:id="rId6"/>
    <sheet name="Data" sheetId="19" state="hidden" r:id="rId7"/>
  </sheets>
  <externalReferences>
    <externalReference r:id="rId8"/>
  </externalReferences>
  <definedNames>
    <definedName name="CON_2014_Agriculture_Expend">'Conservation Report'!$D$22</definedName>
    <definedName name="CON_2014_Agriculture_MWH">'Conservation Report'!$C$22</definedName>
    <definedName name="CON_2014_Commercial_Expend">'Conservation Report'!$D$20</definedName>
    <definedName name="CON_2014_Commercial_MWH">'Conservation Report'!$C$20</definedName>
    <definedName name="CON_2014_Distribution_Expend">'Conservation Report'!$D$23</definedName>
    <definedName name="CON_2014_Distribution_MWH">'Conservation Report'!$C$23</definedName>
    <definedName name="CON_2014_Expenditures">'Conservation Report'!$D$31</definedName>
    <definedName name="CON_2014_Industrial_Expend">'Conservation Report'!$D$21</definedName>
    <definedName name="CON_2014_Industrial_MWH">'Conservation Report'!$C$21</definedName>
    <definedName name="CON_2014_MWH">'Conservation Report'!$C$31</definedName>
    <definedName name="CON_2014_NEEA_Expend">'Conservation Report'!$D$25</definedName>
    <definedName name="CON_2014_NEEA_MWH">'Conservation Report'!$C$25</definedName>
    <definedName name="CON_2014_OtherSector1_Expend">'Conservation Report'!$D$26</definedName>
    <definedName name="CON_2014_OtherSector1_MWH">'Conservation Report'!$C$26</definedName>
    <definedName name="CON_2014_OtherSector2_Expend">'Conservation Report'!$D$27</definedName>
    <definedName name="CON_2014_OtherSector2_MWH">'Conservation Report'!$C$27</definedName>
    <definedName name="CON_2014_Production_Expend">'Conservation Report'!$D$24</definedName>
    <definedName name="CON_2014_Production_MWH">'Conservation Report'!$C$24</definedName>
    <definedName name="CON_2014_Program1_Expend">'Conservation Report'!$D$29</definedName>
    <definedName name="CON_2014_Program2_Expend">'Conservation Report'!$D$30</definedName>
    <definedName name="CON_2014_Residential_Expend">'Conservation Report'!$D$19</definedName>
    <definedName name="CON_2014_Residential_MWH">'Conservation Report'!$C$19</definedName>
    <definedName name="CON_2015_Agriculture_Expend">'Conservation Report'!$G$22</definedName>
    <definedName name="CON_2015_Agriculture_MWH">'Conservation Report'!$F$22</definedName>
    <definedName name="CON_2015_Commercial_Expend">'Conservation Report'!$G$20</definedName>
    <definedName name="CON_2015_Commercial_MWH">'Conservation Report'!$F$20</definedName>
    <definedName name="CON_2015_Distribution_Expend">'Conservation Report'!$G$23</definedName>
    <definedName name="CON_2015_Distribution_MWH">'Conservation Report'!$F$23</definedName>
    <definedName name="CON_2015_Expenditures">'Conservation Report'!$G$31</definedName>
    <definedName name="CON_2015_Industrial_Expend">'Conservation Report'!$G$21</definedName>
    <definedName name="CON_2015_Industrial_MWH">'Conservation Report'!$F$21</definedName>
    <definedName name="CON_2015_MWH">'Conservation Report'!$F$31</definedName>
    <definedName name="CON_2015_NEEA_Expend">'Conservation Report'!$G$25</definedName>
    <definedName name="CON_2015_NEEA_MWH">'Conservation Report'!$F$25</definedName>
    <definedName name="CON_2015_OtherSector1_Expend">'Conservation Report'!$G$26</definedName>
    <definedName name="CON_2015_OtherSector1_MWH">'Conservation Report'!$F$26</definedName>
    <definedName name="CON_2015_OtherSector2_Expend">'Conservation Report'!$G$27</definedName>
    <definedName name="CON_2015_OtherSector2_MWH">'Conservation Report'!$F$27</definedName>
    <definedName name="CON_2015_Production_Expend">'Conservation Report'!$G$24</definedName>
    <definedName name="CON_2015_Production_MWH">'Conservation Report'!$F$24</definedName>
    <definedName name="CON_2015_Program1_Expend">'Conservation Report'!$G$29</definedName>
    <definedName name="CON_2015_Program2_Expend">'Conservation Report'!$G$30</definedName>
    <definedName name="CON_2015_Residential_Expend">'Conservation Report'!$G$19</definedName>
    <definedName name="CON_2015_Residential_MWH">'Conservation Report'!$F$19</definedName>
    <definedName name="CON_Contact_Name">'Conservation Report'!$B$7</definedName>
    <definedName name="CON_Email">'Conservation Report'!$B$9</definedName>
    <definedName name="CON_Phone">'Conservation Report'!$B$8</definedName>
    <definedName name="CON_Potential_2015_2023">'Conservation Report'!$A$14</definedName>
    <definedName name="CON_Potential_2016_2025">'Conservation Report'!$C$14</definedName>
    <definedName name="CON_Report_Date">'Conservation Report'!$B$6</definedName>
    <definedName name="CON_Target_2014_2015">'Conservation Report'!$B$14</definedName>
    <definedName name="CON_Target_2016_2017">'Conservation Report'!$D$14</definedName>
    <definedName name="CON_Utility_Name" localSheetId="0">'[1]Conservation Report'!$C$3:$E$3</definedName>
    <definedName name="CON_Utility_Name">'Conservation Report'!$B$5</definedName>
    <definedName name="_xlnm.Print_Area" localSheetId="3">'Conservation Report'!$A$1:$J$46</definedName>
    <definedName name="_xlnm.Print_Area" localSheetId="5">'Renewable Cost Report'!$A$3:$K$62</definedName>
    <definedName name="_xlnm.Print_Area" localSheetId="4">'Renewables Report'!$A$3:$N$116</definedName>
    <definedName name="REN_Contact_Name">'Renewables Report'!$B$7</definedName>
    <definedName name="REN_Email">'Renewables Report'!$B$9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6">'Renewables Report'!$M$13</definedName>
    <definedName name="REN_Expenditure_Percent_2016">'Renewables Report'!$M$15</definedName>
    <definedName name="REN_Load_2014">'Renewables Report'!$M$5</definedName>
    <definedName name="REN_Load_2015">'Renewables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6">'Renewables Report'!$M$14</definedName>
    <definedName name="REN_Submittal_Date">'Renewables Report'!$B$6</definedName>
    <definedName name="REN_Total_2016">'Renewables Report'!$M$10</definedName>
    <definedName name="REN_Utility_Name">'Renewables Report'!$B$5</definedName>
    <definedName name="ResourceType">Data!$A$6:$A$15</definedName>
    <definedName name="ResourceType_REC">Data!$A$7:$A$15</definedName>
  </definedNames>
  <calcPr calcId="145621"/>
</workbook>
</file>

<file path=xl/calcChain.xml><?xml version="1.0" encoding="utf-8"?>
<calcChain xmlns="http://schemas.openxmlformats.org/spreadsheetml/2006/main">
  <c r="G8" i="18" l="1"/>
  <c r="I69" i="16"/>
  <c r="I70" i="16"/>
  <c r="I71" i="16"/>
  <c r="I72" i="16"/>
  <c r="I73" i="16"/>
  <c r="I74" i="16"/>
  <c r="I75" i="16"/>
  <c r="I76" i="16"/>
  <c r="I77" i="16"/>
  <c r="I78" i="16"/>
  <c r="I79" i="16"/>
  <c r="I80" i="16"/>
  <c r="I81" i="16"/>
  <c r="I82" i="16"/>
  <c r="I83" i="16"/>
  <c r="I84" i="16"/>
  <c r="I85" i="16"/>
  <c r="I86" i="16"/>
  <c r="I87" i="16"/>
  <c r="I88" i="16"/>
  <c r="I89" i="16"/>
  <c r="I90" i="16"/>
  <c r="I91" i="16"/>
  <c r="I68" i="16"/>
  <c r="I67"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C19" i="23"/>
  <c r="C20" i="23"/>
  <c r="C21" i="23"/>
  <c r="C22" i="23"/>
  <c r="C23" i="23"/>
  <c r="C24" i="23"/>
  <c r="C25" i="23"/>
  <c r="C26" i="23"/>
  <c r="C27" i="23"/>
  <c r="C28" i="23"/>
  <c r="C29" i="23"/>
  <c r="C10" i="23"/>
  <c r="C9" i="23"/>
  <c r="E19" i="16"/>
  <c r="F19" i="16"/>
  <c r="G19" i="16"/>
  <c r="H19" i="16"/>
  <c r="I19" i="16"/>
  <c r="J19" i="16"/>
  <c r="K19" i="16"/>
  <c r="L19" i="16"/>
  <c r="BZ2" i="19" s="1"/>
  <c r="D19" i="16"/>
  <c r="D18" i="16"/>
  <c r="E18" i="16"/>
  <c r="F18" i="16"/>
  <c r="G18" i="16"/>
  <c r="H18" i="16"/>
  <c r="I18" i="16"/>
  <c r="J18" i="16"/>
  <c r="K18" i="16"/>
  <c r="L18" i="16"/>
  <c r="BJ2" i="19" s="1"/>
  <c r="H91" i="16"/>
  <c r="H68" i="16"/>
  <c r="H69" i="16"/>
  <c r="H70" i="16"/>
  <c r="H71" i="16"/>
  <c r="H72" i="16"/>
  <c r="H73" i="16"/>
  <c r="H74" i="16"/>
  <c r="H75" i="16"/>
  <c r="H76" i="16"/>
  <c r="H77" i="16"/>
  <c r="H78" i="16"/>
  <c r="H79" i="16"/>
  <c r="H80" i="16"/>
  <c r="H81" i="16"/>
  <c r="H82" i="16"/>
  <c r="H83" i="16"/>
  <c r="H84" i="16"/>
  <c r="H85" i="16"/>
  <c r="H86" i="16"/>
  <c r="H87" i="16"/>
  <c r="H88" i="16"/>
  <c r="H89" i="16"/>
  <c r="H90" i="16"/>
  <c r="H67" i="16"/>
  <c r="F41" i="16"/>
  <c r="F42" i="16"/>
  <c r="F43" i="16"/>
  <c r="F44" i="16"/>
  <c r="F45" i="16"/>
  <c r="F46" i="16"/>
  <c r="F47" i="16"/>
  <c r="F48" i="16"/>
  <c r="F49" i="16"/>
  <c r="F50" i="16"/>
  <c r="F51" i="16"/>
  <c r="F52" i="16"/>
  <c r="F53" i="16"/>
  <c r="F54" i="16"/>
  <c r="F55" i="16"/>
  <c r="F56" i="16"/>
  <c r="F57" i="16"/>
  <c r="F58" i="16"/>
  <c r="F59" i="16"/>
  <c r="F60" i="16"/>
  <c r="F40" i="16"/>
  <c r="M19" i="16" l="1"/>
  <c r="N19" i="16"/>
  <c r="M18" i="16"/>
  <c r="CH2" i="19"/>
  <c r="CF2" i="19"/>
  <c r="CE2" i="19"/>
  <c r="BS2" i="19"/>
  <c r="BR2" i="19"/>
  <c r="BD2" i="19"/>
  <c r="BC2" i="19"/>
  <c r="BB2" i="19"/>
  <c r="BA2" i="19"/>
  <c r="AZ2" i="19"/>
  <c r="AY2" i="19"/>
  <c r="AX2" i="19"/>
  <c r="AW2" i="19"/>
  <c r="AV2" i="19"/>
  <c r="AU2" i="19"/>
  <c r="AT2" i="19"/>
  <c r="AS2" i="19"/>
  <c r="AR2" i="19"/>
  <c r="AQ2" i="19"/>
  <c r="AP2" i="19"/>
  <c r="AO2" i="19"/>
  <c r="AN2" i="19"/>
  <c r="AM2" i="19"/>
  <c r="AL2" i="19"/>
  <c r="AK2" i="19"/>
  <c r="AJ2" i="19"/>
  <c r="AI2" i="19"/>
  <c r="AH2" i="19"/>
  <c r="AF2" i="19"/>
  <c r="AE2" i="19"/>
  <c r="AC2" i="19"/>
  <c r="AB2" i="19"/>
  <c r="AA2" i="19"/>
  <c r="Z2" i="19"/>
  <c r="Y2" i="19"/>
  <c r="X2" i="19"/>
  <c r="W2" i="19"/>
  <c r="V2" i="19"/>
  <c r="U2" i="19"/>
  <c r="T2" i="19"/>
  <c r="S2" i="19"/>
  <c r="R2" i="19"/>
  <c r="Q2" i="19"/>
  <c r="P2" i="19"/>
  <c r="O2" i="19"/>
  <c r="N2" i="19"/>
  <c r="M2" i="19"/>
  <c r="L2" i="19"/>
  <c r="J2" i="19"/>
  <c r="I2" i="19"/>
  <c r="G2" i="19"/>
  <c r="F2" i="19"/>
  <c r="E2" i="19"/>
  <c r="D2" i="19"/>
  <c r="C2" i="19"/>
  <c r="B2" i="19"/>
  <c r="I8" i="18" l="1"/>
  <c r="G31" i="18"/>
  <c r="AD2" i="19" s="1"/>
  <c r="F31" i="18"/>
  <c r="AG2" i="19" s="1"/>
  <c r="F38" i="23" l="1"/>
  <c r="K9" i="23"/>
  <c r="F39" i="23"/>
  <c r="F40" i="23"/>
  <c r="F41" i="23"/>
  <c r="F42" i="23"/>
  <c r="F43" i="23"/>
  <c r="F44" i="23"/>
  <c r="F45" i="23"/>
  <c r="F46" i="23"/>
  <c r="F47" i="23"/>
  <c r="F48" i="23"/>
  <c r="F49" i="23"/>
  <c r="F50" i="23"/>
  <c r="F51" i="23"/>
  <c r="F52" i="23"/>
  <c r="F53" i="23"/>
  <c r="F54" i="23"/>
  <c r="F55" i="23"/>
  <c r="F56" i="23"/>
  <c r="F57" i="23"/>
  <c r="F58" i="23"/>
  <c r="F59" i="23"/>
  <c r="F60" i="23"/>
  <c r="F61" i="23"/>
  <c r="F37" i="23"/>
  <c r="K29" i="23" l="1"/>
  <c r="K28" i="23"/>
  <c r="K27" i="23"/>
  <c r="K26" i="23"/>
  <c r="K25" i="23"/>
  <c r="K24" i="23"/>
  <c r="K23" i="23"/>
  <c r="K22" i="23"/>
  <c r="K21" i="23"/>
  <c r="K20" i="23"/>
  <c r="K19" i="23"/>
  <c r="K18" i="23"/>
  <c r="K17" i="23"/>
  <c r="K16" i="23"/>
  <c r="K15" i="23"/>
  <c r="K14" i="23"/>
  <c r="K13" i="23"/>
  <c r="K12" i="23"/>
  <c r="K11" i="23"/>
  <c r="K10"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BP2" i="19" s="1"/>
  <c r="J10" i="23"/>
  <c r="J26" i="23"/>
  <c r="E22" i="23"/>
  <c r="J9" i="23"/>
  <c r="J16" i="23"/>
  <c r="J24" i="23"/>
  <c r="C30" i="23"/>
  <c r="E14" i="23"/>
  <c r="E25" i="23"/>
  <c r="E17" i="23"/>
  <c r="J21" i="23"/>
  <c r="J29" i="23"/>
  <c r="E27" i="23"/>
  <c r="E23" i="23"/>
  <c r="E15" i="23"/>
  <c r="E11" i="23"/>
  <c r="E13"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5" i="21" l="1"/>
  <c r="N7" i="20"/>
  <c r="M7" i="16"/>
  <c r="M9" i="16" s="1"/>
  <c r="A2" i="19" l="1"/>
  <c r="M15" i="16" l="1"/>
  <c r="BQ2" i="19" s="1"/>
  <c r="BM2" i="19" l="1"/>
  <c r="BN2" i="19"/>
  <c r="BL2" i="19"/>
  <c r="BH2" i="19"/>
  <c r="BI2" i="19"/>
  <c r="BO2" i="19"/>
  <c r="BK2" i="19"/>
  <c r="BF2" i="19"/>
  <c r="BG2" i="19"/>
  <c r="BE2" i="19"/>
  <c r="B33" i="18" l="1"/>
  <c r="D31" i="18" l="1"/>
  <c r="H2" i="19" s="1"/>
  <c r="C31" i="18"/>
  <c r="K2" i="19" l="1"/>
  <c r="G9" i="18"/>
  <c r="G10" i="18" s="1"/>
  <c r="BW2" i="19"/>
  <c r="N20" i="16" l="1"/>
  <c r="E93" i="16"/>
  <c r="BT2" i="19"/>
  <c r="E62" i="16"/>
  <c r="E36" i="16"/>
  <c r="BV2" i="19"/>
  <c r="BU2" i="19"/>
  <c r="CA2" i="19"/>
  <c r="CD2" i="19"/>
  <c r="BY2" i="19"/>
  <c r="BX2" i="19"/>
  <c r="CB2" i="19"/>
  <c r="CC2" i="19"/>
  <c r="F20" i="16" l="1"/>
  <c r="J20" i="16"/>
  <c r="E20" i="16"/>
  <c r="G20" i="16"/>
  <c r="I20" i="16"/>
  <c r="H20" i="16"/>
  <c r="M20" i="16"/>
  <c r="D20" i="16"/>
  <c r="K20" i="16"/>
  <c r="M10" i="16" l="1"/>
  <c r="CG2" i="19" s="1"/>
</calcChain>
</file>

<file path=xl/comments1.xml><?xml version="1.0" encoding="utf-8"?>
<comments xmlns="http://schemas.openxmlformats.org/spreadsheetml/2006/main">
  <authors>
    <author>Blackmon, Glenn (COM)</author>
  </authors>
  <commentList>
    <comment ref="A11" authorId="0">
      <text>
        <r>
          <rPr>
            <sz val="9"/>
            <color indexed="81"/>
            <rFont val="Tahoma"/>
            <family val="2"/>
          </rPr>
          <t xml:space="preserve">Utilities selecting the Resource Cost or No Load Growth methods must submit additional information. See details in WAC 194-37-110.
</t>
        </r>
      </text>
    </comment>
    <comment ref="K17" authorId="0">
      <text>
        <r>
          <rPr>
            <b/>
            <sz val="9"/>
            <color indexed="81"/>
            <rFont val="Tahoma"/>
            <family val="2"/>
          </rPr>
          <t>NOTE:</t>
        </r>
        <r>
          <rPr>
            <sz val="9"/>
            <color indexed="81"/>
            <rFont val="Tahoma"/>
            <family val="2"/>
          </rPr>
          <t xml:space="preserve"> Biomass energy is electricity from a biomass-fueled generating facility that commenced operation after March 31, 1999, and meets other legal requirements. 
</t>
        </r>
      </text>
    </comment>
    <comment ref="L17" author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<sst xmlns="http://schemas.openxmlformats.org/spreadsheetml/2006/main" count="324" uniqueCount="205">
  <si>
    <t>Utility Contact Name/Dept</t>
  </si>
  <si>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</si>
  <si>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</si>
  <si>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</si>
  <si>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</si>
  <si>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</si>
  <si>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</si>
  <si>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</si>
  <si>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</si>
  <si>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</si>
  <si>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</si>
  <si>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</si>
  <si>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</si>
  <si>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</si>
  <si>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</si>
  <si>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</si>
  <si>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</si>
  <si>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</si>
  <si>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Renewable Energy Credits</t>
  </si>
  <si>
    <t>Facility Name</t>
  </si>
  <si>
    <t xml:space="preserve"> Distribution Efficiency</t>
  </si>
  <si>
    <t xml:space="preserve"> Production Efficiency</t>
  </si>
  <si>
    <t>Renewable Resources</t>
  </si>
  <si>
    <t>Wave, Ocean, Tidal</t>
  </si>
  <si>
    <t>Conservation by Sector</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</si>
  <si>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</si>
  <si>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</si>
  <si>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</si>
  <si>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</si>
  <si>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</si>
  <si>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</si>
  <si>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</si>
  <si>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</si>
  <si>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</si>
  <si>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</si>
  <si>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2014 - 2015 Planning</t>
  </si>
  <si>
    <t>2014 - 2015 Target (MWh)</t>
  </si>
  <si>
    <t>2014-2023 Ten Year Potential (MWh)</t>
  </si>
  <si>
    <t>Documentation of the calculation and inputs for percentage of revenue requirement invested in renewables:</t>
  </si>
  <si>
    <t>Other notes and explanations:</t>
  </si>
  <si>
    <t>Contact Name/Dept</t>
  </si>
  <si>
    <t>Report Date</t>
  </si>
  <si>
    <t>CON_Contact_Name</t>
  </si>
  <si>
    <t>CON_Email</t>
  </si>
  <si>
    <t>CON_Phone</t>
  </si>
  <si>
    <t>CON_Report_Date</t>
  </si>
  <si>
    <t>CON_Utility_Name</t>
  </si>
  <si>
    <t>REN_Contact_Name</t>
  </si>
  <si>
    <t>REN_Email</t>
  </si>
  <si>
    <t>REN_Submittal_Date</t>
  </si>
  <si>
    <t>REN_Utility_Name</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</si>
  <si>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</si>
  <si>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</si>
  <si>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</si>
  <si>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</si>
  <si>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</si>
  <si>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</si>
  <si>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</si>
  <si>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</si>
  <si>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</si>
  <si>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</si>
  <si>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</si>
  <si>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</si>
  <si>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</si>
  <si>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</si>
  <si>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</si>
  <si>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</si>
  <si>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</si>
  <si>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</si>
  <si>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</si>
  <si>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</si>
  <si>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</si>
  <si>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</si>
  <si>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</si>
  <si>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2014 Achievement</t>
  </si>
  <si>
    <t>CON_2014_Agriculture_Expend</t>
  </si>
  <si>
    <t>CON_2014_Agriculture_MWH</t>
  </si>
  <si>
    <t>CON_2014_Commercial_Expend</t>
  </si>
  <si>
    <t>CON_2014_Commercial_MWH</t>
  </si>
  <si>
    <t>CON_2014_Distribution_Expend</t>
  </si>
  <si>
    <t>CON_2014_Distribution_MWH</t>
  </si>
  <si>
    <t>CON_2014_Expenditures</t>
  </si>
  <si>
    <t>CON_2014_Industrial_Expend</t>
  </si>
  <si>
    <t>CON_2014_Industrial_MWH</t>
  </si>
  <si>
    <t>CON_2014_MWH</t>
  </si>
  <si>
    <t>CON_2014_OtherSector1_Expend</t>
  </si>
  <si>
    <t>CON_2014_OtherSector1_MWH</t>
  </si>
  <si>
    <t>CON_2014_OtherSector2_Expend</t>
  </si>
  <si>
    <t>CON_2014_OtherSector2_MWH</t>
  </si>
  <si>
    <t>CON_2014_Production_Expend</t>
  </si>
  <si>
    <t>CON_2014_Production_MWH</t>
  </si>
  <si>
    <t>CON_2014_Program1_Expend</t>
  </si>
  <si>
    <t>CON_2014_Program2_Expend</t>
  </si>
  <si>
    <t>CON_2014_Residential_Expend</t>
  </si>
  <si>
    <t>CON_2014_Residential_MWH</t>
  </si>
  <si>
    <t>Description of Substitute Resource</t>
  </si>
  <si>
    <t>Renewable Resource Cost per MWH</t>
  </si>
  <si>
    <t>Substitute Resource Cost per MWH</t>
  </si>
  <si>
    <t>Totals</t>
  </si>
  <si>
    <t>2014 Annual Load (MWh)</t>
  </si>
  <si>
    <t>Average of 2013 &amp; 2014 Annual Loads (MWh)</t>
  </si>
  <si>
    <t>Incremental Cost of Renewable Resources</t>
  </si>
  <si>
    <t xml:space="preserve">Cost of Renewable Energy Credits </t>
  </si>
  <si>
    <t>CON_2014_NEEA_Expend</t>
  </si>
  <si>
    <t>CON_2014_NEEA_MWH</t>
  </si>
  <si>
    <t>REN_Load_2014</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</si>
  <si>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</si>
  <si>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</si>
  <si>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</si>
  <si>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</si>
  <si>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t>Published 3/31/2016</t>
  </si>
  <si>
    <r>
      <t>Deadline:</t>
    </r>
    <r>
      <rPr>
        <sz val="11"/>
        <color rgb="FF000000"/>
        <rFont val="Arial"/>
        <family val="2"/>
      </rPr>
      <t xml:space="preserve"> June 1, 2016</t>
    </r>
  </si>
  <si>
    <t>RENEWABLE ENERGY WORKSHEET – REVISIONS TO 2014 REPORT</t>
  </si>
  <si>
    <r>
      <t xml:space="preserve">In addition to submitting the 2016 report, each qualifying utility should review the renewable energy report it submitted in 2014. In many cases, the specific resources and quantities actually used to comply with the 2014 target differ from what the utility reported in June 2014. </t>
    </r>
    <r>
      <rPr>
        <u/>
        <sz val="11"/>
        <color theme="1"/>
        <rFont val="Arial"/>
        <family val="2"/>
      </rPr>
      <t>Utilities should submit a revised 2014 report if the actual values differ from the values reported in 2014.</t>
    </r>
    <r>
      <rPr>
        <sz val="11"/>
        <color theme="1"/>
        <rFont val="Arial"/>
        <family val="2"/>
      </rPr>
      <t xml:space="preserve"> </t>
    </r>
  </si>
  <si>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</si>
  <si>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t xml:space="preserve">Please use the 2014 template and mark it as "revised." Contact Commerce to obtain a copy of the 2014 reporting template if necessary. </t>
  </si>
  <si>
    <r>
      <rPr>
        <sz val="12"/>
        <color theme="1"/>
        <rFont val="Arial"/>
        <family val="2"/>
      </rPr>
      <t xml:space="preserve">Energy Independence Act (I-937) </t>
    </r>
    <r>
      <rPr>
        <sz val="12"/>
        <color theme="1"/>
        <rFont val="Arial Black"/>
        <family val="2"/>
      </rPr>
      <t>Conservation Report 2016</t>
    </r>
  </si>
  <si>
    <t>2016 - 2017 Planning</t>
  </si>
  <si>
    <t>2015 Achievement</t>
  </si>
  <si>
    <t>2014-2015</t>
  </si>
  <si>
    <t>Biennial</t>
  </si>
  <si>
    <t>2016-2017</t>
  </si>
  <si>
    <t>2016-2025 Ten Year Potential (MWh)</t>
  </si>
  <si>
    <t>2016 - 2017 Target (MWh)</t>
  </si>
  <si>
    <t>Summary of Achievement and Targets (MWh)</t>
  </si>
  <si>
    <t xml:space="preserve">Target </t>
  </si>
  <si>
    <t>Target</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</si>
  <si>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2016</t>
    </r>
  </si>
  <si>
    <t>2016 Compliance Method:</t>
  </si>
  <si>
    <r>
      <t xml:space="preserve">REC Vintage </t>
    </r>
    <r>
      <rPr>
        <sz val="10"/>
        <rFont val="Arial"/>
        <family val="2"/>
      </rPr>
      <t>(Year)</t>
    </r>
  </si>
  <si>
    <t>RECs</t>
  </si>
  <si>
    <t>Total Renewables (MWh+RECs)</t>
  </si>
  <si>
    <t>2015 Annual Load (MWh)</t>
  </si>
  <si>
    <t>2016 Renewable Target (% of load)</t>
  </si>
  <si>
    <t>Eligible Renewable Resources and RECs</t>
  </si>
  <si>
    <t>Incremental Cost of Renewable Resource in 2016</t>
  </si>
  <si>
    <t>Substitute Resource Annual Cost in 2016</t>
  </si>
  <si>
    <t>Renewable Resource Annual Cost in 2016</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</si>
  <si>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2016</t>
    </r>
  </si>
  <si>
    <t>Expenditures on Renewable Resources and RECs - 2016</t>
  </si>
  <si>
    <t>Total annual retail revenue requirement - 2016</t>
  </si>
  <si>
    <t>2016 Eligible Renewable Energy Target (MWh)</t>
  </si>
  <si>
    <t>CON_2015_Commercial_MWH</t>
  </si>
  <si>
    <t>CON_2015_Industrial_MWH</t>
  </si>
  <si>
    <t>CON_2015_Residential_MWH</t>
  </si>
  <si>
    <t>CON_Potential_2015_2023</t>
  </si>
  <si>
    <t>CON_Potential_2016_2025</t>
  </si>
  <si>
    <t>CON_Target_2016_2017</t>
  </si>
  <si>
    <t>REN_Expenditure_Amount_2016</t>
  </si>
  <si>
    <t>REN_Expenditure_Percent_2016</t>
  </si>
  <si>
    <t>REN_Load_2015</t>
  </si>
  <si>
    <t>REN_RetailRevenueRequirement_2016</t>
  </si>
  <si>
    <t>REN_Total_2016</t>
  </si>
  <si>
    <t>CON_2015_Commercial_Expend</t>
  </si>
  <si>
    <t>CON_2015_OtherSector1_Expend</t>
  </si>
  <si>
    <t>CON_2015_OtherSector1_MWH</t>
  </si>
  <si>
    <t>CON_2015_OtherSector2_Expend</t>
  </si>
  <si>
    <t>CON_2015_OtherSector2_MWH</t>
  </si>
  <si>
    <t>CON_2015_Production_Expend</t>
  </si>
  <si>
    <t>CON_2015_Production_MWH</t>
  </si>
  <si>
    <t>CON_2015_Program1_Expend</t>
  </si>
  <si>
    <t>CON_2015_Program2_Expend</t>
  </si>
  <si>
    <t>CON_2015_Agriculture_Expend</t>
  </si>
  <si>
    <t>CON_2015_Agriculture_MWH</t>
  </si>
  <si>
    <t>CON_2015_Distribution_Expend</t>
  </si>
  <si>
    <t>CON_2015_Distribution_MWH</t>
  </si>
  <si>
    <t>CON_2015_Expenditures</t>
  </si>
  <si>
    <t>CON_2015_Industrial_Expend</t>
  </si>
  <si>
    <t>CON_2015_MWH</t>
  </si>
  <si>
    <t>CON_2015_NEEA_Expend</t>
  </si>
  <si>
    <t>CON_2015_NEEA_MWH</t>
  </si>
  <si>
    <t>CON_2015_Residential_Expend</t>
  </si>
  <si>
    <t>Biodiesel</t>
  </si>
  <si>
    <t>Solar</t>
  </si>
  <si>
    <t>Geothermal</t>
  </si>
  <si>
    <t>Resource Type</t>
  </si>
  <si>
    <t>Biomass</t>
  </si>
  <si>
    <t>Qualified 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</si>
  <si>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</si>
  <si>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</si>
  <si>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</si>
  <si>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</si>
  <si>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</si>
  <si>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</si>
  <si>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</si>
  <si>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</si>
  <si>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</si>
  <si>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</si>
  <si>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</si>
  <si>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r>
      <t xml:space="preserve">Apprentice Labor Amount </t>
    </r>
    <r>
      <rPr>
        <sz val="9"/>
        <color theme="1"/>
        <rFont val="Arial"/>
        <family val="2"/>
      </rPr>
      <t>(MWh equiv.)</t>
    </r>
  </si>
  <si>
    <r>
      <t xml:space="preserve">Generation Amount </t>
    </r>
    <r>
      <rPr>
        <sz val="9"/>
        <color theme="1"/>
        <rFont val="Arial"/>
        <family val="2"/>
      </rPr>
      <t>(MWh)</t>
    </r>
  </si>
  <si>
    <t>Notes, including a brief description of the methodology used to establish the utility's ten-year potential and biennial target to capture cost-effective conservation:</t>
  </si>
  <si>
    <t>Enter information in green-shaded fields.</t>
  </si>
  <si>
    <t>Do not modify blue-shaded fields.</t>
  </si>
  <si>
    <r>
      <t xml:space="preserve">Energy Independence Act (I-937) </t>
    </r>
    <r>
      <rPr>
        <sz val="11"/>
        <color rgb="FF000000"/>
        <rFont val="Arial Black"/>
        <family val="2"/>
      </rPr>
      <t>Report Workbook</t>
    </r>
  </si>
  <si>
    <t>Surplus (Deficit)</t>
  </si>
  <si>
    <t>Utility Name</t>
  </si>
  <si>
    <r>
      <t>Questions:</t>
    </r>
    <r>
      <rPr>
        <sz val="11"/>
        <color rgb="FF000000"/>
        <rFont val="Arial"/>
        <family val="2"/>
      </rPr>
      <t xml:space="preserve"> Glenn Blackmon, State Energy Office, (360) 725-3115, </t>
    </r>
    <r>
      <rPr>
        <b/>
        <sz val="11"/>
        <color theme="3"/>
        <rFont val="Arial"/>
        <family val="2"/>
      </rPr>
      <t>glenn.blackmon@commerce.wa.gov</t>
    </r>
  </si>
  <si>
    <t>Puget Sound Energy</t>
  </si>
  <si>
    <t>Dan Anderson, Energy Efficiency</t>
  </si>
  <si>
    <t>425 424-6837</t>
  </si>
  <si>
    <t>daniel.anderson@pse.com</t>
  </si>
  <si>
    <t>Pilots</t>
  </si>
  <si>
    <t>Portfolio Support</t>
  </si>
  <si>
    <t>Research &amp; Compliance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</si>
</sst>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2" x14ac:knownFonts="1">
    <font>
      <sz val="11"/>
      <color theme="1"/>
      <name val="Calibri"/>
      <family val="2"/>
      <scheme val="minor"/>
    </font>
    <font>
      <sz val="10"/>
      <color theme="1"/>
      <name val="Arial"/>
      <family val="2"/>
    </font>
    <font>
      <sz val="10"/>
      <color theme="1"/>
      <name val="Arial"/>
      <family val="2"/>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12"/>
      <color theme="1"/>
      <name val="Arial Black"/>
      <family val="2"/>
    </font>
    <font>
      <sz val="12"/>
      <color theme="1"/>
      <name val="Arial"/>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s>
  <fills count="9">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54">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style="thick">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5">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9" fontId="8" fillId="0" borderId="0" applyFont="0" applyFill="0" applyBorder="0" applyAlignment="0" applyProtection="0"/>
  </cellStyleXfs>
  <cellXfs count="289">
    <xf numFmtId="0" fontId="0" fillId="0" borderId="0" xfId="0"/>
    <xf numFmtId="0" fontId="10" fillId="2" borderId="0" xfId="0" applyFont="1" applyFill="1"/>
    <xf numFmtId="0" fontId="11" fillId="2" borderId="0" xfId="0" applyFont="1" applyFill="1" applyBorder="1" applyAlignment="1"/>
    <xf numFmtId="0" fontId="11" fillId="2" borderId="0" xfId="0" applyFont="1" applyFill="1" applyBorder="1" applyAlignment="1">
      <alignment horizontal="right"/>
    </xf>
    <xf numFmtId="0" fontId="10" fillId="2" borderId="0" xfId="0" applyFont="1" applyFill="1" applyBorder="1" applyAlignment="1">
      <alignment horizontal="right"/>
    </xf>
    <xf numFmtId="0" fontId="10" fillId="2" borderId="0" xfId="0" applyFont="1" applyFill="1" applyAlignment="1">
      <alignment horizontal="right"/>
    </xf>
    <xf numFmtId="0" fontId="11" fillId="2" borderId="0" xfId="0" applyFont="1" applyFill="1" applyBorder="1" applyAlignment="1">
      <alignment horizontal="left"/>
    </xf>
    <xf numFmtId="0" fontId="10" fillId="2" borderId="0" xfId="0" applyFont="1" applyFill="1" applyBorder="1"/>
    <xf numFmtId="0" fontId="10" fillId="2" borderId="0" xfId="0" applyFont="1" applyFill="1" applyBorder="1" applyAlignment="1">
      <alignment horizontal="center"/>
    </xf>
    <xf numFmtId="0" fontId="11" fillId="2" borderId="0" xfId="0" applyFont="1" applyFill="1" applyAlignment="1">
      <alignment horizontal="right"/>
    </xf>
    <xf numFmtId="0" fontId="11" fillId="2" borderId="0" xfId="0" applyFont="1" applyFill="1"/>
    <xf numFmtId="0" fontId="10" fillId="2" borderId="0" xfId="0" applyFont="1" applyFill="1" applyAlignment="1"/>
    <xf numFmtId="0" fontId="13" fillId="2" borderId="0" xfId="0" applyFont="1" applyFill="1" applyAlignment="1">
      <alignment horizontal="center" vertical="center"/>
    </xf>
    <xf numFmtId="0" fontId="10" fillId="2" borderId="7" xfId="0" applyFont="1" applyFill="1" applyBorder="1"/>
    <xf numFmtId="0" fontId="14" fillId="2" borderId="0" xfId="0" applyFont="1" applyFill="1" applyBorder="1" applyAlignment="1">
      <alignment horizontal="center" vertical="center" wrapText="1"/>
    </xf>
    <xf numFmtId="0" fontId="3" fillId="2" borderId="11" xfId="0" applyFont="1" applyFill="1" applyBorder="1" applyAlignment="1" applyProtection="1">
      <alignment horizontal="right"/>
    </xf>
    <xf numFmtId="166" fontId="10" fillId="2" borderId="0" xfId="2" applyNumberFormat="1" applyFont="1" applyFill="1" applyBorder="1" applyAlignment="1">
      <alignment horizontal="right"/>
    </xf>
    <xf numFmtId="166" fontId="10" fillId="2" borderId="0" xfId="0" applyNumberFormat="1" applyFont="1" applyFill="1" applyBorder="1"/>
    <xf numFmtId="0" fontId="10" fillId="2" borderId="0" xfId="0" applyFont="1" applyFill="1" applyBorder="1" applyAlignment="1">
      <alignment horizontal="left"/>
    </xf>
    <xf numFmtId="0" fontId="15" fillId="2" borderId="26" xfId="0" applyFont="1" applyFill="1" applyBorder="1" applyAlignment="1">
      <alignment horizontal="right"/>
    </xf>
    <xf numFmtId="0" fontId="15" fillId="2" borderId="27" xfId="0" applyFont="1" applyFill="1" applyBorder="1" applyAlignment="1">
      <alignment horizontal="right"/>
    </xf>
    <xf numFmtId="0" fontId="15" fillId="2" borderId="0" xfId="0" applyFont="1" applyFill="1" applyAlignment="1">
      <alignment horizontal="right"/>
    </xf>
    <xf numFmtId="0" fontId="16" fillId="2" borderId="0" xfId="0" applyFont="1" applyFill="1"/>
    <xf numFmtId="0" fontId="16" fillId="2" borderId="0" xfId="0" applyFont="1" applyFill="1" applyBorder="1" applyAlignment="1"/>
    <xf numFmtId="0" fontId="15" fillId="2" borderId="0" xfId="0" applyFont="1" applyFill="1" applyBorder="1"/>
    <xf numFmtId="0" fontId="15" fillId="2" borderId="0" xfId="0" applyFont="1" applyFill="1"/>
    <xf numFmtId="0" fontId="7" fillId="2" borderId="0" xfId="0" applyNumberFormat="1" applyFont="1" applyFill="1" applyBorder="1" applyAlignment="1"/>
    <xf numFmtId="0" fontId="4" fillId="2" borderId="0" xfId="0" applyFont="1" applyFill="1" applyAlignment="1">
      <alignment horizontal="center"/>
    </xf>
    <xf numFmtId="0" fontId="3" fillId="2" borderId="0" xfId="0" applyFont="1" applyFill="1" applyBorder="1" applyAlignment="1">
      <alignment horizontal="right"/>
    </xf>
    <xf numFmtId="0" fontId="10" fillId="2" borderId="30" xfId="0" applyFont="1" applyFill="1" applyBorder="1"/>
    <xf numFmtId="0" fontId="10" fillId="2" borderId="35" xfId="0" applyFont="1" applyFill="1" applyBorder="1"/>
    <xf numFmtId="0" fontId="10" fillId="2" borderId="29" xfId="0" applyFont="1" applyFill="1" applyBorder="1"/>
    <xf numFmtId="0" fontId="3" fillId="2" borderId="29" xfId="0" applyFont="1" applyFill="1" applyBorder="1" applyAlignment="1">
      <alignment horizontal="right"/>
    </xf>
    <xf numFmtId="0" fontId="10" fillId="2" borderId="30" xfId="0" applyFont="1" applyFill="1" applyBorder="1" applyAlignment="1"/>
    <xf numFmtId="0" fontId="20" fillId="2" borderId="0" xfId="0" applyFont="1" applyFill="1" applyBorder="1" applyAlignment="1">
      <alignment vertical="top" wrapText="1"/>
    </xf>
    <xf numFmtId="0" fontId="20" fillId="2" borderId="29" xfId="0" applyFont="1" applyFill="1" applyBorder="1" applyAlignment="1">
      <alignment vertical="top" wrapText="1"/>
    </xf>
    <xf numFmtId="0" fontId="16" fillId="2" borderId="0" xfId="0" applyFont="1" applyFill="1" applyBorder="1"/>
    <xf numFmtId="0" fontId="20" fillId="2" borderId="35" xfId="0" applyFont="1" applyFill="1" applyBorder="1" applyAlignment="1">
      <alignment vertical="top"/>
    </xf>
    <xf numFmtId="0" fontId="21" fillId="0" borderId="37" xfId="0" applyFont="1" applyBorder="1" applyAlignment="1">
      <alignment vertical="center" wrapText="1"/>
    </xf>
    <xf numFmtId="0" fontId="21" fillId="0" borderId="38" xfId="0" applyFont="1" applyBorder="1" applyAlignment="1">
      <alignment vertical="center" wrapText="1"/>
    </xf>
    <xf numFmtId="0" fontId="15" fillId="0" borderId="38" xfId="0" applyFont="1" applyBorder="1" applyAlignment="1">
      <alignment vertical="center" wrapText="1"/>
    </xf>
    <xf numFmtId="0" fontId="15" fillId="0" borderId="39" xfId="0" applyFont="1" applyBorder="1" applyAlignment="1">
      <alignment vertical="center" wrapText="1"/>
    </xf>
    <xf numFmtId="0" fontId="11" fillId="2" borderId="0" xfId="0" applyFont="1" applyFill="1" applyBorder="1" applyAlignment="1">
      <alignment horizontal="center"/>
    </xf>
    <xf numFmtId="0" fontId="0" fillId="0" borderId="0" xfId="0" applyNumberFormat="1"/>
    <xf numFmtId="169" fontId="10" fillId="6" borderId="11" xfId="0" applyNumberFormat="1" applyFont="1" applyFill="1" applyBorder="1" applyAlignment="1"/>
    <xf numFmtId="167" fontId="10" fillId="6" borderId="12" xfId="4" applyNumberFormat="1" applyFont="1" applyFill="1" applyBorder="1" applyAlignment="1">
      <alignment horizontal="center"/>
    </xf>
    <xf numFmtId="0" fontId="10" fillId="6" borderId="34" xfId="0" applyNumberFormat="1" applyFont="1" applyFill="1" applyBorder="1" applyAlignment="1">
      <alignment horizontal="center"/>
    </xf>
    <xf numFmtId="0" fontId="10" fillId="6" borderId="12" xfId="0" applyNumberFormat="1" applyFont="1" applyFill="1" applyBorder="1" applyAlignment="1">
      <alignment horizontal="center"/>
    </xf>
    <xf numFmtId="0" fontId="10" fillId="2" borderId="0" xfId="0" applyFont="1" applyFill="1" applyBorder="1" applyAlignment="1"/>
    <xf numFmtId="0" fontId="14" fillId="2" borderId="7" xfId="0" applyFont="1" applyFill="1" applyBorder="1" applyAlignment="1">
      <alignment horizontal="center" wrapText="1"/>
    </xf>
    <xf numFmtId="0" fontId="13" fillId="2" borderId="29" xfId="0" applyFont="1" applyFill="1" applyBorder="1" applyAlignment="1">
      <alignment horizontal="center" vertical="center"/>
    </xf>
    <xf numFmtId="165" fontId="10" fillId="6" borderId="1" xfId="1" applyNumberFormat="1" applyFont="1" applyFill="1" applyBorder="1"/>
    <xf numFmtId="165" fontId="10" fillId="6" borderId="2" xfId="1" applyNumberFormat="1" applyFont="1" applyFill="1" applyBorder="1"/>
    <xf numFmtId="165" fontId="10" fillId="6" borderId="3" xfId="1" applyNumberFormat="1" applyFont="1" applyFill="1" applyBorder="1"/>
    <xf numFmtId="0" fontId="14" fillId="2" borderId="5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2" xfId="0" applyFont="1" applyFill="1" applyBorder="1" applyAlignment="1">
      <alignment horizontal="center" vertical="center" wrapText="1"/>
    </xf>
    <xf numFmtId="165" fontId="10" fillId="6" borderId="20" xfId="1" applyNumberFormat="1" applyFont="1" applyFill="1" applyBorder="1"/>
    <xf numFmtId="164" fontId="10" fillId="3" borderId="33" xfId="0" applyNumberFormat="1" applyFont="1" applyFill="1" applyBorder="1" applyAlignment="1">
      <alignment horizontal="center"/>
    </xf>
    <xf numFmtId="164" fontId="10" fillId="3" borderId="53" xfId="0" applyNumberFormat="1" applyFont="1" applyFill="1" applyBorder="1" applyAlignment="1">
      <alignment horizontal="center"/>
    </xf>
    <xf numFmtId="165" fontId="10" fillId="6" borderId="47" xfId="1" applyNumberFormat="1" applyFont="1" applyFill="1" applyBorder="1"/>
    <xf numFmtId="165" fontId="10" fillId="6" borderId="51" xfId="1" applyNumberFormat="1" applyFont="1" applyFill="1" applyBorder="1"/>
    <xf numFmtId="0" fontId="14" fillId="2" borderId="8" xfId="0" applyFont="1" applyFill="1" applyBorder="1" applyAlignment="1">
      <alignment horizontal="center" vertical="center" wrapText="1"/>
    </xf>
    <xf numFmtId="165" fontId="10" fillId="6" borderId="16" xfId="1" applyNumberFormat="1" applyFont="1" applyFill="1" applyBorder="1"/>
    <xf numFmtId="165" fontId="10" fillId="6" borderId="17" xfId="1" applyNumberFormat="1" applyFont="1" applyFill="1" applyBorder="1"/>
    <xf numFmtId="165" fontId="10" fillId="6" borderId="8" xfId="1" applyNumberFormat="1" applyFont="1" applyFill="1" applyBorder="1"/>
    <xf numFmtId="165" fontId="10" fillId="6" borderId="23" xfId="1" applyNumberFormat="1" applyFont="1" applyFill="1" applyBorder="1"/>
    <xf numFmtId="0" fontId="4" fillId="2" borderId="29" xfId="0" applyFont="1" applyFill="1" applyBorder="1" applyAlignment="1"/>
    <xf numFmtId="0" fontId="14" fillId="2" borderId="7" xfId="0" applyFont="1" applyFill="1" applyBorder="1" applyAlignment="1">
      <alignment wrapText="1"/>
    </xf>
    <xf numFmtId="165" fontId="10" fillId="6" borderId="21" xfId="1" applyNumberFormat="1" applyFont="1" applyFill="1" applyBorder="1" applyAlignment="1">
      <alignment horizontal="right"/>
    </xf>
    <xf numFmtId="165" fontId="10" fillId="6" borderId="2" xfId="1" applyNumberFormat="1" applyFont="1" applyFill="1" applyBorder="1" applyAlignment="1">
      <alignment horizontal="right"/>
    </xf>
    <xf numFmtId="0" fontId="24" fillId="5" borderId="0" xfId="0" applyFont="1" applyFill="1" applyBorder="1" applyAlignment="1">
      <alignment vertical="center" wrapText="1"/>
    </xf>
    <xf numFmtId="0" fontId="23" fillId="5" borderId="0" xfId="0" applyFont="1" applyFill="1" applyBorder="1" applyAlignment="1">
      <alignment vertical="center"/>
    </xf>
    <xf numFmtId="168" fontId="23" fillId="5" borderId="0" xfId="0" applyNumberFormat="1" applyFont="1" applyFill="1" applyBorder="1" applyAlignment="1">
      <alignment horizontal="left" vertical="center"/>
    </xf>
    <xf numFmtId="0" fontId="24" fillId="7" borderId="0"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14" fillId="2" borderId="0" xfId="0" applyFont="1" applyFill="1" applyBorder="1" applyAlignment="1">
      <alignment horizontal="center" wrapText="1"/>
    </xf>
    <xf numFmtId="0" fontId="3" fillId="2" borderId="0" xfId="0" applyFont="1" applyFill="1" applyBorder="1" applyAlignment="1">
      <alignment horizontal="right" wrapText="1"/>
    </xf>
    <xf numFmtId="0" fontId="10" fillId="2" borderId="0" xfId="0" applyFont="1" applyFill="1" applyProtection="1">
      <protection locked="0"/>
    </xf>
    <xf numFmtId="0" fontId="10" fillId="2" borderId="0" xfId="0" applyFont="1" applyFill="1" applyBorder="1" applyProtection="1">
      <protection locked="0"/>
    </xf>
    <xf numFmtId="165" fontId="10" fillId="7" borderId="2" xfId="1" applyNumberFormat="1" applyFont="1" applyFill="1" applyBorder="1" applyAlignment="1" applyProtection="1">
      <alignment horizontal="right"/>
      <protection locked="0"/>
    </xf>
    <xf numFmtId="165" fontId="10" fillId="7" borderId="17" xfId="1" applyNumberFormat="1" applyFont="1" applyFill="1" applyBorder="1" applyAlignment="1" applyProtection="1">
      <alignment horizontal="right"/>
      <protection locked="0"/>
    </xf>
    <xf numFmtId="165" fontId="10" fillId="7" borderId="6" xfId="1" applyNumberFormat="1" applyFont="1" applyFill="1" applyBorder="1" applyAlignment="1" applyProtection="1">
      <alignment horizontal="center"/>
      <protection locked="0"/>
    </xf>
    <xf numFmtId="169" fontId="10" fillId="7" borderId="21" xfId="1" applyNumberFormat="1" applyFont="1" applyFill="1" applyBorder="1" applyAlignment="1" applyProtection="1">
      <alignment horizontal="right"/>
      <protection locked="0"/>
    </xf>
    <xf numFmtId="165" fontId="10" fillId="7" borderId="6" xfId="0" applyNumberFormat="1" applyFont="1" applyFill="1" applyBorder="1" applyAlignment="1" applyProtection="1">
      <alignment horizontal="center"/>
      <protection locked="0"/>
    </xf>
    <xf numFmtId="0" fontId="11" fillId="7" borderId="11" xfId="0" applyFont="1" applyFill="1" applyBorder="1" applyProtection="1">
      <protection locked="0"/>
    </xf>
    <xf numFmtId="0" fontId="11" fillId="7" borderId="11" xfId="0" applyFont="1" applyFill="1" applyBorder="1" applyAlignment="1" applyProtection="1">
      <alignment vertical="center" wrapText="1"/>
      <protection locked="0"/>
    </xf>
    <xf numFmtId="0" fontId="11" fillId="2" borderId="0" xfId="0" applyFont="1" applyFill="1" applyAlignment="1" applyProtection="1">
      <alignment horizontal="right"/>
      <protection locked="0"/>
    </xf>
    <xf numFmtId="0" fontId="11" fillId="2" borderId="0" xfId="0" applyFont="1" applyFill="1" applyBorder="1" applyAlignment="1" applyProtection="1">
      <alignment horizontal="center"/>
      <protection locked="0"/>
    </xf>
    <xf numFmtId="0" fontId="10" fillId="2" borderId="0" xfId="0" applyFont="1" applyFill="1" applyProtection="1"/>
    <xf numFmtId="0" fontId="18" fillId="2" borderId="0" xfId="0" applyFont="1" applyFill="1" applyBorder="1" applyAlignment="1" applyProtection="1"/>
    <xf numFmtId="0" fontId="10" fillId="2" borderId="0" xfId="0" applyFont="1" applyFill="1" applyBorder="1" applyProtection="1"/>
    <xf numFmtId="0" fontId="11" fillId="2" borderId="0" xfId="0" applyFont="1" applyFill="1" applyBorder="1" applyAlignment="1" applyProtection="1"/>
    <xf numFmtId="0" fontId="11" fillId="2" borderId="0" xfId="0" applyFont="1" applyFill="1" applyBorder="1" applyAlignment="1" applyProtection="1">
      <alignment horizontal="right"/>
    </xf>
    <xf numFmtId="0" fontId="10" fillId="2" borderId="0" xfId="0" applyNumberFormat="1" applyFont="1" applyFill="1" applyProtection="1"/>
    <xf numFmtId="0" fontId="10" fillId="2" borderId="0" xfId="0" applyFont="1" applyFill="1" applyBorder="1" applyAlignment="1" applyProtection="1">
      <alignment horizontal="right"/>
    </xf>
    <xf numFmtId="0" fontId="12" fillId="2" borderId="0" xfId="0" applyFont="1" applyFill="1" applyBorder="1" applyProtection="1"/>
    <xf numFmtId="0" fontId="4" fillId="2" borderId="42" xfId="0" applyFont="1" applyFill="1" applyBorder="1" applyAlignment="1" applyProtection="1">
      <alignment horizontal="center"/>
    </xf>
    <xf numFmtId="0" fontId="10" fillId="0" borderId="42" xfId="0" applyFont="1" applyBorder="1" applyAlignment="1" applyProtection="1"/>
    <xf numFmtId="0" fontId="10" fillId="2" borderId="0" xfId="0" applyFont="1" applyFill="1" applyAlignment="1" applyProtection="1">
      <alignment horizontal="right"/>
    </xf>
    <xf numFmtId="0" fontId="11" fillId="2" borderId="0" xfId="0" applyFont="1" applyFill="1" applyAlignment="1" applyProtection="1">
      <alignment horizontal="center"/>
    </xf>
    <xf numFmtId="0" fontId="3" fillId="2" borderId="0" xfId="0" applyFont="1" applyFill="1" applyAlignment="1" applyProtection="1">
      <alignment horizontal="right"/>
    </xf>
    <xf numFmtId="165" fontId="10" fillId="6" borderId="19" xfId="1" applyNumberFormat="1" applyFont="1" applyFill="1" applyBorder="1" applyProtection="1"/>
    <xf numFmtId="165" fontId="10" fillId="6" borderId="43" xfId="0" applyNumberFormat="1" applyFont="1" applyFill="1" applyBorder="1" applyProtection="1"/>
    <xf numFmtId="165" fontId="10" fillId="6" borderId="13" xfId="1" applyNumberFormat="1" applyFont="1" applyFill="1" applyBorder="1" applyProtection="1"/>
    <xf numFmtId="0" fontId="10" fillId="2" borderId="0" xfId="0" applyFont="1" applyFill="1" applyAlignment="1" applyProtection="1">
      <alignment horizontal="left"/>
    </xf>
    <xf numFmtId="165" fontId="10" fillId="6" borderId="44" xfId="1" applyNumberFormat="1" applyFont="1" applyFill="1" applyBorder="1" applyProtection="1"/>
    <xf numFmtId="0" fontId="10" fillId="2" borderId="0" xfId="0" applyFont="1" applyFill="1" applyBorder="1" applyAlignment="1" applyProtection="1"/>
    <xf numFmtId="0" fontId="11" fillId="2" borderId="25" xfId="0" applyFont="1" applyFill="1" applyBorder="1" applyAlignment="1" applyProtection="1">
      <alignment horizontal="center" wrapText="1"/>
    </xf>
    <xf numFmtId="0" fontId="11" fillId="2" borderId="36" xfId="0" applyFont="1" applyFill="1" applyBorder="1" applyAlignment="1" applyProtection="1">
      <alignment horizontal="center" wrapText="1"/>
    </xf>
    <xf numFmtId="0" fontId="10" fillId="2" borderId="5" xfId="0" applyFont="1" applyFill="1" applyBorder="1" applyProtection="1"/>
    <xf numFmtId="0" fontId="11" fillId="2" borderId="6" xfId="0" applyFont="1" applyFill="1" applyBorder="1" applyAlignment="1" applyProtection="1">
      <alignment horizontal="right"/>
    </xf>
    <xf numFmtId="0" fontId="11" fillId="2" borderId="4" xfId="0" applyFont="1" applyFill="1" applyBorder="1" applyAlignment="1" applyProtection="1">
      <alignment horizontal="center" wrapText="1"/>
    </xf>
    <xf numFmtId="0" fontId="10" fillId="2" borderId="11" xfId="0" applyFont="1" applyFill="1" applyBorder="1" applyAlignment="1" applyProtection="1">
      <alignment horizontal="right"/>
    </xf>
    <xf numFmtId="169" fontId="10" fillId="2" borderId="0" xfId="0" applyNumberFormat="1" applyFont="1" applyFill="1" applyAlignment="1" applyProtection="1">
      <alignment horizontal="right"/>
    </xf>
    <xf numFmtId="164" fontId="10" fillId="4" borderId="24" xfId="0" applyNumberFormat="1" applyFont="1" applyFill="1" applyBorder="1" applyAlignment="1" applyProtection="1">
      <alignment horizontal="center"/>
    </xf>
    <xf numFmtId="164" fontId="10" fillId="4" borderId="25" xfId="0" applyNumberFormat="1" applyFont="1" applyFill="1" applyBorder="1" applyAlignment="1" applyProtection="1">
      <alignment horizontal="center"/>
    </xf>
    <xf numFmtId="0" fontId="11" fillId="2" borderId="12" xfId="0" applyFont="1" applyFill="1" applyBorder="1" applyProtection="1"/>
    <xf numFmtId="165" fontId="11" fillId="6" borderId="10" xfId="0" applyNumberFormat="1" applyFont="1" applyFill="1" applyBorder="1" applyAlignment="1" applyProtection="1">
      <alignment horizontal="center"/>
    </xf>
    <xf numFmtId="169" fontId="11" fillId="6" borderId="2" xfId="1" applyNumberFormat="1" applyFont="1" applyFill="1" applyBorder="1" applyAlignment="1" applyProtection="1">
      <alignment horizontal="right"/>
    </xf>
    <xf numFmtId="0" fontId="11" fillId="2" borderId="0" xfId="0" applyFont="1" applyFill="1" applyBorder="1" applyProtection="1"/>
    <xf numFmtId="165" fontId="11" fillId="2" borderId="0" xfId="0" applyNumberFormat="1" applyFont="1" applyFill="1" applyBorder="1" applyAlignment="1" applyProtection="1">
      <alignment horizontal="center"/>
    </xf>
    <xf numFmtId="165" fontId="11" fillId="2" borderId="0" xfId="1" applyNumberFormat="1" applyFont="1" applyFill="1" applyBorder="1" applyAlignment="1" applyProtection="1">
      <alignment horizontal="center"/>
    </xf>
    <xf numFmtId="0" fontId="11" fillId="2" borderId="0" xfId="0" applyFont="1" applyFill="1" applyAlignment="1" applyProtection="1">
      <alignment horizontal="right"/>
    </xf>
    <xf numFmtId="0" fontId="11" fillId="2" borderId="0" xfId="0" applyFont="1" applyFill="1" applyBorder="1" applyAlignment="1" applyProtection="1">
      <alignment horizontal="center"/>
    </xf>
    <xf numFmtId="0" fontId="10" fillId="7" borderId="11" xfId="0" applyFont="1" applyFill="1" applyBorder="1" applyAlignment="1" applyProtection="1">
      <alignment horizontal="center"/>
      <protection locked="0"/>
    </xf>
    <xf numFmtId="169" fontId="10" fillId="7" borderId="11" xfId="0" applyNumberFormat="1" applyFont="1" applyFill="1" applyBorder="1" applyAlignment="1" applyProtection="1">
      <protection locked="0"/>
    </xf>
    <xf numFmtId="0" fontId="3" fillId="7" borderId="31" xfId="0" applyFont="1" applyFill="1" applyBorder="1" applyAlignment="1" applyProtection="1">
      <alignment horizontal="left"/>
      <protection locked="0"/>
    </xf>
    <xf numFmtId="0" fontId="3" fillId="7" borderId="48" xfId="0" applyFont="1" applyFill="1" applyBorder="1" applyAlignment="1" applyProtection="1">
      <alignment horizontal="right"/>
      <protection locked="0"/>
    </xf>
    <xf numFmtId="165" fontId="10" fillId="7" borderId="1" xfId="1" applyNumberFormat="1" applyFont="1" applyFill="1" applyBorder="1" applyProtection="1">
      <protection locked="0"/>
    </xf>
    <xf numFmtId="0" fontId="3" fillId="7" borderId="11" xfId="0" applyFont="1" applyFill="1" applyBorder="1" applyAlignment="1" applyProtection="1">
      <alignment horizontal="left"/>
      <protection locked="0"/>
    </xf>
    <xf numFmtId="0" fontId="3" fillId="7" borderId="49" xfId="0" applyFont="1" applyFill="1" applyBorder="1" applyAlignment="1" applyProtection="1">
      <alignment horizontal="right"/>
      <protection locked="0"/>
    </xf>
    <xf numFmtId="165" fontId="10" fillId="7" borderId="21" xfId="1" applyNumberFormat="1" applyFont="1" applyFill="1" applyBorder="1" applyAlignment="1" applyProtection="1">
      <alignment horizontal="right"/>
      <protection locked="0"/>
    </xf>
    <xf numFmtId="0" fontId="3" fillId="7" borderId="11" xfId="0" applyFont="1" applyFill="1" applyBorder="1" applyAlignment="1" applyProtection="1">
      <alignment horizontal="left" wrapText="1"/>
      <protection locked="0"/>
    </xf>
    <xf numFmtId="0" fontId="3" fillId="7" borderId="49" xfId="0" applyFont="1" applyFill="1" applyBorder="1" applyAlignment="1" applyProtection="1">
      <alignment horizontal="right" wrapText="1"/>
      <protection locked="0"/>
    </xf>
    <xf numFmtId="0" fontId="4" fillId="7" borderId="11" xfId="0" applyFont="1" applyFill="1" applyBorder="1" applyAlignment="1" applyProtection="1">
      <alignment horizontal="left"/>
      <protection locked="0"/>
    </xf>
    <xf numFmtId="0" fontId="4" fillId="7" borderId="49" xfId="0" applyFont="1" applyFill="1" applyBorder="1" applyAlignment="1" applyProtection="1">
      <alignment horizontal="right"/>
      <protection locked="0"/>
    </xf>
    <xf numFmtId="0" fontId="11" fillId="7" borderId="11" xfId="0" applyFont="1" applyFill="1" applyBorder="1" applyAlignment="1" applyProtection="1">
      <alignment horizontal="left"/>
      <protection locked="0"/>
    </xf>
    <xf numFmtId="0" fontId="11" fillId="7" borderId="49" xfId="0" applyFont="1" applyFill="1" applyBorder="1" applyProtection="1">
      <protection locked="0"/>
    </xf>
    <xf numFmtId="0" fontId="11" fillId="7" borderId="15" xfId="0" applyFont="1" applyFill="1" applyBorder="1" applyAlignment="1" applyProtection="1">
      <alignment horizontal="left"/>
      <protection locked="0"/>
    </xf>
    <xf numFmtId="0" fontId="11" fillId="7" borderId="50" xfId="0" applyFont="1" applyFill="1" applyBorder="1" applyProtection="1">
      <protection locked="0"/>
    </xf>
    <xf numFmtId="165" fontId="10" fillId="7" borderId="10" xfId="1" applyNumberFormat="1" applyFont="1" applyFill="1" applyBorder="1" applyAlignment="1" applyProtection="1">
      <alignment horizontal="center"/>
      <protection locked="0"/>
    </xf>
    <xf numFmtId="165" fontId="10" fillId="7" borderId="22" xfId="1" applyNumberFormat="1" applyFont="1" applyFill="1" applyBorder="1" applyAlignment="1" applyProtection="1">
      <protection locked="0"/>
    </xf>
    <xf numFmtId="165" fontId="10" fillId="7" borderId="13" xfId="1" applyNumberFormat="1" applyFont="1" applyFill="1" applyBorder="1" applyAlignment="1" applyProtection="1">
      <protection locked="0"/>
    </xf>
    <xf numFmtId="165" fontId="10" fillId="7" borderId="6" xfId="1" applyNumberFormat="1" applyFont="1" applyFill="1" applyBorder="1" applyAlignment="1" applyProtection="1">
      <protection locked="0"/>
    </xf>
    <xf numFmtId="165" fontId="10" fillId="7" borderId="45" xfId="1" applyNumberFormat="1" applyFont="1" applyFill="1" applyBorder="1" applyProtection="1">
      <protection locked="0"/>
    </xf>
    <xf numFmtId="165" fontId="10" fillId="7" borderId="31" xfId="1" applyNumberFormat="1" applyFont="1" applyFill="1" applyBorder="1" applyProtection="1">
      <protection locked="0"/>
    </xf>
    <xf numFmtId="165" fontId="10" fillId="7" borderId="48" xfId="1" applyNumberFormat="1" applyFont="1" applyFill="1" applyBorder="1" applyProtection="1">
      <protection locked="0"/>
    </xf>
    <xf numFmtId="165" fontId="10" fillId="7" borderId="46" xfId="1" applyNumberFormat="1" applyFont="1" applyFill="1" applyBorder="1" applyProtection="1">
      <protection locked="0"/>
    </xf>
    <xf numFmtId="165" fontId="10" fillId="7" borderId="11" xfId="1" applyNumberFormat="1" applyFont="1" applyFill="1" applyBorder="1" applyProtection="1">
      <protection locked="0"/>
    </xf>
    <xf numFmtId="165" fontId="10" fillId="7" borderId="49" xfId="1" applyNumberFormat="1" applyFont="1" applyFill="1" applyBorder="1" applyProtection="1">
      <protection locked="0"/>
    </xf>
    <xf numFmtId="165" fontId="10" fillId="7" borderId="21" xfId="1" applyNumberFormat="1" applyFont="1" applyFill="1" applyBorder="1" applyProtection="1">
      <protection locked="0"/>
    </xf>
    <xf numFmtId="165" fontId="10" fillId="7" borderId="47" xfId="1" applyNumberFormat="1" applyFont="1" applyFill="1" applyBorder="1" applyProtection="1">
      <protection locked="0"/>
    </xf>
    <xf numFmtId="165" fontId="10" fillId="7" borderId="15" xfId="1" applyNumberFormat="1" applyFont="1" applyFill="1" applyBorder="1" applyProtection="1">
      <protection locked="0"/>
    </xf>
    <xf numFmtId="165" fontId="10" fillId="7" borderId="50" xfId="1" applyNumberFormat="1" applyFont="1" applyFill="1" applyBorder="1" applyProtection="1">
      <protection locked="0"/>
    </xf>
    <xf numFmtId="165" fontId="10" fillId="7" borderId="2" xfId="1" applyNumberFormat="1" applyFont="1" applyFill="1" applyBorder="1" applyProtection="1">
      <protection locked="0"/>
    </xf>
    <xf numFmtId="165" fontId="10" fillId="6" borderId="21" xfId="1" applyNumberFormat="1" applyFont="1" applyFill="1" applyBorder="1"/>
    <xf numFmtId="0" fontId="10" fillId="2" borderId="0" xfId="0" applyFont="1" applyFill="1" applyAlignment="1" applyProtection="1">
      <alignment horizontal="center"/>
      <protection locked="0"/>
    </xf>
    <xf numFmtId="0" fontId="7" fillId="2" borderId="0" xfId="0" applyNumberFormat="1" applyFont="1" applyFill="1" applyBorder="1" applyAlignment="1" applyProtection="1">
      <protection locked="0"/>
    </xf>
    <xf numFmtId="0" fontId="27" fillId="2" borderId="0" xfId="0" applyFont="1" applyFill="1" applyBorder="1" applyAlignment="1" applyProtection="1">
      <alignment horizontal="left"/>
      <protection locked="0"/>
    </xf>
    <xf numFmtId="0" fontId="11" fillId="2" borderId="0" xfId="0" applyFont="1" applyFill="1" applyBorder="1" applyAlignment="1" applyProtection="1">
      <alignment horizontal="left"/>
      <protection locked="0"/>
    </xf>
    <xf numFmtId="0" fontId="10" fillId="2" borderId="0" xfId="0" applyFont="1" applyFill="1" applyBorder="1" applyAlignment="1" applyProtection="1">
      <alignment horizontal="center"/>
      <protection locked="0"/>
    </xf>
    <xf numFmtId="0" fontId="4" fillId="2" borderId="0" xfId="0" applyFont="1" applyFill="1" applyAlignment="1" applyProtection="1">
      <alignment horizontal="center"/>
      <protection locked="0"/>
    </xf>
    <xf numFmtId="0" fontId="4" fillId="2" borderId="0" xfId="0" applyFont="1" applyFill="1" applyBorder="1" applyAlignment="1" applyProtection="1">
      <protection locked="0"/>
    </xf>
    <xf numFmtId="0" fontId="14" fillId="2" borderId="0" xfId="0" applyFont="1" applyFill="1" applyAlignment="1" applyProtection="1">
      <alignment horizontal="center"/>
      <protection locked="0"/>
    </xf>
    <xf numFmtId="0" fontId="14" fillId="2" borderId="0" xfId="0" applyFont="1" applyFill="1" applyAlignment="1" applyProtection="1">
      <alignment horizontal="center" wrapText="1"/>
      <protection locked="0"/>
    </xf>
    <xf numFmtId="169" fontId="10" fillId="7" borderId="1" xfId="1" applyNumberFormat="1" applyFont="1" applyFill="1" applyBorder="1" applyProtection="1">
      <protection locked="0"/>
    </xf>
    <xf numFmtId="169" fontId="10" fillId="7" borderId="21" xfId="1" applyNumberFormat="1" applyFont="1" applyFill="1" applyBorder="1" applyProtection="1">
      <protection locked="0"/>
    </xf>
    <xf numFmtId="169" fontId="10" fillId="7" borderId="2" xfId="1" applyNumberFormat="1" applyFont="1" applyFill="1" applyBorder="1" applyProtection="1">
      <protection locked="0"/>
    </xf>
    <xf numFmtId="0" fontId="11" fillId="2" borderId="0" xfId="0" applyFont="1" applyFill="1" applyBorder="1" applyAlignment="1" applyProtection="1">
      <alignment horizontal="left" wrapText="1"/>
      <protection locked="0"/>
    </xf>
    <xf numFmtId="0" fontId="10" fillId="2" borderId="7" xfId="0" applyFont="1" applyFill="1" applyBorder="1" applyProtection="1">
      <protection locked="0"/>
    </xf>
    <xf numFmtId="0" fontId="14" fillId="2" borderId="0" xfId="0" applyFont="1" applyFill="1" applyBorder="1" applyAlignment="1" applyProtection="1">
      <alignment horizontal="center" vertical="center" wrapText="1"/>
      <protection locked="0"/>
    </xf>
    <xf numFmtId="0" fontId="11" fillId="2" borderId="0" xfId="0" applyFont="1" applyFill="1" applyProtection="1">
      <protection locked="0"/>
    </xf>
    <xf numFmtId="0" fontId="4" fillId="2" borderId="0" xfId="0" applyFont="1" applyFill="1" applyAlignment="1" applyProtection="1">
      <alignment horizontal="right" wrapText="1"/>
      <protection locked="0"/>
    </xf>
    <xf numFmtId="0" fontId="4" fillId="2" borderId="0" xfId="0" applyFont="1" applyFill="1" applyAlignment="1" applyProtection="1">
      <alignment horizontal="center" wrapText="1"/>
      <protection locked="0"/>
    </xf>
    <xf numFmtId="0" fontId="10" fillId="2" borderId="30" xfId="0" applyFont="1" applyFill="1" applyBorder="1" applyProtection="1">
      <protection locked="0"/>
    </xf>
    <xf numFmtId="0" fontId="10" fillId="2" borderId="34" xfId="0" applyFont="1" applyFill="1" applyBorder="1" applyProtection="1">
      <protection locked="0"/>
    </xf>
    <xf numFmtId="0" fontId="10" fillId="2" borderId="35" xfId="0" applyFont="1" applyFill="1" applyBorder="1" applyProtection="1">
      <protection locked="0"/>
    </xf>
    <xf numFmtId="0" fontId="10" fillId="2" borderId="29" xfId="0" applyFont="1" applyFill="1" applyBorder="1" applyProtection="1">
      <protection locked="0"/>
    </xf>
    <xf numFmtId="0" fontId="10" fillId="2" borderId="12" xfId="0" applyFont="1" applyFill="1" applyBorder="1" applyProtection="1">
      <protection locked="0"/>
    </xf>
    <xf numFmtId="169" fontId="10" fillId="7" borderId="1" xfId="1" applyNumberFormat="1" applyFont="1" applyFill="1" applyBorder="1" applyProtection="1"/>
    <xf numFmtId="169" fontId="10" fillId="7" borderId="21" xfId="1" applyNumberFormat="1" applyFont="1" applyFill="1" applyBorder="1" applyProtection="1"/>
    <xf numFmtId="169" fontId="10" fillId="7" borderId="10" xfId="1" applyNumberFormat="1" applyFont="1" applyFill="1" applyBorder="1" applyProtection="1"/>
    <xf numFmtId="9" fontId="4" fillId="6" borderId="34" xfId="0" applyNumberFormat="1" applyFont="1" applyFill="1" applyBorder="1" applyAlignment="1">
      <alignment horizontal="center"/>
    </xf>
    <xf numFmtId="0" fontId="3" fillId="6" borderId="9" xfId="0" applyNumberFormat="1" applyFont="1" applyFill="1" applyBorder="1" applyAlignment="1" applyProtection="1">
      <alignment horizontal="center"/>
    </xf>
    <xf numFmtId="0" fontId="3" fillId="6" borderId="1" xfId="0" applyNumberFormat="1" applyFont="1" applyFill="1" applyBorder="1" applyAlignment="1" applyProtection="1">
      <alignment horizontal="center"/>
    </xf>
    <xf numFmtId="165" fontId="3" fillId="6" borderId="1" xfId="1" applyNumberFormat="1" applyFont="1" applyFill="1" applyBorder="1" applyAlignment="1" applyProtection="1">
      <alignment horizontal="right"/>
    </xf>
    <xf numFmtId="0" fontId="3" fillId="6" borderId="6" xfId="0" applyNumberFormat="1" applyFont="1" applyFill="1" applyBorder="1" applyAlignment="1" applyProtection="1">
      <alignment horizontal="center"/>
    </xf>
    <xf numFmtId="0" fontId="3" fillId="6" borderId="21" xfId="0" applyNumberFormat="1" applyFont="1" applyFill="1" applyBorder="1" applyAlignment="1" applyProtection="1">
      <alignment horizontal="center"/>
    </xf>
    <xf numFmtId="165" fontId="3" fillId="6" borderId="21" xfId="1" applyNumberFormat="1" applyFont="1" applyFill="1" applyBorder="1" applyAlignment="1" applyProtection="1">
      <alignment horizontal="right"/>
    </xf>
    <xf numFmtId="0" fontId="3" fillId="6" borderId="10" xfId="0" applyNumberFormat="1" applyFont="1" applyFill="1" applyBorder="1" applyAlignment="1" applyProtection="1">
      <alignment horizontal="center"/>
    </xf>
    <xf numFmtId="0" fontId="3" fillId="6" borderId="2" xfId="0" applyNumberFormat="1" applyFont="1" applyFill="1" applyBorder="1" applyAlignment="1" applyProtection="1">
      <alignment horizontal="center"/>
    </xf>
    <xf numFmtId="165" fontId="3" fillId="6" borderId="2" xfId="1" applyNumberFormat="1" applyFont="1" applyFill="1" applyBorder="1" applyAlignment="1" applyProtection="1">
      <alignment horizontal="center"/>
    </xf>
    <xf numFmtId="0" fontId="4" fillId="6" borderId="0" xfId="0" applyFont="1" applyFill="1" applyBorder="1" applyAlignment="1" applyProtection="1">
      <alignment horizontal="center"/>
    </xf>
    <xf numFmtId="165" fontId="4" fillId="6" borderId="0" xfId="1" applyNumberFormat="1" applyFont="1" applyFill="1" applyBorder="1" applyAlignment="1" applyProtection="1">
      <alignment horizontal="right"/>
    </xf>
    <xf numFmtId="165" fontId="10" fillId="6" borderId="1" xfId="1" applyNumberFormat="1" applyFont="1" applyFill="1" applyBorder="1" applyAlignment="1" applyProtection="1"/>
    <xf numFmtId="165" fontId="10" fillId="6" borderId="21" xfId="1" applyNumberFormat="1" applyFont="1" applyFill="1" applyBorder="1" applyAlignment="1" applyProtection="1"/>
    <xf numFmtId="165" fontId="10" fillId="6" borderId="2" xfId="1" applyNumberFormat="1" applyFont="1" applyFill="1" applyBorder="1" applyAlignment="1" applyProtection="1"/>
    <xf numFmtId="169" fontId="4" fillId="6" borderId="0" xfId="0" applyNumberFormat="1" applyFont="1" applyFill="1" applyBorder="1" applyAlignment="1" applyProtection="1">
      <alignment horizontal="right"/>
    </xf>
    <xf numFmtId="0" fontId="4" fillId="6" borderId="0" xfId="0" applyFont="1" applyFill="1" applyBorder="1" applyAlignment="1" applyProtection="1">
      <alignment horizontal="right"/>
    </xf>
    <xf numFmtId="0" fontId="3" fillId="6" borderId="9" xfId="0" applyFont="1" applyFill="1" applyBorder="1" applyAlignment="1" applyProtection="1">
      <alignment horizontal="center"/>
    </xf>
    <xf numFmtId="0" fontId="3" fillId="6" borderId="1" xfId="0" applyFont="1" applyFill="1" applyBorder="1" applyAlignment="1" applyProtection="1">
      <alignment horizontal="center"/>
    </xf>
    <xf numFmtId="0" fontId="3" fillId="6" borderId="1" xfId="0" applyFont="1" applyFill="1" applyBorder="1" applyAlignment="1" applyProtection="1">
      <alignment horizontal="right"/>
    </xf>
    <xf numFmtId="0" fontId="3" fillId="6" borderId="6" xfId="0" applyFont="1" applyFill="1" applyBorder="1" applyAlignment="1" applyProtection="1">
      <alignment horizontal="center"/>
    </xf>
    <xf numFmtId="0" fontId="3" fillId="6" borderId="21" xfId="0" applyFont="1" applyFill="1" applyBorder="1" applyAlignment="1" applyProtection="1">
      <alignment horizontal="center"/>
    </xf>
    <xf numFmtId="0" fontId="3" fillId="6" borderId="21" xfId="0" applyFont="1" applyFill="1" applyBorder="1" applyAlignment="1" applyProtection="1">
      <alignment horizontal="right"/>
    </xf>
    <xf numFmtId="0" fontId="3" fillId="6" borderId="10" xfId="0" applyFont="1" applyFill="1" applyBorder="1" applyAlignment="1" applyProtection="1">
      <alignment horizontal="center"/>
    </xf>
    <xf numFmtId="0" fontId="3" fillId="6" borderId="2" xfId="0" applyFont="1" applyFill="1" applyBorder="1" applyAlignment="1" applyProtection="1">
      <alignment horizontal="center"/>
    </xf>
    <xf numFmtId="0" fontId="3" fillId="6" borderId="2" xfId="0" applyFont="1" applyFill="1" applyBorder="1" applyAlignment="1" applyProtection="1">
      <alignment horizontal="right"/>
    </xf>
    <xf numFmtId="165" fontId="3" fillId="6" borderId="2" xfId="1" applyNumberFormat="1" applyFont="1" applyFill="1" applyBorder="1" applyAlignment="1" applyProtection="1">
      <alignment horizontal="right"/>
    </xf>
    <xf numFmtId="0" fontId="10" fillId="6" borderId="0" xfId="0" applyFont="1" applyFill="1" applyProtection="1"/>
    <xf numFmtId="0" fontId="10" fillId="6" borderId="0" xfId="0" applyFont="1" applyFill="1" applyAlignment="1" applyProtection="1">
      <alignment horizontal="center"/>
    </xf>
    <xf numFmtId="1" fontId="3" fillId="6" borderId="16" xfId="0" applyNumberFormat="1" applyFont="1" applyFill="1" applyBorder="1" applyAlignment="1" applyProtection="1">
      <alignment horizontal="right"/>
    </xf>
    <xf numFmtId="1" fontId="3" fillId="6" borderId="22" xfId="0" applyNumberFormat="1" applyFont="1" applyFill="1" applyBorder="1" applyAlignment="1" applyProtection="1">
      <alignment horizontal="right"/>
    </xf>
    <xf numFmtId="1" fontId="3" fillId="6" borderId="17" xfId="0" applyNumberFormat="1" applyFont="1" applyFill="1" applyBorder="1" applyAlignment="1" applyProtection="1">
      <alignment horizontal="right"/>
    </xf>
    <xf numFmtId="0" fontId="3" fillId="7" borderId="48" xfId="0" applyFont="1" applyFill="1" applyBorder="1" applyAlignment="1" applyProtection="1">
      <alignment horizontal="left"/>
      <protection locked="0"/>
    </xf>
    <xf numFmtId="0" fontId="3" fillId="7" borderId="49" xfId="0" applyFont="1" applyFill="1" applyBorder="1" applyAlignment="1" applyProtection="1">
      <alignment horizontal="left"/>
      <protection locked="0"/>
    </xf>
    <xf numFmtId="0" fontId="3" fillId="7" borderId="49" xfId="0" applyFont="1" applyFill="1" applyBorder="1" applyAlignment="1" applyProtection="1">
      <alignment horizontal="left" wrapText="1"/>
      <protection locked="0"/>
    </xf>
    <xf numFmtId="0" fontId="4" fillId="7" borderId="49" xfId="0" applyFont="1" applyFill="1" applyBorder="1" applyAlignment="1" applyProtection="1">
      <alignment horizontal="left"/>
      <protection locked="0"/>
    </xf>
    <xf numFmtId="0" fontId="11" fillId="7" borderId="49" xfId="0" applyFont="1" applyFill="1" applyBorder="1" applyAlignment="1" applyProtection="1">
      <alignment horizontal="left"/>
      <protection locked="0"/>
    </xf>
    <xf numFmtId="0" fontId="11" fillId="7" borderId="50" xfId="0" applyFont="1" applyFill="1" applyBorder="1" applyAlignment="1" applyProtection="1">
      <alignment horizontal="left"/>
      <protection locked="0"/>
    </xf>
    <xf numFmtId="0" fontId="11" fillId="7" borderId="19" xfId="0" applyFont="1" applyFill="1" applyBorder="1" applyAlignment="1" applyProtection="1">
      <alignment horizontal="center"/>
      <protection locked="0"/>
    </xf>
    <xf numFmtId="168" fontId="12" fillId="7" borderId="13" xfId="0" applyNumberFormat="1" applyFont="1" applyFill="1" applyBorder="1" applyAlignment="1" applyProtection="1">
      <alignment horizontal="left"/>
      <protection locked="0"/>
    </xf>
    <xf numFmtId="168" fontId="10" fillId="7" borderId="13" xfId="0" applyNumberFormat="1" applyFont="1" applyFill="1" applyBorder="1" applyAlignment="1" applyProtection="1">
      <alignment horizontal="left"/>
      <protection locked="0"/>
    </xf>
    <xf numFmtId="0" fontId="11" fillId="7" borderId="13" xfId="0" applyFont="1" applyFill="1" applyBorder="1" applyAlignment="1" applyProtection="1">
      <alignment horizontal="left"/>
      <protection locked="0"/>
    </xf>
    <xf numFmtId="0" fontId="10" fillId="7" borderId="13" xfId="0" applyFont="1" applyFill="1" applyBorder="1" applyAlignment="1" applyProtection="1">
      <alignment horizontal="left"/>
      <protection locked="0"/>
    </xf>
    <xf numFmtId="0" fontId="2" fillId="7" borderId="13" xfId="0" applyFont="1" applyFill="1" applyBorder="1" applyAlignment="1" applyProtection="1">
      <alignment horizontal="left"/>
      <protection locked="0"/>
    </xf>
    <xf numFmtId="0" fontId="9" fillId="7" borderId="14" xfId="3" applyFill="1" applyBorder="1" applyAlignment="1" applyProtection="1">
      <alignment horizontal="left"/>
      <protection locked="0"/>
    </xf>
    <xf numFmtId="0" fontId="10" fillId="7" borderId="14" xfId="0" applyFont="1" applyFill="1" applyBorder="1" applyAlignment="1" applyProtection="1">
      <alignment horizontal="left"/>
      <protection locked="0"/>
    </xf>
    <xf numFmtId="0" fontId="11" fillId="2" borderId="0" xfId="0" applyFont="1" applyFill="1" applyAlignment="1" applyProtection="1">
      <alignment horizontal="left" vertical="top" wrapText="1"/>
    </xf>
    <xf numFmtId="0" fontId="11" fillId="2" borderId="7" xfId="0" applyFont="1" applyFill="1" applyBorder="1" applyAlignment="1" applyProtection="1">
      <alignment horizontal="center"/>
    </xf>
    <xf numFmtId="0" fontId="10" fillId="2" borderId="0" xfId="0" applyFont="1" applyFill="1" applyAlignment="1" applyProtection="1">
      <alignment horizontal="left" vertical="top" wrapText="1"/>
      <protection locked="0"/>
    </xf>
    <xf numFmtId="0" fontId="24" fillId="7" borderId="0" xfId="0"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wrapText="1"/>
    </xf>
    <xf numFmtId="0" fontId="11" fillId="6" borderId="18" xfId="0" applyFont="1" applyFill="1" applyBorder="1" applyAlignment="1" applyProtection="1">
      <alignment horizontal="center"/>
    </xf>
    <xf numFmtId="0" fontId="11" fillId="2" borderId="29" xfId="0" applyFont="1" applyFill="1" applyBorder="1" applyAlignment="1" applyProtection="1">
      <alignment horizontal="center"/>
    </xf>
    <xf numFmtId="0" fontId="11" fillId="2" borderId="28" xfId="0" applyFont="1" applyFill="1" applyBorder="1" applyAlignment="1" applyProtection="1"/>
    <xf numFmtId="0" fontId="10" fillId="2" borderId="0" xfId="0" applyFont="1" applyFill="1" applyBorder="1" applyAlignment="1" applyProtection="1">
      <alignment horizontal="right" wrapText="1"/>
    </xf>
    <xf numFmtId="0" fontId="10" fillId="2" borderId="34" xfId="0" applyFont="1" applyFill="1" applyBorder="1" applyAlignment="1" applyProtection="1">
      <alignment horizontal="right" wrapText="1"/>
    </xf>
    <xf numFmtId="0" fontId="11" fillId="2" borderId="40" xfId="0" applyFont="1" applyFill="1" applyBorder="1" applyAlignment="1" applyProtection="1">
      <alignment horizontal="center"/>
    </xf>
    <xf numFmtId="0" fontId="11" fillId="2" borderId="41" xfId="0" applyFont="1" applyFill="1" applyBorder="1" applyAlignment="1" applyProtection="1">
      <alignment horizontal="center"/>
    </xf>
    <xf numFmtId="0" fontId="10" fillId="2" borderId="43" xfId="0" applyFont="1" applyFill="1" applyBorder="1" applyAlignment="1" applyProtection="1">
      <alignment horizontal="center"/>
    </xf>
    <xf numFmtId="0" fontId="11" fillId="6" borderId="9" xfId="0" applyFont="1" applyFill="1" applyBorder="1" applyAlignment="1">
      <alignment horizontal="center"/>
    </xf>
    <xf numFmtId="0" fontId="10" fillId="6" borderId="1" xfId="0" applyFont="1" applyFill="1" applyBorder="1" applyAlignment="1"/>
    <xf numFmtId="0" fontId="10" fillId="6" borderId="16" xfId="0" applyFont="1" applyFill="1" applyBorder="1" applyAlignment="1"/>
    <xf numFmtId="0" fontId="11" fillId="2" borderId="10" xfId="0" applyFont="1" applyFill="1" applyBorder="1" applyAlignment="1">
      <alignment horizontal="center"/>
    </xf>
    <xf numFmtId="0" fontId="10" fillId="2" borderId="2" xfId="0" applyFont="1" applyFill="1" applyBorder="1" applyAlignment="1">
      <alignment horizontal="center"/>
    </xf>
    <xf numFmtId="0" fontId="10" fillId="2" borderId="17" xfId="0" applyFont="1" applyFill="1" applyBorder="1" applyAlignment="1">
      <alignment horizontal="center"/>
    </xf>
    <xf numFmtId="0" fontId="30" fillId="2" borderId="0" xfId="0" applyFont="1" applyFill="1" applyBorder="1" applyAlignment="1">
      <alignment horizontal="left"/>
    </xf>
    <xf numFmtId="0" fontId="4" fillId="2" borderId="0" xfId="0" applyFont="1" applyFill="1" applyAlignment="1">
      <alignment horizontal="center" wrapText="1"/>
    </xf>
    <xf numFmtId="0" fontId="4" fillId="2" borderId="29" xfId="0" applyFont="1" applyFill="1" applyBorder="1" applyAlignment="1">
      <alignment horizontal="center" wrapText="1"/>
    </xf>
    <xf numFmtId="0" fontId="14" fillId="2" borderId="0" xfId="0" applyFont="1" applyFill="1" applyBorder="1" applyAlignment="1">
      <alignment horizontal="center" wrapText="1"/>
    </xf>
    <xf numFmtId="0" fontId="14" fillId="2" borderId="29" xfId="0" applyFont="1" applyFill="1" applyBorder="1" applyAlignment="1">
      <alignment horizontal="center" wrapText="1"/>
    </xf>
    <xf numFmtId="165" fontId="10" fillId="7" borderId="22" xfId="1" applyNumberFormat="1" applyFont="1" applyFill="1" applyBorder="1" applyAlignment="1" applyProtection="1">
      <alignment horizontal="center"/>
      <protection locked="0"/>
    </xf>
    <xf numFmtId="165" fontId="10" fillId="7" borderId="13" xfId="1" applyNumberFormat="1" applyFont="1" applyFill="1" applyBorder="1" applyAlignment="1" applyProtection="1">
      <alignment horizontal="center"/>
      <protection locked="0"/>
    </xf>
    <xf numFmtId="165" fontId="10" fillId="7" borderId="6" xfId="1" applyNumberFormat="1" applyFont="1" applyFill="1" applyBorder="1" applyAlignment="1" applyProtection="1">
      <alignment horizontal="center"/>
      <protection locked="0"/>
    </xf>
    <xf numFmtId="0" fontId="14" fillId="2" borderId="18" xfId="0" applyFont="1" applyFill="1" applyBorder="1" applyAlignment="1">
      <alignment horizontal="center"/>
    </xf>
    <xf numFmtId="168" fontId="10" fillId="7" borderId="13" xfId="0" applyNumberFormat="1" applyFont="1" applyFill="1" applyBorder="1" applyAlignment="1" applyProtection="1">
      <alignment horizontal="center"/>
      <protection locked="0"/>
    </xf>
    <xf numFmtId="0" fontId="10" fillId="7" borderId="13" xfId="0" applyFont="1" applyFill="1" applyBorder="1" applyAlignment="1" applyProtection="1">
      <alignment horizontal="center"/>
      <protection locked="0"/>
    </xf>
    <xf numFmtId="0" fontId="9" fillId="7" borderId="14" xfId="3" applyFill="1" applyBorder="1" applyAlignment="1" applyProtection="1">
      <alignment horizontal="center"/>
      <protection locked="0"/>
    </xf>
    <xf numFmtId="0" fontId="10" fillId="7" borderId="14" xfId="0" applyFont="1" applyFill="1" applyBorder="1" applyAlignment="1" applyProtection="1">
      <alignment horizontal="center"/>
      <protection locked="0"/>
    </xf>
    <xf numFmtId="0" fontId="11" fillId="0" borderId="32" xfId="0" applyFont="1" applyBorder="1" applyAlignment="1">
      <alignment horizontal="center" wrapText="1"/>
    </xf>
    <xf numFmtId="0" fontId="11" fillId="0" borderId="7" xfId="0" applyFont="1" applyBorder="1" applyAlignment="1">
      <alignment horizontal="center" wrapText="1"/>
    </xf>
    <xf numFmtId="0" fontId="11" fillId="0" borderId="33" xfId="0" applyFont="1" applyBorder="1" applyAlignment="1">
      <alignment horizontal="center" wrapText="1"/>
    </xf>
    <xf numFmtId="0" fontId="11" fillId="2" borderId="32" xfId="0" applyFont="1" applyFill="1" applyBorder="1" applyAlignment="1">
      <alignment horizontal="center"/>
    </xf>
    <xf numFmtId="0" fontId="11" fillId="2" borderId="7" xfId="0" applyFont="1" applyFill="1" applyBorder="1" applyAlignment="1">
      <alignment horizontal="center"/>
    </xf>
    <xf numFmtId="0" fontId="11" fillId="2" borderId="33" xfId="0" applyFont="1" applyFill="1" applyBorder="1" applyAlignment="1">
      <alignment horizontal="center"/>
    </xf>
    <xf numFmtId="165" fontId="10" fillId="7" borderId="17" xfId="1" applyNumberFormat="1" applyFont="1" applyFill="1" applyBorder="1" applyAlignment="1" applyProtection="1">
      <alignment horizontal="center"/>
      <protection locked="0"/>
    </xf>
    <xf numFmtId="165" fontId="10" fillId="7" borderId="14" xfId="1" applyNumberFormat="1" applyFont="1" applyFill="1" applyBorder="1" applyAlignment="1" applyProtection="1">
      <alignment horizontal="center"/>
      <protection locked="0"/>
    </xf>
    <xf numFmtId="165" fontId="10" fillId="7" borderId="10" xfId="1" applyNumberFormat="1" applyFont="1" applyFill="1" applyBorder="1" applyAlignment="1" applyProtection="1">
      <alignment horizontal="center"/>
      <protection locked="0"/>
    </xf>
    <xf numFmtId="0" fontId="14" fillId="2" borderId="0" xfId="0" applyFont="1" applyFill="1" applyBorder="1" applyAlignment="1">
      <alignment horizontal="center"/>
    </xf>
    <xf numFmtId="165" fontId="10" fillId="7" borderId="16" xfId="1" applyNumberFormat="1" applyFont="1" applyFill="1" applyBorder="1" applyAlignment="1" applyProtection="1">
      <alignment horizontal="center"/>
      <protection locked="0"/>
    </xf>
    <xf numFmtId="165" fontId="10" fillId="7" borderId="19" xfId="1" applyNumberFormat="1" applyFont="1" applyFill="1" applyBorder="1" applyAlignment="1" applyProtection="1">
      <alignment horizontal="center"/>
      <protection locked="0"/>
    </xf>
    <xf numFmtId="165" fontId="10" fillId="7" borderId="9" xfId="1" applyNumberFormat="1" applyFont="1" applyFill="1" applyBorder="1" applyAlignment="1" applyProtection="1">
      <alignment horizontal="center"/>
      <protection locked="0"/>
    </xf>
    <xf numFmtId="0" fontId="3" fillId="2" borderId="0" xfId="0" applyFont="1" applyFill="1" applyBorder="1" applyAlignment="1">
      <alignment horizontal="right" wrapText="1"/>
    </xf>
    <xf numFmtId="0" fontId="24" fillId="7" borderId="0"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11" fillId="2" borderId="32" xfId="0" applyFont="1" applyFill="1" applyBorder="1" applyAlignment="1" applyProtection="1">
      <alignment horizontal="center" wrapText="1"/>
      <protection locked="0"/>
    </xf>
    <xf numFmtId="0" fontId="11" fillId="2" borderId="7" xfId="0" applyFont="1" applyFill="1" applyBorder="1" applyAlignment="1" applyProtection="1">
      <alignment horizontal="center" wrapText="1"/>
      <protection locked="0"/>
    </xf>
    <xf numFmtId="0" fontId="11" fillId="2" borderId="33" xfId="0" applyFont="1" applyFill="1" applyBorder="1" applyAlignment="1" applyProtection="1">
      <alignment horizontal="center" wrapText="1"/>
      <protection locked="0"/>
    </xf>
    <xf numFmtId="0" fontId="24" fillId="7" borderId="0" xfId="0" applyFont="1" applyFill="1" applyBorder="1" applyAlignment="1" applyProtection="1">
      <alignment horizontal="center" vertical="center" wrapText="1"/>
      <protection locked="0"/>
    </xf>
    <xf numFmtId="0" fontId="24" fillId="8" borderId="0"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xf>
    <xf numFmtId="0" fontId="10" fillId="6" borderId="1" xfId="0" applyFont="1" applyFill="1" applyBorder="1" applyAlignment="1" applyProtection="1"/>
    <xf numFmtId="0" fontId="10" fillId="6" borderId="16" xfId="0" applyFont="1" applyFill="1" applyBorder="1" applyAlignment="1" applyProtection="1"/>
    <xf numFmtId="0" fontId="11" fillId="6" borderId="10" xfId="0" applyFont="1" applyFill="1" applyBorder="1" applyAlignment="1" applyProtection="1">
      <alignment horizontal="center"/>
    </xf>
    <xf numFmtId="0" fontId="10" fillId="6" borderId="2" xfId="0" applyFont="1" applyFill="1" applyBorder="1" applyAlignment="1" applyProtection="1">
      <alignment horizontal="center"/>
    </xf>
    <xf numFmtId="0" fontId="10" fillId="6" borderId="17" xfId="0" applyFont="1" applyFill="1" applyBorder="1" applyAlignment="1" applyProtection="1">
      <alignment horizontal="center"/>
    </xf>
    <xf numFmtId="0" fontId="14" fillId="2" borderId="29" xfId="0" applyFont="1" applyFill="1" applyBorder="1" applyAlignment="1" applyProtection="1">
      <alignment horizontal="center"/>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4</xdr:col>
      <xdr:colOff>571500</xdr:colOff>
      <xdr:row>69</xdr:row>
      <xdr:rowOff>95250</xdr:rowOff>
    </xdr:to>
    <xdr:sp macro="" textlink="">
      <xdr:nvSpPr>
        <xdr:cNvPr id="2" name="TextBox 1"/>
        <xdr:cNvSpPr txBox="1"/>
      </xdr:nvSpPr>
      <xdr:spPr>
        <a:xfrm>
          <a:off x="19050" y="2162175"/>
          <a:ext cx="11391900" cy="1112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19050</xdr:rowOff>
        </xdr:from>
        <xdr:to>
          <xdr:col>10</xdr:col>
          <xdr:colOff>556307</xdr:colOff>
          <xdr:row>39</xdr:row>
          <xdr:rowOff>104775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247650</xdr:colOff>
      <xdr:row>17</xdr:row>
      <xdr:rowOff>361950</xdr:rowOff>
    </xdr:from>
    <xdr:to>
      <xdr:col>8</xdr:col>
      <xdr:colOff>552450</xdr:colOff>
      <xdr:row>24</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35</xdr:row>
      <xdr:rowOff>352425</xdr:rowOff>
    </xdr:from>
    <xdr:to>
      <xdr:col>8</xdr:col>
      <xdr:colOff>701040</xdr:colOff>
      <xdr:row>45</xdr:row>
      <xdr:rowOff>22860</xdr:rowOff>
    </xdr:to>
    <xdr:sp macro="" textlink="">
      <xdr:nvSpPr>
        <xdr:cNvPr id="2" name="TextBox 1"/>
        <xdr:cNvSpPr txBox="1"/>
      </xdr:nvSpPr>
      <xdr:spPr>
        <a:xfrm>
          <a:off x="38100" y="7629525"/>
          <a:ext cx="8412480" cy="480631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Puget Sound Energy ("PSE") engaged its</a:t>
          </a:r>
          <a:r>
            <a:rPr lang="en-US" sz="1100" baseline="0"/>
            <a:t> Conservation Resource Advisory Group ("CRAG") very early (June, 2013) in the 2014-2015 planning process. Together, PSE and CRAG resolved issues such as accounting for NEEA savings and how to adapt those savings to the PSE territory, how to count Home Energy Report "legacy" savings, versus energy reporting pilot savings, and how to account for PSE's decoupling committment.  By the time PSE filed its 2014-2015 Biennial Conservation Plan with the Commission on November 1, 2013, there was consensus that the EIA target was reasonable and that PSE had performed due diligence.</a:t>
          </a:r>
        </a:p>
        <a:p>
          <a:endParaRPr lang="en-US" sz="1100" baseline="0"/>
        </a:p>
        <a:p>
          <a:r>
            <a:rPr lang="en-US" sz="1100" baseline="0"/>
            <a:t>(2) As detailed in PSE's Exhibit i: 2014-2023 Ten-year Conservation Potential and 2014-2015 Two-year Electric Target, PSE used methodology that is consistent with the Council's, relative to identifying all conservation opportunities that are cost-effective, reliable and feasible.  In Figure 1 of Exhibit i, PSE provides a summary of the steps that it took to determine the technical, economic and achievable potentials. PSE also provided the CRAG with a detailed review of its Conservation Potential Assessment ("CPA") process (in its June 2013 CRAG meeting), as well as circumstances that are particular to the PSE service territory that resulted in minor adjustments to the final CPA.  </a:t>
          </a:r>
        </a:p>
        <a:p>
          <a:endParaRPr lang="en-US" sz="1100" baseline="0"/>
        </a:p>
        <a:p>
          <a:r>
            <a:rPr lang="en-US" sz="1100" baseline="0"/>
            <a:t>(3) As noted in Exhibit i, in order to determine PSE's pro-rata share of its ten-year conservation potential,  </a:t>
          </a:r>
          <a:r>
            <a:rPr lang="en-US" sz="1100" baseline="0">
              <a:solidFill>
                <a:schemeClr val="dk1"/>
              </a:solidFill>
              <a:effectLst/>
              <a:latin typeface="+mn-lt"/>
              <a:ea typeface="+mn-ea"/>
              <a:cs typeface="+mn-cs"/>
            </a:rPr>
            <a:t>t</a:t>
          </a:r>
          <a:r>
            <a:rPr lang="en-US" sz="1100">
              <a:solidFill>
                <a:schemeClr val="dk1"/>
              </a:solidFill>
              <a:effectLst/>
              <a:latin typeface="+mn-lt"/>
              <a:ea typeface="+mn-ea"/>
              <a:cs typeface="+mn-cs"/>
            </a:rPr>
            <a:t>he conservation potential in PSE’s 2013 IRP assumes that all retrofit end use energy efficiency and fuel conversion potential is accelerated into a ten year period, while other types of conservation or demand-side resources are ramped in more gradually over time over natural measure life cycles or customer growth rates.  This is consistent with previous IRP’s and is intended as a general planning assumption to demonstrate that there is value to acquiring these resources as quickly as realistically possible, but that they cannot be acquired immediately.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PSE</a:t>
          </a:r>
          <a:r>
            <a:rPr lang="en-US" sz="1100" baseline="0">
              <a:solidFill>
                <a:schemeClr val="dk1"/>
              </a:solidFill>
              <a:effectLst/>
              <a:latin typeface="+mn-lt"/>
              <a:ea typeface="+mn-ea"/>
              <a:cs typeface="+mn-cs"/>
            </a:rPr>
            <a:t> also made adjustments to account for behavioral programs and the influence of regional programs, such as those administered by the Northwest Energy Efficiency Alliance (NEEA). Figure 5 in the 2014-2015 Exhibit i outlines the steps that PSE took to arrive at the Commission-approved 2-year target.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(4) It is important to note that PSE's overall savings achievement includes PSE's decoupling committment (Order 03 in Docket No. UE-132043) of 27,920 MWh. Per its agreement with the CRAG and Commission Order, NEEA and Individual Energy Reports pilots ("Pilots" in the table above) are excluded from counting toward the EIA Target of 485,770 MWh.  Therefore, (663,122 - (91,630 + 18,897)) = 552,595 MWh, which is 14%, or 66,825 MWh above the EIA Target.  Subtracting PSE's decouping committment of 27,920 MWh = 38,905 MWh excess.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95</xdr:row>
      <xdr:rowOff>123825</xdr:rowOff>
    </xdr:from>
    <xdr:to>
      <xdr:col>13</xdr:col>
      <xdr:colOff>657225</xdr:colOff>
      <xdr:row>115</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2016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2016 for the purpose of meeting its Energy Independence Act (EIA) renewables target for 2016. The actual resources and RECs used to comply with the 2016 EIA target may vary from those reported here. Utilities will report in June of 2018 on the actual results for 2016.</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2015 is 3%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2016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68350" y="2190750"/>
              <a:ext cx="3323166" cy="670983"/>
              <a:chOff x="1362075" y="2266954"/>
              <a:chExt cx="1524000" cy="533397"/>
            </a:xfrm>
          </xdr:grpSpPr>
          <xdr:sp macro="" textlink="">
            <xdr:nvSpPr>
              <xdr:cNvPr id="5453" name="Check Box 333" hidden="1">
                <a:extLst>
                  <a:ext uri="{63B3BB69-23CF-44E3-9099-C40C66FF867C}">
                    <a14:compatExt spid="_x0000_s5453"/>
                  </a:ext>
                </a:extLst>
              </xdr:cNvPr>
              <xdr:cNvSpPr/>
            </xdr:nvSpPr>
            <xdr:spPr>
              <a:xfrm>
                <a:off x="1362075" y="2714626"/>
                <a:ext cx="1524000" cy="85725"/>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a:xfrm>
                <a:off x="1362075" y="2447925"/>
                <a:ext cx="1447800" cy="2095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a:xfrm>
                <a:off x="1362075" y="2266954"/>
                <a:ext cx="1352550" cy="13335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heetViews>
  <sheetFormatPr defaultRowHeight="15" x14ac:dyDescent="0.25"/>
  <cols>
    <col min="1" max="1" width="135.140625" customWidth="1"/>
    <col min="14" max="14" width="11.7109375" customWidth="1"/>
  </cols>
  <sheetData>
    <row r="1" spans="1:14" ht="18.75" x14ac:dyDescent="0.25">
      <c r="A1" s="72" t="s">
        <v>194</v>
      </c>
    </row>
    <row r="2" spans="1:14" x14ac:dyDescent="0.25">
      <c r="A2" s="73" t="s">
        <v>110</v>
      </c>
    </row>
    <row r="3" spans="1:14" x14ac:dyDescent="0.25">
      <c r="A3" s="72"/>
      <c r="N3" s="43"/>
    </row>
    <row r="4" spans="1:14" x14ac:dyDescent="0.25">
      <c r="A4" s="71" t="s">
        <v>111</v>
      </c>
    </row>
    <row r="5" spans="1:14" x14ac:dyDescent="0.25">
      <c r="A5" s="71" t="s">
        <v>106</v>
      </c>
      <c r="N5">
        <f>IF(REN_Load_2015+REN_Load_2014&gt;0,AVERAGE(REN_Load_2015,REN_Load_2014),0)</f>
        <v>0</v>
      </c>
    </row>
    <row r="6" spans="1:14" x14ac:dyDescent="0.25">
      <c r="A6" s="71" t="s">
        <v>197</v>
      </c>
    </row>
    <row r="8" spans="1:14" x14ac:dyDescent="0.25">
      <c r="A8" s="74" t="s">
        <v>192</v>
      </c>
    </row>
    <row r="9" spans="1:14" x14ac:dyDescent="0.25">
      <c r="A9" s="75" t="s">
        <v>193</v>
      </c>
    </row>
  </sheetData>
  <sheetProtection sheet="1" objects="1" scenarios="1"/>
  <pageMargins left="0.25" right="0.25" top="0.5" bottom="0.5" header="0.3" footer="0.3"/>
  <pageSetup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A80" sqref="A80"/>
    </sheetView>
  </sheetViews>
  <sheetFormatPr defaultRowHeight="15" x14ac:dyDescent="0.25"/>
  <cols>
    <col min="1" max="1" width="107" customWidth="1"/>
    <col min="14" max="14" width="11.7109375" customWidth="1"/>
  </cols>
  <sheetData>
    <row r="1" spans="1:14" ht="18.75" x14ac:dyDescent="0.25">
      <c r="A1" s="38" t="s">
        <v>112</v>
      </c>
    </row>
    <row r="2" spans="1:14" ht="18.75" x14ac:dyDescent="0.25">
      <c r="A2" s="39"/>
    </row>
    <row r="3" spans="1:14" ht="57" x14ac:dyDescent="0.25">
      <c r="A3" s="40" t="s">
        <v>113</v>
      </c>
      <c r="N3" s="43"/>
    </row>
    <row r="4" spans="1:14" x14ac:dyDescent="0.25">
      <c r="A4" s="40"/>
      <c r="N4" s="43"/>
    </row>
    <row r="5" spans="1:14" ht="72" x14ac:dyDescent="0.25">
      <c r="A5" s="40" t="s">
        <v>114</v>
      </c>
      <c r="N5" s="43"/>
    </row>
    <row r="6" spans="1:14" x14ac:dyDescent="0.25">
      <c r="A6" s="40"/>
    </row>
    <row r="7" spans="1:14" ht="29.25" thickBot="1" x14ac:dyDescent="0.3">
      <c r="A7" s="41" t="s">
        <v>115</v>
      </c>
      <c r="N7">
        <f>IF(REN_Load_2015+REN_Load_2014&gt;0,AVERAGE(REN_Load_2015,REN_Load_2014),0)</f>
        <v>0</v>
      </c>
    </row>
  </sheetData>
  <pageMargins left="0.7" right="0.7" top="0.75" bottom="0.75" header="0.3" footer="0.3"/>
  <pageSetup scale="54"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tabSelected="1" workbookViewId="0">
      <selection activeCell="O15" sqref="O15"/>
    </sheetView>
  </sheetViews>
  <sheetFormatPr defaultRowHeight="15" x14ac:dyDescent="0.25"/>
  <sheetData/>
  <pageMargins left="0.25" right="0.25" top="0.5" bottom="0.5" header="0.3" footer="0.3"/>
  <pageSetup orientation="portrait" r:id="rId1"/>
  <drawing r:id="rId2"/>
  <legacyDrawing r:id="rId3"/>
  <oleObjects>
    <mc:AlternateContent xmlns:mc="http://schemas.openxmlformats.org/markup-compatibility/2006">
      <mc:Choice Requires="x14">
        <oleObject progId="Word.Document.12" shapeId="7169" r:id="rId4">
          <objectPr defaultSize="0" autoPict="0" r:id="rId5">
            <anchor moveWithCells="1">
              <from>
                <xdr:col>0</xdr:col>
                <xdr:colOff>0</xdr:colOff>
                <xdr:row>0</xdr:row>
                <xdr:rowOff>19050</xdr:rowOff>
              </from>
              <to>
                <xdr:col>10</xdr:col>
                <xdr:colOff>552450</xdr:colOff>
                <xdr:row>39</xdr:row>
                <xdr:rowOff>104775</xdr:rowOff>
              </to>
            </anchor>
          </objectPr>
        </oleObject>
      </mc:Choice>
      <mc:Fallback>
        <oleObject progId="Word.Document.12" shapeId="716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6"/>
  <sheetViews>
    <sheetView zoomScaleNormal="100" workbookViewId="0">
      <selection activeCell="I49" sqref="I49"/>
    </sheetView>
  </sheetViews>
  <sheetFormatPr defaultColWidth="9.140625" defaultRowHeight="12.75" x14ac:dyDescent="0.2"/>
  <cols>
    <col min="1" max="2" width="16.7109375" style="89" customWidth="1"/>
    <col min="3" max="3" width="17.140625" style="89" customWidth="1"/>
    <col min="4" max="4" width="16" style="89" customWidth="1"/>
    <col min="5" max="5" width="4.42578125" style="89" customWidth="1"/>
    <col min="6" max="6" width="14.42578125" style="89" customWidth="1"/>
    <col min="7" max="7" width="15.28515625" style="89" customWidth="1"/>
    <col min="8" max="8" width="12.28515625" style="89" customWidth="1"/>
    <col min="9" max="9" width="11.140625" style="89" customWidth="1"/>
    <col min="10" max="10" width="9.140625" style="89"/>
    <col min="11" max="11" width="11.7109375" style="89" customWidth="1"/>
    <col min="12" max="16384" width="9.140625" style="89"/>
  </cols>
  <sheetData>
    <row r="1" spans="1:11" ht="15" x14ac:dyDescent="0.2">
      <c r="A1" s="232" t="s">
        <v>192</v>
      </c>
      <c r="B1" s="232"/>
      <c r="C1" s="232"/>
      <c r="D1" s="232"/>
      <c r="E1" s="232"/>
      <c r="F1" s="232"/>
      <c r="G1" s="232"/>
      <c r="H1" s="232"/>
      <c r="I1" s="232"/>
    </row>
    <row r="2" spans="1:11" ht="15" x14ac:dyDescent="0.2">
      <c r="A2" s="233" t="s">
        <v>193</v>
      </c>
      <c r="B2" s="233"/>
      <c r="C2" s="233"/>
      <c r="D2" s="233"/>
      <c r="E2" s="233"/>
      <c r="F2" s="233"/>
      <c r="G2" s="233"/>
      <c r="H2" s="233"/>
      <c r="I2" s="233"/>
    </row>
    <row r="3" spans="1:11" s="91" customFormat="1" ht="19.5" x14ac:dyDescent="0.4">
      <c r="A3" s="90" t="s">
        <v>116</v>
      </c>
    </row>
    <row r="4" spans="1:11" ht="15" customHeight="1" x14ac:dyDescent="0.2">
      <c r="A4" s="92"/>
    </row>
    <row r="5" spans="1:11" ht="14.25" customHeight="1" thickBot="1" x14ac:dyDescent="0.25">
      <c r="A5" s="93" t="s">
        <v>4</v>
      </c>
      <c r="B5" s="221" t="s">
        <v>198</v>
      </c>
      <c r="C5" s="221"/>
      <c r="D5" s="221"/>
      <c r="F5" s="240" t="s">
        <v>124</v>
      </c>
      <c r="G5" s="240"/>
      <c r="H5" s="240"/>
      <c r="I5" s="240"/>
      <c r="K5" s="94"/>
    </row>
    <row r="6" spans="1:11" ht="15" customHeight="1" x14ac:dyDescent="0.2">
      <c r="A6" s="95" t="s">
        <v>41</v>
      </c>
      <c r="B6" s="222">
        <v>42522</v>
      </c>
      <c r="C6" s="223"/>
      <c r="D6" s="223"/>
      <c r="E6" s="96"/>
      <c r="G6" s="97" t="s">
        <v>119</v>
      </c>
      <c r="H6" s="98"/>
      <c r="I6" s="97" t="s">
        <v>121</v>
      </c>
    </row>
    <row r="7" spans="1:11" ht="15" customHeight="1" x14ac:dyDescent="0.2">
      <c r="A7" s="99" t="s">
        <v>40</v>
      </c>
      <c r="B7" s="224" t="s">
        <v>199</v>
      </c>
      <c r="C7" s="225"/>
      <c r="D7" s="225"/>
      <c r="E7" s="91"/>
      <c r="G7" s="100" t="s">
        <v>120</v>
      </c>
      <c r="I7" s="100" t="s">
        <v>120</v>
      </c>
    </row>
    <row r="8" spans="1:11" ht="15" customHeight="1" thickBot="1" x14ac:dyDescent="0.25">
      <c r="A8" s="99" t="s">
        <v>1</v>
      </c>
      <c r="B8" s="226" t="s">
        <v>200</v>
      </c>
      <c r="C8" s="225"/>
      <c r="D8" s="225"/>
      <c r="E8" s="91"/>
      <c r="F8" s="101" t="s">
        <v>125</v>
      </c>
      <c r="G8" s="102">
        <f>CON_Target_2014_2015</f>
        <v>485770</v>
      </c>
      <c r="H8" s="101" t="s">
        <v>126</v>
      </c>
      <c r="I8" s="103">
        <f>CON_Target_2016_2017</f>
        <v>537078</v>
      </c>
    </row>
    <row r="9" spans="1:11" ht="15" customHeight="1" x14ac:dyDescent="0.2">
      <c r="A9" s="99" t="s">
        <v>2</v>
      </c>
      <c r="B9" s="227" t="s">
        <v>201</v>
      </c>
      <c r="C9" s="228"/>
      <c r="D9" s="228"/>
      <c r="E9" s="91"/>
      <c r="F9" s="101" t="s">
        <v>3</v>
      </c>
      <c r="G9" s="104">
        <f>CON_2014_MWH+CON_2015_MWH</f>
        <v>663122.40299999993</v>
      </c>
    </row>
    <row r="10" spans="1:11" ht="15" customHeight="1" thickBot="1" x14ac:dyDescent="0.25">
      <c r="A10" s="99"/>
      <c r="B10" s="105"/>
      <c r="C10" s="91"/>
      <c r="D10" s="91"/>
      <c r="E10" s="91"/>
      <c r="F10" s="101" t="s">
        <v>195</v>
      </c>
      <c r="G10" s="106">
        <f>G9-G8</f>
        <v>177352.40299999993</v>
      </c>
    </row>
    <row r="11" spans="1:11" s="91" customFormat="1" ht="13.5" thickBot="1" x14ac:dyDescent="0.25">
      <c r="A11" s="241" t="s">
        <v>33</v>
      </c>
      <c r="B11" s="241"/>
      <c r="C11" s="241"/>
      <c r="D11" s="241"/>
      <c r="E11" s="107"/>
      <c r="H11" s="89"/>
      <c r="I11" s="89"/>
    </row>
    <row r="12" spans="1:11" s="91" customFormat="1" x14ac:dyDescent="0.2">
      <c r="A12" s="235" t="s">
        <v>35</v>
      </c>
      <c r="B12" s="235"/>
      <c r="C12" s="239" t="s">
        <v>117</v>
      </c>
      <c r="D12" s="235"/>
      <c r="F12" s="89"/>
      <c r="G12" s="89"/>
      <c r="H12" s="89"/>
      <c r="I12" s="89"/>
    </row>
    <row r="13" spans="1:11" ht="38.25" x14ac:dyDescent="0.2">
      <c r="A13" s="108" t="s">
        <v>37</v>
      </c>
      <c r="B13" s="109" t="s">
        <v>36</v>
      </c>
      <c r="C13" s="109" t="s">
        <v>122</v>
      </c>
      <c r="D13" s="109" t="s">
        <v>123</v>
      </c>
    </row>
    <row r="14" spans="1:11" ht="15" customHeight="1" x14ac:dyDescent="0.2">
      <c r="A14" s="80">
        <v>2930760</v>
      </c>
      <c r="B14" s="81">
        <v>485770</v>
      </c>
      <c r="C14" s="80">
        <v>2770663</v>
      </c>
      <c r="D14" s="81">
        <v>537078</v>
      </c>
    </row>
    <row r="15" spans="1:11" ht="15" customHeight="1" thickBot="1" x14ac:dyDescent="0.25">
      <c r="A15" s="91"/>
      <c r="B15" s="91"/>
      <c r="C15" s="91"/>
      <c r="D15" s="91"/>
      <c r="E15" s="91"/>
      <c r="F15" s="91"/>
      <c r="G15" s="91"/>
    </row>
    <row r="16" spans="1:11" ht="13.5" thickTop="1" x14ac:dyDescent="0.2">
      <c r="A16" s="236" t="s">
        <v>3</v>
      </c>
      <c r="B16" s="236"/>
      <c r="C16" s="236"/>
      <c r="D16" s="236"/>
      <c r="E16" s="236"/>
      <c r="F16" s="236"/>
      <c r="G16" s="236"/>
    </row>
    <row r="17" spans="1:7" ht="15" customHeight="1" x14ac:dyDescent="0.2">
      <c r="A17" s="110"/>
      <c r="C17" s="235" t="s">
        <v>74</v>
      </c>
      <c r="D17" s="235"/>
      <c r="F17" s="235" t="s">
        <v>118</v>
      </c>
      <c r="G17" s="235"/>
    </row>
    <row r="18" spans="1:7" ht="30.75" customHeight="1" x14ac:dyDescent="0.2">
      <c r="B18" s="111" t="s">
        <v>24</v>
      </c>
      <c r="C18" s="112" t="s">
        <v>7</v>
      </c>
      <c r="D18" s="112" t="s">
        <v>8</v>
      </c>
      <c r="F18" s="112" t="s">
        <v>7</v>
      </c>
      <c r="G18" s="112" t="s">
        <v>8</v>
      </c>
    </row>
    <row r="19" spans="1:7" ht="15" customHeight="1" x14ac:dyDescent="0.2">
      <c r="B19" s="15" t="s">
        <v>9</v>
      </c>
      <c r="C19" s="82">
        <v>151059</v>
      </c>
      <c r="D19" s="83">
        <v>51933683</v>
      </c>
      <c r="F19" s="82">
        <v>135001</v>
      </c>
      <c r="G19" s="83">
        <v>47961008</v>
      </c>
    </row>
    <row r="20" spans="1:7" ht="15" customHeight="1" x14ac:dyDescent="0.2">
      <c r="B20" s="15" t="s">
        <v>10</v>
      </c>
      <c r="C20" s="82">
        <v>133947</v>
      </c>
      <c r="D20" s="83">
        <v>32289649.199999999</v>
      </c>
      <c r="F20" s="82">
        <v>104589.09299999999</v>
      </c>
      <c r="G20" s="83">
        <v>28045455.300000001</v>
      </c>
    </row>
    <row r="21" spans="1:7" ht="15" customHeight="1" x14ac:dyDescent="0.2">
      <c r="B21" s="15" t="s">
        <v>11</v>
      </c>
      <c r="C21" s="82">
        <v>14883</v>
      </c>
      <c r="D21" s="83">
        <v>3587738.8</v>
      </c>
      <c r="F21" s="82">
        <v>11621.01</v>
      </c>
      <c r="G21" s="83">
        <v>3116161.7</v>
      </c>
    </row>
    <row r="22" spans="1:7" ht="15" customHeight="1" x14ac:dyDescent="0.2">
      <c r="B22" s="15" t="s">
        <v>12</v>
      </c>
      <c r="C22" s="82">
        <v>0</v>
      </c>
      <c r="D22" s="83">
        <v>0</v>
      </c>
      <c r="F22" s="82">
        <v>0</v>
      </c>
      <c r="G22" s="83">
        <v>0</v>
      </c>
    </row>
    <row r="23" spans="1:7" ht="15" customHeight="1" x14ac:dyDescent="0.2">
      <c r="B23" s="15" t="s">
        <v>20</v>
      </c>
      <c r="C23" s="82">
        <v>1496</v>
      </c>
      <c r="D23" s="83">
        <v>0</v>
      </c>
      <c r="F23" s="82"/>
      <c r="G23" s="83">
        <v>0</v>
      </c>
    </row>
    <row r="24" spans="1:7" ht="15" customHeight="1" x14ac:dyDescent="0.2">
      <c r="B24" s="113" t="s">
        <v>21</v>
      </c>
      <c r="C24" s="82">
        <v>0</v>
      </c>
      <c r="D24" s="83">
        <v>0</v>
      </c>
      <c r="F24" s="82">
        <v>0</v>
      </c>
      <c r="G24" s="83">
        <v>0</v>
      </c>
    </row>
    <row r="25" spans="1:7" ht="15" customHeight="1" x14ac:dyDescent="0.2">
      <c r="B25" s="113" t="s">
        <v>5</v>
      </c>
      <c r="C25" s="84">
        <v>80496</v>
      </c>
      <c r="D25" s="83">
        <v>4447503</v>
      </c>
      <c r="F25" s="84">
        <v>11133.3</v>
      </c>
      <c r="G25" s="83">
        <v>2690129</v>
      </c>
    </row>
    <row r="26" spans="1:7" ht="15" customHeight="1" x14ac:dyDescent="0.2">
      <c r="B26" s="85" t="s">
        <v>202</v>
      </c>
      <c r="C26" s="84">
        <v>6144</v>
      </c>
      <c r="D26" s="83">
        <v>804535</v>
      </c>
      <c r="F26" s="84">
        <v>12753</v>
      </c>
      <c r="G26" s="83">
        <v>822614</v>
      </c>
    </row>
    <row r="27" spans="1:7" ht="15" customHeight="1" x14ac:dyDescent="0.2">
      <c r="B27" s="85"/>
      <c r="C27" s="84">
        <v>0</v>
      </c>
      <c r="D27" s="83"/>
      <c r="F27" s="84">
        <v>0</v>
      </c>
      <c r="G27" s="83"/>
    </row>
    <row r="28" spans="1:7" ht="30.75" customHeight="1" x14ac:dyDescent="0.2">
      <c r="A28" s="237" t="s">
        <v>34</v>
      </c>
      <c r="B28" s="238"/>
      <c r="D28" s="114"/>
      <c r="G28" s="114"/>
    </row>
    <row r="29" spans="1:7" ht="15" customHeight="1" x14ac:dyDescent="0.2">
      <c r="B29" s="86" t="s">
        <v>203</v>
      </c>
      <c r="C29" s="115"/>
      <c r="D29" s="83">
        <v>2841408</v>
      </c>
      <c r="F29" s="115"/>
      <c r="G29" s="83">
        <v>5892479</v>
      </c>
    </row>
    <row r="30" spans="1:7" ht="15" customHeight="1" x14ac:dyDescent="0.2">
      <c r="B30" s="86" t="s">
        <v>204</v>
      </c>
      <c r="C30" s="116"/>
      <c r="D30" s="83">
        <v>2600253</v>
      </c>
      <c r="F30" s="116"/>
      <c r="G30" s="83">
        <v>3065001</v>
      </c>
    </row>
    <row r="31" spans="1:7" ht="15" customHeight="1" x14ac:dyDescent="0.2">
      <c r="B31" s="117" t="s">
        <v>6</v>
      </c>
      <c r="C31" s="118">
        <f>SUM(C19:C27)</f>
        <v>388025</v>
      </c>
      <c r="D31" s="119">
        <f>SUM(D19:D30)</f>
        <v>98504770</v>
      </c>
      <c r="F31" s="118">
        <f>SUM(F19:F27)</f>
        <v>275097.40299999999</v>
      </c>
      <c r="G31" s="119">
        <f>SUM(G19:G30)</f>
        <v>91592848</v>
      </c>
    </row>
    <row r="32" spans="1:7" ht="15" customHeight="1" x14ac:dyDescent="0.2">
      <c r="A32" s="120"/>
      <c r="B32" s="121"/>
      <c r="C32" s="122"/>
      <c r="D32" s="121"/>
      <c r="E32" s="122"/>
    </row>
    <row r="33" spans="1:9" s="91" customFormat="1" ht="15" customHeight="1" x14ac:dyDescent="0.2">
      <c r="A33" s="93" t="s">
        <v>4</v>
      </c>
      <c r="B33" s="234" t="str">
        <f>CON_Utility_Name</f>
        <v>Puget Sound Energy</v>
      </c>
      <c r="C33" s="234"/>
      <c r="D33" s="234"/>
      <c r="E33" s="234"/>
      <c r="F33" s="89"/>
      <c r="G33" s="89"/>
    </row>
    <row r="34" spans="1:9" s="91" customFormat="1" x14ac:dyDescent="0.2">
      <c r="A34" s="123" t="s">
        <v>13</v>
      </c>
      <c r="B34" s="230">
        <v>2016</v>
      </c>
      <c r="C34" s="230"/>
      <c r="D34" s="230"/>
      <c r="E34" s="230"/>
    </row>
    <row r="35" spans="1:9" s="91" customFormat="1" x14ac:dyDescent="0.2">
      <c r="A35" s="123"/>
      <c r="B35" s="124"/>
      <c r="C35" s="124"/>
      <c r="D35" s="124"/>
      <c r="E35" s="124"/>
    </row>
    <row r="36" spans="1:9" ht="28.5" customHeight="1" x14ac:dyDescent="0.2">
      <c r="A36" s="229" t="s">
        <v>191</v>
      </c>
      <c r="B36" s="229"/>
      <c r="C36" s="229"/>
      <c r="D36" s="229"/>
      <c r="E36" s="229"/>
      <c r="F36" s="229"/>
      <c r="G36" s="229"/>
      <c r="H36" s="229"/>
      <c r="I36" s="229"/>
    </row>
    <row r="37" spans="1:9" s="78" customFormat="1" ht="270.75" customHeight="1" x14ac:dyDescent="0.2">
      <c r="A37" s="231"/>
      <c r="B37" s="231"/>
      <c r="C37" s="231"/>
      <c r="D37" s="231"/>
      <c r="E37" s="231"/>
      <c r="F37" s="231"/>
      <c r="G37" s="231"/>
      <c r="H37" s="231"/>
      <c r="I37" s="231"/>
    </row>
    <row r="38" spans="1:9" s="78" customFormat="1" x14ac:dyDescent="0.2"/>
    <row r="39" spans="1:9" s="78" customFormat="1" x14ac:dyDescent="0.2"/>
    <row r="40" spans="1:9" s="78" customFormat="1" x14ac:dyDescent="0.2"/>
    <row r="41" spans="1:9" s="78" customFormat="1" x14ac:dyDescent="0.2"/>
    <row r="42" spans="1:9" s="78" customFormat="1" x14ac:dyDescent="0.2"/>
    <row r="43" spans="1:9" s="78" customFormat="1" x14ac:dyDescent="0.2"/>
    <row r="44" spans="1:9" s="78" customFormat="1" x14ac:dyDescent="0.2"/>
    <row r="45" spans="1:9" s="78" customFormat="1" x14ac:dyDescent="0.2"/>
    <row r="46" spans="1:9" s="78" customFormat="1" x14ac:dyDescent="0.2"/>
    <row r="47" spans="1:9" s="78" customFormat="1" x14ac:dyDescent="0.2"/>
    <row r="48" spans="1:9" s="78" customFormat="1" x14ac:dyDescent="0.2"/>
    <row r="49" s="78" customFormat="1" x14ac:dyDescent="0.2"/>
    <row r="50" s="78" customFormat="1" x14ac:dyDescent="0.2"/>
    <row r="51" s="78" customFormat="1" x14ac:dyDescent="0.2"/>
    <row r="52" s="78" customFormat="1" x14ac:dyDescent="0.2"/>
    <row r="53" s="78" customFormat="1" x14ac:dyDescent="0.2"/>
    <row r="54" s="78" customFormat="1" x14ac:dyDescent="0.2"/>
    <row r="55" s="78" customFormat="1" x14ac:dyDescent="0.2"/>
    <row r="56" s="78" customFormat="1" x14ac:dyDescent="0.2"/>
  </sheetData>
  <sheetProtection sheet="1" scenarios="1"/>
  <mergeCells count="20">
    <mergeCell ref="A36:I36"/>
    <mergeCell ref="B34:E34"/>
    <mergeCell ref="A37:I37"/>
    <mergeCell ref="A1:I1"/>
    <mergeCell ref="A2:I2"/>
    <mergeCell ref="B33:E33"/>
    <mergeCell ref="A12:B12"/>
    <mergeCell ref="F16:G16"/>
    <mergeCell ref="A16:E16"/>
    <mergeCell ref="A28:B28"/>
    <mergeCell ref="C17:D17"/>
    <mergeCell ref="C12:D12"/>
    <mergeCell ref="F17:G17"/>
    <mergeCell ref="F5:I5"/>
    <mergeCell ref="A11:D11"/>
    <mergeCell ref="B5:D5"/>
    <mergeCell ref="B6:D6"/>
    <mergeCell ref="B7:D7"/>
    <mergeCell ref="B8:D8"/>
    <mergeCell ref="B9:D9"/>
  </mergeCells>
  <pageMargins left="0.7" right="0.7" top="0.75" bottom="0.75" header="0.3" footer="0.3"/>
  <pageSetup scale="92" fitToHeight="0" orientation="landscape" r:id="rId1"/>
  <rowBreaks count="1" manualBreakCount="1">
    <brk id="31"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6"/>
  <sheetViews>
    <sheetView showGridLines="0" zoomScaleNormal="100" zoomScaleSheetLayoutView="100" workbookViewId="0">
      <selection sqref="A1:N1"/>
    </sheetView>
  </sheetViews>
  <sheetFormatPr defaultColWidth="9.140625" defaultRowHeight="12.75" x14ac:dyDescent="0.2"/>
  <cols>
    <col min="1" max="1" width="30.140625" style="1" customWidth="1"/>
    <col min="2" max="2" width="11.7109375" style="1" customWidth="1"/>
    <col min="3" max="3" width="10.28515625" style="1" customWidth="1"/>
    <col min="4" max="12" width="10.7109375" style="1" customWidth="1"/>
    <col min="13" max="13" width="11.7109375" style="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275" t="s">
        <v>192</v>
      </c>
      <c r="B1" s="275"/>
      <c r="C1" s="275"/>
      <c r="D1" s="275"/>
      <c r="E1" s="275"/>
      <c r="F1" s="275"/>
      <c r="G1" s="275"/>
      <c r="H1" s="275"/>
      <c r="I1" s="275"/>
      <c r="J1" s="275"/>
      <c r="K1" s="275"/>
      <c r="L1" s="275"/>
      <c r="M1" s="275"/>
      <c r="N1" s="275"/>
    </row>
    <row r="2" spans="1:33" ht="15" customHeight="1" x14ac:dyDescent="0.2">
      <c r="A2" s="276" t="s">
        <v>193</v>
      </c>
      <c r="B2" s="276"/>
      <c r="C2" s="276"/>
      <c r="D2" s="276"/>
      <c r="E2" s="276"/>
      <c r="F2" s="276"/>
      <c r="G2" s="276"/>
      <c r="H2" s="276"/>
      <c r="I2" s="276"/>
      <c r="J2" s="276"/>
      <c r="K2" s="276"/>
      <c r="L2" s="276"/>
      <c r="M2" s="276"/>
      <c r="N2" s="276"/>
    </row>
    <row r="3" spans="1:33" s="7" customFormat="1" ht="19.5" x14ac:dyDescent="0.4">
      <c r="A3" s="26" t="s">
        <v>127</v>
      </c>
      <c r="B3" s="26"/>
      <c r="C3" s="26"/>
      <c r="AB3" s="24" t="s">
        <v>27</v>
      </c>
      <c r="AG3" s="21"/>
    </row>
    <row r="4" spans="1:33" ht="14.25" x14ac:dyDescent="0.2">
      <c r="A4" s="48"/>
      <c r="B4" s="48"/>
      <c r="C4" s="48"/>
      <c r="H4" s="261" t="s">
        <v>26</v>
      </c>
      <c r="I4" s="262"/>
      <c r="J4" s="262"/>
      <c r="K4" s="262"/>
      <c r="L4" s="262"/>
      <c r="M4" s="263"/>
      <c r="AB4" s="25" t="s">
        <v>28</v>
      </c>
      <c r="AG4" s="19"/>
    </row>
    <row r="5" spans="1:33" ht="15" customHeight="1" x14ac:dyDescent="0.2">
      <c r="A5" s="3" t="s">
        <v>4</v>
      </c>
      <c r="B5" s="221"/>
      <c r="C5" s="221"/>
      <c r="D5" s="221"/>
      <c r="H5" s="29"/>
      <c r="I5" s="7"/>
      <c r="J5" s="7"/>
      <c r="K5" s="7"/>
      <c r="L5" s="28" t="s">
        <v>99</v>
      </c>
      <c r="M5" s="125"/>
      <c r="AB5" s="25" t="s">
        <v>29</v>
      </c>
      <c r="AG5" s="19"/>
    </row>
    <row r="6" spans="1:33" ht="15" customHeight="1" thickBot="1" x14ac:dyDescent="0.25">
      <c r="A6" s="4" t="s">
        <v>41</v>
      </c>
      <c r="B6" s="257"/>
      <c r="C6" s="257"/>
      <c r="D6" s="257"/>
      <c r="H6" s="29"/>
      <c r="I6" s="7"/>
      <c r="J6" s="7"/>
      <c r="K6" s="7"/>
      <c r="L6" s="28" t="s">
        <v>132</v>
      </c>
      <c r="M6" s="125"/>
      <c r="AB6" s="25" t="s">
        <v>30</v>
      </c>
      <c r="AG6" s="20"/>
    </row>
    <row r="7" spans="1:33" ht="15" customHeight="1" x14ac:dyDescent="0.2">
      <c r="A7" s="5" t="s">
        <v>0</v>
      </c>
      <c r="B7" s="258"/>
      <c r="C7" s="258"/>
      <c r="D7" s="258"/>
      <c r="H7" s="29"/>
      <c r="I7" s="7"/>
      <c r="J7" s="7"/>
      <c r="K7" s="7"/>
      <c r="L7" s="28" t="s">
        <v>100</v>
      </c>
      <c r="M7" s="46">
        <f>IF(REN_Load_2015+REN_Load_2014&gt;0,AVERAGE(REN_Load_2015,REN_Load_2014),0)</f>
        <v>0</v>
      </c>
    </row>
    <row r="8" spans="1:33" ht="15" customHeight="1" x14ac:dyDescent="0.2">
      <c r="A8" s="5" t="s">
        <v>1</v>
      </c>
      <c r="B8" s="258"/>
      <c r="C8" s="258"/>
      <c r="D8" s="258"/>
      <c r="H8" s="29"/>
      <c r="I8" s="7"/>
      <c r="J8" s="7"/>
      <c r="K8" s="7"/>
      <c r="L8" s="28" t="s">
        <v>133</v>
      </c>
      <c r="M8" s="183">
        <v>0.09</v>
      </c>
    </row>
    <row r="9" spans="1:33" ht="15" customHeight="1" x14ac:dyDescent="0.2">
      <c r="A9" s="5" t="s">
        <v>2</v>
      </c>
      <c r="B9" s="259"/>
      <c r="C9" s="260"/>
      <c r="D9" s="260"/>
      <c r="H9" s="33"/>
      <c r="I9" s="7"/>
      <c r="J9" s="7"/>
      <c r="K9" s="7"/>
      <c r="L9" s="28" t="s">
        <v>141</v>
      </c>
      <c r="M9" s="46">
        <f>ROUND(M7*M8,0)</f>
        <v>0</v>
      </c>
    </row>
    <row r="10" spans="1:33" ht="15" customHeight="1" x14ac:dyDescent="0.2">
      <c r="A10" s="5"/>
      <c r="B10" s="5"/>
      <c r="C10" s="5"/>
      <c r="D10" s="18"/>
      <c r="H10" s="30"/>
      <c r="I10" s="31"/>
      <c r="J10" s="31"/>
      <c r="K10" s="31"/>
      <c r="L10" s="32" t="s">
        <v>134</v>
      </c>
      <c r="M10" s="47">
        <f>SUM(C20:N20)</f>
        <v>0</v>
      </c>
    </row>
    <row r="11" spans="1:33" ht="15" customHeight="1" x14ac:dyDescent="0.2">
      <c r="A11" s="3" t="s">
        <v>128</v>
      </c>
      <c r="B11" s="42"/>
      <c r="C11" s="42"/>
    </row>
    <row r="12" spans="1:33" ht="15" customHeight="1" x14ac:dyDescent="0.2">
      <c r="B12" s="48"/>
      <c r="C12" s="48"/>
      <c r="F12" s="264" t="s">
        <v>139</v>
      </c>
      <c r="G12" s="265"/>
      <c r="H12" s="265"/>
      <c r="I12" s="265"/>
      <c r="J12" s="265"/>
      <c r="K12" s="265"/>
      <c r="L12" s="265"/>
      <c r="M12" s="266"/>
    </row>
    <row r="13" spans="1:33" s="22" customFormat="1" ht="14.25" customHeight="1" x14ac:dyDescent="0.25">
      <c r="A13" s="1"/>
      <c r="B13" s="23"/>
      <c r="C13" s="23"/>
      <c r="F13" s="29" t="s">
        <v>72</v>
      </c>
      <c r="G13" s="36"/>
      <c r="H13" s="36"/>
      <c r="I13" s="36"/>
      <c r="J13" s="36"/>
      <c r="K13" s="36"/>
      <c r="L13" s="7"/>
      <c r="M13" s="44">
        <f>'Renewable Cost Report'!K30+'Renewable Cost Report'!E62</f>
        <v>0</v>
      </c>
    </row>
    <row r="14" spans="1:33" x14ac:dyDescent="0.2">
      <c r="B14" s="48"/>
      <c r="C14" s="48"/>
      <c r="F14" s="29" t="s">
        <v>140</v>
      </c>
      <c r="G14" s="34"/>
      <c r="H14" s="34"/>
      <c r="I14" s="34"/>
      <c r="J14" s="34"/>
      <c r="K14" s="7"/>
      <c r="L14" s="7"/>
      <c r="M14" s="126"/>
    </row>
    <row r="15" spans="1:33" x14ac:dyDescent="0.2">
      <c r="F15" s="37" t="s">
        <v>73</v>
      </c>
      <c r="G15" s="35"/>
      <c r="H15" s="35"/>
      <c r="I15" s="35"/>
      <c r="J15" s="35"/>
      <c r="K15" s="31"/>
      <c r="L15" s="31"/>
      <c r="M15" s="45" t="str">
        <f>IF(REN_RetailRevenueRequirement_2016&gt;0,REN_Expenditure_Amount_2016/REN_RetailRevenueRequirement_2016,"")</f>
        <v/>
      </c>
    </row>
    <row r="16" spans="1:33" ht="17.45" customHeight="1" x14ac:dyDescent="0.2">
      <c r="H16" s="274"/>
      <c r="I16" s="274"/>
      <c r="J16" s="274"/>
      <c r="K16" s="274"/>
      <c r="L16" s="274"/>
      <c r="M16" s="16"/>
      <c r="N16" s="11"/>
      <c r="O16" s="11"/>
    </row>
    <row r="17" spans="1:33" ht="36" customHeight="1" x14ac:dyDescent="0.2">
      <c r="A17" s="9"/>
      <c r="C17" s="54" t="s">
        <v>14</v>
      </c>
      <c r="D17" s="55" t="s">
        <v>15</v>
      </c>
      <c r="E17" s="55" t="s">
        <v>173</v>
      </c>
      <c r="F17" s="55" t="s">
        <v>174</v>
      </c>
      <c r="G17" s="55" t="s">
        <v>16</v>
      </c>
      <c r="H17" s="55" t="s">
        <v>23</v>
      </c>
      <c r="I17" s="55" t="s">
        <v>17</v>
      </c>
      <c r="J17" s="55" t="s">
        <v>172</v>
      </c>
      <c r="K17" s="55" t="s">
        <v>176</v>
      </c>
      <c r="L17" s="62" t="s">
        <v>177</v>
      </c>
      <c r="M17" s="54" t="s">
        <v>185</v>
      </c>
      <c r="N17" s="56" t="s">
        <v>186</v>
      </c>
      <c r="O17" s="11"/>
    </row>
    <row r="18" spans="1:33" ht="15" customHeight="1" x14ac:dyDescent="0.2">
      <c r="B18" s="4" t="s">
        <v>25</v>
      </c>
      <c r="C18" s="57">
        <f t="shared" ref="C18:L18" si="0">SUMIF($C40:$C60,C$17,$E40:$E60)</f>
        <v>0</v>
      </c>
      <c r="D18" s="51">
        <f t="shared" si="0"/>
        <v>0</v>
      </c>
      <c r="E18" s="51">
        <f t="shared" si="0"/>
        <v>0</v>
      </c>
      <c r="F18" s="51">
        <f t="shared" si="0"/>
        <v>0</v>
      </c>
      <c r="G18" s="51">
        <f t="shared" si="0"/>
        <v>0</v>
      </c>
      <c r="H18" s="51">
        <f t="shared" si="0"/>
        <v>0</v>
      </c>
      <c r="I18" s="51">
        <f t="shared" si="0"/>
        <v>0</v>
      </c>
      <c r="J18" s="51">
        <f t="shared" si="0"/>
        <v>0</v>
      </c>
      <c r="K18" s="51">
        <f t="shared" si="0"/>
        <v>0</v>
      </c>
      <c r="L18" s="63">
        <f t="shared" si="0"/>
        <v>0</v>
      </c>
      <c r="M18" s="57">
        <f>SUM(F40:F60)</f>
        <v>0</v>
      </c>
      <c r="N18" s="58"/>
      <c r="O18" s="77"/>
    </row>
    <row r="19" spans="1:33" ht="16.5" customHeight="1" x14ac:dyDescent="0.2">
      <c r="B19" s="4" t="s">
        <v>18</v>
      </c>
      <c r="C19" s="59"/>
      <c r="D19" s="52">
        <f t="shared" ref="D19:L19" si="1">SUMIF($D67:$D91,D$17,$G67:$G91)</f>
        <v>0</v>
      </c>
      <c r="E19" s="52">
        <f t="shared" si="1"/>
        <v>0</v>
      </c>
      <c r="F19" s="52">
        <f t="shared" si="1"/>
        <v>0</v>
      </c>
      <c r="G19" s="52">
        <f t="shared" si="1"/>
        <v>0</v>
      </c>
      <c r="H19" s="52">
        <f t="shared" si="1"/>
        <v>0</v>
      </c>
      <c r="I19" s="52">
        <f t="shared" si="1"/>
        <v>0</v>
      </c>
      <c r="J19" s="52">
        <f t="shared" si="1"/>
        <v>0</v>
      </c>
      <c r="K19" s="52">
        <f t="shared" si="1"/>
        <v>0</v>
      </c>
      <c r="L19" s="64">
        <f t="shared" si="1"/>
        <v>0</v>
      </c>
      <c r="M19" s="66">
        <f>SUM(H67:H91)</f>
        <v>0</v>
      </c>
      <c r="N19" s="60">
        <f>SUM(I67:I91)</f>
        <v>0</v>
      </c>
      <c r="O19" s="11"/>
    </row>
    <row r="20" spans="1:33" ht="16.5" customHeight="1" x14ac:dyDescent="0.2">
      <c r="B20" s="5" t="s">
        <v>131</v>
      </c>
      <c r="C20" s="61">
        <f>C18</f>
        <v>0</v>
      </c>
      <c r="D20" s="53">
        <f t="shared" ref="D20:K20" si="2">D18+D19</f>
        <v>0</v>
      </c>
      <c r="E20" s="53">
        <f t="shared" si="2"/>
        <v>0</v>
      </c>
      <c r="F20" s="53">
        <f t="shared" si="2"/>
        <v>0</v>
      </c>
      <c r="G20" s="53">
        <f t="shared" si="2"/>
        <v>0</v>
      </c>
      <c r="H20" s="53">
        <f t="shared" si="2"/>
        <v>0</v>
      </c>
      <c r="I20" s="53">
        <f t="shared" si="2"/>
        <v>0</v>
      </c>
      <c r="J20" s="53">
        <f t="shared" si="2"/>
        <v>0</v>
      </c>
      <c r="K20" s="53">
        <f t="shared" si="2"/>
        <v>0</v>
      </c>
      <c r="L20" s="65"/>
      <c r="M20" s="61">
        <f>M18+M19</f>
        <v>0</v>
      </c>
      <c r="N20" s="60">
        <f>N19</f>
        <v>0</v>
      </c>
      <c r="O20" s="11"/>
    </row>
    <row r="21" spans="1:33" ht="16.5" customHeight="1" x14ac:dyDescent="0.2">
      <c r="K21" s="7"/>
      <c r="L21" s="4"/>
      <c r="M21" s="17"/>
      <c r="N21" s="11"/>
      <c r="O21" s="11"/>
    </row>
    <row r="22" spans="1:33" ht="21.75" customHeight="1" x14ac:dyDescent="0.2">
      <c r="K22" s="7"/>
      <c r="L22" s="4"/>
      <c r="M22" s="17"/>
      <c r="N22" s="11"/>
      <c r="O22" s="11"/>
    </row>
    <row r="23" spans="1:33" ht="15" customHeight="1" x14ac:dyDescent="0.2">
      <c r="A23" s="28"/>
      <c r="B23" s="28"/>
      <c r="C23" s="28"/>
      <c r="D23" s="28"/>
      <c r="E23" s="28"/>
      <c r="F23" s="28"/>
      <c r="H23" s="7"/>
      <c r="I23" s="7"/>
      <c r="J23" s="7"/>
      <c r="K23" s="7"/>
      <c r="L23" s="4"/>
      <c r="M23" s="17"/>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
      <c r="A36" s="248" t="s">
        <v>22</v>
      </c>
      <c r="B36" s="6"/>
      <c r="C36" s="6"/>
      <c r="D36" s="9" t="s">
        <v>4</v>
      </c>
      <c r="E36" s="242">
        <f>B5</f>
        <v>0</v>
      </c>
      <c r="F36" s="243"/>
      <c r="G36" s="244"/>
    </row>
    <row r="37" spans="1:33" ht="15" customHeight="1" x14ac:dyDescent="0.2">
      <c r="A37" s="248"/>
      <c r="D37" s="9" t="s">
        <v>13</v>
      </c>
      <c r="E37" s="245">
        <v>2016</v>
      </c>
      <c r="F37" s="246"/>
      <c r="G37" s="247"/>
    </row>
    <row r="38" spans="1:33" ht="15" customHeight="1" x14ac:dyDescent="0.2">
      <c r="D38" s="9"/>
      <c r="E38" s="42"/>
      <c r="F38" s="8"/>
      <c r="G38" s="8"/>
    </row>
    <row r="39" spans="1:33" s="10" customFormat="1" ht="52.5" customHeight="1" x14ac:dyDescent="0.2">
      <c r="A39" s="27" t="s">
        <v>19</v>
      </c>
      <c r="B39" s="67" t="s">
        <v>31</v>
      </c>
      <c r="C39" s="49" t="s">
        <v>175</v>
      </c>
      <c r="D39" s="68" t="s">
        <v>178</v>
      </c>
      <c r="E39" s="49" t="s">
        <v>190</v>
      </c>
      <c r="F39" s="49" t="s">
        <v>189</v>
      </c>
      <c r="G39" s="256" t="s">
        <v>184</v>
      </c>
      <c r="H39" s="256"/>
      <c r="I39" s="256"/>
      <c r="J39" s="256"/>
      <c r="K39" s="256"/>
      <c r="L39" s="14"/>
      <c r="M39" s="14"/>
      <c r="N39" s="14"/>
      <c r="AG39" s="7"/>
    </row>
    <row r="40" spans="1:33" ht="15" customHeight="1" x14ac:dyDescent="0.2">
      <c r="A40" s="127"/>
      <c r="B40" s="128"/>
      <c r="C40" s="215"/>
      <c r="D40" s="82" t="s">
        <v>179</v>
      </c>
      <c r="E40" s="129"/>
      <c r="F40" s="51">
        <f>IF(D40="Yes",0.2*E40,0)</f>
        <v>0</v>
      </c>
      <c r="G40" s="271"/>
      <c r="H40" s="272"/>
      <c r="I40" s="272"/>
      <c r="J40" s="272"/>
      <c r="K40" s="273"/>
      <c r="L40" s="14"/>
      <c r="M40" s="14"/>
      <c r="N40" s="14"/>
    </row>
    <row r="41" spans="1:33" ht="15" customHeight="1" x14ac:dyDescent="0.2">
      <c r="A41" s="130"/>
      <c r="B41" s="131"/>
      <c r="C41" s="216"/>
      <c r="D41" s="82" t="s">
        <v>179</v>
      </c>
      <c r="E41" s="132"/>
      <c r="F41" s="69">
        <f t="shared" ref="F41:F60" si="3">IF(D41="Yes",0.2*E41,0)</f>
        <v>0</v>
      </c>
      <c r="G41" s="253"/>
      <c r="H41" s="254"/>
      <c r="I41" s="254"/>
      <c r="J41" s="254"/>
      <c r="K41" s="255"/>
      <c r="L41" s="14"/>
      <c r="M41" s="14"/>
      <c r="N41" s="14"/>
    </row>
    <row r="42" spans="1:33" ht="15" customHeight="1" x14ac:dyDescent="0.2">
      <c r="A42" s="130"/>
      <c r="B42" s="131"/>
      <c r="C42" s="216"/>
      <c r="D42" s="82" t="s">
        <v>179</v>
      </c>
      <c r="E42" s="132"/>
      <c r="F42" s="69">
        <f t="shared" si="3"/>
        <v>0</v>
      </c>
      <c r="G42" s="142"/>
      <c r="H42" s="143"/>
      <c r="I42" s="143"/>
      <c r="J42" s="143"/>
      <c r="K42" s="144"/>
      <c r="L42" s="14"/>
      <c r="M42" s="14"/>
      <c r="N42" s="14"/>
    </row>
    <row r="43" spans="1:33" ht="15" customHeight="1" x14ac:dyDescent="0.2">
      <c r="A43" s="133"/>
      <c r="B43" s="134"/>
      <c r="C43" s="217"/>
      <c r="D43" s="82" t="s">
        <v>179</v>
      </c>
      <c r="E43" s="132"/>
      <c r="F43" s="69">
        <f t="shared" si="3"/>
        <v>0</v>
      </c>
      <c r="G43" s="253"/>
      <c r="H43" s="254"/>
      <c r="I43" s="254"/>
      <c r="J43" s="254"/>
      <c r="K43" s="255"/>
      <c r="L43" s="14"/>
      <c r="M43" s="14"/>
      <c r="N43" s="14"/>
    </row>
    <row r="44" spans="1:33" ht="15" customHeight="1" x14ac:dyDescent="0.2">
      <c r="A44" s="135"/>
      <c r="B44" s="136"/>
      <c r="C44" s="218"/>
      <c r="D44" s="82" t="s">
        <v>179</v>
      </c>
      <c r="E44" s="132"/>
      <c r="F44" s="69">
        <f t="shared" si="3"/>
        <v>0</v>
      </c>
      <c r="G44" s="253"/>
      <c r="H44" s="254"/>
      <c r="I44" s="254"/>
      <c r="J44" s="254"/>
      <c r="K44" s="255"/>
      <c r="L44" s="14"/>
      <c r="M44" s="14"/>
      <c r="N44" s="14"/>
    </row>
    <row r="45" spans="1:33" ht="15" customHeight="1" x14ac:dyDescent="0.2">
      <c r="A45" s="137"/>
      <c r="B45" s="138"/>
      <c r="C45" s="219"/>
      <c r="D45" s="82" t="s">
        <v>179</v>
      </c>
      <c r="E45" s="132"/>
      <c r="F45" s="69">
        <f t="shared" si="3"/>
        <v>0</v>
      </c>
      <c r="G45" s="253"/>
      <c r="H45" s="254"/>
      <c r="I45" s="254"/>
      <c r="J45" s="254"/>
      <c r="K45" s="255"/>
      <c r="L45" s="14"/>
      <c r="M45" s="14"/>
      <c r="N45" s="14"/>
    </row>
    <row r="46" spans="1:33" ht="15" customHeight="1" x14ac:dyDescent="0.2">
      <c r="A46" s="137"/>
      <c r="B46" s="138"/>
      <c r="C46" s="219"/>
      <c r="D46" s="82" t="s">
        <v>179</v>
      </c>
      <c r="E46" s="132"/>
      <c r="F46" s="69">
        <f t="shared" si="3"/>
        <v>0</v>
      </c>
      <c r="G46" s="253"/>
      <c r="H46" s="254"/>
      <c r="I46" s="254"/>
      <c r="J46" s="254"/>
      <c r="K46" s="255"/>
      <c r="L46" s="14"/>
      <c r="M46" s="14"/>
      <c r="N46" s="14"/>
    </row>
    <row r="47" spans="1:33" ht="15" customHeight="1" x14ac:dyDescent="0.2">
      <c r="A47" s="137"/>
      <c r="B47" s="138"/>
      <c r="C47" s="219"/>
      <c r="D47" s="82" t="s">
        <v>179</v>
      </c>
      <c r="E47" s="132"/>
      <c r="F47" s="69">
        <f t="shared" si="3"/>
        <v>0</v>
      </c>
      <c r="G47" s="253"/>
      <c r="H47" s="254"/>
      <c r="I47" s="254"/>
      <c r="J47" s="254"/>
      <c r="K47" s="255"/>
      <c r="L47" s="14"/>
      <c r="M47" s="14"/>
      <c r="N47" s="14"/>
    </row>
    <row r="48" spans="1:33" ht="15" customHeight="1" x14ac:dyDescent="0.2">
      <c r="A48" s="137"/>
      <c r="B48" s="138"/>
      <c r="C48" s="219"/>
      <c r="D48" s="82" t="s">
        <v>179</v>
      </c>
      <c r="E48" s="132"/>
      <c r="F48" s="69">
        <f t="shared" si="3"/>
        <v>0</v>
      </c>
      <c r="G48" s="253"/>
      <c r="H48" s="254"/>
      <c r="I48" s="254"/>
      <c r="J48" s="254"/>
      <c r="K48" s="255"/>
      <c r="L48" s="14"/>
      <c r="M48" s="14"/>
      <c r="N48" s="14"/>
    </row>
    <row r="49" spans="1:14" ht="15" customHeight="1" x14ac:dyDescent="0.2">
      <c r="A49" s="137"/>
      <c r="B49" s="138"/>
      <c r="C49" s="219"/>
      <c r="D49" s="82" t="s">
        <v>179</v>
      </c>
      <c r="E49" s="132"/>
      <c r="F49" s="69">
        <f t="shared" si="3"/>
        <v>0</v>
      </c>
      <c r="G49" s="253"/>
      <c r="H49" s="254"/>
      <c r="I49" s="254"/>
      <c r="J49" s="254"/>
      <c r="K49" s="255"/>
      <c r="L49" s="14"/>
      <c r="M49" s="14"/>
      <c r="N49" s="14"/>
    </row>
    <row r="50" spans="1:14" ht="15" customHeight="1" x14ac:dyDescent="0.2">
      <c r="A50" s="137"/>
      <c r="B50" s="138"/>
      <c r="C50" s="219"/>
      <c r="D50" s="82" t="s">
        <v>179</v>
      </c>
      <c r="E50" s="132"/>
      <c r="F50" s="69">
        <f t="shared" si="3"/>
        <v>0</v>
      </c>
      <c r="G50" s="253"/>
      <c r="H50" s="254"/>
      <c r="I50" s="254"/>
      <c r="J50" s="254"/>
      <c r="K50" s="255"/>
      <c r="L50" s="14"/>
      <c r="M50" s="14"/>
      <c r="N50" s="14"/>
    </row>
    <row r="51" spans="1:14" ht="15" customHeight="1" x14ac:dyDescent="0.2">
      <c r="A51" s="137"/>
      <c r="B51" s="138"/>
      <c r="C51" s="219"/>
      <c r="D51" s="82" t="s">
        <v>179</v>
      </c>
      <c r="E51" s="132"/>
      <c r="F51" s="69">
        <f t="shared" si="3"/>
        <v>0</v>
      </c>
      <c r="G51" s="253"/>
      <c r="H51" s="254"/>
      <c r="I51" s="254"/>
      <c r="J51" s="254"/>
      <c r="K51" s="255"/>
      <c r="L51" s="14"/>
      <c r="M51" s="14"/>
      <c r="N51" s="14"/>
    </row>
    <row r="52" spans="1:14" ht="15" customHeight="1" x14ac:dyDescent="0.2">
      <c r="A52" s="137"/>
      <c r="B52" s="138"/>
      <c r="C52" s="219"/>
      <c r="D52" s="82" t="s">
        <v>179</v>
      </c>
      <c r="E52" s="132"/>
      <c r="F52" s="69">
        <f t="shared" si="3"/>
        <v>0</v>
      </c>
      <c r="G52" s="253"/>
      <c r="H52" s="254"/>
      <c r="I52" s="254"/>
      <c r="J52" s="254"/>
      <c r="K52" s="255"/>
      <c r="L52" s="14"/>
      <c r="M52" s="14"/>
      <c r="N52" s="14"/>
    </row>
    <row r="53" spans="1:14" ht="15" customHeight="1" x14ac:dyDescent="0.2">
      <c r="A53" s="137"/>
      <c r="B53" s="138"/>
      <c r="C53" s="219"/>
      <c r="D53" s="82" t="s">
        <v>179</v>
      </c>
      <c r="E53" s="132"/>
      <c r="F53" s="69">
        <f t="shared" si="3"/>
        <v>0</v>
      </c>
      <c r="G53" s="253"/>
      <c r="H53" s="254"/>
      <c r="I53" s="254"/>
      <c r="J53" s="254"/>
      <c r="K53" s="255"/>
      <c r="L53" s="14"/>
      <c r="M53" s="14"/>
      <c r="N53" s="14"/>
    </row>
    <row r="54" spans="1:14" ht="15" customHeight="1" x14ac:dyDescent="0.2">
      <c r="A54" s="137"/>
      <c r="B54" s="138"/>
      <c r="C54" s="219"/>
      <c r="D54" s="82" t="s">
        <v>179</v>
      </c>
      <c r="E54" s="132"/>
      <c r="F54" s="69">
        <f t="shared" si="3"/>
        <v>0</v>
      </c>
      <c r="G54" s="253"/>
      <c r="H54" s="254"/>
      <c r="I54" s="254"/>
      <c r="J54" s="254"/>
      <c r="K54" s="255"/>
      <c r="L54" s="14"/>
      <c r="M54" s="14"/>
      <c r="N54" s="14"/>
    </row>
    <row r="55" spans="1:14" ht="15" customHeight="1" x14ac:dyDescent="0.2">
      <c r="A55" s="137"/>
      <c r="B55" s="138"/>
      <c r="C55" s="219"/>
      <c r="D55" s="82" t="s">
        <v>179</v>
      </c>
      <c r="E55" s="132"/>
      <c r="F55" s="69">
        <f t="shared" si="3"/>
        <v>0</v>
      </c>
      <c r="G55" s="253"/>
      <c r="H55" s="254"/>
      <c r="I55" s="254"/>
      <c r="J55" s="254"/>
      <c r="K55" s="255"/>
      <c r="L55" s="14"/>
      <c r="M55" s="14"/>
      <c r="N55" s="14"/>
    </row>
    <row r="56" spans="1:14" ht="15" customHeight="1" x14ac:dyDescent="0.2">
      <c r="A56" s="137"/>
      <c r="B56" s="138"/>
      <c r="C56" s="219"/>
      <c r="D56" s="82" t="s">
        <v>179</v>
      </c>
      <c r="E56" s="132"/>
      <c r="F56" s="69">
        <f t="shared" si="3"/>
        <v>0</v>
      </c>
      <c r="G56" s="253"/>
      <c r="H56" s="254"/>
      <c r="I56" s="254"/>
      <c r="J56" s="254"/>
      <c r="K56" s="255"/>
      <c r="L56" s="14"/>
      <c r="M56" s="14"/>
      <c r="N56" s="14"/>
    </row>
    <row r="57" spans="1:14" ht="15" customHeight="1" x14ac:dyDescent="0.2">
      <c r="A57" s="137"/>
      <c r="B57" s="138"/>
      <c r="C57" s="219"/>
      <c r="D57" s="82" t="s">
        <v>179</v>
      </c>
      <c r="E57" s="132"/>
      <c r="F57" s="69">
        <f t="shared" si="3"/>
        <v>0</v>
      </c>
      <c r="G57" s="253"/>
      <c r="H57" s="254"/>
      <c r="I57" s="254"/>
      <c r="J57" s="254"/>
      <c r="K57" s="255"/>
      <c r="L57" s="14"/>
      <c r="M57" s="14"/>
      <c r="N57" s="14"/>
    </row>
    <row r="58" spans="1:14" ht="15" customHeight="1" x14ac:dyDescent="0.2">
      <c r="A58" s="137"/>
      <c r="B58" s="138"/>
      <c r="C58" s="219"/>
      <c r="D58" s="82" t="s">
        <v>179</v>
      </c>
      <c r="E58" s="132"/>
      <c r="F58" s="69">
        <f t="shared" si="3"/>
        <v>0</v>
      </c>
      <c r="G58" s="253"/>
      <c r="H58" s="254"/>
      <c r="I58" s="254"/>
      <c r="J58" s="254"/>
      <c r="K58" s="255"/>
      <c r="L58" s="14"/>
      <c r="M58" s="14"/>
      <c r="N58" s="14"/>
    </row>
    <row r="59" spans="1:14" ht="15" customHeight="1" x14ac:dyDescent="0.2">
      <c r="A59" s="137"/>
      <c r="B59" s="138"/>
      <c r="C59" s="219"/>
      <c r="D59" s="82" t="s">
        <v>179</v>
      </c>
      <c r="E59" s="132"/>
      <c r="F59" s="69">
        <f t="shared" si="3"/>
        <v>0</v>
      </c>
      <c r="G59" s="253"/>
      <c r="H59" s="254"/>
      <c r="I59" s="254"/>
      <c r="J59" s="254"/>
      <c r="K59" s="255"/>
      <c r="L59" s="14"/>
      <c r="M59" s="14"/>
      <c r="N59" s="14"/>
    </row>
    <row r="60" spans="1:14" ht="15" customHeight="1" x14ac:dyDescent="0.2">
      <c r="A60" s="139"/>
      <c r="B60" s="140"/>
      <c r="C60" s="220"/>
      <c r="D60" s="141" t="s">
        <v>179</v>
      </c>
      <c r="E60" s="80"/>
      <c r="F60" s="70">
        <f t="shared" si="3"/>
        <v>0</v>
      </c>
      <c r="G60" s="267"/>
      <c r="H60" s="268"/>
      <c r="I60" s="268"/>
      <c r="J60" s="268"/>
      <c r="K60" s="269"/>
      <c r="L60" s="14"/>
      <c r="M60" s="14"/>
      <c r="N60" s="14"/>
    </row>
    <row r="61" spans="1:14" ht="15" customHeight="1" x14ac:dyDescent="0.2">
      <c r="D61" s="7"/>
      <c r="E61" s="7"/>
      <c r="F61" s="7"/>
      <c r="G61" s="7"/>
      <c r="H61" s="7"/>
      <c r="I61" s="7"/>
      <c r="J61" s="7"/>
      <c r="K61" s="7"/>
      <c r="L61" s="7"/>
      <c r="M61" s="7"/>
    </row>
    <row r="62" spans="1:14" ht="17.25" customHeight="1" x14ac:dyDescent="0.2">
      <c r="A62" s="248" t="s">
        <v>18</v>
      </c>
      <c r="B62" s="248"/>
      <c r="C62" s="6"/>
      <c r="D62" s="9" t="s">
        <v>4</v>
      </c>
      <c r="E62" s="242">
        <f>B5</f>
        <v>0</v>
      </c>
      <c r="F62" s="243"/>
      <c r="G62" s="244"/>
    </row>
    <row r="63" spans="1:14" ht="15" customHeight="1" x14ac:dyDescent="0.2">
      <c r="A63" s="248"/>
      <c r="B63" s="248"/>
      <c r="D63" s="9" t="s">
        <v>13</v>
      </c>
      <c r="E63" s="245">
        <v>2016</v>
      </c>
      <c r="F63" s="246"/>
      <c r="G63" s="247"/>
    </row>
    <row r="64" spans="1:14" ht="15" customHeight="1" x14ac:dyDescent="0.2">
      <c r="A64" s="9"/>
      <c r="B64" s="9"/>
      <c r="C64" s="9"/>
      <c r="D64" s="9"/>
      <c r="G64" s="13"/>
      <c r="H64" s="7"/>
    </row>
    <row r="65" spans="1:33" s="10" customFormat="1" ht="38.25" customHeight="1" x14ac:dyDescent="0.2">
      <c r="A65" s="9"/>
      <c r="B65" s="249" t="s">
        <v>31</v>
      </c>
      <c r="C65" s="249" t="s">
        <v>129</v>
      </c>
      <c r="D65" s="251" t="s">
        <v>175</v>
      </c>
      <c r="E65" s="251" t="s">
        <v>178</v>
      </c>
      <c r="F65" s="251" t="s">
        <v>181</v>
      </c>
      <c r="G65" s="76" t="s">
        <v>183</v>
      </c>
      <c r="H65" s="76" t="s">
        <v>180</v>
      </c>
      <c r="I65" s="76" t="s">
        <v>182</v>
      </c>
      <c r="J65" s="270" t="s">
        <v>184</v>
      </c>
      <c r="K65" s="270"/>
      <c r="L65" s="270"/>
      <c r="M65" s="270"/>
      <c r="N65" s="14"/>
      <c r="O65" s="14"/>
      <c r="AG65" s="7"/>
    </row>
    <row r="66" spans="1:33" ht="15" customHeight="1" x14ac:dyDescent="0.2">
      <c r="A66" s="27" t="s">
        <v>19</v>
      </c>
      <c r="B66" s="250"/>
      <c r="C66" s="250"/>
      <c r="D66" s="252"/>
      <c r="E66" s="252"/>
      <c r="F66" s="252"/>
      <c r="G66" s="12" t="s">
        <v>130</v>
      </c>
      <c r="H66" s="50" t="s">
        <v>32</v>
      </c>
      <c r="I66" s="50" t="s">
        <v>32</v>
      </c>
      <c r="J66" s="270"/>
      <c r="K66" s="270"/>
      <c r="L66" s="270"/>
      <c r="M66" s="270"/>
      <c r="N66" s="14"/>
      <c r="O66" s="14"/>
      <c r="AG66" s="10"/>
    </row>
    <row r="67" spans="1:33" ht="15" customHeight="1" x14ac:dyDescent="0.2">
      <c r="A67" s="145"/>
      <c r="B67" s="146"/>
      <c r="C67" s="147"/>
      <c r="D67" s="215"/>
      <c r="E67" s="82" t="s">
        <v>179</v>
      </c>
      <c r="F67" s="82" t="s">
        <v>179</v>
      </c>
      <c r="G67" s="129"/>
      <c r="H67" s="51">
        <f>IF(E67="Yes",0.2*G67,0)</f>
        <v>0</v>
      </c>
      <c r="I67" s="51">
        <f>IF(F67="Yes",G67,0)</f>
        <v>0</v>
      </c>
      <c r="J67" s="271"/>
      <c r="K67" s="272"/>
      <c r="L67" s="272"/>
      <c r="M67" s="273"/>
      <c r="N67" s="14"/>
      <c r="O67" s="14"/>
    </row>
    <row r="68" spans="1:33" ht="15" customHeight="1" x14ac:dyDescent="0.2">
      <c r="A68" s="148"/>
      <c r="B68" s="149"/>
      <c r="C68" s="150"/>
      <c r="D68" s="216"/>
      <c r="E68" s="82" t="s">
        <v>179</v>
      </c>
      <c r="F68" s="82" t="s">
        <v>179</v>
      </c>
      <c r="G68" s="151"/>
      <c r="H68" s="156">
        <f t="shared" ref="H68:H90" si="4">IF(E68="Yes",0.2*G68,0)</f>
        <v>0</v>
      </c>
      <c r="I68" s="156">
        <f>IF(F68="Yes",G68,0)</f>
        <v>0</v>
      </c>
      <c r="J68" s="253"/>
      <c r="K68" s="254"/>
      <c r="L68" s="254"/>
      <c r="M68" s="255"/>
      <c r="N68" s="14"/>
      <c r="O68" s="14"/>
    </row>
    <row r="69" spans="1:33" ht="15" customHeight="1" x14ac:dyDescent="0.2">
      <c r="A69" s="148"/>
      <c r="B69" s="149"/>
      <c r="C69" s="150"/>
      <c r="D69" s="216"/>
      <c r="E69" s="82" t="s">
        <v>179</v>
      </c>
      <c r="F69" s="82" t="s">
        <v>179</v>
      </c>
      <c r="G69" s="151"/>
      <c r="H69" s="156">
        <f t="shared" si="4"/>
        <v>0</v>
      </c>
      <c r="I69" s="156">
        <f t="shared" ref="I69:I91" si="5">IF(F69="Yes",G69,0)</f>
        <v>0</v>
      </c>
      <c r="J69" s="253"/>
      <c r="K69" s="254"/>
      <c r="L69" s="254"/>
      <c r="M69" s="255"/>
      <c r="N69" s="14"/>
      <c r="O69" s="14"/>
    </row>
    <row r="70" spans="1:33" ht="15" customHeight="1" x14ac:dyDescent="0.2">
      <c r="A70" s="148"/>
      <c r="B70" s="149"/>
      <c r="C70" s="150"/>
      <c r="D70" s="217"/>
      <c r="E70" s="82" t="s">
        <v>179</v>
      </c>
      <c r="F70" s="82" t="s">
        <v>179</v>
      </c>
      <c r="G70" s="151"/>
      <c r="H70" s="156">
        <f t="shared" si="4"/>
        <v>0</v>
      </c>
      <c r="I70" s="156">
        <f t="shared" si="5"/>
        <v>0</v>
      </c>
      <c r="J70" s="253"/>
      <c r="K70" s="254"/>
      <c r="L70" s="254"/>
      <c r="M70" s="255"/>
      <c r="N70" s="14"/>
      <c r="O70" s="14"/>
    </row>
    <row r="71" spans="1:33" ht="15" customHeight="1" x14ac:dyDescent="0.2">
      <c r="A71" s="148"/>
      <c r="B71" s="149"/>
      <c r="C71" s="150"/>
      <c r="D71" s="218"/>
      <c r="E71" s="82" t="s">
        <v>179</v>
      </c>
      <c r="F71" s="82" t="s">
        <v>179</v>
      </c>
      <c r="G71" s="151"/>
      <c r="H71" s="156">
        <f t="shared" si="4"/>
        <v>0</v>
      </c>
      <c r="I71" s="156">
        <f t="shared" si="5"/>
        <v>0</v>
      </c>
      <c r="J71" s="253"/>
      <c r="K71" s="254"/>
      <c r="L71" s="254"/>
      <c r="M71" s="255"/>
      <c r="N71" s="14"/>
      <c r="O71" s="14"/>
    </row>
    <row r="72" spans="1:33" ht="15" customHeight="1" x14ac:dyDescent="0.2">
      <c r="A72" s="148"/>
      <c r="B72" s="149"/>
      <c r="C72" s="150"/>
      <c r="D72" s="219"/>
      <c r="E72" s="82" t="s">
        <v>179</v>
      </c>
      <c r="F72" s="82" t="s">
        <v>179</v>
      </c>
      <c r="G72" s="151"/>
      <c r="H72" s="156">
        <f t="shared" si="4"/>
        <v>0</v>
      </c>
      <c r="I72" s="156">
        <f t="shared" si="5"/>
        <v>0</v>
      </c>
      <c r="J72" s="253"/>
      <c r="K72" s="254"/>
      <c r="L72" s="254"/>
      <c r="M72" s="255"/>
      <c r="N72" s="14"/>
      <c r="O72" s="14"/>
    </row>
    <row r="73" spans="1:33" ht="15" customHeight="1" x14ac:dyDescent="0.2">
      <c r="A73" s="148"/>
      <c r="B73" s="149"/>
      <c r="C73" s="150"/>
      <c r="D73" s="219"/>
      <c r="E73" s="82" t="s">
        <v>179</v>
      </c>
      <c r="F73" s="82" t="s">
        <v>179</v>
      </c>
      <c r="G73" s="151"/>
      <c r="H73" s="156">
        <f t="shared" si="4"/>
        <v>0</v>
      </c>
      <c r="I73" s="156">
        <f t="shared" si="5"/>
        <v>0</v>
      </c>
      <c r="J73" s="253"/>
      <c r="K73" s="254"/>
      <c r="L73" s="254"/>
      <c r="M73" s="255"/>
      <c r="N73" s="14"/>
      <c r="O73" s="14"/>
    </row>
    <row r="74" spans="1:33" ht="15" customHeight="1" x14ac:dyDescent="0.2">
      <c r="A74" s="148"/>
      <c r="B74" s="149"/>
      <c r="C74" s="150"/>
      <c r="D74" s="219"/>
      <c r="E74" s="82" t="s">
        <v>179</v>
      </c>
      <c r="F74" s="82" t="s">
        <v>179</v>
      </c>
      <c r="G74" s="151"/>
      <c r="H74" s="156">
        <f t="shared" si="4"/>
        <v>0</v>
      </c>
      <c r="I74" s="156">
        <f t="shared" si="5"/>
        <v>0</v>
      </c>
      <c r="J74" s="253"/>
      <c r="K74" s="254"/>
      <c r="L74" s="254"/>
      <c r="M74" s="255"/>
      <c r="N74" s="14"/>
      <c r="O74" s="14"/>
    </row>
    <row r="75" spans="1:33" ht="15" customHeight="1" x14ac:dyDescent="0.2">
      <c r="A75" s="148"/>
      <c r="B75" s="149"/>
      <c r="C75" s="150"/>
      <c r="D75" s="219"/>
      <c r="E75" s="82" t="s">
        <v>179</v>
      </c>
      <c r="F75" s="82" t="s">
        <v>179</v>
      </c>
      <c r="G75" s="151"/>
      <c r="H75" s="156">
        <f t="shared" si="4"/>
        <v>0</v>
      </c>
      <c r="I75" s="156">
        <f t="shared" si="5"/>
        <v>0</v>
      </c>
      <c r="J75" s="253"/>
      <c r="K75" s="254"/>
      <c r="L75" s="254"/>
      <c r="M75" s="255"/>
      <c r="N75" s="14"/>
      <c r="O75" s="14"/>
    </row>
    <row r="76" spans="1:33" ht="15" customHeight="1" x14ac:dyDescent="0.2">
      <c r="A76" s="148"/>
      <c r="B76" s="149"/>
      <c r="C76" s="150"/>
      <c r="D76" s="219"/>
      <c r="E76" s="82" t="s">
        <v>179</v>
      </c>
      <c r="F76" s="82" t="s">
        <v>179</v>
      </c>
      <c r="G76" s="151"/>
      <c r="H76" s="156">
        <f t="shared" si="4"/>
        <v>0</v>
      </c>
      <c r="I76" s="156">
        <f t="shared" si="5"/>
        <v>0</v>
      </c>
      <c r="J76" s="253"/>
      <c r="K76" s="254"/>
      <c r="L76" s="254"/>
      <c r="M76" s="255"/>
      <c r="N76" s="14"/>
      <c r="O76" s="14"/>
    </row>
    <row r="77" spans="1:33" ht="15" customHeight="1" x14ac:dyDescent="0.2">
      <c r="A77" s="148"/>
      <c r="B77" s="149"/>
      <c r="C77" s="150"/>
      <c r="D77" s="219"/>
      <c r="E77" s="82" t="s">
        <v>179</v>
      </c>
      <c r="F77" s="82" t="s">
        <v>179</v>
      </c>
      <c r="G77" s="151"/>
      <c r="H77" s="156">
        <f t="shared" si="4"/>
        <v>0</v>
      </c>
      <c r="I77" s="156">
        <f t="shared" si="5"/>
        <v>0</v>
      </c>
      <c r="J77" s="253"/>
      <c r="K77" s="254"/>
      <c r="L77" s="254"/>
      <c r="M77" s="255"/>
      <c r="N77" s="14"/>
      <c r="O77" s="14"/>
    </row>
    <row r="78" spans="1:33" ht="15" customHeight="1" x14ac:dyDescent="0.2">
      <c r="A78" s="148"/>
      <c r="B78" s="149"/>
      <c r="C78" s="150"/>
      <c r="D78" s="219"/>
      <c r="E78" s="82" t="s">
        <v>179</v>
      </c>
      <c r="F78" s="82" t="s">
        <v>179</v>
      </c>
      <c r="G78" s="151"/>
      <c r="H78" s="156">
        <f t="shared" si="4"/>
        <v>0</v>
      </c>
      <c r="I78" s="156">
        <f t="shared" si="5"/>
        <v>0</v>
      </c>
      <c r="J78" s="253"/>
      <c r="K78" s="254"/>
      <c r="L78" s="254"/>
      <c r="M78" s="255"/>
      <c r="N78" s="14"/>
      <c r="O78" s="14"/>
    </row>
    <row r="79" spans="1:33" ht="15" customHeight="1" x14ac:dyDescent="0.2">
      <c r="A79" s="148"/>
      <c r="B79" s="149"/>
      <c r="C79" s="150"/>
      <c r="D79" s="219"/>
      <c r="E79" s="82" t="s">
        <v>179</v>
      </c>
      <c r="F79" s="82" t="s">
        <v>179</v>
      </c>
      <c r="G79" s="151"/>
      <c r="H79" s="156">
        <f t="shared" si="4"/>
        <v>0</v>
      </c>
      <c r="I79" s="156">
        <f t="shared" si="5"/>
        <v>0</v>
      </c>
      <c r="J79" s="253"/>
      <c r="K79" s="254"/>
      <c r="L79" s="254"/>
      <c r="M79" s="255"/>
      <c r="N79" s="14"/>
      <c r="O79" s="14"/>
    </row>
    <row r="80" spans="1:33" ht="15" customHeight="1" x14ac:dyDescent="0.2">
      <c r="A80" s="148"/>
      <c r="B80" s="149"/>
      <c r="C80" s="150"/>
      <c r="D80" s="219"/>
      <c r="E80" s="82" t="s">
        <v>179</v>
      </c>
      <c r="F80" s="82" t="s">
        <v>179</v>
      </c>
      <c r="G80" s="151"/>
      <c r="H80" s="156">
        <f t="shared" si="4"/>
        <v>0</v>
      </c>
      <c r="I80" s="156">
        <f t="shared" si="5"/>
        <v>0</v>
      </c>
      <c r="J80" s="253"/>
      <c r="K80" s="254"/>
      <c r="L80" s="254"/>
      <c r="M80" s="255"/>
      <c r="N80" s="14"/>
      <c r="O80" s="14"/>
    </row>
    <row r="81" spans="1:15" ht="15" customHeight="1" x14ac:dyDescent="0.2">
      <c r="A81" s="148"/>
      <c r="B81" s="149"/>
      <c r="C81" s="150"/>
      <c r="D81" s="219"/>
      <c r="E81" s="82" t="s">
        <v>179</v>
      </c>
      <c r="F81" s="82" t="s">
        <v>179</v>
      </c>
      <c r="G81" s="151"/>
      <c r="H81" s="156">
        <f t="shared" si="4"/>
        <v>0</v>
      </c>
      <c r="I81" s="156">
        <f t="shared" si="5"/>
        <v>0</v>
      </c>
      <c r="J81" s="253"/>
      <c r="K81" s="254"/>
      <c r="L81" s="254"/>
      <c r="M81" s="255"/>
      <c r="N81" s="14"/>
      <c r="O81" s="14"/>
    </row>
    <row r="82" spans="1:15" ht="15" customHeight="1" x14ac:dyDescent="0.2">
      <c r="A82" s="148"/>
      <c r="B82" s="149"/>
      <c r="C82" s="150"/>
      <c r="D82" s="219"/>
      <c r="E82" s="82" t="s">
        <v>179</v>
      </c>
      <c r="F82" s="82" t="s">
        <v>179</v>
      </c>
      <c r="G82" s="151"/>
      <c r="H82" s="156">
        <f t="shared" si="4"/>
        <v>0</v>
      </c>
      <c r="I82" s="156">
        <f t="shared" si="5"/>
        <v>0</v>
      </c>
      <c r="J82" s="253"/>
      <c r="K82" s="254"/>
      <c r="L82" s="254"/>
      <c r="M82" s="255"/>
      <c r="N82" s="14"/>
      <c r="O82" s="14"/>
    </row>
    <row r="83" spans="1:15" ht="15" customHeight="1" x14ac:dyDescent="0.2">
      <c r="A83" s="148"/>
      <c r="B83" s="149"/>
      <c r="C83" s="150"/>
      <c r="D83" s="219"/>
      <c r="E83" s="82" t="s">
        <v>179</v>
      </c>
      <c r="F83" s="82" t="s">
        <v>179</v>
      </c>
      <c r="G83" s="151"/>
      <c r="H83" s="156">
        <f t="shared" si="4"/>
        <v>0</v>
      </c>
      <c r="I83" s="156">
        <f t="shared" si="5"/>
        <v>0</v>
      </c>
      <c r="J83" s="253"/>
      <c r="K83" s="254"/>
      <c r="L83" s="254"/>
      <c r="M83" s="255"/>
      <c r="N83" s="14"/>
      <c r="O83" s="14"/>
    </row>
    <row r="84" spans="1:15" ht="15" customHeight="1" x14ac:dyDescent="0.2">
      <c r="A84" s="148"/>
      <c r="B84" s="149"/>
      <c r="C84" s="150"/>
      <c r="D84" s="219"/>
      <c r="E84" s="82" t="s">
        <v>179</v>
      </c>
      <c r="F84" s="82" t="s">
        <v>179</v>
      </c>
      <c r="G84" s="151"/>
      <c r="H84" s="156">
        <f t="shared" si="4"/>
        <v>0</v>
      </c>
      <c r="I84" s="156">
        <f t="shared" si="5"/>
        <v>0</v>
      </c>
      <c r="J84" s="253"/>
      <c r="K84" s="254"/>
      <c r="L84" s="254"/>
      <c r="M84" s="255"/>
      <c r="N84" s="14"/>
      <c r="O84" s="14"/>
    </row>
    <row r="85" spans="1:15" ht="15" customHeight="1" x14ac:dyDescent="0.2">
      <c r="A85" s="148"/>
      <c r="B85" s="149"/>
      <c r="C85" s="150"/>
      <c r="D85" s="219"/>
      <c r="E85" s="82" t="s">
        <v>179</v>
      </c>
      <c r="F85" s="82" t="s">
        <v>179</v>
      </c>
      <c r="G85" s="151"/>
      <c r="H85" s="156">
        <f t="shared" si="4"/>
        <v>0</v>
      </c>
      <c r="I85" s="156">
        <f t="shared" si="5"/>
        <v>0</v>
      </c>
      <c r="J85" s="253"/>
      <c r="K85" s="254"/>
      <c r="L85" s="254"/>
      <c r="M85" s="255"/>
      <c r="N85" s="14"/>
      <c r="O85" s="14"/>
    </row>
    <row r="86" spans="1:15" ht="15" customHeight="1" x14ac:dyDescent="0.2">
      <c r="A86" s="148"/>
      <c r="B86" s="149"/>
      <c r="C86" s="150"/>
      <c r="D86" s="219"/>
      <c r="E86" s="82" t="s">
        <v>179</v>
      </c>
      <c r="F86" s="82" t="s">
        <v>179</v>
      </c>
      <c r="G86" s="151"/>
      <c r="H86" s="156">
        <f t="shared" si="4"/>
        <v>0</v>
      </c>
      <c r="I86" s="156">
        <f t="shared" si="5"/>
        <v>0</v>
      </c>
      <c r="J86" s="253"/>
      <c r="K86" s="254"/>
      <c r="L86" s="254"/>
      <c r="M86" s="255"/>
      <c r="N86" s="14"/>
      <c r="O86" s="14"/>
    </row>
    <row r="87" spans="1:15" ht="15" customHeight="1" x14ac:dyDescent="0.2">
      <c r="A87" s="148"/>
      <c r="B87" s="149"/>
      <c r="C87" s="150"/>
      <c r="D87" s="219"/>
      <c r="E87" s="82" t="s">
        <v>179</v>
      </c>
      <c r="F87" s="82" t="s">
        <v>179</v>
      </c>
      <c r="G87" s="151"/>
      <c r="H87" s="156">
        <f t="shared" si="4"/>
        <v>0</v>
      </c>
      <c r="I87" s="156">
        <f t="shared" si="5"/>
        <v>0</v>
      </c>
      <c r="J87" s="253"/>
      <c r="K87" s="254"/>
      <c r="L87" s="254"/>
      <c r="M87" s="255"/>
      <c r="N87" s="14"/>
      <c r="O87" s="14"/>
    </row>
    <row r="88" spans="1:15" ht="15" customHeight="1" x14ac:dyDescent="0.2">
      <c r="A88" s="148"/>
      <c r="B88" s="149"/>
      <c r="C88" s="150"/>
      <c r="D88" s="219"/>
      <c r="E88" s="82" t="s">
        <v>179</v>
      </c>
      <c r="F88" s="82" t="s">
        <v>179</v>
      </c>
      <c r="G88" s="151"/>
      <c r="H88" s="156">
        <f t="shared" si="4"/>
        <v>0</v>
      </c>
      <c r="I88" s="156">
        <f t="shared" si="5"/>
        <v>0</v>
      </c>
      <c r="J88" s="253"/>
      <c r="K88" s="254"/>
      <c r="L88" s="254"/>
      <c r="M88" s="255"/>
      <c r="N88" s="14"/>
      <c r="O88" s="14"/>
    </row>
    <row r="89" spans="1:15" ht="15" customHeight="1" x14ac:dyDescent="0.2">
      <c r="A89" s="148"/>
      <c r="B89" s="149"/>
      <c r="C89" s="150"/>
      <c r="D89" s="219"/>
      <c r="E89" s="82" t="s">
        <v>179</v>
      </c>
      <c r="F89" s="82" t="s">
        <v>179</v>
      </c>
      <c r="G89" s="151"/>
      <c r="H89" s="156">
        <f t="shared" si="4"/>
        <v>0</v>
      </c>
      <c r="I89" s="156">
        <f t="shared" si="5"/>
        <v>0</v>
      </c>
      <c r="J89" s="253"/>
      <c r="K89" s="254"/>
      <c r="L89" s="254"/>
      <c r="M89" s="255"/>
      <c r="N89" s="14"/>
      <c r="O89" s="14"/>
    </row>
    <row r="90" spans="1:15" ht="15" customHeight="1" x14ac:dyDescent="0.2">
      <c r="A90" s="148"/>
      <c r="B90" s="149"/>
      <c r="C90" s="150"/>
      <c r="D90" s="219"/>
      <c r="E90" s="82" t="s">
        <v>179</v>
      </c>
      <c r="F90" s="82" t="s">
        <v>179</v>
      </c>
      <c r="G90" s="151"/>
      <c r="H90" s="156">
        <f t="shared" si="4"/>
        <v>0</v>
      </c>
      <c r="I90" s="156">
        <f t="shared" si="5"/>
        <v>0</v>
      </c>
      <c r="J90" s="253"/>
      <c r="K90" s="254"/>
      <c r="L90" s="254"/>
      <c r="M90" s="255"/>
      <c r="N90" s="14"/>
      <c r="O90" s="14"/>
    </row>
    <row r="91" spans="1:15" ht="15" customHeight="1" x14ac:dyDescent="0.2">
      <c r="A91" s="152"/>
      <c r="B91" s="153"/>
      <c r="C91" s="154"/>
      <c r="D91" s="220"/>
      <c r="E91" s="82" t="s">
        <v>179</v>
      </c>
      <c r="F91" s="82" t="s">
        <v>179</v>
      </c>
      <c r="G91" s="155"/>
      <c r="H91" s="52">
        <f>IF(E91="Yes",0.2*G91,0)</f>
        <v>0</v>
      </c>
      <c r="I91" s="156">
        <f t="shared" si="5"/>
        <v>0</v>
      </c>
      <c r="J91" s="253"/>
      <c r="K91" s="254"/>
      <c r="L91" s="254"/>
      <c r="M91" s="255"/>
      <c r="N91" s="14"/>
      <c r="O91" s="14"/>
    </row>
    <row r="92" spans="1:15" ht="15" customHeight="1" x14ac:dyDescent="0.2">
      <c r="N92" s="14"/>
      <c r="O92" s="14"/>
    </row>
    <row r="93" spans="1:15" ht="15" customHeight="1" x14ac:dyDescent="0.2">
      <c r="A93" s="10"/>
      <c r="B93" s="10"/>
      <c r="C93" s="10"/>
      <c r="D93" s="9" t="s">
        <v>4</v>
      </c>
      <c r="E93" s="242">
        <f>B5</f>
        <v>0</v>
      </c>
      <c r="F93" s="243"/>
      <c r="G93" s="244"/>
      <c r="N93" s="14"/>
      <c r="O93" s="14"/>
    </row>
    <row r="94" spans="1:15" ht="15" customHeight="1" x14ac:dyDescent="0.2">
      <c r="D94" s="9" t="s">
        <v>13</v>
      </c>
      <c r="E94" s="245">
        <v>2016</v>
      </c>
      <c r="F94" s="246"/>
      <c r="G94" s="247"/>
    </row>
    <row r="95" spans="1:15" x14ac:dyDescent="0.2">
      <c r="A95" s="2" t="s">
        <v>39</v>
      </c>
      <c r="B95" s="48"/>
      <c r="C95" s="48"/>
      <c r="D95" s="48"/>
      <c r="E95" s="48"/>
      <c r="F95" s="48"/>
      <c r="G95" s="48"/>
      <c r="H95" s="48"/>
      <c r="I95" s="48"/>
      <c r="J95" s="48"/>
      <c r="K95" s="48"/>
      <c r="L95" s="48"/>
    </row>
    <row r="96" spans="1:15" x14ac:dyDescent="0.2">
      <c r="A96" s="48"/>
      <c r="B96" s="48"/>
      <c r="C96" s="48"/>
      <c r="D96" s="48"/>
      <c r="E96" s="48"/>
      <c r="F96" s="48"/>
      <c r="G96" s="48"/>
      <c r="H96" s="48"/>
      <c r="I96" s="48"/>
      <c r="J96" s="48"/>
      <c r="K96" s="48"/>
      <c r="L96" s="48"/>
    </row>
    <row r="97" spans="1:12" x14ac:dyDescent="0.2">
      <c r="A97" s="48"/>
      <c r="B97" s="48"/>
      <c r="C97" s="48"/>
      <c r="D97" s="48"/>
      <c r="E97" s="48"/>
      <c r="F97" s="48"/>
      <c r="G97" s="48"/>
      <c r="H97" s="48"/>
      <c r="I97" s="48"/>
      <c r="J97" s="48"/>
      <c r="K97" s="48"/>
      <c r="L97" s="48"/>
    </row>
    <row r="98" spans="1:12" x14ac:dyDescent="0.2">
      <c r="A98" s="48"/>
      <c r="B98" s="48"/>
      <c r="C98" s="48"/>
      <c r="D98" s="48"/>
      <c r="E98" s="48"/>
      <c r="F98" s="48"/>
      <c r="G98" s="48"/>
      <c r="H98" s="48"/>
      <c r="I98" s="48"/>
      <c r="J98" s="48"/>
      <c r="K98" s="48"/>
      <c r="L98" s="48"/>
    </row>
    <row r="99" spans="1:12" x14ac:dyDescent="0.2">
      <c r="A99" s="48"/>
      <c r="B99" s="48"/>
      <c r="C99" s="48"/>
      <c r="D99" s="48"/>
      <c r="E99" s="48"/>
      <c r="F99" s="48"/>
      <c r="G99" s="48"/>
      <c r="H99" s="48"/>
      <c r="I99" s="48"/>
      <c r="J99" s="48"/>
      <c r="K99" s="48"/>
      <c r="L99" s="48"/>
    </row>
    <row r="100" spans="1:12" x14ac:dyDescent="0.2">
      <c r="A100" s="48"/>
      <c r="B100" s="48"/>
      <c r="C100" s="48"/>
      <c r="D100" s="48"/>
      <c r="E100" s="48"/>
      <c r="F100" s="48"/>
      <c r="G100" s="48"/>
      <c r="H100" s="48"/>
      <c r="I100" s="48"/>
      <c r="J100" s="48"/>
      <c r="K100" s="48"/>
      <c r="L100" s="48"/>
    </row>
    <row r="101" spans="1:12" x14ac:dyDescent="0.2">
      <c r="A101" s="48"/>
      <c r="B101" s="48"/>
      <c r="C101" s="48"/>
      <c r="D101" s="48"/>
      <c r="E101" s="48"/>
      <c r="F101" s="48"/>
      <c r="G101" s="48"/>
      <c r="H101" s="48"/>
      <c r="I101" s="48"/>
      <c r="J101" s="48"/>
      <c r="K101" s="48"/>
      <c r="L101" s="48"/>
    </row>
    <row r="102" spans="1:12" x14ac:dyDescent="0.2">
      <c r="A102" s="48"/>
      <c r="B102" s="48"/>
      <c r="C102" s="48"/>
      <c r="D102" s="48"/>
      <c r="E102" s="48"/>
      <c r="F102" s="48"/>
      <c r="G102" s="48"/>
      <c r="H102" s="48"/>
      <c r="I102" s="48"/>
      <c r="J102" s="48"/>
      <c r="K102" s="48"/>
      <c r="L102" s="48"/>
    </row>
    <row r="103" spans="1:12" x14ac:dyDescent="0.2">
      <c r="A103" s="48"/>
      <c r="B103" s="48"/>
      <c r="C103" s="48"/>
      <c r="D103" s="48"/>
      <c r="E103" s="48"/>
      <c r="F103" s="48"/>
      <c r="G103" s="48"/>
      <c r="H103" s="48"/>
      <c r="I103" s="48"/>
      <c r="J103" s="48"/>
      <c r="K103" s="48"/>
      <c r="L103" s="48"/>
    </row>
    <row r="104" spans="1:12" x14ac:dyDescent="0.2">
      <c r="A104" s="48"/>
      <c r="B104" s="48"/>
      <c r="C104" s="48"/>
      <c r="D104" s="48"/>
      <c r="E104" s="48"/>
      <c r="F104" s="48"/>
      <c r="G104" s="48"/>
      <c r="H104" s="48"/>
      <c r="I104" s="48"/>
      <c r="J104" s="48"/>
      <c r="K104" s="48"/>
      <c r="L104" s="48"/>
    </row>
    <row r="105" spans="1:12" x14ac:dyDescent="0.2">
      <c r="A105" s="48"/>
      <c r="B105" s="48"/>
      <c r="C105" s="48"/>
      <c r="D105" s="48"/>
      <c r="E105" s="48"/>
      <c r="F105" s="48"/>
      <c r="G105" s="48"/>
      <c r="H105" s="48"/>
      <c r="I105" s="48"/>
      <c r="J105" s="48"/>
      <c r="K105" s="48"/>
      <c r="L105" s="48"/>
    </row>
    <row r="106" spans="1:12" x14ac:dyDescent="0.2">
      <c r="A106" s="48"/>
      <c r="B106" s="48"/>
      <c r="C106" s="48"/>
      <c r="D106" s="48"/>
      <c r="E106" s="48"/>
      <c r="F106" s="48"/>
      <c r="G106" s="48"/>
      <c r="H106" s="48"/>
      <c r="I106" s="48"/>
      <c r="J106" s="48"/>
      <c r="K106" s="48"/>
      <c r="L106" s="48"/>
    </row>
    <row r="107" spans="1:12" x14ac:dyDescent="0.2">
      <c r="A107" s="48"/>
      <c r="B107" s="48"/>
      <c r="C107" s="48"/>
      <c r="D107" s="48"/>
      <c r="E107" s="48"/>
      <c r="F107" s="48"/>
      <c r="G107" s="48"/>
      <c r="H107" s="48"/>
      <c r="I107" s="48"/>
      <c r="J107" s="48"/>
      <c r="K107" s="48"/>
      <c r="L107" s="48"/>
    </row>
    <row r="108" spans="1:12" x14ac:dyDescent="0.2">
      <c r="A108" s="48"/>
      <c r="B108" s="48"/>
      <c r="C108" s="48"/>
      <c r="D108" s="48"/>
      <c r="E108" s="48"/>
      <c r="F108" s="48"/>
      <c r="G108" s="48"/>
      <c r="H108" s="48"/>
      <c r="I108" s="48"/>
      <c r="J108" s="48"/>
      <c r="K108" s="48"/>
      <c r="L108" s="48"/>
    </row>
    <row r="109" spans="1:12" x14ac:dyDescent="0.2">
      <c r="A109" s="48"/>
      <c r="B109" s="48"/>
      <c r="C109" s="48"/>
      <c r="D109" s="48"/>
      <c r="E109" s="48"/>
      <c r="F109" s="48"/>
      <c r="G109" s="48"/>
      <c r="H109" s="48"/>
      <c r="I109" s="48"/>
      <c r="J109" s="48"/>
      <c r="K109" s="48"/>
      <c r="L109" s="48"/>
    </row>
    <row r="110" spans="1:12" x14ac:dyDescent="0.2">
      <c r="A110" s="48"/>
      <c r="B110" s="48"/>
      <c r="C110" s="48"/>
      <c r="D110" s="48"/>
      <c r="E110" s="48"/>
      <c r="F110" s="48"/>
      <c r="G110" s="48"/>
      <c r="H110" s="48"/>
      <c r="I110" s="48"/>
      <c r="J110" s="48"/>
      <c r="K110" s="48"/>
      <c r="L110" s="48"/>
    </row>
    <row r="111" spans="1:12" x14ac:dyDescent="0.2">
      <c r="A111" s="48"/>
      <c r="B111" s="48"/>
      <c r="C111" s="48"/>
      <c r="D111" s="48"/>
      <c r="E111" s="48"/>
      <c r="F111" s="48"/>
      <c r="G111" s="48"/>
      <c r="H111" s="48"/>
      <c r="I111" s="48"/>
      <c r="J111" s="48"/>
      <c r="K111" s="48"/>
      <c r="L111" s="48"/>
    </row>
    <row r="112" spans="1:12" x14ac:dyDescent="0.2">
      <c r="A112" s="48"/>
      <c r="B112" s="48"/>
      <c r="C112" s="48"/>
      <c r="D112" s="48"/>
      <c r="E112" s="48"/>
      <c r="F112" s="48"/>
      <c r="G112" s="48"/>
      <c r="H112" s="48"/>
      <c r="I112" s="48"/>
      <c r="J112" s="48"/>
      <c r="K112" s="48"/>
      <c r="L112" s="48"/>
    </row>
    <row r="113" spans="1:12" x14ac:dyDescent="0.2">
      <c r="A113" s="48"/>
      <c r="B113" s="48"/>
      <c r="C113" s="48"/>
      <c r="D113" s="48"/>
      <c r="E113" s="48"/>
      <c r="F113" s="48"/>
      <c r="G113" s="48"/>
      <c r="H113" s="48"/>
      <c r="I113" s="48"/>
      <c r="J113" s="48"/>
      <c r="K113" s="48"/>
      <c r="L113" s="48"/>
    </row>
    <row r="114" spans="1:12" x14ac:dyDescent="0.2">
      <c r="A114" s="48"/>
      <c r="B114" s="48"/>
      <c r="C114" s="48"/>
      <c r="D114" s="48"/>
      <c r="E114" s="48"/>
      <c r="F114" s="48"/>
      <c r="G114" s="48"/>
      <c r="H114" s="48"/>
      <c r="I114" s="48"/>
      <c r="J114" s="48"/>
      <c r="K114" s="48"/>
      <c r="L114" s="48"/>
    </row>
    <row r="115" spans="1:12" x14ac:dyDescent="0.2">
      <c r="A115" s="48"/>
      <c r="B115" s="48"/>
      <c r="C115" s="48"/>
      <c r="D115" s="48"/>
      <c r="E115" s="48"/>
      <c r="F115" s="48"/>
      <c r="G115" s="48"/>
      <c r="H115" s="48"/>
      <c r="I115" s="48"/>
      <c r="J115" s="48"/>
      <c r="K115" s="48"/>
      <c r="L115" s="48"/>
    </row>
    <row r="116" spans="1:12" x14ac:dyDescent="0.2">
      <c r="A116" s="48"/>
      <c r="B116" s="48"/>
      <c r="C116" s="48"/>
      <c r="D116" s="48"/>
      <c r="E116" s="48"/>
      <c r="F116" s="48"/>
      <c r="G116" s="48"/>
      <c r="H116" s="48"/>
      <c r="I116" s="48"/>
      <c r="J116" s="48"/>
      <c r="K116" s="48"/>
      <c r="L116" s="48"/>
    </row>
  </sheetData>
  <sheetProtection sheet="1" scenarios="1"/>
  <mergeCells count="70">
    <mergeCell ref="A1:N1"/>
    <mergeCell ref="A2:N2"/>
    <mergeCell ref="J91:M91"/>
    <mergeCell ref="G40:K40"/>
    <mergeCell ref="G41:K41"/>
    <mergeCell ref="G43:K43"/>
    <mergeCell ref="G44:K44"/>
    <mergeCell ref="G45:K45"/>
    <mergeCell ref="G46:K46"/>
    <mergeCell ref="G47:K47"/>
    <mergeCell ref="G48:K48"/>
    <mergeCell ref="G49:K49"/>
    <mergeCell ref="G50:K50"/>
    <mergeCell ref="G51:K51"/>
    <mergeCell ref="J86:M86"/>
    <mergeCell ref="J87:M87"/>
    <mergeCell ref="J89:M89"/>
    <mergeCell ref="J90:M90"/>
    <mergeCell ref="J81:M81"/>
    <mergeCell ref="J82:M82"/>
    <mergeCell ref="J83:M83"/>
    <mergeCell ref="J84:M84"/>
    <mergeCell ref="J85:M85"/>
    <mergeCell ref="J77:M77"/>
    <mergeCell ref="J78:M78"/>
    <mergeCell ref="J79:M79"/>
    <mergeCell ref="J80:M80"/>
    <mergeCell ref="J88:M88"/>
    <mergeCell ref="J72:M72"/>
    <mergeCell ref="J73:M73"/>
    <mergeCell ref="J74:M74"/>
    <mergeCell ref="J75:M75"/>
    <mergeCell ref="J76:M76"/>
    <mergeCell ref="H4:M4"/>
    <mergeCell ref="F12:M12"/>
    <mergeCell ref="J68:M68"/>
    <mergeCell ref="J69:M69"/>
    <mergeCell ref="J70:M70"/>
    <mergeCell ref="G60:K60"/>
    <mergeCell ref="G55:K55"/>
    <mergeCell ref="G56:K56"/>
    <mergeCell ref="G57:K57"/>
    <mergeCell ref="G58:K58"/>
    <mergeCell ref="G59:K59"/>
    <mergeCell ref="F65:F66"/>
    <mergeCell ref="J65:M66"/>
    <mergeCell ref="J67:M67"/>
    <mergeCell ref="H16:L16"/>
    <mergeCell ref="E62:G62"/>
    <mergeCell ref="B5:D5"/>
    <mergeCell ref="B6:D6"/>
    <mergeCell ref="B7:D7"/>
    <mergeCell ref="B8:D8"/>
    <mergeCell ref="B9:D9"/>
    <mergeCell ref="E93:G93"/>
    <mergeCell ref="E94:G94"/>
    <mergeCell ref="E36:G36"/>
    <mergeCell ref="E37:G37"/>
    <mergeCell ref="A36:A37"/>
    <mergeCell ref="A62:B63"/>
    <mergeCell ref="C65:C66"/>
    <mergeCell ref="B65:B66"/>
    <mergeCell ref="D65:D66"/>
    <mergeCell ref="E65:E66"/>
    <mergeCell ref="E63:G63"/>
    <mergeCell ref="G52:K52"/>
    <mergeCell ref="G53:K53"/>
    <mergeCell ref="G54:K54"/>
    <mergeCell ref="G39:K39"/>
    <mergeCell ref="J71:M71"/>
  </mergeCells>
  <dataValidations count="5">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7:F91">
      <formula1>"Yes,No"</formula1>
    </dataValidation>
    <dataValidation type="list" allowBlank="1" showInputMessage="1" showErrorMessage="1" error="REC Vintage must be 2015, 2016, or 2017. List each vintage year separately." sqref="C67:C91">
      <formula1>"2015,2016,2017"</formula1>
    </dataValidation>
    <dataValidation type="list" allowBlank="1" showInputMessage="1" showErrorMessage="1" promptTitle="Resource Type" prompt="Select from the drop down menu. Use scroll bar on the right side of the box to see the entire list of eligible resource types." sqref="C40:C60 D67:D91">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0:D60 E67:E91">
      <formula1>"Yes,No"</formula1>
    </dataValidation>
    <dataValidation allowBlank="1" showErrorMessage="1" sqref="A14"/>
  </dataValidations>
  <pageMargins left="0.7" right="0.7" top="0.75" bottom="0.75" header="0.3" footer="0.3"/>
  <pageSetup scale="72" fitToHeight="0" orientation="landscape" r:id="rId1"/>
  <rowBreaks count="3" manualBreakCount="3">
    <brk id="34" max="13" man="1"/>
    <brk id="61" max="13" man="1"/>
    <brk id="9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266700</xdr:colOff>
                    <xdr:row>14</xdr:row>
                    <xdr:rowOff>104775</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66675</xdr:colOff>
                    <xdr:row>12</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2"/>
  <sheetViews>
    <sheetView showGridLines="0" zoomScaleNormal="100" zoomScaleSheetLayoutView="100" workbookViewId="0">
      <selection sqref="A1:K1"/>
    </sheetView>
  </sheetViews>
  <sheetFormatPr defaultColWidth="9.140625" defaultRowHeight="12.75" x14ac:dyDescent="0.2"/>
  <cols>
    <col min="1" max="1" width="30.140625" style="78" customWidth="1"/>
    <col min="2" max="2" width="10.85546875" style="78" customWidth="1"/>
    <col min="3" max="3" width="10.28515625" style="78" customWidth="1"/>
    <col min="4" max="4" width="14" style="78" customWidth="1"/>
    <col min="5" max="5" width="14.140625" style="78" customWidth="1"/>
    <col min="6" max="8" width="10.7109375" style="78" customWidth="1"/>
    <col min="9" max="9" width="15.7109375" style="78" customWidth="1"/>
    <col min="10" max="10" width="10.7109375" style="78" customWidth="1"/>
    <col min="11" max="11" width="16.5703125" style="78" customWidth="1"/>
    <col min="12" max="16384" width="9.140625" style="78"/>
  </cols>
  <sheetData>
    <row r="1" spans="1:14" ht="15" customHeight="1" x14ac:dyDescent="0.2">
      <c r="A1" s="280" t="s">
        <v>192</v>
      </c>
      <c r="B1" s="280"/>
      <c r="C1" s="280"/>
      <c r="D1" s="280"/>
      <c r="E1" s="280"/>
      <c r="F1" s="280"/>
      <c r="G1" s="280"/>
      <c r="H1" s="280"/>
      <c r="I1" s="280"/>
      <c r="J1" s="280"/>
      <c r="K1" s="280"/>
      <c r="L1" s="79"/>
      <c r="M1" s="79"/>
      <c r="N1" s="79"/>
    </row>
    <row r="2" spans="1:14" ht="15" customHeight="1" x14ac:dyDescent="0.2">
      <c r="A2" s="281" t="s">
        <v>193</v>
      </c>
      <c r="B2" s="281"/>
      <c r="C2" s="281"/>
      <c r="D2" s="281"/>
      <c r="E2" s="281"/>
      <c r="F2" s="281"/>
      <c r="G2" s="281"/>
      <c r="H2" s="281"/>
      <c r="I2" s="281"/>
      <c r="J2" s="281"/>
      <c r="K2" s="281"/>
      <c r="L2" s="79"/>
      <c r="M2" s="79"/>
      <c r="N2" s="79"/>
    </row>
    <row r="3" spans="1:14" s="79" customFormat="1" ht="19.5" x14ac:dyDescent="0.4">
      <c r="A3" s="158" t="s">
        <v>138</v>
      </c>
      <c r="B3" s="158"/>
      <c r="C3" s="158"/>
    </row>
    <row r="4" spans="1:14" ht="15" customHeight="1" x14ac:dyDescent="0.2">
      <c r="L4" s="79"/>
      <c r="M4" s="79"/>
      <c r="N4" s="79"/>
    </row>
    <row r="5" spans="1:14" ht="16.5" customHeight="1" x14ac:dyDescent="0.25">
      <c r="A5" s="159" t="s">
        <v>101</v>
      </c>
      <c r="B5" s="160"/>
      <c r="C5" s="160"/>
      <c r="D5" s="87" t="s">
        <v>4</v>
      </c>
      <c r="E5" s="282">
        <f>'Renewables Report'!$B$5</f>
        <v>0</v>
      </c>
      <c r="F5" s="283"/>
      <c r="G5" s="284"/>
      <c r="L5" s="79"/>
      <c r="M5" s="79"/>
      <c r="N5" s="79"/>
    </row>
    <row r="6" spans="1:14" ht="15" customHeight="1" x14ac:dyDescent="0.2">
      <c r="D6" s="87" t="s">
        <v>13</v>
      </c>
      <c r="E6" s="285">
        <v>2016</v>
      </c>
      <c r="F6" s="286"/>
      <c r="G6" s="287"/>
    </row>
    <row r="7" spans="1:14" ht="15" customHeight="1" x14ac:dyDescent="0.2">
      <c r="D7" s="87"/>
      <c r="E7" s="88"/>
      <c r="F7" s="161"/>
      <c r="G7" s="161"/>
    </row>
    <row r="8" spans="1:14" ht="48" x14ac:dyDescent="0.2">
      <c r="A8" s="162" t="s">
        <v>19</v>
      </c>
      <c r="B8" s="163" t="s">
        <v>31</v>
      </c>
      <c r="C8" s="164" t="s">
        <v>7</v>
      </c>
      <c r="D8" s="165" t="s">
        <v>137</v>
      </c>
      <c r="E8" s="165" t="s">
        <v>96</v>
      </c>
      <c r="F8" s="288" t="s">
        <v>95</v>
      </c>
      <c r="G8" s="288"/>
      <c r="H8" s="288"/>
      <c r="I8" s="165" t="s">
        <v>136</v>
      </c>
      <c r="J8" s="165" t="s">
        <v>97</v>
      </c>
      <c r="K8" s="165" t="s">
        <v>135</v>
      </c>
    </row>
    <row r="9" spans="1:14" ht="15" customHeight="1" x14ac:dyDescent="0.2">
      <c r="A9" s="184">
        <f>'Renewables Report'!A40</f>
        <v>0</v>
      </c>
      <c r="B9" s="185">
        <f>'Renewables Report'!B40</f>
        <v>0</v>
      </c>
      <c r="C9" s="186">
        <f>SUM('Renewables Report'!E40)</f>
        <v>0</v>
      </c>
      <c r="D9" s="166"/>
      <c r="E9" s="195" t="str">
        <f>IF(C9&gt;0,D9/C9,"")</f>
        <v/>
      </c>
      <c r="F9" s="271"/>
      <c r="G9" s="272"/>
      <c r="H9" s="273"/>
      <c r="I9" s="166"/>
      <c r="J9" s="195" t="str">
        <f>IF(C9&gt;0,I9/C9,"")</f>
        <v/>
      </c>
      <c r="K9" s="195">
        <f>MAX(0,D9-I9)</f>
        <v>0</v>
      </c>
    </row>
    <row r="10" spans="1:14" ht="15" customHeight="1" x14ac:dyDescent="0.2">
      <c r="A10" s="187">
        <f>'Renewables Report'!A41</f>
        <v>0</v>
      </c>
      <c r="B10" s="188">
        <f>'Renewables Report'!B41</f>
        <v>0</v>
      </c>
      <c r="C10" s="189">
        <f>SUM('Renewables Report'!E41)</f>
        <v>0</v>
      </c>
      <c r="D10" s="167"/>
      <c r="E10" s="196" t="str">
        <f t="shared" ref="E10:E29" si="0">IF(C10&gt;0,D10/C10,"")</f>
        <v/>
      </c>
      <c r="F10" s="253"/>
      <c r="G10" s="254"/>
      <c r="H10" s="255"/>
      <c r="I10" s="167"/>
      <c r="J10" s="196" t="str">
        <f t="shared" ref="J10:J29" si="1">IF(C10&gt;0,I10/C10,"")</f>
        <v/>
      </c>
      <c r="K10" s="196">
        <f t="shared" ref="K10:K29" si="2">MAX(0,D10-I10)</f>
        <v>0</v>
      </c>
    </row>
    <row r="11" spans="1:14" ht="15" customHeight="1" x14ac:dyDescent="0.2">
      <c r="A11" s="187">
        <f>'Renewables Report'!A42</f>
        <v>0</v>
      </c>
      <c r="B11" s="188">
        <f>'Renewables Report'!B42</f>
        <v>0</v>
      </c>
      <c r="C11" s="189">
        <f>SUM('Renewables Report'!E42)</f>
        <v>0</v>
      </c>
      <c r="D11" s="167"/>
      <c r="E11" s="196" t="str">
        <f t="shared" si="0"/>
        <v/>
      </c>
      <c r="F11" s="253"/>
      <c r="G11" s="254"/>
      <c r="H11" s="255"/>
      <c r="I11" s="167"/>
      <c r="J11" s="196" t="str">
        <f t="shared" si="1"/>
        <v/>
      </c>
      <c r="K11" s="196">
        <f t="shared" si="2"/>
        <v>0</v>
      </c>
    </row>
    <row r="12" spans="1:14" ht="15" customHeight="1" x14ac:dyDescent="0.2">
      <c r="A12" s="187">
        <f>'Renewables Report'!A43</f>
        <v>0</v>
      </c>
      <c r="B12" s="188">
        <f>'Renewables Report'!B43</f>
        <v>0</v>
      </c>
      <c r="C12" s="189">
        <f>SUM('Renewables Report'!E43)</f>
        <v>0</v>
      </c>
      <c r="D12" s="167"/>
      <c r="E12" s="196" t="str">
        <f t="shared" si="0"/>
        <v/>
      </c>
      <c r="F12" s="253"/>
      <c r="G12" s="254"/>
      <c r="H12" s="255"/>
      <c r="I12" s="167"/>
      <c r="J12" s="196" t="str">
        <f t="shared" si="1"/>
        <v/>
      </c>
      <c r="K12" s="196">
        <f t="shared" si="2"/>
        <v>0</v>
      </c>
    </row>
    <row r="13" spans="1:14" ht="15" customHeight="1" x14ac:dyDescent="0.2">
      <c r="A13" s="187">
        <f>'Renewables Report'!A44</f>
        <v>0</v>
      </c>
      <c r="B13" s="188">
        <f>'Renewables Report'!B44</f>
        <v>0</v>
      </c>
      <c r="C13" s="189">
        <f>SUM('Renewables Report'!E44)</f>
        <v>0</v>
      </c>
      <c r="D13" s="167"/>
      <c r="E13" s="196" t="str">
        <f t="shared" si="0"/>
        <v/>
      </c>
      <c r="F13" s="253"/>
      <c r="G13" s="254"/>
      <c r="H13" s="255"/>
      <c r="I13" s="167"/>
      <c r="J13" s="196" t="str">
        <f t="shared" si="1"/>
        <v/>
      </c>
      <c r="K13" s="196">
        <f t="shared" si="2"/>
        <v>0</v>
      </c>
    </row>
    <row r="14" spans="1:14" ht="15" customHeight="1" x14ac:dyDescent="0.2">
      <c r="A14" s="187">
        <f>'Renewables Report'!A45</f>
        <v>0</v>
      </c>
      <c r="B14" s="188">
        <f>'Renewables Report'!B45</f>
        <v>0</v>
      </c>
      <c r="C14" s="189">
        <f>SUM('Renewables Report'!E45)</f>
        <v>0</v>
      </c>
      <c r="D14" s="167"/>
      <c r="E14" s="196" t="str">
        <f t="shared" si="0"/>
        <v/>
      </c>
      <c r="F14" s="253"/>
      <c r="G14" s="254"/>
      <c r="H14" s="255"/>
      <c r="I14" s="167"/>
      <c r="J14" s="196" t="str">
        <f t="shared" si="1"/>
        <v/>
      </c>
      <c r="K14" s="196">
        <f t="shared" si="2"/>
        <v>0</v>
      </c>
    </row>
    <row r="15" spans="1:14" ht="15" customHeight="1" x14ac:dyDescent="0.2">
      <c r="A15" s="187">
        <f>'Renewables Report'!A46</f>
        <v>0</v>
      </c>
      <c r="B15" s="188">
        <f>'Renewables Report'!B46</f>
        <v>0</v>
      </c>
      <c r="C15" s="189">
        <f>SUM('Renewables Report'!E46)</f>
        <v>0</v>
      </c>
      <c r="D15" s="167"/>
      <c r="E15" s="196" t="str">
        <f t="shared" si="0"/>
        <v/>
      </c>
      <c r="F15" s="253"/>
      <c r="G15" s="254"/>
      <c r="H15" s="255"/>
      <c r="I15" s="167"/>
      <c r="J15" s="196" t="str">
        <f t="shared" si="1"/>
        <v/>
      </c>
      <c r="K15" s="196">
        <f t="shared" si="2"/>
        <v>0</v>
      </c>
    </row>
    <row r="16" spans="1:14" ht="15" customHeight="1" x14ac:dyDescent="0.2">
      <c r="A16" s="187">
        <f>'Renewables Report'!A47</f>
        <v>0</v>
      </c>
      <c r="B16" s="188">
        <f>'Renewables Report'!B47</f>
        <v>0</v>
      </c>
      <c r="C16" s="189">
        <f>SUM('Renewables Report'!E47)</f>
        <v>0</v>
      </c>
      <c r="D16" s="167"/>
      <c r="E16" s="196" t="str">
        <f t="shared" si="0"/>
        <v/>
      </c>
      <c r="F16" s="253"/>
      <c r="G16" s="254"/>
      <c r="H16" s="255"/>
      <c r="I16" s="167"/>
      <c r="J16" s="196" t="str">
        <f t="shared" si="1"/>
        <v/>
      </c>
      <c r="K16" s="196">
        <f t="shared" si="2"/>
        <v>0</v>
      </c>
    </row>
    <row r="17" spans="1:11" ht="15" customHeight="1" x14ac:dyDescent="0.2">
      <c r="A17" s="187">
        <f>'Renewables Report'!A48</f>
        <v>0</v>
      </c>
      <c r="B17" s="188">
        <f>'Renewables Report'!B48</f>
        <v>0</v>
      </c>
      <c r="C17" s="189">
        <f>SUM('Renewables Report'!E48)</f>
        <v>0</v>
      </c>
      <c r="D17" s="167"/>
      <c r="E17" s="196" t="str">
        <f t="shared" si="0"/>
        <v/>
      </c>
      <c r="F17" s="253"/>
      <c r="G17" s="254"/>
      <c r="H17" s="255"/>
      <c r="I17" s="167"/>
      <c r="J17" s="196" t="str">
        <f t="shared" si="1"/>
        <v/>
      </c>
      <c r="K17" s="196">
        <f t="shared" si="2"/>
        <v>0</v>
      </c>
    </row>
    <row r="18" spans="1:11" ht="15" customHeight="1" x14ac:dyDescent="0.2">
      <c r="A18" s="187">
        <f>'Renewables Report'!A49</f>
        <v>0</v>
      </c>
      <c r="B18" s="188">
        <f>'Renewables Report'!B49</f>
        <v>0</v>
      </c>
      <c r="C18" s="189">
        <f>SUM('Renewables Report'!E49)</f>
        <v>0</v>
      </c>
      <c r="D18" s="167"/>
      <c r="E18" s="196"/>
      <c r="F18" s="253"/>
      <c r="G18" s="254"/>
      <c r="H18" s="255"/>
      <c r="I18" s="167"/>
      <c r="J18" s="196" t="str">
        <f t="shared" si="1"/>
        <v/>
      </c>
      <c r="K18" s="196">
        <f t="shared" si="2"/>
        <v>0</v>
      </c>
    </row>
    <row r="19" spans="1:11" ht="15" customHeight="1" x14ac:dyDescent="0.2">
      <c r="A19" s="187">
        <f>'Renewables Report'!A50</f>
        <v>0</v>
      </c>
      <c r="B19" s="188">
        <f>'Renewables Report'!B50</f>
        <v>0</v>
      </c>
      <c r="C19" s="189">
        <f>SUM('Renewables Report'!E50)</f>
        <v>0</v>
      </c>
      <c r="D19" s="167"/>
      <c r="E19" s="196"/>
      <c r="F19" s="253"/>
      <c r="G19" s="254"/>
      <c r="H19" s="255"/>
      <c r="I19" s="167"/>
      <c r="J19" s="196" t="str">
        <f t="shared" si="1"/>
        <v/>
      </c>
      <c r="K19" s="196">
        <f t="shared" si="2"/>
        <v>0</v>
      </c>
    </row>
    <row r="20" spans="1:11" ht="15" customHeight="1" x14ac:dyDescent="0.2">
      <c r="A20" s="187">
        <f>'Renewables Report'!A51</f>
        <v>0</v>
      </c>
      <c r="B20" s="188">
        <f>'Renewables Report'!B51</f>
        <v>0</v>
      </c>
      <c r="C20" s="189">
        <f>SUM('Renewables Report'!E51)</f>
        <v>0</v>
      </c>
      <c r="D20" s="167"/>
      <c r="E20" s="196" t="str">
        <f t="shared" si="0"/>
        <v/>
      </c>
      <c r="F20" s="253"/>
      <c r="G20" s="254"/>
      <c r="H20" s="255"/>
      <c r="I20" s="167"/>
      <c r="J20" s="196" t="str">
        <f t="shared" si="1"/>
        <v/>
      </c>
      <c r="K20" s="196">
        <f t="shared" si="2"/>
        <v>0</v>
      </c>
    </row>
    <row r="21" spans="1:11" ht="15" customHeight="1" x14ac:dyDescent="0.2">
      <c r="A21" s="187">
        <f>'Renewables Report'!A52</f>
        <v>0</v>
      </c>
      <c r="B21" s="188">
        <f>'Renewables Report'!B52</f>
        <v>0</v>
      </c>
      <c r="C21" s="189">
        <f>SUM('Renewables Report'!E52)</f>
        <v>0</v>
      </c>
      <c r="D21" s="167"/>
      <c r="E21" s="196" t="str">
        <f t="shared" si="0"/>
        <v/>
      </c>
      <c r="F21" s="253"/>
      <c r="G21" s="254"/>
      <c r="H21" s="255"/>
      <c r="I21" s="167"/>
      <c r="J21" s="196" t="str">
        <f t="shared" si="1"/>
        <v/>
      </c>
      <c r="K21" s="196">
        <f t="shared" si="2"/>
        <v>0</v>
      </c>
    </row>
    <row r="22" spans="1:11" ht="15" customHeight="1" x14ac:dyDescent="0.2">
      <c r="A22" s="187">
        <f>'Renewables Report'!A53</f>
        <v>0</v>
      </c>
      <c r="B22" s="188">
        <f>'Renewables Report'!B53</f>
        <v>0</v>
      </c>
      <c r="C22" s="189">
        <f>SUM('Renewables Report'!E53)</f>
        <v>0</v>
      </c>
      <c r="D22" s="167"/>
      <c r="E22" s="196" t="str">
        <f t="shared" si="0"/>
        <v/>
      </c>
      <c r="F22" s="253"/>
      <c r="G22" s="254"/>
      <c r="H22" s="255"/>
      <c r="I22" s="167"/>
      <c r="J22" s="196" t="str">
        <f t="shared" si="1"/>
        <v/>
      </c>
      <c r="K22" s="196">
        <f t="shared" si="2"/>
        <v>0</v>
      </c>
    </row>
    <row r="23" spans="1:11" ht="15" customHeight="1" x14ac:dyDescent="0.2">
      <c r="A23" s="187">
        <f>'Renewables Report'!A54</f>
        <v>0</v>
      </c>
      <c r="B23" s="188">
        <f>'Renewables Report'!B54</f>
        <v>0</v>
      </c>
      <c r="C23" s="189">
        <f>SUM('Renewables Report'!E54)</f>
        <v>0</v>
      </c>
      <c r="D23" s="167"/>
      <c r="E23" s="196" t="str">
        <f t="shared" si="0"/>
        <v/>
      </c>
      <c r="F23" s="253"/>
      <c r="G23" s="254"/>
      <c r="H23" s="255"/>
      <c r="I23" s="167"/>
      <c r="J23" s="196" t="str">
        <f t="shared" si="1"/>
        <v/>
      </c>
      <c r="K23" s="196">
        <f t="shared" si="2"/>
        <v>0</v>
      </c>
    </row>
    <row r="24" spans="1:11" ht="15" customHeight="1" x14ac:dyDescent="0.2">
      <c r="A24" s="187">
        <f>'Renewables Report'!A55</f>
        <v>0</v>
      </c>
      <c r="B24" s="188">
        <f>'Renewables Report'!B55</f>
        <v>0</v>
      </c>
      <c r="C24" s="189">
        <f>SUM('Renewables Report'!E55)</f>
        <v>0</v>
      </c>
      <c r="D24" s="167"/>
      <c r="E24" s="196" t="str">
        <f t="shared" si="0"/>
        <v/>
      </c>
      <c r="F24" s="253"/>
      <c r="G24" s="254"/>
      <c r="H24" s="255"/>
      <c r="I24" s="167"/>
      <c r="J24" s="196" t="str">
        <f t="shared" si="1"/>
        <v/>
      </c>
      <c r="K24" s="196">
        <f t="shared" si="2"/>
        <v>0</v>
      </c>
    </row>
    <row r="25" spans="1:11" ht="15" customHeight="1" x14ac:dyDescent="0.2">
      <c r="A25" s="187">
        <f>'Renewables Report'!A56</f>
        <v>0</v>
      </c>
      <c r="B25" s="188">
        <f>'Renewables Report'!B56</f>
        <v>0</v>
      </c>
      <c r="C25" s="189">
        <f>SUM('Renewables Report'!E56)</f>
        <v>0</v>
      </c>
      <c r="D25" s="167"/>
      <c r="E25" s="196" t="str">
        <f t="shared" si="0"/>
        <v/>
      </c>
      <c r="F25" s="253"/>
      <c r="G25" s="254"/>
      <c r="H25" s="255"/>
      <c r="I25" s="167"/>
      <c r="J25" s="196" t="str">
        <f t="shared" si="1"/>
        <v/>
      </c>
      <c r="K25" s="196">
        <f t="shared" si="2"/>
        <v>0</v>
      </c>
    </row>
    <row r="26" spans="1:11" ht="15" customHeight="1" x14ac:dyDescent="0.2">
      <c r="A26" s="187">
        <f>'Renewables Report'!A57</f>
        <v>0</v>
      </c>
      <c r="B26" s="188">
        <f>'Renewables Report'!B57</f>
        <v>0</v>
      </c>
      <c r="C26" s="189">
        <f>SUM('Renewables Report'!E57)</f>
        <v>0</v>
      </c>
      <c r="D26" s="167"/>
      <c r="E26" s="196" t="str">
        <f t="shared" si="0"/>
        <v/>
      </c>
      <c r="F26" s="253"/>
      <c r="G26" s="254"/>
      <c r="H26" s="255"/>
      <c r="I26" s="167"/>
      <c r="J26" s="196" t="str">
        <f t="shared" si="1"/>
        <v/>
      </c>
      <c r="K26" s="196">
        <f t="shared" si="2"/>
        <v>0</v>
      </c>
    </row>
    <row r="27" spans="1:11" ht="15" customHeight="1" x14ac:dyDescent="0.2">
      <c r="A27" s="187">
        <f>'Renewables Report'!A58</f>
        <v>0</v>
      </c>
      <c r="B27" s="188">
        <f>'Renewables Report'!B58</f>
        <v>0</v>
      </c>
      <c r="C27" s="189">
        <f>SUM('Renewables Report'!E58)</f>
        <v>0</v>
      </c>
      <c r="D27" s="167"/>
      <c r="E27" s="196" t="str">
        <f t="shared" si="0"/>
        <v/>
      </c>
      <c r="F27" s="253"/>
      <c r="G27" s="254"/>
      <c r="H27" s="255"/>
      <c r="I27" s="167"/>
      <c r="J27" s="196" t="str">
        <f t="shared" si="1"/>
        <v/>
      </c>
      <c r="K27" s="196">
        <f t="shared" si="2"/>
        <v>0</v>
      </c>
    </row>
    <row r="28" spans="1:11" ht="15" customHeight="1" x14ac:dyDescent="0.2">
      <c r="A28" s="187">
        <f>'Renewables Report'!A59</f>
        <v>0</v>
      </c>
      <c r="B28" s="188">
        <f>'Renewables Report'!B59</f>
        <v>0</v>
      </c>
      <c r="C28" s="189">
        <f>SUM('Renewables Report'!E59)</f>
        <v>0</v>
      </c>
      <c r="D28" s="167"/>
      <c r="E28" s="196" t="str">
        <f t="shared" si="0"/>
        <v/>
      </c>
      <c r="F28" s="253"/>
      <c r="G28" s="254"/>
      <c r="H28" s="255"/>
      <c r="I28" s="167"/>
      <c r="J28" s="196" t="str">
        <f t="shared" si="1"/>
        <v/>
      </c>
      <c r="K28" s="196">
        <f t="shared" si="2"/>
        <v>0</v>
      </c>
    </row>
    <row r="29" spans="1:11" ht="15" customHeight="1" x14ac:dyDescent="0.2">
      <c r="A29" s="190">
        <f>'Renewables Report'!A60</f>
        <v>0</v>
      </c>
      <c r="B29" s="191">
        <f>'Renewables Report'!B60</f>
        <v>0</v>
      </c>
      <c r="C29" s="192">
        <f>SUM('Renewables Report'!E60)</f>
        <v>0</v>
      </c>
      <c r="D29" s="168"/>
      <c r="E29" s="197" t="str">
        <f t="shared" si="0"/>
        <v/>
      </c>
      <c r="F29" s="267"/>
      <c r="G29" s="268"/>
      <c r="H29" s="269"/>
      <c r="I29" s="168"/>
      <c r="J29" s="197" t="str">
        <f t="shared" si="1"/>
        <v/>
      </c>
      <c r="K29" s="197">
        <f t="shared" si="2"/>
        <v>0</v>
      </c>
    </row>
    <row r="30" spans="1:11" ht="15" customHeight="1" x14ac:dyDescent="0.2">
      <c r="A30" s="193" t="s">
        <v>98</v>
      </c>
      <c r="B30" s="193"/>
      <c r="C30" s="194">
        <f>SUM(C9:C29)</f>
        <v>0</v>
      </c>
      <c r="D30" s="198">
        <f>SUM(D9:D29)</f>
        <v>0</v>
      </c>
      <c r="E30" s="198"/>
      <c r="F30" s="198"/>
      <c r="G30" s="198"/>
      <c r="H30" s="198"/>
      <c r="I30" s="198">
        <f>SUM(I9:I29)</f>
        <v>0</v>
      </c>
      <c r="J30" s="199"/>
      <c r="K30" s="198">
        <f>SUM(K9:K29)</f>
        <v>0</v>
      </c>
    </row>
    <row r="31" spans="1:11" ht="15" customHeight="1" x14ac:dyDescent="0.2">
      <c r="D31" s="79"/>
      <c r="E31" s="79"/>
      <c r="F31" s="79"/>
      <c r="G31" s="79"/>
      <c r="H31" s="79"/>
      <c r="I31" s="79"/>
      <c r="J31" s="79"/>
      <c r="K31" s="79"/>
    </row>
    <row r="32" spans="1:11" ht="17.25" customHeight="1" x14ac:dyDescent="0.25">
      <c r="A32" s="159" t="s">
        <v>102</v>
      </c>
      <c r="B32" s="169"/>
      <c r="C32" s="160"/>
      <c r="D32" s="87" t="s">
        <v>4</v>
      </c>
      <c r="E32" s="282">
        <f>E5</f>
        <v>0</v>
      </c>
      <c r="F32" s="283"/>
      <c r="G32" s="284"/>
    </row>
    <row r="33" spans="1:11" ht="15" customHeight="1" x14ac:dyDescent="0.2">
      <c r="A33" s="169"/>
      <c r="B33" s="169"/>
      <c r="D33" s="87" t="s">
        <v>13</v>
      </c>
      <c r="E33" s="285">
        <v>2016</v>
      </c>
      <c r="F33" s="286"/>
      <c r="G33" s="287"/>
    </row>
    <row r="34" spans="1:11" ht="15" customHeight="1" x14ac:dyDescent="0.2">
      <c r="A34" s="87"/>
      <c r="B34" s="87"/>
      <c r="C34" s="87"/>
      <c r="D34" s="157"/>
      <c r="G34" s="170"/>
      <c r="H34" s="79"/>
    </row>
    <row r="35" spans="1:11" s="172" customFormat="1" x14ac:dyDescent="0.2">
      <c r="A35" s="87"/>
      <c r="B35" s="87"/>
      <c r="C35" s="87"/>
      <c r="D35" s="171"/>
      <c r="E35" s="171"/>
      <c r="F35" s="171"/>
      <c r="H35" s="171"/>
      <c r="I35" s="171"/>
      <c r="J35" s="171"/>
      <c r="K35" s="171"/>
    </row>
    <row r="36" spans="1:11" ht="38.25" x14ac:dyDescent="0.2">
      <c r="A36" s="162" t="s">
        <v>19</v>
      </c>
      <c r="B36" s="173" t="s">
        <v>31</v>
      </c>
      <c r="C36" s="174" t="s">
        <v>129</v>
      </c>
      <c r="D36" s="174" t="s">
        <v>107</v>
      </c>
      <c r="E36" s="165" t="s">
        <v>108</v>
      </c>
      <c r="F36" s="165" t="s">
        <v>109</v>
      </c>
      <c r="G36" s="277" t="s">
        <v>38</v>
      </c>
      <c r="H36" s="278"/>
      <c r="I36" s="278"/>
      <c r="J36" s="278"/>
      <c r="K36" s="279"/>
    </row>
    <row r="37" spans="1:11" ht="15" customHeight="1" x14ac:dyDescent="0.2">
      <c r="A37" s="200">
        <f>'Renewables Report'!A67</f>
        <v>0</v>
      </c>
      <c r="B37" s="201">
        <f>'Renewables Report'!B67</f>
        <v>0</v>
      </c>
      <c r="C37" s="202">
        <f>'Renewables Report'!C67</f>
        <v>0</v>
      </c>
      <c r="D37" s="186">
        <f>'Renewables Report'!G67</f>
        <v>0</v>
      </c>
      <c r="E37" s="180"/>
      <c r="F37" s="212" t="str">
        <f>IF(D37&gt;0,E37/D37,"")</f>
        <v/>
      </c>
      <c r="G37" s="175"/>
      <c r="H37" s="79"/>
      <c r="I37" s="79"/>
      <c r="J37" s="79"/>
      <c r="K37" s="176"/>
    </row>
    <row r="38" spans="1:11" ht="15" customHeight="1" x14ac:dyDescent="0.2">
      <c r="A38" s="203">
        <f>'Renewables Report'!A68</f>
        <v>0</v>
      </c>
      <c r="B38" s="204">
        <f>'Renewables Report'!B68</f>
        <v>0</v>
      </c>
      <c r="C38" s="205">
        <f>'Renewables Report'!C68</f>
        <v>0</v>
      </c>
      <c r="D38" s="189">
        <f>'Renewables Report'!G68</f>
        <v>0</v>
      </c>
      <c r="E38" s="181"/>
      <c r="F38" s="213" t="str">
        <f t="shared" ref="F38:F61" si="3">IF(D38&gt;0,E38/D38,"")</f>
        <v/>
      </c>
      <c r="G38" s="175"/>
      <c r="H38" s="79"/>
      <c r="I38" s="79"/>
      <c r="J38" s="79"/>
      <c r="K38" s="176"/>
    </row>
    <row r="39" spans="1:11" ht="15" customHeight="1" x14ac:dyDescent="0.2">
      <c r="A39" s="203">
        <f>'Renewables Report'!A69</f>
        <v>0</v>
      </c>
      <c r="B39" s="204">
        <f>'Renewables Report'!B69</f>
        <v>0</v>
      </c>
      <c r="C39" s="205">
        <f>'Renewables Report'!C69</f>
        <v>0</v>
      </c>
      <c r="D39" s="189">
        <f>'Renewables Report'!G69</f>
        <v>0</v>
      </c>
      <c r="E39" s="181"/>
      <c r="F39" s="213" t="str">
        <f t="shared" si="3"/>
        <v/>
      </c>
      <c r="G39" s="175"/>
      <c r="H39" s="79"/>
      <c r="I39" s="79"/>
      <c r="J39" s="79"/>
      <c r="K39" s="176"/>
    </row>
    <row r="40" spans="1:11" ht="15" customHeight="1" x14ac:dyDescent="0.2">
      <c r="A40" s="203">
        <f>'Renewables Report'!A70</f>
        <v>0</v>
      </c>
      <c r="B40" s="204">
        <f>'Renewables Report'!B70</f>
        <v>0</v>
      </c>
      <c r="C40" s="205">
        <f>'Renewables Report'!C70</f>
        <v>0</v>
      </c>
      <c r="D40" s="189">
        <f>'Renewables Report'!G70</f>
        <v>0</v>
      </c>
      <c r="E40" s="181"/>
      <c r="F40" s="213" t="str">
        <f t="shared" si="3"/>
        <v/>
      </c>
      <c r="G40" s="175"/>
      <c r="H40" s="79"/>
      <c r="I40" s="79"/>
      <c r="J40" s="79"/>
      <c r="K40" s="176"/>
    </row>
    <row r="41" spans="1:11" ht="15" customHeight="1" x14ac:dyDescent="0.2">
      <c r="A41" s="203">
        <f>'Renewables Report'!A71</f>
        <v>0</v>
      </c>
      <c r="B41" s="204">
        <f>'Renewables Report'!B71</f>
        <v>0</v>
      </c>
      <c r="C41" s="205">
        <f>'Renewables Report'!C71</f>
        <v>0</v>
      </c>
      <c r="D41" s="189">
        <f>'Renewables Report'!G71</f>
        <v>0</v>
      </c>
      <c r="E41" s="181"/>
      <c r="F41" s="213" t="str">
        <f t="shared" si="3"/>
        <v/>
      </c>
      <c r="G41" s="175"/>
      <c r="H41" s="79"/>
      <c r="I41" s="79"/>
      <c r="J41" s="79"/>
      <c r="K41" s="176"/>
    </row>
    <row r="42" spans="1:11" ht="15" customHeight="1" x14ac:dyDescent="0.2">
      <c r="A42" s="203">
        <f>'Renewables Report'!A72</f>
        <v>0</v>
      </c>
      <c r="B42" s="204">
        <f>'Renewables Report'!B72</f>
        <v>0</v>
      </c>
      <c r="C42" s="205">
        <f>'Renewables Report'!C72</f>
        <v>0</v>
      </c>
      <c r="D42" s="189">
        <f>'Renewables Report'!G72</f>
        <v>0</v>
      </c>
      <c r="E42" s="181"/>
      <c r="F42" s="213" t="str">
        <f t="shared" si="3"/>
        <v/>
      </c>
      <c r="G42" s="175"/>
      <c r="H42" s="79"/>
      <c r="I42" s="79"/>
      <c r="J42" s="79"/>
      <c r="K42" s="176"/>
    </row>
    <row r="43" spans="1:11" ht="15" customHeight="1" x14ac:dyDescent="0.2">
      <c r="A43" s="203">
        <f>'Renewables Report'!A73</f>
        <v>0</v>
      </c>
      <c r="B43" s="204">
        <f>'Renewables Report'!B73</f>
        <v>0</v>
      </c>
      <c r="C43" s="205">
        <f>'Renewables Report'!C73</f>
        <v>0</v>
      </c>
      <c r="D43" s="189">
        <f>'Renewables Report'!G73</f>
        <v>0</v>
      </c>
      <c r="E43" s="181"/>
      <c r="F43" s="213" t="str">
        <f t="shared" si="3"/>
        <v/>
      </c>
      <c r="G43" s="175"/>
      <c r="H43" s="79"/>
      <c r="I43" s="79"/>
      <c r="J43" s="79"/>
      <c r="K43" s="176"/>
    </row>
    <row r="44" spans="1:11" ht="15" customHeight="1" x14ac:dyDescent="0.2">
      <c r="A44" s="203">
        <f>'Renewables Report'!A74</f>
        <v>0</v>
      </c>
      <c r="B44" s="204">
        <f>'Renewables Report'!B74</f>
        <v>0</v>
      </c>
      <c r="C44" s="205">
        <f>'Renewables Report'!C74</f>
        <v>0</v>
      </c>
      <c r="D44" s="189">
        <f>'Renewables Report'!G74</f>
        <v>0</v>
      </c>
      <c r="E44" s="181"/>
      <c r="F44" s="213" t="str">
        <f t="shared" si="3"/>
        <v/>
      </c>
      <c r="G44" s="175"/>
      <c r="H44" s="79"/>
      <c r="I44" s="79"/>
      <c r="J44" s="79"/>
      <c r="K44" s="176"/>
    </row>
    <row r="45" spans="1:11" ht="15" customHeight="1" x14ac:dyDescent="0.2">
      <c r="A45" s="203">
        <f>'Renewables Report'!A75</f>
        <v>0</v>
      </c>
      <c r="B45" s="204">
        <f>'Renewables Report'!B75</f>
        <v>0</v>
      </c>
      <c r="C45" s="205">
        <f>'Renewables Report'!C75</f>
        <v>0</v>
      </c>
      <c r="D45" s="189">
        <f>'Renewables Report'!G75</f>
        <v>0</v>
      </c>
      <c r="E45" s="181"/>
      <c r="F45" s="213" t="str">
        <f t="shared" si="3"/>
        <v/>
      </c>
      <c r="G45" s="175"/>
      <c r="H45" s="79"/>
      <c r="I45" s="79"/>
      <c r="J45" s="79"/>
      <c r="K45" s="176"/>
    </row>
    <row r="46" spans="1:11" ht="15" customHeight="1" x14ac:dyDescent="0.2">
      <c r="A46" s="203">
        <f>'Renewables Report'!A76</f>
        <v>0</v>
      </c>
      <c r="B46" s="204">
        <f>'Renewables Report'!B76</f>
        <v>0</v>
      </c>
      <c r="C46" s="205">
        <f>'Renewables Report'!C76</f>
        <v>0</v>
      </c>
      <c r="D46" s="189">
        <f>'Renewables Report'!G76</f>
        <v>0</v>
      </c>
      <c r="E46" s="181"/>
      <c r="F46" s="213" t="str">
        <f t="shared" si="3"/>
        <v/>
      </c>
      <c r="G46" s="175"/>
      <c r="H46" s="79"/>
      <c r="I46" s="79"/>
      <c r="J46" s="79"/>
      <c r="K46" s="176"/>
    </row>
    <row r="47" spans="1:11" ht="15" customHeight="1" x14ac:dyDescent="0.2">
      <c r="A47" s="203">
        <f>'Renewables Report'!A77</f>
        <v>0</v>
      </c>
      <c r="B47" s="204">
        <f>'Renewables Report'!B77</f>
        <v>0</v>
      </c>
      <c r="C47" s="205">
        <f>'Renewables Report'!C77</f>
        <v>0</v>
      </c>
      <c r="D47" s="189">
        <f>'Renewables Report'!G77</f>
        <v>0</v>
      </c>
      <c r="E47" s="181"/>
      <c r="F47" s="213" t="str">
        <f t="shared" si="3"/>
        <v/>
      </c>
      <c r="G47" s="175"/>
      <c r="H47" s="79"/>
      <c r="I47" s="79"/>
      <c r="J47" s="79"/>
      <c r="K47" s="176"/>
    </row>
    <row r="48" spans="1:11" ht="15" customHeight="1" x14ac:dyDescent="0.2">
      <c r="A48" s="203">
        <f>'Renewables Report'!A78</f>
        <v>0</v>
      </c>
      <c r="B48" s="204">
        <f>'Renewables Report'!B78</f>
        <v>0</v>
      </c>
      <c r="C48" s="205">
        <f>'Renewables Report'!C78</f>
        <v>0</v>
      </c>
      <c r="D48" s="189">
        <f>'Renewables Report'!G78</f>
        <v>0</v>
      </c>
      <c r="E48" s="181"/>
      <c r="F48" s="213" t="str">
        <f t="shared" si="3"/>
        <v/>
      </c>
      <c r="G48" s="175"/>
      <c r="H48" s="79"/>
      <c r="I48" s="79"/>
      <c r="J48" s="79"/>
      <c r="K48" s="176"/>
    </row>
    <row r="49" spans="1:11" ht="15" customHeight="1" x14ac:dyDescent="0.2">
      <c r="A49" s="203">
        <f>'Renewables Report'!A79</f>
        <v>0</v>
      </c>
      <c r="B49" s="204">
        <f>'Renewables Report'!B79</f>
        <v>0</v>
      </c>
      <c r="C49" s="205">
        <f>'Renewables Report'!C79</f>
        <v>0</v>
      </c>
      <c r="D49" s="189">
        <f>'Renewables Report'!G79</f>
        <v>0</v>
      </c>
      <c r="E49" s="181"/>
      <c r="F49" s="213" t="str">
        <f t="shared" si="3"/>
        <v/>
      </c>
      <c r="G49" s="175"/>
      <c r="H49" s="79"/>
      <c r="I49" s="79"/>
      <c r="J49" s="79"/>
      <c r="K49" s="176"/>
    </row>
    <row r="50" spans="1:11" ht="15" customHeight="1" x14ac:dyDescent="0.2">
      <c r="A50" s="203">
        <f>'Renewables Report'!A80</f>
        <v>0</v>
      </c>
      <c r="B50" s="204">
        <f>'Renewables Report'!B80</f>
        <v>0</v>
      </c>
      <c r="C50" s="205">
        <f>'Renewables Report'!C80</f>
        <v>0</v>
      </c>
      <c r="D50" s="189">
        <f>'Renewables Report'!G80</f>
        <v>0</v>
      </c>
      <c r="E50" s="181"/>
      <c r="F50" s="213" t="str">
        <f t="shared" si="3"/>
        <v/>
      </c>
      <c r="G50" s="175"/>
      <c r="H50" s="79"/>
      <c r="I50" s="79"/>
      <c r="J50" s="79"/>
      <c r="K50" s="176"/>
    </row>
    <row r="51" spans="1:11" ht="15" customHeight="1" x14ac:dyDescent="0.2">
      <c r="A51" s="203">
        <f>'Renewables Report'!A81</f>
        <v>0</v>
      </c>
      <c r="B51" s="204">
        <f>'Renewables Report'!B81</f>
        <v>0</v>
      </c>
      <c r="C51" s="205">
        <f>'Renewables Report'!C81</f>
        <v>0</v>
      </c>
      <c r="D51" s="189">
        <f>'Renewables Report'!G81</f>
        <v>0</v>
      </c>
      <c r="E51" s="181"/>
      <c r="F51" s="213" t="str">
        <f t="shared" si="3"/>
        <v/>
      </c>
      <c r="G51" s="175"/>
      <c r="H51" s="79"/>
      <c r="I51" s="79"/>
      <c r="J51" s="79"/>
      <c r="K51" s="176"/>
    </row>
    <row r="52" spans="1:11" ht="15" customHeight="1" x14ac:dyDescent="0.2">
      <c r="A52" s="203">
        <f>'Renewables Report'!A82</f>
        <v>0</v>
      </c>
      <c r="B52" s="204">
        <f>'Renewables Report'!B82</f>
        <v>0</v>
      </c>
      <c r="C52" s="205">
        <f>'Renewables Report'!C82</f>
        <v>0</v>
      </c>
      <c r="D52" s="189">
        <f>'Renewables Report'!G82</f>
        <v>0</v>
      </c>
      <c r="E52" s="181"/>
      <c r="F52" s="213" t="str">
        <f t="shared" si="3"/>
        <v/>
      </c>
      <c r="G52" s="175"/>
      <c r="H52" s="79"/>
      <c r="I52" s="79"/>
      <c r="J52" s="79"/>
      <c r="K52" s="176"/>
    </row>
    <row r="53" spans="1:11" ht="15" customHeight="1" x14ac:dyDescent="0.2">
      <c r="A53" s="203">
        <f>'Renewables Report'!A83</f>
        <v>0</v>
      </c>
      <c r="B53" s="204">
        <f>'Renewables Report'!B83</f>
        <v>0</v>
      </c>
      <c r="C53" s="205">
        <f>'Renewables Report'!C83</f>
        <v>0</v>
      </c>
      <c r="D53" s="189">
        <f>'Renewables Report'!G83</f>
        <v>0</v>
      </c>
      <c r="E53" s="181"/>
      <c r="F53" s="213" t="str">
        <f t="shared" si="3"/>
        <v/>
      </c>
      <c r="G53" s="175"/>
      <c r="H53" s="79"/>
      <c r="I53" s="79"/>
      <c r="J53" s="79"/>
      <c r="K53" s="176"/>
    </row>
    <row r="54" spans="1:11" ht="15" customHeight="1" x14ac:dyDescent="0.2">
      <c r="A54" s="203">
        <f>'Renewables Report'!A84</f>
        <v>0</v>
      </c>
      <c r="B54" s="204">
        <f>'Renewables Report'!B84</f>
        <v>0</v>
      </c>
      <c r="C54" s="205">
        <f>'Renewables Report'!C84</f>
        <v>0</v>
      </c>
      <c r="D54" s="189">
        <f>'Renewables Report'!G84</f>
        <v>0</v>
      </c>
      <c r="E54" s="181"/>
      <c r="F54" s="213" t="str">
        <f t="shared" si="3"/>
        <v/>
      </c>
      <c r="G54" s="175"/>
      <c r="H54" s="79"/>
      <c r="I54" s="79"/>
      <c r="J54" s="79"/>
      <c r="K54" s="176"/>
    </row>
    <row r="55" spans="1:11" ht="15" customHeight="1" x14ac:dyDescent="0.2">
      <c r="A55" s="203">
        <f>'Renewables Report'!A85</f>
        <v>0</v>
      </c>
      <c r="B55" s="204">
        <f>'Renewables Report'!B85</f>
        <v>0</v>
      </c>
      <c r="C55" s="205">
        <f>'Renewables Report'!C85</f>
        <v>0</v>
      </c>
      <c r="D55" s="189">
        <f>'Renewables Report'!G85</f>
        <v>0</v>
      </c>
      <c r="E55" s="181"/>
      <c r="F55" s="213" t="str">
        <f t="shared" si="3"/>
        <v/>
      </c>
      <c r="G55" s="175"/>
      <c r="H55" s="79"/>
      <c r="I55" s="79"/>
      <c r="J55" s="79"/>
      <c r="K55" s="176"/>
    </row>
    <row r="56" spans="1:11" ht="15" customHeight="1" x14ac:dyDescent="0.2">
      <c r="A56" s="203">
        <f>'Renewables Report'!A86</f>
        <v>0</v>
      </c>
      <c r="B56" s="204">
        <f>'Renewables Report'!B86</f>
        <v>0</v>
      </c>
      <c r="C56" s="205">
        <f>'Renewables Report'!C86</f>
        <v>0</v>
      </c>
      <c r="D56" s="189">
        <f>'Renewables Report'!G86</f>
        <v>0</v>
      </c>
      <c r="E56" s="181"/>
      <c r="F56" s="213" t="str">
        <f t="shared" si="3"/>
        <v/>
      </c>
      <c r="G56" s="175"/>
      <c r="H56" s="79"/>
      <c r="I56" s="79"/>
      <c r="J56" s="79"/>
      <c r="K56" s="176"/>
    </row>
    <row r="57" spans="1:11" ht="15" customHeight="1" x14ac:dyDescent="0.2">
      <c r="A57" s="203">
        <f>'Renewables Report'!A87</f>
        <v>0</v>
      </c>
      <c r="B57" s="204">
        <f>'Renewables Report'!B87</f>
        <v>0</v>
      </c>
      <c r="C57" s="205">
        <f>'Renewables Report'!C87</f>
        <v>0</v>
      </c>
      <c r="D57" s="189">
        <f>'Renewables Report'!G87</f>
        <v>0</v>
      </c>
      <c r="E57" s="181"/>
      <c r="F57" s="213" t="str">
        <f t="shared" si="3"/>
        <v/>
      </c>
      <c r="G57" s="175"/>
      <c r="H57" s="79"/>
      <c r="I57" s="79"/>
      <c r="J57" s="79"/>
      <c r="K57" s="176"/>
    </row>
    <row r="58" spans="1:11" ht="15" customHeight="1" x14ac:dyDescent="0.2">
      <c r="A58" s="203">
        <f>'Renewables Report'!A88</f>
        <v>0</v>
      </c>
      <c r="B58" s="204">
        <f>'Renewables Report'!B88</f>
        <v>0</v>
      </c>
      <c r="C58" s="205">
        <f>'Renewables Report'!C88</f>
        <v>0</v>
      </c>
      <c r="D58" s="189">
        <f>'Renewables Report'!G88</f>
        <v>0</v>
      </c>
      <c r="E58" s="181"/>
      <c r="F58" s="213" t="str">
        <f t="shared" si="3"/>
        <v/>
      </c>
      <c r="G58" s="175"/>
      <c r="H58" s="79"/>
      <c r="I58" s="79"/>
      <c r="J58" s="79"/>
      <c r="K58" s="176"/>
    </row>
    <row r="59" spans="1:11" ht="15" customHeight="1" x14ac:dyDescent="0.2">
      <c r="A59" s="203">
        <f>'Renewables Report'!A89</f>
        <v>0</v>
      </c>
      <c r="B59" s="204">
        <f>'Renewables Report'!B89</f>
        <v>0</v>
      </c>
      <c r="C59" s="205">
        <f>'Renewables Report'!C89</f>
        <v>0</v>
      </c>
      <c r="D59" s="189">
        <f>'Renewables Report'!G89</f>
        <v>0</v>
      </c>
      <c r="E59" s="181"/>
      <c r="F59" s="213" t="str">
        <f t="shared" si="3"/>
        <v/>
      </c>
      <c r="G59" s="175"/>
      <c r="H59" s="79"/>
      <c r="I59" s="79"/>
      <c r="J59" s="79"/>
      <c r="K59" s="176"/>
    </row>
    <row r="60" spans="1:11" ht="15" customHeight="1" x14ac:dyDescent="0.2">
      <c r="A60" s="203">
        <f>'Renewables Report'!A90</f>
        <v>0</v>
      </c>
      <c r="B60" s="204">
        <f>'Renewables Report'!B90</f>
        <v>0</v>
      </c>
      <c r="C60" s="205">
        <f>'Renewables Report'!C90</f>
        <v>0</v>
      </c>
      <c r="D60" s="189">
        <f>'Renewables Report'!G90</f>
        <v>0</v>
      </c>
      <c r="E60" s="181"/>
      <c r="F60" s="213" t="str">
        <f t="shared" si="3"/>
        <v/>
      </c>
      <c r="G60" s="175"/>
      <c r="H60" s="79"/>
      <c r="I60" s="79"/>
      <c r="J60" s="79"/>
      <c r="K60" s="176"/>
    </row>
    <row r="61" spans="1:11" ht="15" customHeight="1" x14ac:dyDescent="0.2">
      <c r="A61" s="206">
        <f>'Renewables Report'!A91</f>
        <v>0</v>
      </c>
      <c r="B61" s="207">
        <f>'Renewables Report'!B91</f>
        <v>0</v>
      </c>
      <c r="C61" s="208">
        <f>'Renewables Report'!C91</f>
        <v>0</v>
      </c>
      <c r="D61" s="209">
        <f>'Renewables Report'!G91</f>
        <v>0</v>
      </c>
      <c r="E61" s="182"/>
      <c r="F61" s="214" t="str">
        <f t="shared" si="3"/>
        <v/>
      </c>
      <c r="G61" s="175"/>
      <c r="H61" s="79"/>
      <c r="I61" s="79"/>
      <c r="J61" s="79"/>
      <c r="K61" s="176"/>
    </row>
    <row r="62" spans="1:11" ht="15" customHeight="1" x14ac:dyDescent="0.2">
      <c r="A62" s="193" t="s">
        <v>6</v>
      </c>
      <c r="B62" s="210"/>
      <c r="C62" s="210"/>
      <c r="D62" s="211"/>
      <c r="E62" s="198">
        <f>SUM(E37:E61)</f>
        <v>0</v>
      </c>
      <c r="F62" s="211"/>
      <c r="G62" s="177"/>
      <c r="H62" s="178"/>
      <c r="I62" s="178"/>
      <c r="J62" s="178"/>
      <c r="K62" s="179"/>
    </row>
  </sheetData>
  <sheetProtection sheet="1" scenarios="1"/>
  <mergeCells count="29">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
  <sheetViews>
    <sheetView workbookViewId="0"/>
  </sheetViews>
  <sheetFormatPr defaultRowHeight="15" x14ac:dyDescent="0.25"/>
  <cols>
    <col min="1" max="1" width="36.140625" bestFit="1" customWidth="1"/>
    <col min="3" max="3" width="36.140625" bestFit="1" customWidth="1"/>
    <col min="12" max="12" width="10.5703125" customWidth="1"/>
  </cols>
  <sheetData>
    <row r="1" spans="1:86" x14ac:dyDescent="0.25">
      <c r="A1" t="s">
        <v>196</v>
      </c>
      <c r="B1" t="s">
        <v>75</v>
      </c>
      <c r="C1" t="s">
        <v>76</v>
      </c>
      <c r="D1" t="s">
        <v>77</v>
      </c>
      <c r="E1" t="s">
        <v>78</v>
      </c>
      <c r="F1" t="s">
        <v>79</v>
      </c>
      <c r="G1" t="s">
        <v>80</v>
      </c>
      <c r="H1" t="s">
        <v>81</v>
      </c>
      <c r="I1" t="s">
        <v>82</v>
      </c>
      <c r="J1" t="s">
        <v>83</v>
      </c>
      <c r="K1" t="s">
        <v>84</v>
      </c>
      <c r="L1" t="s">
        <v>103</v>
      </c>
      <c r="M1" t="s">
        <v>104</v>
      </c>
      <c r="N1" t="s">
        <v>85</v>
      </c>
      <c r="O1" t="s">
        <v>86</v>
      </c>
      <c r="P1" t="s">
        <v>87</v>
      </c>
      <c r="Q1" t="s">
        <v>88</v>
      </c>
      <c r="R1" t="s">
        <v>89</v>
      </c>
      <c r="S1" t="s">
        <v>90</v>
      </c>
      <c r="T1" t="s">
        <v>91</v>
      </c>
      <c r="U1" t="s">
        <v>92</v>
      </c>
      <c r="V1" t="s">
        <v>93</v>
      </c>
      <c r="W1" t="s">
        <v>94</v>
      </c>
      <c r="X1" t="s">
        <v>162</v>
      </c>
      <c r="Y1" t="s">
        <v>163</v>
      </c>
      <c r="Z1" t="s">
        <v>153</v>
      </c>
      <c r="AA1" t="s">
        <v>142</v>
      </c>
      <c r="AB1" t="s">
        <v>164</v>
      </c>
      <c r="AC1" t="s">
        <v>165</v>
      </c>
      <c r="AD1" t="s">
        <v>166</v>
      </c>
      <c r="AE1" t="s">
        <v>167</v>
      </c>
      <c r="AF1" t="s">
        <v>143</v>
      </c>
      <c r="AG1" t="s">
        <v>168</v>
      </c>
      <c r="AH1" t="s">
        <v>169</v>
      </c>
      <c r="AI1" t="s">
        <v>170</v>
      </c>
      <c r="AJ1" t="s">
        <v>154</v>
      </c>
      <c r="AK1" t="s">
        <v>155</v>
      </c>
      <c r="AL1" t="s">
        <v>156</v>
      </c>
      <c r="AM1" t="s">
        <v>157</v>
      </c>
      <c r="AN1" t="s">
        <v>158</v>
      </c>
      <c r="AO1" t="s">
        <v>159</v>
      </c>
      <c r="AP1" t="s">
        <v>160</v>
      </c>
      <c r="AQ1" t="s">
        <v>161</v>
      </c>
      <c r="AR1" t="s">
        <v>171</v>
      </c>
      <c r="AS1" t="s">
        <v>144</v>
      </c>
      <c r="AT1" t="s">
        <v>42</v>
      </c>
      <c r="AU1" t="s">
        <v>43</v>
      </c>
      <c r="AV1" t="s">
        <v>44</v>
      </c>
      <c r="AW1" t="s">
        <v>145</v>
      </c>
      <c r="AX1" t="s">
        <v>146</v>
      </c>
      <c r="AY1" t="s">
        <v>45</v>
      </c>
      <c r="AZ1" t="s">
        <v>51</v>
      </c>
      <c r="BA1" t="s">
        <v>147</v>
      </c>
      <c r="BB1" t="s">
        <v>46</v>
      </c>
      <c r="BC1" t="s">
        <v>47</v>
      </c>
      <c r="BD1" t="s">
        <v>48</v>
      </c>
      <c r="BE1" t="s">
        <v>52</v>
      </c>
      <c r="BF1" t="s">
        <v>53</v>
      </c>
      <c r="BG1" t="s">
        <v>54</v>
      </c>
      <c r="BH1" t="s">
        <v>55</v>
      </c>
      <c r="BI1" t="s">
        <v>56</v>
      </c>
      <c r="BJ1" t="s">
        <v>188</v>
      </c>
      <c r="BK1" t="s">
        <v>57</v>
      </c>
      <c r="BL1" t="s">
        <v>58</v>
      </c>
      <c r="BM1" t="s">
        <v>59</v>
      </c>
      <c r="BN1" t="s">
        <v>60</v>
      </c>
      <c r="BO1" t="s">
        <v>61</v>
      </c>
      <c r="BP1" t="s">
        <v>148</v>
      </c>
      <c r="BQ1" t="s">
        <v>149</v>
      </c>
      <c r="BR1" t="s">
        <v>105</v>
      </c>
      <c r="BS1" t="s">
        <v>150</v>
      </c>
      <c r="BT1" t="s">
        <v>62</v>
      </c>
      <c r="BU1" t="s">
        <v>63</v>
      </c>
      <c r="BV1" t="s">
        <v>64</v>
      </c>
      <c r="BW1" t="s">
        <v>65</v>
      </c>
      <c r="BX1" t="s">
        <v>66</v>
      </c>
      <c r="BY1" t="s">
        <v>67</v>
      </c>
      <c r="BZ1" t="s">
        <v>187</v>
      </c>
      <c r="CA1" t="s">
        <v>68</v>
      </c>
      <c r="CB1" t="s">
        <v>69</v>
      </c>
      <c r="CC1" t="s">
        <v>70</v>
      </c>
      <c r="CD1" t="s">
        <v>71</v>
      </c>
      <c r="CE1" t="s">
        <v>151</v>
      </c>
      <c r="CF1" t="s">
        <v>49</v>
      </c>
      <c r="CG1" t="s">
        <v>152</v>
      </c>
      <c r="CH1" t="s">
        <v>50</v>
      </c>
    </row>
    <row r="2" spans="1:86" x14ac:dyDescent="0.25">
      <c r="A2">
        <f>REN_Utility_Name</f>
        <v>0</v>
      </c>
      <c r="B2">
        <f>+CON_2014_Agriculture_Expend</f>
        <v>0</v>
      </c>
      <c r="C2">
        <f>+CON_2014_Agriculture_MWH</f>
        <v>0</v>
      </c>
      <c r="D2">
        <f>+CON_2014_Commercial_Expend</f>
        <v>32289649.199999999</v>
      </c>
      <c r="E2">
        <f>+CON_2014_Commercial_MWH</f>
        <v>133947</v>
      </c>
      <c r="F2">
        <f>+CON_2014_Distribution_Expend</f>
        <v>0</v>
      </c>
      <c r="G2">
        <f>+CON_2014_Distribution_MWH</f>
        <v>1496</v>
      </c>
      <c r="H2">
        <f>+CON_2014_Expenditures</f>
        <v>98504770</v>
      </c>
      <c r="I2">
        <f>+CON_2014_Industrial_Expend</f>
        <v>3587738.8</v>
      </c>
      <c r="J2">
        <f>+CON_2014_Industrial_MWH</f>
        <v>14883</v>
      </c>
      <c r="K2">
        <f>+CON_2014_MWH</f>
        <v>388025</v>
      </c>
      <c r="L2">
        <f>+CON_2014_NEEA_Expend</f>
        <v>4447503</v>
      </c>
      <c r="M2">
        <f>+CON_2014_NEEA_MWH</f>
        <v>80496</v>
      </c>
      <c r="N2">
        <f>+CON_2014_OtherSector1_Expend</f>
        <v>804535</v>
      </c>
      <c r="O2">
        <f>+CON_2014_OtherSector1_MWH</f>
        <v>6144</v>
      </c>
      <c r="P2">
        <f>+CON_2014_OtherSector2_Expend</f>
        <v>0</v>
      </c>
      <c r="Q2">
        <f>+CON_2014_OtherSector2_MWH</f>
        <v>0</v>
      </c>
      <c r="R2">
        <f>+CON_2014_Production_Expend</f>
        <v>0</v>
      </c>
      <c r="S2">
        <f>+CON_2014_Production_MWH</f>
        <v>0</v>
      </c>
      <c r="T2">
        <f>+CON_2014_Program1_Expend</f>
        <v>2841408</v>
      </c>
      <c r="U2">
        <f>+CON_2014_Program2_Expend</f>
        <v>2600253</v>
      </c>
      <c r="V2">
        <f>+CON_2014_Residential_Expend</f>
        <v>51933683</v>
      </c>
      <c r="W2">
        <f>+CON_2014_Residential_MWH</f>
        <v>151059</v>
      </c>
      <c r="X2">
        <f>+CON_2015_Agriculture_Expend</f>
        <v>0</v>
      </c>
      <c r="Y2">
        <f>+CON_2015_Agriculture_MWH</f>
        <v>0</v>
      </c>
      <c r="Z2">
        <f>+CON_2015_Commercial_Expend</f>
        <v>28045455.300000001</v>
      </c>
      <c r="AA2">
        <f>+CON_2015_Commercial_MWH</f>
        <v>104589.09299999999</v>
      </c>
      <c r="AB2">
        <f>+CON_2015_Distribution_Expend</f>
        <v>0</v>
      </c>
      <c r="AC2">
        <f>+CON_2015_Distribution_MWH</f>
        <v>0</v>
      </c>
      <c r="AD2">
        <f>+CON_2015_Expenditures</f>
        <v>91592848</v>
      </c>
      <c r="AE2">
        <f>+CON_2015_Industrial_Expend</f>
        <v>3116161.7</v>
      </c>
      <c r="AF2">
        <f>+CON_2015_Industrial_MWH</f>
        <v>11621.01</v>
      </c>
      <c r="AG2">
        <f>+CON_2015_MWH</f>
        <v>275097.40299999999</v>
      </c>
      <c r="AH2">
        <f>+CON_2015_NEEA_Expend</f>
        <v>2690129</v>
      </c>
      <c r="AI2">
        <f>+CON_2015_NEEA_MWH</f>
        <v>11133.3</v>
      </c>
      <c r="AJ2">
        <f>+CON_2015_OtherSector1_Expend</f>
        <v>822614</v>
      </c>
      <c r="AK2">
        <f>+CON_2015_OtherSector1_MWH</f>
        <v>12753</v>
      </c>
      <c r="AL2">
        <f>+CON_2015_OtherSector2_Expend</f>
        <v>0</v>
      </c>
      <c r="AM2">
        <f>+CON_2015_OtherSector2_MWH</f>
        <v>0</v>
      </c>
      <c r="AN2">
        <f>+CON_2015_Production_Expend</f>
        <v>0</v>
      </c>
      <c r="AO2">
        <f>+CON_2015_Production_MWH</f>
        <v>0</v>
      </c>
      <c r="AP2">
        <f>+CON_2015_Program1_Expend</f>
        <v>5892479</v>
      </c>
      <c r="AQ2">
        <f>+CON_2015_Program2_Expend</f>
        <v>3065001</v>
      </c>
      <c r="AR2">
        <f>+CON_2015_Residential_Expend</f>
        <v>47961008</v>
      </c>
      <c r="AS2">
        <f>+CON_2015_Residential_MWH</f>
        <v>135001</v>
      </c>
      <c r="AT2" t="str">
        <f>+CON_Contact_Name</f>
        <v>Dan Anderson, Energy Efficiency</v>
      </c>
      <c r="AU2" t="str">
        <f>+CON_Email</f>
        <v>daniel.anderson@pse.com</v>
      </c>
      <c r="AV2" t="str">
        <f>+CON_Phone</f>
        <v>425 424-6837</v>
      </c>
      <c r="AW2">
        <f>+CON_Potential_2015_2023</f>
        <v>2930760</v>
      </c>
      <c r="AX2">
        <f>+CON_Potential_2016_2025</f>
        <v>2770663</v>
      </c>
      <c r="AY2">
        <f>+CON_Report_Date</f>
        <v>42522</v>
      </c>
      <c r="AZ2">
        <f>+CON_Target_2014_2015</f>
        <v>485770</v>
      </c>
      <c r="BA2">
        <f>+CON_Target_2016_2017</f>
        <v>537078</v>
      </c>
      <c r="BB2" t="str">
        <f>+CON_Utility_Name</f>
        <v>Puget Sound Energy</v>
      </c>
      <c r="BC2">
        <f>+REN_Contact_Name</f>
        <v>0</v>
      </c>
      <c r="BD2">
        <f>+REN_Email</f>
        <v>0</v>
      </c>
      <c r="BE2">
        <f>+REN_ERR_ApprenticeLabor</f>
        <v>0</v>
      </c>
      <c r="BF2">
        <f>+REN_ERR_Biodiesel</f>
        <v>0</v>
      </c>
      <c r="BG2">
        <f>+REN_ERR_Biomass</f>
        <v>0</v>
      </c>
      <c r="BH2">
        <f>+REN_ERR_Geothermal</f>
        <v>0</v>
      </c>
      <c r="BI2">
        <f>+REN_ERR_LandfillGas</f>
        <v>0</v>
      </c>
      <c r="BJ2">
        <f>REN_ERR_QBE</f>
        <v>0</v>
      </c>
      <c r="BK2">
        <f>+REN_ERR_SewageGas</f>
        <v>0</v>
      </c>
      <c r="BL2">
        <f>+REN_ERR_Solar</f>
        <v>0</v>
      </c>
      <c r="BM2">
        <f>+REN_ERR_Water</f>
        <v>0</v>
      </c>
      <c r="BN2">
        <f>+REN_ERR_Wind</f>
        <v>0</v>
      </c>
      <c r="BO2">
        <f>+REN_ERR_WOT</f>
        <v>0</v>
      </c>
      <c r="BP2">
        <f>+REN_Expenditure_Amount_2016</f>
        <v>0</v>
      </c>
      <c r="BQ2" t="str">
        <f>+REN_Expenditure_Percent_2016</f>
        <v/>
      </c>
      <c r="BR2">
        <f>+REN_Load_2014</f>
        <v>0</v>
      </c>
      <c r="BS2">
        <f>+REN_Load_2015</f>
        <v>0</v>
      </c>
      <c r="BT2">
        <f>+REN_REC_ApprenticeLabor</f>
        <v>0</v>
      </c>
      <c r="BU2">
        <f>+REN_REC_Biodiesel</f>
        <v>0</v>
      </c>
      <c r="BV2">
        <f>+REN_REC_Biomass</f>
        <v>0</v>
      </c>
      <c r="BW2">
        <f>+REN_REC_DistributedGeneration</f>
        <v>0</v>
      </c>
      <c r="BX2">
        <f>+REN_REC_Geothermal</f>
        <v>0</v>
      </c>
      <c r="BY2">
        <f>+REN_REC_LandfillGas</f>
        <v>0</v>
      </c>
      <c r="BZ2">
        <f>REN_REC_QBE</f>
        <v>0</v>
      </c>
      <c r="CA2">
        <f>+REN_REC_SewageGas</f>
        <v>0</v>
      </c>
      <c r="CB2">
        <f>+REN_REC_Solar</f>
        <v>0</v>
      </c>
      <c r="CC2">
        <f>+REN_REC_Wind</f>
        <v>0</v>
      </c>
      <c r="CD2">
        <f>+REN_REC_WOT</f>
        <v>0</v>
      </c>
      <c r="CE2">
        <f>+REN_RetailRevenueRequirement_2016</f>
        <v>0</v>
      </c>
      <c r="CF2">
        <f>+REN_Submittal_Date</f>
        <v>0</v>
      </c>
      <c r="CG2">
        <f>+REN_Total_2016</f>
        <v>0</v>
      </c>
      <c r="CH2">
        <f>+REN_Utility_Name</f>
        <v>0</v>
      </c>
    </row>
    <row r="6" spans="1:86" x14ac:dyDescent="0.25">
      <c r="A6" s="14" t="s">
        <v>14</v>
      </c>
    </row>
    <row r="7" spans="1:86" x14ac:dyDescent="0.25">
      <c r="A7" s="14" t="s">
        <v>15</v>
      </c>
    </row>
    <row r="8" spans="1:86" x14ac:dyDescent="0.25">
      <c r="A8" s="14" t="s">
        <v>173</v>
      </c>
    </row>
    <row r="9" spans="1:86" x14ac:dyDescent="0.25">
      <c r="A9" s="14" t="s">
        <v>176</v>
      </c>
    </row>
    <row r="10" spans="1:86" x14ac:dyDescent="0.25">
      <c r="A10" s="14" t="s">
        <v>177</v>
      </c>
    </row>
    <row r="11" spans="1:86" x14ac:dyDescent="0.25">
      <c r="A11" s="14" t="s">
        <v>174</v>
      </c>
    </row>
    <row r="12" spans="1:86" x14ac:dyDescent="0.25">
      <c r="A12" s="14" t="s">
        <v>16</v>
      </c>
    </row>
    <row r="13" spans="1:86" x14ac:dyDescent="0.25">
      <c r="A13" s="14" t="s">
        <v>23</v>
      </c>
    </row>
    <row r="14" spans="1:86" x14ac:dyDescent="0.25">
      <c r="A14" s="14" t="s">
        <v>17</v>
      </c>
    </row>
    <row r="15" spans="1:86" x14ac:dyDescent="0.25">
      <c r="A15" s="14" t="s">
        <v>172</v>
      </c>
    </row>
  </sheetData>
  <sheetProtection sheet="1" objects="1" scenarios="1"/>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2013-10-31T07:00:00+00:00</OpenedDate>
    <Date1 xmlns="dc463f71-b30c-4ab2-9473-d307f9d35888">2016-05-31T07:00:00+00:00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132043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1940A5867748F42B23F2496B49568D7" ma:contentTypeVersion="135" ma:contentTypeDescription="" ma:contentTypeScope="" ma:versionID="e2e13ec935221c26056da10e8a06728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34EF7-F04D-4218-953F-7A835D8EE7C1}"/>
</file>

<file path=customXml/itemProps2.xml><?xml version="1.0" encoding="utf-8"?>
<ds:datastoreItem xmlns:ds="http://schemas.openxmlformats.org/officeDocument/2006/customXml" ds:itemID="{ADAE7991-87C7-4DB5-BDD2-69C7DE122F8D}"/>
</file>

<file path=customXml/itemProps3.xml><?xml version="1.0" encoding="utf-8"?>
<ds:datastoreItem xmlns:ds="http://schemas.openxmlformats.org/officeDocument/2006/customXml" ds:itemID="{97A643DE-9C8C-448E-B58E-53883D3E96BD}"/>
</file>

<file path=customXml/itemProps4.xml><?xml version="1.0" encoding="utf-8"?>
<ds:datastoreItem xmlns:ds="http://schemas.openxmlformats.org/officeDocument/2006/customXml" ds:itemID="{2F4EF345-C7A3-4312-A2DA-7A75ECC155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90</vt:i4>
      </vt:variant>
    </vt:vector>
  </HeadingPairs>
  <TitlesOfParts>
    <vt:vector size="97" baseType="lpstr">
      <vt:lpstr>Background</vt:lpstr>
      <vt:lpstr>Instructions - Revise 2014</vt:lpstr>
      <vt:lpstr>PSE EE Title Page</vt:lpstr>
      <vt:lpstr>Conservation Report</vt:lpstr>
      <vt:lpstr>Renewables Report</vt:lpstr>
      <vt:lpstr>Renewable Cost Report</vt:lpstr>
      <vt:lpstr>Data</vt:lpstr>
      <vt:lpstr>CON_2014_Agriculture_Expend</vt:lpstr>
      <vt:lpstr>CON_2014_Agriculture_MWH</vt:lpstr>
      <vt:lpstr>CON_2014_Commercial_Expend</vt:lpstr>
      <vt:lpstr>CON_2014_Commercial_MWH</vt:lpstr>
      <vt:lpstr>CON_2014_Distribution_Expend</vt:lpstr>
      <vt:lpstr>CON_2014_Distribution_MWH</vt:lpstr>
      <vt:lpstr>CON_2014_Expenditures</vt:lpstr>
      <vt:lpstr>CON_2014_Industrial_Expend</vt:lpstr>
      <vt:lpstr>CON_2014_Industrial_MWH</vt:lpstr>
      <vt:lpstr>CON_2014_MWH</vt:lpstr>
      <vt:lpstr>CON_2014_NEEA_Expend</vt:lpstr>
      <vt:lpstr>CON_2014_NEEA_MWH</vt:lpstr>
      <vt:lpstr>CON_2014_OtherSector1_Expend</vt:lpstr>
      <vt:lpstr>CON_2014_OtherSector1_MWH</vt:lpstr>
      <vt:lpstr>CON_2014_OtherSector2_Expend</vt:lpstr>
      <vt:lpstr>CON_2014_OtherSector2_MWH</vt:lpstr>
      <vt:lpstr>CON_2014_Production_Expend</vt:lpstr>
      <vt:lpstr>CON_2014_Production_MWH</vt:lpstr>
      <vt:lpstr>CON_2014_Program1_Expend</vt:lpstr>
      <vt:lpstr>CON_2014_Program2_Expend</vt:lpstr>
      <vt:lpstr>CON_2014_Residential_Expend</vt:lpstr>
      <vt:lpstr>CON_2014_Residential_MWH</vt:lpstr>
      <vt:lpstr>CON_2015_Agriculture_Expend</vt:lpstr>
      <vt:lpstr>CON_2015_Agriculture_MWH</vt:lpstr>
      <vt:lpstr>CON_2015_Commercial_Expend</vt:lpstr>
      <vt:lpstr>CON_2015_Commercial_MWH</vt:lpstr>
      <vt:lpstr>CON_2015_Distribution_Expend</vt:lpstr>
      <vt:lpstr>CON_2015_Distribution_MWH</vt:lpstr>
      <vt:lpstr>CON_2015_Expenditures</vt:lpstr>
      <vt:lpstr>CON_2015_Industrial_Expend</vt:lpstr>
      <vt:lpstr>CON_2015_Industrial_MWH</vt:lpstr>
      <vt:lpstr>CON_2015_MWH</vt:lpstr>
      <vt:lpstr>CON_2015_NEEA_Expend</vt:lpstr>
      <vt:lpstr>CON_2015_NEEA_MWH</vt:lpstr>
      <vt:lpstr>CON_2015_OtherSector1_Expend</vt:lpstr>
      <vt:lpstr>CON_2015_OtherSector1_MWH</vt:lpstr>
      <vt:lpstr>CON_2015_OtherSector2_Expend</vt:lpstr>
      <vt:lpstr>CON_2015_OtherSector2_MWH</vt:lpstr>
      <vt:lpstr>CON_2015_Production_Expend</vt:lpstr>
      <vt:lpstr>CON_2015_Production_MWH</vt:lpstr>
      <vt:lpstr>CON_2015_Program1_Expend</vt:lpstr>
      <vt:lpstr>CON_2015_Program2_Expend</vt:lpstr>
      <vt:lpstr>CON_2015_Residential_Expend</vt:lpstr>
      <vt:lpstr>CON_2015_Residential_MWH</vt:lpstr>
      <vt:lpstr>CON_Contact_Name</vt:lpstr>
      <vt:lpstr>CON_Email</vt:lpstr>
      <vt:lpstr>CON_Phone</vt:lpstr>
      <vt:lpstr>CON_Potential_2015_2023</vt:lpstr>
      <vt:lpstr>CON_Potential_2016_2025</vt:lpstr>
      <vt:lpstr>CON_Report_Date</vt:lpstr>
      <vt:lpstr>CON_Target_2014_2015</vt:lpstr>
      <vt:lpstr>CON_Target_2016_2017</vt:lpstr>
      <vt:lpstr>CON_Utility_Name</vt:lpstr>
      <vt:lpstr>'Conservation Report'!Print_Area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REN_Expenditure_Amount_2016</vt:lpstr>
      <vt:lpstr>REN_Expenditure_Percent_2016</vt:lpstr>
      <vt:lpstr>REN_Load_2014</vt:lpstr>
      <vt:lpstr>REN_Load_2015</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REN_RetailRevenueRequirement_2016</vt:lpstr>
      <vt:lpstr>REN_Submittal_Date</vt:lpstr>
      <vt:lpstr>REN_Total_2016</vt:lpstr>
      <vt:lpstr>REN_Utility_Name</vt:lpstr>
      <vt:lpstr>ResourceType</vt:lpstr>
      <vt:lpstr>ResourceType_REC</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2016 Report Workbook for Utilities</dc:title>
  <dc:creator>Glenn Blackmon</dc:creator>
  <cp:keywords>EIA 2014 Report Workbook for Utilities</cp:keywords>
  <cp:lastModifiedBy>Puget Sound Energy</cp:lastModifiedBy>
  <cp:lastPrinted>2016-05-27T17:28:25Z</cp:lastPrinted>
  <dcterms:created xsi:type="dcterms:W3CDTF">2012-03-20T21:01:26Z</dcterms:created>
  <dcterms:modified xsi:type="dcterms:W3CDTF">2016-05-27T17:28:45Z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0x0101006E56B4D1795A2E4DB2F0B01679ED314A0011940A5867748F42B23F2496B49568D7</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