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480" windowHeight="7935" tabRatio="652" activeTab="0"/>
  </bookViews>
  <sheets>
    <sheet name="MJS-11" sheetId="1" r:id="rId1"/>
    <sheet name="MJS-12" sheetId="2" r:id="rId2"/>
    <sheet name="MJS-13" sheetId="3" r:id="rId3"/>
    <sheet name="MJS-14" sheetId="4" r:id="rId4"/>
    <sheet name="MJS-15" sheetId="5" r:id="rId5"/>
    <sheet name="MJS-16" sheetId="6" r:id="rId6"/>
    <sheet name="Revenue" sheetId="7" r:id="rId7"/>
    <sheet name="Revenue Exhibit" sheetId="8" r:id="rId8"/>
    <sheet name="RAF" sheetId="9" r:id="rId9"/>
  </sheets>
  <externalReferences>
    <externalReference r:id="rId12"/>
  </externalReferences>
  <definedNames>
    <definedName name="__123Graph_ECURRENT" hidden="1">#N/A</definedName>
    <definedName name="_11.01Summary">'MJS-11'!$A$2:$G$60</definedName>
    <definedName name="_11.02Detail1">'MJS-11'!$H$2:$M$61</definedName>
    <definedName name="_11.03Detail2">'MJS-11'!$N$2:$S$60</definedName>
    <definedName name="_11.04Detail3">'MJS-11'!$T$2:$AA$60</definedName>
    <definedName name="_11.05Detail4">'MJS-11'!$AB$2:$AI$61</definedName>
    <definedName name="_12.01WaterHeater">'MJS-12'!$A$2:$E$30</definedName>
    <definedName name="_12.02PipeReclass">'MJS-12'!$F$2:$J$27</definedName>
    <definedName name="_12.03ContractChanges">'MJS-12'!$K$2:$O$26</definedName>
    <definedName name="_13.01TempNorm">'MJS-13'!$A$2:$F$59</definedName>
    <definedName name="_13.02RevExp">'MJS-13'!$G$2:$K$70</definedName>
    <definedName name="_13.03PassThru">'MJS-13'!$L$2:$O$38</definedName>
    <definedName name="_13.04FIT">'MJS-13'!$P$2:$T$38</definedName>
    <definedName name="_13.05TBPFI">'MJS-13'!$U$2:$X$25</definedName>
    <definedName name="_13.06OpExp">'MJS-13'!$Y$2:$AC$27</definedName>
    <definedName name="_13.07GenlPlntDep">'MJS-13'!$AD$2:$AH$29</definedName>
    <definedName name="_13.08NormInjDmgs">'MJS-13'!$AI$2:$AM$29</definedName>
    <definedName name="_13.09BadDebt">'MJS-13'!$AN$2:$AT$29</definedName>
    <definedName name="_13.10Incentive">'MJS-13'!$AU$2:$AY$33</definedName>
    <definedName name="_13.11PropTax">'MJS-13'!$AZ$2:$BD$20</definedName>
    <definedName name="_13.12ExciseTax">'MJS-13'!$BE$2:$BH$27</definedName>
    <definedName name="_13.13DandO">'MJS-13'!$BI$2:$BM$22</definedName>
    <definedName name="_13.14IntCustDep">'MJS-13'!$BN$2:$BR$39</definedName>
    <definedName name="_13.15RateCaseExp">'MJS-13'!$BS$2:$BV$47</definedName>
    <definedName name="_13.16DefGL" localSheetId="2">'MJS-13'!$BW$2:$BZ$27</definedName>
    <definedName name="_13.16DefGL">'MJS-13'!$BW$2:$BZ$22</definedName>
    <definedName name="_13.17PropLiabIns">'MJS-13'!$CA$2:$CE$21</definedName>
    <definedName name="_13.18Pension">'MJS-13'!$CF$2:$CJ$22</definedName>
    <definedName name="_13.19Wages">'MJS-13'!$CK$2:$CQ$32</definedName>
    <definedName name="_13.20InvestPlan">'MJS-13'!$CR$2:$CV$42</definedName>
    <definedName name="_13.21EmplIns">'MJS-13'!$CW$2:$CZ$26</definedName>
    <definedName name="_13.22WorkingCapital">'MJS-13'!$DA$2:$DE$15</definedName>
    <definedName name="_14.01">'MJS-14'!$A$2:$E$29</definedName>
    <definedName name="_14.02">'MJS-14'!$F$2:$J$25</definedName>
    <definedName name="_14.03">'MJS-14'!$K$2:$O$24</definedName>
    <definedName name="_FEDERAL_INCOME_TAX">'MJS-14'!$N$21</definedName>
    <definedName name="_Fill" localSheetId="1" hidden="1">#REF!</definedName>
    <definedName name="_Fill" hidden="1">#REF!</definedName>
    <definedName name="_xlnm._FilterDatabase" localSheetId="4" hidden="1">'MJS-15'!$A$10:$L$40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DOCKET">'MJS-13'!$A$9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11">'MJS-11'!$M$3</definedName>
    <definedName name="Exhibit_No.______MJS_12">'MJS-12'!$E$3</definedName>
    <definedName name="Exhibit_No.______MJS_13">'MJS-13'!$F$3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'MJS-11'!$A$2:$G$60</definedName>
    <definedName name="_xlnm.Print_Area" localSheetId="1">'MJS-12'!$A$2:$E$30</definedName>
    <definedName name="_xlnm.Print_Area" localSheetId="2">'MJS-13'!$DA$2:$DE$15</definedName>
    <definedName name="_xlnm.Print_Area" localSheetId="3">'MJS-14'!$K$2:$O$31</definedName>
    <definedName name="_xlnm.Print_Area" localSheetId="5">'MJS-16'!$A$1:$J$53</definedName>
    <definedName name="_xlnm.Print_Area" localSheetId="8">'RAF'!$A$1:$E$32</definedName>
    <definedName name="_xlnm.Print_Area" localSheetId="6">'Revenue'!$B$1:$AA$40</definedName>
    <definedName name="_xlnm.Print_Titles" localSheetId="0">'MJS-11'!$A:$B</definedName>
    <definedName name="_xlnm.Print_Titles" localSheetId="6">'Revenue'!$B:$C</definedName>
    <definedName name="PSE">'MJS-13'!$A$6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STATE_UTILITY_TAX">'MJS-14'!$N$16</definedName>
    <definedName name="SUMMARY">'MJS-11'!$A$2:$G$60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'MJS-13'!$A$8</definedName>
    <definedName name="u" hidden="1">{#N/A,#N/A,FALSE,"Summ";#N/A,#N/A,FALSE,"General"}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UTC_Docket_No._UG_11____">'MJS-13'!$F$2</definedName>
    <definedName name="WUTC_FILING_FEE">'MJS-14'!$O$15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1" hidden="1">'MJS-12'!#REF!</definedName>
    <definedName name="Z_114781A2_0298_429A_B53B_CCDE7FC07C8A_.wvu.PrintArea" localSheetId="2" hidden="1">'MJS-13'!#REF!</definedName>
    <definedName name="Z_1B900283_A429_4403_A9D8_C71CBE042C5B_.wvu.PrintArea" localSheetId="1" hidden="1">'MJS-12'!#REF!</definedName>
    <definedName name="Z_1B900283_A429_4403_A9D8_C71CBE042C5B_.wvu.PrintArea" localSheetId="2" hidden="1">'MJS-13'!$CA$3:$CE$26</definedName>
    <definedName name="Z_1C1C43A1_DC1D_4B83_8878_3010F6B52F39_.wvu.PrintArea" localSheetId="1" hidden="1">'MJS-12'!#REF!</definedName>
    <definedName name="Z_1C1C43A1_DC1D_4B83_8878_3010F6B52F39_.wvu.PrintArea" localSheetId="2" hidden="1">'MJS-13'!$CF$3:$CJ$24</definedName>
    <definedName name="Z_1E45DDAB_A557_4269_B1F7_CCA75743796E_.wvu.PrintArea" localSheetId="1" hidden="1">'MJS-12'!#REF!</definedName>
    <definedName name="Z_1E45DDAB_A557_4269_B1F7_CCA75743796E_.wvu.PrintArea" localSheetId="2" hidden="1">'MJS-13'!$U$3:$X$28</definedName>
    <definedName name="Z_2C3700F5_7337_49E6_9C17_9B49CE910373_.wvu.PrintArea" localSheetId="1" hidden="1">'MJS-12'!#REF!</definedName>
    <definedName name="Z_2C3700F5_7337_49E6_9C17_9B49CE910373_.wvu.PrintArea" localSheetId="2" hidden="1">'MJS-13'!$Y$3:$AC$57</definedName>
    <definedName name="Z_31DFCE0A_9DA6_4A87_B609_465F85B537E0_.wvu.PrintArea" localSheetId="1" hidden="1">'MJS-12'!#REF!</definedName>
    <definedName name="Z_31DFCE0A_9DA6_4A87_B609_465F85B537E0_.wvu.PrintArea" localSheetId="2" hidden="1">'MJS-13'!$A$3:$F$60</definedName>
    <definedName name="Z_363BCC7B_365C_4862_8308_FD01127C4AC4_.wvu.PrintArea" localSheetId="1" hidden="1">'MJS-12'!#REF!</definedName>
    <definedName name="Z_363BCC7B_365C_4862_8308_FD01127C4AC4_.wvu.PrintArea" localSheetId="2" hidden="1">'MJS-12'!$A$3:$E$27</definedName>
    <definedName name="Z_368BDFFC_8B6F_4E1E_88F3_F226428845CF_.wvu.PrintArea" localSheetId="1" hidden="1">'MJS-12'!#REF!</definedName>
    <definedName name="Z_368BDFFC_8B6F_4E1E_88F3_F226428845CF_.wvu.PrintArea" localSheetId="2" hidden="1">'MJS-13'!$CK$3:$CQ$35</definedName>
    <definedName name="Z_3CBED636_2D45_404E_AAC8_3EE8AD1E87DC_.wvu.PrintArea" localSheetId="1" hidden="1">'MJS-12'!#REF!</definedName>
    <definedName name="Z_3CBED636_2D45_404E_AAC8_3EE8AD1E87DC_.wvu.PrintArea" localSheetId="2" hidden="1">'MJS-13'!$DL$25:$DP$31</definedName>
    <definedName name="Z_416960AD_1B0E_43B1_BBE2_4C2BAE619099_.wvu.PrintArea" localSheetId="1" hidden="1">'MJS-12'!#REF!</definedName>
    <definedName name="Z_416960AD_1B0E_43B1_BBE2_4C2BAE619099_.wvu.PrintArea" localSheetId="2" hidden="1">'MJS-13'!$CR$3:$CV$39</definedName>
    <definedName name="Z_4D415296_881A_4775_98CD_22EFE3033486_.wvu.PrintArea" localSheetId="1" hidden="1">'MJS-12'!#REF!</definedName>
    <definedName name="Z_4D415296_881A_4775_98CD_22EFE3033486_.wvu.PrintArea" localSheetId="2" hidden="1">'MJS-13'!$BS$3:$BV$44</definedName>
    <definedName name="Z_5528C217_5C85_409E_BEF2_118EFA30D59F_.wvu.PrintArea" localSheetId="1" hidden="1">'MJS-12'!#REF!</definedName>
    <definedName name="Z_5528C217_5C85_409E_BEF2_118EFA30D59F_.wvu.PrintArea" localSheetId="2" hidden="1">'MJS-13'!$DL$57:$DP$57</definedName>
    <definedName name="Z_57344CAB_EDB4_4D23_8F83_6632FA133D6F_.wvu.PrintArea" localSheetId="1" hidden="1">'MJS-12'!#REF!</definedName>
    <definedName name="Z_57344CAB_EDB4_4D23_8F83_6632FA133D6F_.wvu.PrintArea" localSheetId="2" hidden="1">'MJS-13'!$AZ$3:$BD$25</definedName>
    <definedName name="Z_6734E4FA_60B7_471C_AEFF_A65F9BB053D8_.wvu.Cols" localSheetId="1" hidden="1">'MJS-12'!#REF!,'MJS-12'!#REF!</definedName>
    <definedName name="Z_6734E4FA_60B7_471C_AEFF_A65F9BB053D8_.wvu.Cols" localSheetId="2" hidden="1">'MJS-13'!#REF!,'MJS-13'!#REF!</definedName>
    <definedName name="Z_6734E4FA_60B7_471C_AEFF_A65F9BB053D8_.wvu.PrintArea" localSheetId="1" hidden="1">'MJS-11'!$H$3:$AI$61</definedName>
    <definedName name="Z_6734E4FA_60B7_471C_AEFF_A65F9BB053D8_.wvu.PrintArea" localSheetId="2" hidden="1">'MJS-11'!$H$3:$AI$61</definedName>
    <definedName name="Z_70410578_0BAB_407F_B45A_A1FD00E78914_.wvu.PrintArea" localSheetId="1" hidden="1">'MJS-12'!#REF!</definedName>
    <definedName name="Z_70410578_0BAB_407F_B45A_A1FD00E78914_.wvu.PrintArea" localSheetId="2" hidden="1">'MJS-13'!#REF!</definedName>
    <definedName name="Z_833E8250_6973_4555_A9B1_5ACEC89F3481_.wvu.PrintArea" localSheetId="1" hidden="1">'MJS-12'!#REF!</definedName>
    <definedName name="Z_833E8250_6973_4555_A9B1_5ACEC89F3481_.wvu.PrintArea" localSheetId="2" hidden="1">'MJS-13'!$AN$3:$AT$28</definedName>
    <definedName name="Z_9BA720D1_BA25_4C52_A40B_874BAF7D1762_.wvu.PrintArea" localSheetId="1" hidden="1">'MJS-12'!#REF!</definedName>
    <definedName name="Z_9BA720D1_BA25_4C52_A40B_874BAF7D1762_.wvu.PrintArea" localSheetId="2" hidden="1">'MJS-13'!$CK$3:$CQ$38</definedName>
    <definedName name="Z_A74B7FED_837E_46BE_A86A_510E0683DF4F_.wvu.PrintArea" localSheetId="1" hidden="1">'MJS-12'!#REF!</definedName>
    <definedName name="Z_A74B7FED_837E_46BE_A86A_510E0683DF4F_.wvu.PrintArea" localSheetId="2" hidden="1">'MJS-14'!$A$2:$E$10</definedName>
    <definedName name="Z_BEBB2007_766E_4870_AB0B_58E56CB3F651_.wvu.PrintArea" localSheetId="1" hidden="1">'MJS-12'!#REF!</definedName>
    <definedName name="Z_BEBB2007_766E_4870_AB0B_58E56CB3F651_.wvu.PrintArea" localSheetId="2" hidden="1">'MJS-13'!$BN$4:$DF$35</definedName>
    <definedName name="Z_DF51FD8A_8BA9_46B7_B455_DFD0D532E42D_.wvu.PrintArea" localSheetId="1" hidden="1">'MJS-12'!#REF!</definedName>
    <definedName name="Z_DF51FD8A_8BA9_46B7_B455_DFD0D532E42D_.wvu.PrintArea" localSheetId="2" hidden="1">'MJS-13'!$P$3:$T$44</definedName>
    <definedName name="Z_E75FE358_FE2D_4487_BA5A_B5AB72EE82DF_.wvu.PrintArea" localSheetId="1" hidden="1">'MJS-12'!#REF!</definedName>
    <definedName name="Z_E75FE358_FE2D_4487_BA5A_B5AB72EE82DF_.wvu.PrintArea" localSheetId="2" hidden="1">'MJS-13'!$AU$3:$AY$26</definedName>
    <definedName name="Z_F0C9B202_A28C_4D84_9483_9F8FC93D796D_.wvu.PrintArea" localSheetId="1" hidden="1">'MJS-12'!#REF!</definedName>
    <definedName name="Z_F0C9B202_A28C_4D84_9483_9F8FC93D796D_.wvu.PrintArea" localSheetId="2" hidden="1">'MJS-14'!$A$5:$E$10</definedName>
  </definedNames>
  <calcPr fullCalcOnLoad="1"/>
</workbook>
</file>

<file path=xl/sharedStrings.xml><?xml version="1.0" encoding="utf-8"?>
<sst xmlns="http://schemas.openxmlformats.org/spreadsheetml/2006/main" count="1118" uniqueCount="600">
  <si>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</si>
  <si>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</si>
  <si>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</si>
  <si>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</si>
  <si>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</si>
  <si>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</si>
  <si>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</si>
  <si>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</si>
  <si>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</si>
  <si>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</si>
  <si>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</si>
  <si>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</si>
  <si>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</si>
  <si>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</si>
  <si>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</si>
  <si>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</si>
  <si>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</si>
  <si>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</si>
  <si>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</si>
  <si>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 xml:space="preserve">PUGET SOUND ENERGY-GAS </t>
  </si>
  <si>
    <t>RESTATED PROPERTY TAX</t>
  </si>
  <si>
    <t>CONVERSION FACTOR</t>
  </si>
  <si>
    <t>RESULTS OF OPERATIONS</t>
  </si>
  <si>
    <t>LINE</t>
  </si>
  <si>
    <t>INCREASE</t>
  </si>
  <si>
    <t xml:space="preserve">LINE </t>
  </si>
  <si>
    <t>ACTUAL RESULTS OF</t>
  </si>
  <si>
    <t xml:space="preserve">FEDERAL </t>
  </si>
  <si>
    <t>TAX BENEFIT OF</t>
  </si>
  <si>
    <t xml:space="preserve">BAD </t>
  </si>
  <si>
    <t>MISCELLANEOUS</t>
  </si>
  <si>
    <t xml:space="preserve">PROPERTY </t>
  </si>
  <si>
    <t>EMPLOYEE</t>
  </si>
  <si>
    <t>INVESTMENT</t>
  </si>
  <si>
    <t>PROFORMA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</si>
  <si>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</si>
  <si>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</si>
  <si>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</si>
  <si>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</si>
  <si>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</si>
  <si>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</si>
  <si>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</si>
  <si>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</si>
  <si>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TEST YEAR</t>
  </si>
  <si>
    <t>RATE YEAR</t>
  </si>
  <si>
    <t>OPERATIONS</t>
  </si>
  <si>
    <t>AMORTIZATION</t>
  </si>
  <si>
    <t>INCOME TAX</t>
  </si>
  <si>
    <t>DEBTS</t>
  </si>
  <si>
    <t>ADJUSTMENTS</t>
  </si>
  <si>
    <t>TAXES</t>
  </si>
  <si>
    <t>SALES</t>
  </si>
  <si>
    <t>INSURANCE</t>
  </si>
  <si>
    <t>PLAN</t>
  </si>
  <si>
    <t>EXPENSES</t>
  </si>
  <si>
    <t>RESULTS OF</t>
  </si>
  <si>
    <t>BASE</t>
  </si>
  <si>
    <t>RATE</t>
  </si>
  <si>
    <t>1</t>
  </si>
  <si>
    <t>-</t>
  </si>
  <si>
    <t>CHARGED TO EXPENSE IN TY</t>
  </si>
  <si>
    <t>OPERATING REVENUES</t>
  </si>
  <si>
    <t>INCREASE (DECREASE) EXPENSE</t>
  </si>
  <si>
    <t>INCREASE(DECREASE) EXPENSE</t>
  </si>
  <si>
    <t xml:space="preserve">FEDERAL INCOME TAX </t>
  </si>
  <si>
    <t>INCENTIVE/MERIT PAY</t>
  </si>
  <si>
    <t xml:space="preserve">   CURRENT FIT    @</t>
  </si>
  <si>
    <t>MUNICIPAL ADDITIONS</t>
  </si>
  <si>
    <t>INCREASE (DECREASE) FIT @</t>
  </si>
  <si>
    <t>PAYROLL TAXES ASSOC WITH MERIT PAY</t>
  </si>
  <si>
    <t>INCREASE(DECREASE) FIT @</t>
  </si>
  <si>
    <t xml:space="preserve">   DEFERRED FIT - DEBIT</t>
  </si>
  <si>
    <t xml:space="preserve">RATE YEAR MANAGEMENT WAGE INCREASE </t>
  </si>
  <si>
    <t>INCREASE(DECREASE) NOI</t>
  </si>
  <si>
    <t xml:space="preserve">   DEFERRED FIT - CREDIT</t>
  </si>
  <si>
    <t>INCREASE (DECREASE) NOI</t>
  </si>
  <si>
    <t xml:space="preserve">   DEFERRED FIT - INV TAX CREDIT, NET OF AMORTIZATION</t>
  </si>
  <si>
    <t>TRANSMISSION</t>
  </si>
  <si>
    <t>OPERATING EXPENSE</t>
  </si>
  <si>
    <t xml:space="preserve">                    TOTAL RESTATED FIT</t>
  </si>
  <si>
    <t>DISTRIBUTION</t>
  </si>
  <si>
    <t>INCREASE(DECREASE) FIT</t>
  </si>
  <si>
    <t>CUSTOMER ACCTS</t>
  </si>
  <si>
    <t>FIT PER BOOKS:</t>
  </si>
  <si>
    <t>CUSTOMER SERVICE</t>
  </si>
  <si>
    <t xml:space="preserve">   CURRENT FIT    </t>
  </si>
  <si>
    <t>ADMIN. &amp; GENERAL</t>
  </si>
  <si>
    <t>TOTAL WAGE INCREASE</t>
  </si>
  <si>
    <t>FEDERAL INCOME TAX</t>
  </si>
  <si>
    <t xml:space="preserve">                    TOTAL CHARGED TO EXPENSE</t>
  </si>
  <si>
    <t>INCREASE(DECREASE) DEFERRED FIT</t>
  </si>
  <si>
    <t>OTHER POWER SUPPLY EXPENSES</t>
  </si>
  <si>
    <t>INCREASE(DECREASE) ITC</t>
  </si>
  <si>
    <t xml:space="preserve">INCREASE(DECREASE) NOI </t>
  </si>
  <si>
    <t>COST OF</t>
  </si>
  <si>
    <t>COST %</t>
  </si>
  <si>
    <t>CAPITAL</t>
  </si>
  <si>
    <t>CUSTOMER ACCOUNT EXPENSES</t>
  </si>
  <si>
    <t xml:space="preserve">   </t>
  </si>
  <si>
    <t>AMORTIZATION OF PROPERTY LOSS</t>
  </si>
  <si>
    <t>CAPITAL %</t>
  </si>
  <si>
    <t>PREFERRED</t>
  </si>
  <si>
    <t>EQUITY</t>
  </si>
  <si>
    <t>RATE BASE</t>
  </si>
  <si>
    <t>QUALIFIED RETIREMENT FUND</t>
  </si>
  <si>
    <t>STATEMENT OF OPERATING INCOME AND ADJUSTMENTS</t>
  </si>
  <si>
    <t>INVESTMENT PLAN</t>
  </si>
  <si>
    <t>BENEFIT CONTRIBUTION:</t>
  </si>
  <si>
    <t>WAGES:</t>
  </si>
  <si>
    <t>TOTAL WAGES &amp; TAXES</t>
  </si>
  <si>
    <t>PRODUCTION MANUF. GAS</t>
  </si>
  <si>
    <t>OTHER GAS SUPPLY</t>
  </si>
  <si>
    <t>STORAGE, LNG T&amp;G</t>
  </si>
  <si>
    <t>INVESTMENT PLAN APPLICABLE TO MANAGEMENT</t>
  </si>
  <si>
    <t>TOTAL COMPANY CONTRIBUTION FOR MANAGEMENT</t>
  </si>
  <si>
    <t>PRO FORMA COSTS APPLICABLE TO OPERATIONS</t>
  </si>
  <si>
    <t>WEIGHTED COST OF DEBT</t>
  </si>
  <si>
    <t xml:space="preserve">INCREASE (DECREASE) FIT @ </t>
  </si>
  <si>
    <t>WAGE</t>
  </si>
  <si>
    <t>RATE BASE:</t>
  </si>
  <si>
    <t xml:space="preserve">  ACCUMULATED DEPRECIATION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</si>
  <si>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</si>
  <si>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</si>
  <si>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</si>
  <si>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</si>
  <si>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</si>
  <si>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</si>
  <si>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</si>
  <si>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</si>
  <si>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>PROPERTY INSURANCE EXPENSE</t>
  </si>
  <si>
    <t>LIABILITY INSURANCE EXPENSE</t>
  </si>
  <si>
    <t>PROPERTY&amp;</t>
  </si>
  <si>
    <t>LIABILITY INS</t>
  </si>
  <si>
    <t>INCREASE (DECREASE) FIT</t>
  </si>
  <si>
    <t>TAX BENEFIT OF PRO FORMA INTEREST</t>
  </si>
  <si>
    <t>BAD DEBTS</t>
  </si>
  <si>
    <t>MISCELLANEOUS OPERATING EXPENSE</t>
  </si>
  <si>
    <t>PROPERTY TAXES</t>
  </si>
  <si>
    <t>WAGE INCREASE</t>
  </si>
  <si>
    <t>EMPLOYEE INSURANCE</t>
  </si>
  <si>
    <t>RATE CASE EXPENSES</t>
  </si>
  <si>
    <t>PROPERTY &amp; LIABILITY INSURANCE</t>
  </si>
  <si>
    <t>REVENUE &amp;</t>
  </si>
  <si>
    <t>PRO FORMA INTEREST</t>
  </si>
  <si>
    <t>PENSION PLAN</t>
  </si>
  <si>
    <t>PENSION</t>
  </si>
  <si>
    <t>GAS COSTS:</t>
  </si>
  <si>
    <t xml:space="preserve"> PURCHASED GAS</t>
  </si>
  <si>
    <t>PRO FORMA</t>
  </si>
  <si>
    <t>PRO FORMA COST OF CAPITAL</t>
  </si>
  <si>
    <t>TOTAL AFTER TAX COST OF CAPITAL</t>
  </si>
  <si>
    <t>PAYROLL TAXES</t>
  </si>
  <si>
    <t>@</t>
  </si>
  <si>
    <t>INCREASE (DECREASE) OPERATING EXPENSE</t>
  </si>
  <si>
    <t>SERP PLAN</t>
  </si>
  <si>
    <t>DEPRECIATION</t>
  </si>
  <si>
    <t>PROFORMA BAD DEBT RATE</t>
  </si>
  <si>
    <t>PROFORMA BAD DEBTS</t>
  </si>
  <si>
    <t>UNCOLLECTIBLES CHARGED TO EXPENSE IN TEST YEAR</t>
  </si>
  <si>
    <t>PREFERRED STOCK</t>
  </si>
  <si>
    <t>INCENTIVE PAY</t>
  </si>
  <si>
    <t>OPERATING INCOME REQUIREMENT</t>
  </si>
  <si>
    <t>PRO FORMA OPERATING INCOME</t>
  </si>
  <si>
    <t>OPERATING INCOME DEFICIENCY</t>
  </si>
  <si>
    <t>FAS 133</t>
  </si>
  <si>
    <t>NET</t>
  </si>
  <si>
    <t>GROSS</t>
  </si>
  <si>
    <t>WRITEOFFS</t>
  </si>
  <si>
    <t>REVENUES</t>
  </si>
  <si>
    <t>DEFERRED GAINS/</t>
  </si>
  <si>
    <t>LOSSES PROP SALES</t>
  </si>
  <si>
    <t>D&amp;O INSURANCE</t>
  </si>
  <si>
    <t>INCREASE (DECREASE) D&amp;O EXPENSE</t>
  </si>
  <si>
    <t>D&amp;O</t>
  </si>
  <si>
    <t xml:space="preserve">  OTHER</t>
  </si>
  <si>
    <t xml:space="preserve">  UTILITY PLANT IN SERVICE</t>
  </si>
  <si>
    <t>EXPENSES TO BE NORMALIZED:</t>
  </si>
  <si>
    <t>TOTAL INCREASE (DECREASE) EXPENSE</t>
  </si>
  <si>
    <t>INTEREST ON</t>
  </si>
  <si>
    <t>CUSTOMER DEPOSITS</t>
  </si>
  <si>
    <t>INTEREST ON CUSTOMER DEPOSITS</t>
  </si>
  <si>
    <t>DEFERRED GAINS/LOSSES ON PROPERTY SALES</t>
  </si>
  <si>
    <t>INCREASE (DECREASE) FIT @ 35%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</si>
  <si>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</si>
  <si>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</si>
  <si>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</si>
  <si>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</si>
  <si>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</si>
  <si>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</si>
  <si>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</si>
  <si>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</si>
  <si>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TOTAL INCENTIVE PAY</t>
  </si>
  <si>
    <t>NET RATE BASE</t>
  </si>
  <si>
    <t>PROFORMA INTEREST</t>
  </si>
  <si>
    <t>INCOME TAXES</t>
  </si>
  <si>
    <t>TAXES OTHER THAN INCOME TAXES</t>
  </si>
  <si>
    <t>INCREASE (DECREASE) INCOME</t>
  </si>
  <si>
    <t>PUGET SOUND ENERGY</t>
  </si>
  <si>
    <t>GAS RESULTS OF OPERATIONS</t>
  </si>
  <si>
    <t>UNIT COST</t>
  </si>
  <si>
    <t xml:space="preserve">RESTATED </t>
  </si>
  <si>
    <t>Dollars/Therm</t>
  </si>
  <si>
    <t xml:space="preserve"> VARIANCE</t>
  </si>
  <si>
    <t>FUEL COSTS</t>
  </si>
  <si>
    <t>FUEL</t>
  </si>
  <si>
    <t>PURCHASED AND INTERCHANGED</t>
  </si>
  <si>
    <t>WHEELING</t>
  </si>
  <si>
    <t>Subtotal</t>
  </si>
  <si>
    <t>TAXES OTHER INCOME TAXES</t>
  </si>
  <si>
    <t>Return on Rate Base</t>
  </si>
  <si>
    <t>Revenue Deficiency - Net of Tax</t>
  </si>
  <si>
    <t>Revenue</t>
  </si>
  <si>
    <t>Description</t>
  </si>
  <si>
    <t>Rate Base</t>
  </si>
  <si>
    <t>NOI</t>
  </si>
  <si>
    <t>Factor</t>
  </si>
  <si>
    <t>TEMPERATURE NORMALIZATION</t>
  </si>
  <si>
    <t>TEMPERATURE</t>
  </si>
  <si>
    <t>NORMALIZATION</t>
  </si>
  <si>
    <t>TEMPERATURE NORMALIZATION ADJUSTMENT:</t>
  </si>
  <si>
    <t>TEMP ADJ</t>
  </si>
  <si>
    <t>CHANGE</t>
  </si>
  <si>
    <t>REVENUE ADJUSTMENT:</t>
  </si>
  <si>
    <t>INCREASE (DECREASE) SALES TO CUSTOMERS</t>
  </si>
  <si>
    <t>UNCOLLECTIBLES @</t>
  </si>
  <si>
    <t>ANNUAL FILING FEE @</t>
  </si>
  <si>
    <t>INCREASE (DECREASE) EXPENSES</t>
  </si>
  <si>
    <t>STATE UTILITY TAX @</t>
  </si>
  <si>
    <t>INCREASE (DECREASE) TAXES OTHER</t>
  </si>
  <si>
    <t>THERMS</t>
  </si>
  <si>
    <t>Residential (16)</t>
  </si>
  <si>
    <t>Interruptible (85)</t>
  </si>
  <si>
    <t>Large volume (41)</t>
  </si>
  <si>
    <t>Limited interruptible (86)</t>
  </si>
  <si>
    <t>Non exclusive interruptible (87)</t>
  </si>
  <si>
    <t>ADJUST REVENUE SENSITIVE ITEMS FOR REMOVAL OF REVENUE:</t>
  </si>
  <si>
    <t>PASS THROUGH REVENUE AND EXPENSE</t>
  </si>
  <si>
    <t>PASS THROUGH</t>
  </si>
  <si>
    <t>REVENUE &amp; EXPENSE</t>
  </si>
  <si>
    <t>REMOVE PGA DEFERRAL AMORTIZATION EXP - SCHEDULE 106</t>
  </si>
  <si>
    <t>SALES TO CUSTOMERS:</t>
  </si>
  <si>
    <t>TRUE UP CHANGE IN UNBILLED</t>
  </si>
  <si>
    <t>OTHER ADJUSTMENTS</t>
  </si>
  <si>
    <t>RESTATING ADJUSTMENTS SALES TO CUSTOMERS</t>
  </si>
  <si>
    <t>TOTAL INCREASE (DECREASE) SALES TO CUSTOMERS</t>
  </si>
  <si>
    <t>RENTALS:</t>
  </si>
  <si>
    <t>TOTAL INCREASE (DECREASE) OTHER OPERATING REVENUE</t>
  </si>
  <si>
    <t>TOTAL INCREASE (DECREASE) REVENUES</t>
  </si>
  <si>
    <t>RECLASS PENALTIES AND NEW CUSTOMER REVENUE TO</t>
  </si>
  <si>
    <t>OTHER OPERATING</t>
  </si>
  <si>
    <t>RECLASS PENALTIES AND NEW CUSTOMER REVENUE</t>
  </si>
  <si>
    <t>FROM SALES TO CUSTOMERS</t>
  </si>
  <si>
    <t>REVENUE AND EXPENSES</t>
  </si>
  <si>
    <t>OPERATING EXPENSES:</t>
  </si>
  <si>
    <t>PURCHASED GAS COSTS</t>
  </si>
  <si>
    <t>Amortization</t>
  </si>
  <si>
    <t>REMOVE REVENUES ASSOCIATED WITH RIDERS:</t>
  </si>
  <si>
    <t>TOTAL (INCREASE) DECREASE REVENUES</t>
  </si>
  <si>
    <t>ANNUAL FILING FEE</t>
  </si>
  <si>
    <t>STATE UTILITY TAX</t>
  </si>
  <si>
    <t>REMOVE EXPENSES ASSOCIATED WITH RIDERS</t>
  </si>
  <si>
    <t>REMOVE LOW INCOME - SCHEDULE 129</t>
  </si>
  <si>
    <t>REMOVE CONSERVATION - SCHEDULE 120</t>
  </si>
  <si>
    <t>REMOVE REVENUE ASSOC WITH PGA AMORTIZATION - SCHEDULE 106</t>
  </si>
  <si>
    <t>REMOVE LOW INCOME AMORTIZATION - SCHEDULE 129</t>
  </si>
  <si>
    <t>REMOVE CONSERVATION AMORTIZATION - SCHEDULE 120</t>
  </si>
  <si>
    <t>INCREASE (DECREASE) IN OPERATING INCOME BEFORE TAXES</t>
  </si>
  <si>
    <t>Pension Plan</t>
  </si>
  <si>
    <t>Interest on Customer Deposits</t>
  </si>
  <si>
    <t>Wage Increase</t>
  </si>
  <si>
    <t>Federal Income Tax</t>
  </si>
  <si>
    <t>Investment Plan</t>
  </si>
  <si>
    <t>Other</t>
  </si>
  <si>
    <t>OPERATING EXPENSES</t>
  </si>
  <si>
    <t>12 MOS ENDED</t>
  </si>
  <si>
    <t>ACCUMULATED DEPRECIATION</t>
  </si>
  <si>
    <t>DEPRECIATION EXPENSE</t>
  </si>
  <si>
    <t xml:space="preserve">INCREASE (DECREASE) NOI </t>
  </si>
  <si>
    <t>Puget Sound Energy</t>
  </si>
  <si>
    <t>Transfer</t>
  </si>
  <si>
    <t>Income</t>
  </si>
  <si>
    <t>Remove</t>
  </si>
  <si>
    <t>Penalties &amp;</t>
  </si>
  <si>
    <t>Weather</t>
  </si>
  <si>
    <t>Statement</t>
  </si>
  <si>
    <t>Municipal</t>
  </si>
  <si>
    <t>New Customer</t>
  </si>
  <si>
    <t>Restating</t>
  </si>
  <si>
    <t>Normalization</t>
  </si>
  <si>
    <t>Conservation</t>
  </si>
  <si>
    <t>Total</t>
  </si>
  <si>
    <t>Pro forma</t>
  </si>
  <si>
    <t>Line</t>
  </si>
  <si>
    <t>Rate Class</t>
  </si>
  <si>
    <t>Revenue (1)</t>
  </si>
  <si>
    <t>Taxes</t>
  </si>
  <si>
    <t>Trackers</t>
  </si>
  <si>
    <t>Adjustments</t>
  </si>
  <si>
    <t>Adjustment</t>
  </si>
  <si>
    <t>Check</t>
  </si>
  <si>
    <t>A</t>
  </si>
  <si>
    <t>B</t>
  </si>
  <si>
    <t>C</t>
  </si>
  <si>
    <t>D</t>
  </si>
  <si>
    <t>E</t>
  </si>
  <si>
    <t>F</t>
  </si>
  <si>
    <t>G</t>
  </si>
  <si>
    <t>I</t>
  </si>
  <si>
    <t>H</t>
  </si>
  <si>
    <t>J</t>
  </si>
  <si>
    <t>K</t>
  </si>
  <si>
    <t>L</t>
  </si>
  <si>
    <t>N</t>
  </si>
  <si>
    <t>O</t>
  </si>
  <si>
    <t>Residential (16,23,53)</t>
  </si>
  <si>
    <t xml:space="preserve">Contracts </t>
  </si>
  <si>
    <t>Total revenue from sales/transport</t>
  </si>
  <si>
    <t>Rentals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</si>
  <si>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</si>
  <si>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</si>
  <si>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</si>
  <si>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</si>
  <si>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</si>
  <si>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>Pro forma Gas Costs and Revenue (Schedule 101) and Margin</t>
  </si>
  <si>
    <t>Sch. 101</t>
  </si>
  <si>
    <t>Gas Revenue</t>
  </si>
  <si>
    <t>Gas Cost</t>
  </si>
  <si>
    <t>Margin</t>
  </si>
  <si>
    <t xml:space="preserve">P </t>
  </si>
  <si>
    <t>Q</t>
  </si>
  <si>
    <t>R</t>
  </si>
  <si>
    <t>Contracts</t>
  </si>
  <si>
    <t>Low Income</t>
  </si>
  <si>
    <t>Pro forma Gas Costs and Revenue (Sched. 101) and Margin</t>
  </si>
  <si>
    <t>Deferral</t>
  </si>
  <si>
    <t>Sch. 120</t>
  </si>
  <si>
    <t>Sch. 129</t>
  </si>
  <si>
    <t>Sch. 106</t>
  </si>
  <si>
    <t>M</t>
  </si>
  <si>
    <t>P</t>
  </si>
  <si>
    <t>S</t>
  </si>
  <si>
    <t>Commercial &amp; industrial (31)</t>
  </si>
  <si>
    <t>Standby &amp; auxiliary heating (61)</t>
  </si>
  <si>
    <t>(1)</t>
  </si>
  <si>
    <t>(2)</t>
  </si>
  <si>
    <t>Penalty revenue and new customer revenue (Rule 7) is transferred from revenue from sales to other operating revenue.</t>
  </si>
  <si>
    <t>(3)</t>
  </si>
  <si>
    <t>(4)</t>
  </si>
  <si>
    <t>Adjustment from actual to proposed revenue adjustment factor (RAF).</t>
  </si>
  <si>
    <t>Check RAF</t>
  </si>
  <si>
    <t>RECLASS PENALITIES AND NEW CUSTOMER REVENUE TO</t>
  </si>
  <si>
    <t>TOTAL PURCHASE GAS COSTS</t>
  </si>
  <si>
    <t>SUM OF TAXES OTHER</t>
  </si>
  <si>
    <t>CONVERSION FACTOR EXCLUDING FEDERAL INCOME TAX ( 1 - LINE 5)</t>
  </si>
  <si>
    <t>FEDERAL INCOME TAX ( LINE 7 * 35%)</t>
  </si>
  <si>
    <t>Transportation - large volume (41T)</t>
  </si>
  <si>
    <t>Transportation - interruptible (85T)</t>
  </si>
  <si>
    <t>Transportation - non exclusive interruptible (87T)</t>
  </si>
  <si>
    <t>NON-UNION (EXCLUDING EXECUTIVES)</t>
  </si>
  <si>
    <t>NON-UNION ( EXECUTIVES)</t>
  </si>
  <si>
    <t>TOTAL PROFORMA COSTS (LN 4 + LN 9 + LN 14 + LN 19)</t>
  </si>
  <si>
    <t>SHORT TERM DEBT</t>
  </si>
  <si>
    <t>LONG TERM DEBT</t>
  </si>
  <si>
    <t>AFTER TAX SHORT TERM DEBT ( LINE 1 * 65%)</t>
  </si>
  <si>
    <t>AFTER TAX LONG TERM DEBT ( LINE 2 * 65%)</t>
  </si>
  <si>
    <t>REVENUE REQUIREMENT DEFICIENCY</t>
  </si>
  <si>
    <t>CHARGED TO EXPENSE DURING TEST YEAR</t>
  </si>
  <si>
    <t>Adj. No.</t>
  </si>
  <si>
    <t>Rev Req</t>
  </si>
  <si>
    <t>(a)</t>
  </si>
  <si>
    <t>(b)</t>
  </si>
  <si>
    <t>(f)</t>
  </si>
  <si>
    <t>(g)</t>
  </si>
  <si>
    <t>(h)</t>
  </si>
  <si>
    <t>(d)</t>
  </si>
  <si>
    <t>(e)</t>
  </si>
  <si>
    <t>(i)</t>
  </si>
  <si>
    <t>(j)</t>
  </si>
  <si>
    <t>(k)</t>
  </si>
  <si>
    <t>Actual Results of Operations</t>
  </si>
  <si>
    <t>Temperature Normalization</t>
  </si>
  <si>
    <t>Excise Tax &amp; Filing Fee</t>
  </si>
  <si>
    <t>D&amp;O Insurance</t>
  </si>
  <si>
    <t>Employee Insurance</t>
  </si>
  <si>
    <t>Total Adjustment</t>
  </si>
  <si>
    <t>Adjusted Results of Operations</t>
  </si>
  <si>
    <t>U</t>
  </si>
  <si>
    <t>Reconciliation of Revenue by Rate Schedule</t>
  </si>
  <si>
    <t>Reconciliation of Test Year Revenue</t>
  </si>
  <si>
    <t>Merger Credit</t>
  </si>
  <si>
    <t>Storage Rental</t>
  </si>
  <si>
    <t>Sch. 132</t>
  </si>
  <si>
    <t>T</t>
  </si>
  <si>
    <t>Residential (23)</t>
  </si>
  <si>
    <t>Residential (53)</t>
  </si>
  <si>
    <t>General Rate Case UG-090705.</t>
  </si>
  <si>
    <t>Commercial &amp; industrial (31,61)</t>
  </si>
  <si>
    <t>(1) Penalty revenue and new customer revenue (Rule 7) are transferred from revenue from sales to other operating revenue.</t>
  </si>
  <si>
    <t>(2) October 2009 Purchased Gas Adjustment, Docket UG-091372.</t>
  </si>
  <si>
    <t>(3) General Rate Case UG-090705. Rates implemented April 8, 2010.</t>
  </si>
  <si>
    <t>(4) Adjustment from actual to proposed revenue adjustment factor (RAF).</t>
  </si>
  <si>
    <t>GENERAL PLANT DEPRECIATION</t>
  </si>
  <si>
    <t>GENERAL PLANT</t>
  </si>
  <si>
    <t>PLANT BALANCE</t>
  </si>
  <si>
    <t>NET RATEBASE</t>
  </si>
  <si>
    <t>GENERAL PLANT RATEBASE</t>
  </si>
  <si>
    <t>GENERAL PLANT DEPRECIATION EXPENSES</t>
  </si>
  <si>
    <t xml:space="preserve">OTHER </t>
  </si>
  <si>
    <t>OPERATING</t>
  </si>
  <si>
    <t xml:space="preserve">NORMALIZE </t>
  </si>
  <si>
    <t>INJURIES &amp; DAMAGES</t>
  </si>
  <si>
    <t>NORMALIZE INJURIES AND DAMAGES</t>
  </si>
  <si>
    <t>REMOVE STORAGE RENTAL REVENUE</t>
  </si>
  <si>
    <t>WATER HEATER</t>
  </si>
  <si>
    <t>WATER HEATER DEPRECIATION</t>
  </si>
  <si>
    <t>ADJUSTMENT TO OPERATING EXPENSES</t>
  </si>
  <si>
    <t xml:space="preserve">TOTAL WATER HEATERS DEPRECIATION EXPENSE </t>
  </si>
  <si>
    <t>ADJUSTMENT TO RATE BASE</t>
  </si>
  <si>
    <t>TOTAL  ADJUSTMENT TO RATEBASE</t>
  </si>
  <si>
    <t>Transportation (87T)</t>
  </si>
  <si>
    <t>General Plant Depreciation</t>
  </si>
  <si>
    <t>Rate of Return</t>
  </si>
  <si>
    <t>Conversion Factor</t>
  </si>
  <si>
    <t>Water Heater Depreciation</t>
  </si>
  <si>
    <t>RESTATED INSURANCE COSTS</t>
  </si>
  <si>
    <t>INCREASE/(DECREASE) IN EXPENSE</t>
  </si>
  <si>
    <t>INCREASE/(DECREASE) IN OPERATING EXPENSE (LINE 4)</t>
  </si>
  <si>
    <t>AMORTIZATION OF DEFERRED NET GAIN FOR TEST YEAR</t>
  </si>
  <si>
    <t xml:space="preserve">REMOVE MUNICIPAL TAXES </t>
  </si>
  <si>
    <t>April 2010</t>
  </si>
  <si>
    <t>ADD GRC INCREASE DOCKET UG-090705</t>
  </si>
  <si>
    <t>2009 GRC INCREASE DOCKET UG-090705</t>
  </si>
  <si>
    <t>Percent</t>
  </si>
  <si>
    <t>FOR THE TWELVE MONTHS ENDED DECEMBER 31, 2010</t>
  </si>
  <si>
    <t>12ME December 31, 2010</t>
  </si>
  <si>
    <t>TWELVE MONTHS ENDED DECEMBER 31, 2010 VS JUNE 30, 2010</t>
  </si>
  <si>
    <t>ADJUSTMENT TO TIE TO SETTLEMENT</t>
  </si>
  <si>
    <t>RECLASSIFICATION OF BARE STEEL PIPE TO WRAPPED STEEL PIPE</t>
  </si>
  <si>
    <t>CONTRACT CHANGES</t>
  </si>
  <si>
    <t>EXCISE TAXES</t>
  </si>
  <si>
    <t>RECLASS BARE TO</t>
  </si>
  <si>
    <t>WRAPPED STEEL</t>
  </si>
  <si>
    <t>CONTRACT</t>
  </si>
  <si>
    <t>CHANGES</t>
  </si>
  <si>
    <t>PAY</t>
  </si>
  <si>
    <t>INCENTIVE</t>
  </si>
  <si>
    <t>EXCISE</t>
  </si>
  <si>
    <t>ESTIMATED 2007 AND 2009 GRC EXPENSES TO BE NORMALIZED</t>
  </si>
  <si>
    <t>LESS TEST YEAR EXPENSE</t>
  </si>
  <si>
    <t>Transportation -Large volume (41T)</t>
  </si>
  <si>
    <t>Contracts (99,199,299)</t>
  </si>
  <si>
    <t>MIGRATION ADJUSTMENT FOR SCHEDULES 41T AND 86T</t>
  </si>
  <si>
    <t>MIGRATION ADJUSTMENT FOR SCHEDULE 41</t>
  </si>
  <si>
    <t xml:space="preserve">OCTOBER 2010 PURCHASED GAS </t>
  </si>
  <si>
    <t>MERGER RATE CREDIT SCHEDULE 132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</si>
  <si>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</si>
  <si>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(NOTE 1)</t>
  </si>
  <si>
    <t>Net Unadjusted Cost  =  [Ln 16 - 21]</t>
  </si>
  <si>
    <t>WUTC Fee  =  [Ln 16 x 9]</t>
  </si>
  <si>
    <t>State Utility Tax  =  [Ln 16 x 8]</t>
  </si>
  <si>
    <t>Bad Debt Allowance  =  [Ln 16 x 7]</t>
  </si>
  <si>
    <t>Less</t>
  </si>
  <si>
    <t>Revenue Adjustment Factor Proof</t>
  </si>
  <si>
    <t>1/(1-sum)</t>
  </si>
  <si>
    <t>1-Sum</t>
  </si>
  <si>
    <t>Sum</t>
  </si>
  <si>
    <t>WUTC Fee</t>
  </si>
  <si>
    <t>Net St Utility Tax =   [(1-Bad Debt)*State Utility Tax Rate)]</t>
  </si>
  <si>
    <t>Bad Debt</t>
  </si>
  <si>
    <t>Revenue Adjustment Factor Calculation</t>
  </si>
  <si>
    <t>WUTC Filing Fee</t>
  </si>
  <si>
    <t>State Utility Tax Rate</t>
  </si>
  <si>
    <t>Operating Revenue Deduction (Bad Debt Rate)</t>
  </si>
  <si>
    <t>Rate</t>
  </si>
  <si>
    <t>2011 GRC - TY 12ME December 2010; RY 12ME April 2013</t>
  </si>
  <si>
    <t>RESTATED EXCISE TAXES</t>
  </si>
  <si>
    <t>CHARGED TO EXPENSE FOR TEST YEAR</t>
  </si>
  <si>
    <t>INCREASE (DECREASE) EXCISE TAX</t>
  </si>
  <si>
    <t>RESTATED WUTC FILING FEE</t>
  </si>
  <si>
    <t>INCREASE(DECREASE) WUTC FILING FEE</t>
  </si>
  <si>
    <t xml:space="preserve">NOVEMBER 2010 PURCHASED GAS </t>
  </si>
  <si>
    <t>DEFERRED GAIN RECORDED SINCE UG-090705, et al. at 04/30/2012</t>
  </si>
  <si>
    <t>DEFERRED LOSS RECORDED SINCE UG-090705, et al. at 04/30/2012</t>
  </si>
  <si>
    <t xml:space="preserve">TOTAL DEFERRED NET GAIN TO AMORTIZE </t>
  </si>
  <si>
    <t>AUGUST</t>
  </si>
  <si>
    <t>DECEMBER</t>
  </si>
  <si>
    <t>SALARIED EMPLOYEES</t>
  </si>
  <si>
    <t>UNION EMPLOYEES</t>
  </si>
  <si>
    <t>APPLICABLE TO OPERATIONS @</t>
  </si>
  <si>
    <t>ANNUAL AMORTIZATION (LINE 3 ÷ 36 MONTHS) x 12</t>
  </si>
  <si>
    <t>403 DEPRECIATION EXPENSE</t>
  </si>
  <si>
    <t xml:space="preserve">ADJUSTMENT TO ACCUM. DEPREC. </t>
  </si>
  <si>
    <t>INCREASE(DECREASE ) IN EXPENSE</t>
  </si>
  <si>
    <t>TOTAL INCREASE (DECREASE) IN INCOME</t>
  </si>
  <si>
    <t xml:space="preserve">INCREASE (DECREASE) FIT @ 35% </t>
  </si>
  <si>
    <t>INCREASE (DECREASE) FIT EXPENSE</t>
  </si>
  <si>
    <t>IMPACT ON ACCUMULATED DEPRECIATION</t>
  </si>
  <si>
    <t>DEFERRED FEDERAL INCOME TAX BENEFIT</t>
  </si>
  <si>
    <t>DEFERRED FEDERAL INCOME TAXES</t>
  </si>
  <si>
    <t>ACCUMULATED DEFERRED FIT</t>
  </si>
  <si>
    <t>LAID OFF EMPLOYEES:</t>
  </si>
  <si>
    <t xml:space="preserve">     DISTRIBUTION</t>
  </si>
  <si>
    <t xml:space="preserve">     ADMIN &amp; GENERAL</t>
  </si>
  <si>
    <t>BENEFITS  ON THE ABOVE WAGE ADJUSTMENTS</t>
  </si>
  <si>
    <t>PAYROLL TAXES ON ON THE ABOVE WAGE ADJUSTMENTS</t>
  </si>
  <si>
    <t>ADD GTIF INCREASE DOCKET UG-101644</t>
  </si>
  <si>
    <t>DECREASE IN SERVICE CONTRACT O&amp;M BASELINE CHARGES</t>
  </si>
  <si>
    <t>GENERAL RATE INCREASE</t>
  </si>
  <si>
    <t>3-YR AVERAGE OF NET WRITE OFF RATE</t>
  </si>
  <si>
    <t>TEST PERIOD REVENUES</t>
  </si>
  <si>
    <t>INTEREST EXPENSE AT MOST CURRENT INTEREST RATE</t>
  </si>
  <si>
    <t>REMOVE NON-BUSINESS OR NON-UTILITY RELATED EXPENSES</t>
  </si>
  <si>
    <t>ACCRUALS</t>
  </si>
  <si>
    <t>PAYMENTS IN EXCESS OF ACCRUALS</t>
  </si>
  <si>
    <t xml:space="preserve">  ACCUMULATED DEFERRED FIT</t>
  </si>
  <si>
    <t>6/30/2010 (UG-101644)</t>
  </si>
  <si>
    <t>CHARGED TO EXPENSE FOR YEAR ENDED 12/31/2010</t>
  </si>
  <si>
    <t>D &amp; O INS. EXPENSE</t>
  </si>
  <si>
    <t>INCREASE (DECREASE) OPERATING  EXPENSE</t>
  </si>
  <si>
    <t xml:space="preserve">DOES NOT INCLUDE A DEDUCTION FOR INTEREST AS THE TAX EFFECT FOR </t>
  </si>
  <si>
    <t>EXECUTIVE SALARY</t>
  </si>
  <si>
    <t>Adjustment Summary (Page 1)</t>
  </si>
  <si>
    <t>Adjustment Summary (Page 2)</t>
  </si>
  <si>
    <t>Adjustment Summary (Page 3)</t>
  </si>
  <si>
    <t>Adjustment Summary (Page 4)</t>
  </si>
  <si>
    <t>ADJUSTMENT, DOCKET UG-101642 - REDUCE REVENUES FROM PGA</t>
  </si>
  <si>
    <t>ADJUSTMENT, DOCKET UG-101642 REDUCE GAS COSTS FROM PGA</t>
  </si>
  <si>
    <t>TRUE UP CHANGE IN UNBILLED - GAS COSTS</t>
  </si>
  <si>
    <t>TOTAL PROFORMA INTEREST IS CALCULATED IN ADJUSTMENT 14.05</t>
  </si>
  <si>
    <t>Reclass Bare to Wrapped Steel</t>
  </si>
  <si>
    <t>Contract Charges</t>
  </si>
  <si>
    <t>Revenues &amp; Expenses</t>
  </si>
  <si>
    <t>Pass-Through Revenue &amp; Expense</t>
  </si>
  <si>
    <t>Tax Benefit of Proforma Interest</t>
  </si>
  <si>
    <t>Operating Expenses</t>
  </si>
  <si>
    <t>Injuries &amp; Damages</t>
  </si>
  <si>
    <t>Incentive Pay</t>
  </si>
  <si>
    <t>Property Tax</t>
  </si>
  <si>
    <t>Rate Case Expense</t>
  </si>
  <si>
    <t>Deferred G/L on Property Sales</t>
  </si>
  <si>
    <t>Property and Liability Insurance</t>
  </si>
  <si>
    <t>Allowance for Working Capital</t>
  </si>
  <si>
    <t>PSE</t>
  </si>
  <si>
    <t>Staff</t>
  </si>
  <si>
    <t>Staff Response Filing</t>
  </si>
  <si>
    <t>COMPARISON OF PSE REBUTTAL AND STAFF RESPONSE (GAS)</t>
  </si>
  <si>
    <t>(c)</t>
  </si>
  <si>
    <t>Exhibit No. ___ (MJS-11)</t>
  </si>
  <si>
    <t>Exhibit No. ___ (MJS-12)</t>
  </si>
  <si>
    <t>Exhibit No. ___ (MJS-13)</t>
  </si>
  <si>
    <t>Exhibit No. ___ (MJS-14)</t>
  </si>
  <si>
    <t>PAGE 14.01</t>
  </si>
  <si>
    <t>PAGE 14.02</t>
  </si>
  <si>
    <t>PAGE 14.03</t>
  </si>
  <si>
    <t>Exhibit No. ___ (MJS-16)</t>
  </si>
  <si>
    <t>ALLOWANCE FOR WORKING CAPITAL</t>
  </si>
  <si>
    <t>ANNUAL NORMALIZATION (LINE 3 ¸ 2 YEARS)</t>
  </si>
  <si>
    <t>WORKING</t>
  </si>
  <si>
    <t>(NEW)</t>
  </si>
  <si>
    <t>WUTC Docket No. UG-111049</t>
  </si>
  <si>
    <t>LARGE CUSTOMER LOSS</t>
  </si>
  <si>
    <t>OTHER ADJUSTMENTS, LARGE CUSTOMER LOSS</t>
  </si>
  <si>
    <t>Transportation - Limited interruptible (86T)</t>
  </si>
  <si>
    <t>November 2010 Purchased Gas Adjustment.</t>
  </si>
  <si>
    <t>Gas Tariff Increase Filing UG-101644.</t>
  </si>
  <si>
    <t>(5)</t>
  </si>
  <si>
    <t>2011 General Rate Case - Gas Rebuttal</t>
  </si>
  <si>
    <t>Test Year Ended December 31, 2010</t>
  </si>
  <si>
    <t xml:space="preserve">Large </t>
  </si>
  <si>
    <t>Customer</t>
  </si>
  <si>
    <t>November</t>
  </si>
  <si>
    <t>April 2011</t>
  </si>
  <si>
    <t>Sched. 85/85T</t>
  </si>
  <si>
    <t>Sched. 41T/86T</t>
  </si>
  <si>
    <t>Schedule 41</t>
  </si>
  <si>
    <t>Loss</t>
  </si>
  <si>
    <t>GRC (2)</t>
  </si>
  <si>
    <t>2010 PGA (3)</t>
  </si>
  <si>
    <t>GTIF (4)</t>
  </si>
  <si>
    <t>Min. Chrg.</t>
  </si>
  <si>
    <t xml:space="preserve">Migration </t>
  </si>
  <si>
    <t>RAF (5)</t>
  </si>
  <si>
    <t>V</t>
  </si>
  <si>
    <t>W</t>
  </si>
  <si>
    <t>X</t>
  </si>
  <si>
    <t>Large</t>
  </si>
  <si>
    <t>Schedule</t>
  </si>
  <si>
    <t xml:space="preserve">RAF (5) </t>
  </si>
  <si>
    <t xml:space="preserve">G  </t>
  </si>
  <si>
    <t>Transportation - limited interruptible (86T)</t>
  </si>
  <si>
    <t>(2) General Rate Case UG-090705. Rates implemented April 8, 2010.</t>
  </si>
  <si>
    <t>(3) November 2010 Purchased Gas Adjustment.</t>
  </si>
  <si>
    <t>(4) Gas Tariff Increase Filing UG-101644. Rates implemented April 1, 2011.</t>
  </si>
  <si>
    <t>(5) Adjustment from actual to proposed revenue adjustment factor (RAF).</t>
  </si>
  <si>
    <t>Staff &gt; PSE / (Staff &lt; PSE)</t>
  </si>
  <si>
    <t>(l)</t>
  </si>
  <si>
    <t>Contested</t>
  </si>
  <si>
    <t>PSE Rebuttal Filing</t>
  </si>
  <si>
    <t>REVISED</t>
  </si>
  <si>
    <t>WORKING CAPITAL (NEW)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</si>
</sst>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"/>
    <numFmt numFmtId="174" formatCode=".0000000"/>
    <numFmt numFmtId="175" formatCode="&quot;$&quot;#,##0_);\(#,##0\)"/>
    <numFmt numFmtId="176" formatCode="#,##0.0_);\(#,##0.0\)"/>
    <numFmt numFmtId="177" formatCode="_(* #,##0_);_(* \(#,##0\);_(* &quot;-&quot;??_);_(@_)"/>
    <numFmt numFmtId="178" formatCode="_(&quot;$&quot;* #,##0_);_(&quot;$&quot;* \(#,##0\);_(&quot;$&quot;* &quot;-&quot;??_);_(@_)"/>
    <numFmt numFmtId="179" formatCode="_(* #,##0_);[Red]_(* \(#,##0\);_(* &quot;-&quot;_);_(@_)"/>
    <numFmt numFmtId="180" formatCode="_(&quot;$&quot;* #,##0_);[Red]_(&quot;$&quot;* \(#,##0\);_(&quot;$&quot;* &quot;-&quot;_);_(@_)"/>
    <numFmt numFmtId="181" formatCode="&quot;$&quot;#,##0.000000_);[Red]\(&quot;$&quot;#,##0.000000\)"/>
    <numFmt numFmtId="182" formatCode="_(&quot;$&quot;* #,##0.000000_);_(&quot;$&quot;* \(#,##0.000000\);_(&quot;$&quot;* &quot;-&quot;_);_(@_)"/>
    <numFmt numFmtId="183" formatCode="_(* #,##0.000000_);_(* \(#,##0.000000\);_(* &quot;-&quot;_);_(@_)"/>
    <numFmt numFmtId="184" formatCode="_(&quot;$&quot;* #,##0.0000_);_(&quot;$&quot;* \(#,##0.0000\);_(&quot;$&quot;* &quot;-&quot;??_);_(@_)"/>
    <numFmt numFmtId="185" formatCode="m/d/yy;@"/>
    <numFmt numFmtId="186" formatCode="_(* #,##0.0_);_(* \(#,##0.0\);_(* &quot;-&quot;_);_(@_)"/>
    <numFmt numFmtId="187" formatCode="_(* #,##0.00000_);_(* \(#,##0.00000\);_(* &quot;-&quot;??_);_(@_)"/>
    <numFmt numFmtId="188" formatCode="_(&quot;$&quot;* #,##0.000000_);_(&quot;$&quot;* \(#,##0.000000\);_(&quot;$&quot;* &quot;-&quot;??????_);_(@_)"/>
    <numFmt numFmtId="189" formatCode="_(* ###0_);_(* \(###0\);_(* &quot;-&quot;_);_(@_)"/>
    <numFmt numFmtId="190" formatCode="_(* #,##0.00000_);_(* \(#,##0.00000\);_(* &quot;-&quot;?????_);_(@_)"/>
    <numFmt numFmtId="191" formatCode="_(* #,##0.0_);_(* \(#,##0.0\);_(* &quot;-&quot;?_);_(@_)"/>
    <numFmt numFmtId="192" formatCode="&quot;$&quot;#,##0.0_);[Red]\(&quot;$&quot;#,##0.0\)"/>
    <numFmt numFmtId="193" formatCode="d\.mmm\.yy"/>
    <numFmt numFmtId="194" formatCode="&quot;PAGE&quot;\ 0.00"/>
    <numFmt numFmtId="195" formatCode="0.0000%"/>
    <numFmt numFmtId="196" formatCode="&quot;$&quot;#,##0.00"/>
    <numFmt numFmtId="197" formatCode="0.00_)"/>
    <numFmt numFmtId="198" formatCode="mmmm\ d\,\ yyyy"/>
    <numFmt numFmtId="199" formatCode="#."/>
    <numFmt numFmtId="200" formatCode="_(&quot;$&quot;* #,##0.0000_);_(&quot;$&quot;* \(#,##0.0000\);_(&quot;$&quot;* &quot;-&quot;????_);_(@_)"/>
    <numFmt numFmtId="201" formatCode="&quot;$&quot;#,##0;\-&quot;$&quot;#,##0"/>
    <numFmt numFmtId="202" formatCode="_(* #,##0.000000_);_(* \(#,##0.000000\);_(* &quot;-&quot;?????_);_(@_)"/>
    <numFmt numFmtId="203" formatCode="_(* #,##0.000000_);_(* \(#,##0.000000\);_(* &quot;-&quot;??????_);_(@_)"/>
    <numFmt numFmtId="204" formatCode="#,##0.00000000000;[Red]\-#,##0.00000000000"/>
    <numFmt numFmtId="205" formatCode="_(* #,##0.00000_);_(* \(#,##0.00000\);_(* &quot;-&quot;_);_(@_)"/>
    <numFmt numFmtId="206" formatCode="#,##0.0"/>
    <numFmt numFmtId="207" formatCode="_([$€-2]* #,##0.00_);_([$€-2]* \(#,##0.00\);_([$€-2]* &quot;-&quot;??_)"/>
    <numFmt numFmtId="208" formatCode="0.00_);\(0.00\)"/>
    <numFmt numFmtId="209" formatCode="#,##0.000000"/>
    <numFmt numFmtId="210" formatCode="0.000000_);[Red]\(0.000000\)"/>
    <numFmt numFmtId="211" formatCode="#,##0.000"/>
    <numFmt numFmtId="212" formatCode="#,##0.00000"/>
    <numFmt numFmtId="213" formatCode="_(&quot;$&quot;* #,##0.00000_);_(&quot;$&quot;* \(#,##0.00000\);_(&quot;$&quot;* &quot;-&quot;?????_);_(@_)"/>
    <numFmt numFmtId="214" formatCode="mmm\-yyyy"/>
    <numFmt numFmtId="215" formatCode="[$-409]dddd\,\ mmmm\ dd\,\ yyyy"/>
    <numFmt numFmtId="216" formatCode="[$-409]h:mm:ss\ AM/PM"/>
    <numFmt numFmtId="217" formatCode="_(* #,##0.0000_);_(* \(#,##0.0000\);_(* &quot;-&quot;????_);_(@_)"/>
    <numFmt numFmtId="218" formatCode="0.00000"/>
    <numFmt numFmtId="219" formatCode="0.0000"/>
    <numFmt numFmtId="220" formatCode="0.000"/>
    <numFmt numFmtId="221" formatCode="0.0"/>
    <numFmt numFmtId="222" formatCode="_(&quot;$&quot;* #,##0.0_);_(&quot;$&quot;* \(#,##0.0\);_(&quot;$&quot;* &quot;-&quot;?_);_(@_)"/>
  </numFmts>
  <fonts count="92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7.05"/>
      <color indexed="12"/>
      <name val="Helv"/>
      <family val="0"/>
    </font>
    <font>
      <u val="single"/>
      <sz val="7.05"/>
      <color indexed="36"/>
      <name val="Helv"/>
      <family val="0"/>
    </font>
    <font>
      <sz val="12"/>
      <color indexed="24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b/>
      <sz val="10"/>
      <name val="Helv"/>
      <family val="0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i/>
      <sz val="16"/>
      <name val="Helv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0"/>
      <color indexed="21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color indexed="62"/>
      <name val="Times New Roman"/>
      <family val="1"/>
    </font>
    <font>
      <b/>
      <i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475">
    <xf numFmtId="16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8" fontId="11" fillId="0" borderId="0">
      <alignment horizontal="left" wrapText="1"/>
      <protection/>
    </xf>
    <xf numFmtId="168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7" fillId="0" borderId="0">
      <alignment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8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187" fontId="11" fillId="0" borderId="0">
      <alignment horizontal="left" wrapText="1"/>
      <protection/>
    </xf>
    <xf numFmtId="0" fontId="37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193" fontId="26" fillId="0" borderId="0" applyFill="0" applyBorder="0" applyAlignment="0">
      <protection/>
    </xf>
    <xf numFmtId="193" fontId="26" fillId="0" borderId="0" applyFill="0" applyBorder="0" applyAlignment="0">
      <protection/>
    </xf>
    <xf numFmtId="193" fontId="26" fillId="0" borderId="0" applyFill="0" applyBorder="0" applyAlignment="0">
      <protection/>
    </xf>
    <xf numFmtId="41" fontId="11" fillId="27" borderId="0">
      <alignment/>
      <protection/>
    </xf>
    <xf numFmtId="0" fontId="77" fillId="28" borderId="1" applyNumberFormat="0" applyAlignment="0" applyProtection="0"/>
    <xf numFmtId="0" fontId="77" fillId="28" borderId="1" applyNumberFormat="0" applyAlignment="0" applyProtection="0"/>
    <xf numFmtId="0" fontId="78" fillId="29" borderId="2" applyNumberFormat="0" applyAlignment="0" applyProtection="0"/>
    <xf numFmtId="41" fontId="11" fillId="30" borderId="0">
      <alignment/>
      <protection/>
    </xf>
    <xf numFmtId="41" fontId="11" fillId="30" borderId="0">
      <alignment/>
      <protection/>
    </xf>
    <xf numFmtId="41" fontId="11" fillId="30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7" fillId="0" borderId="0" applyFill="0" applyBorder="0" applyAlignment="0" applyProtection="0"/>
    <xf numFmtId="199" fontId="40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0" fontId="28" fillId="0" borderId="0" applyNumberFormat="0" applyAlignment="0">
      <protection/>
    </xf>
    <xf numFmtId="0" fontId="28" fillId="0" borderId="0" applyNumberFormat="0" applyAlignment="0">
      <protection/>
    </xf>
    <xf numFmtId="0" fontId="28" fillId="0" borderId="0" applyNumberFormat="0" applyAlignment="0"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5" fontId="47" fillId="0" borderId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198" fontId="47" fillId="0" borderId="0" applyFill="0" applyBorder="0" applyAlignment="0" applyProtection="0"/>
    <xf numFmtId="169" fontId="11" fillId="0" borderId="0">
      <alignment/>
      <protection/>
    </xf>
    <xf numFmtId="207" fontId="1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47" fillId="0" borderId="0" applyFill="0" applyBorder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80" fillId="31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38" fontId="13" fillId="30" borderId="0" applyNumberFormat="0" applyBorder="0" applyAlignment="0" applyProtection="0"/>
    <xf numFmtId="0" fontId="29" fillId="0" borderId="3" applyNumberFormat="0" applyAlignment="0" applyProtection="0"/>
    <xf numFmtId="0" fontId="29" fillId="0" borderId="3" applyNumberFormat="0" applyAlignment="0" applyProtection="0"/>
    <xf numFmtId="0" fontId="29" fillId="0" borderId="3" applyNumberFormat="0" applyAlignment="0" applyProtection="0"/>
    <xf numFmtId="0" fontId="29" fillId="0" borderId="4">
      <alignment horizontal="left"/>
      <protection/>
    </xf>
    <xf numFmtId="0" fontId="29" fillId="0" borderId="4">
      <alignment horizontal="left"/>
      <protection/>
    </xf>
    <xf numFmtId="0" fontId="29" fillId="0" borderId="4">
      <alignment horizontal="left"/>
      <protection/>
    </xf>
    <xf numFmtId="0" fontId="2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38" fontId="12" fillId="0" borderId="0">
      <alignment/>
      <protection/>
    </xf>
    <xf numFmtId="38" fontId="12" fillId="0" borderId="0">
      <alignment/>
      <protection/>
    </xf>
    <xf numFmtId="38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40" fontId="12" fillId="0" borderId="0">
      <alignment/>
      <protection/>
    </xf>
    <xf numFmtId="0" fontId="18" fillId="0" borderId="0" applyNumberFormat="0" applyFill="0" applyBorder="0" applyAlignment="0" applyProtection="0"/>
    <xf numFmtId="0" fontId="84" fillId="32" borderId="1" applyNumberFormat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10" fontId="13" fillId="27" borderId="8" applyNumberFormat="0" applyBorder="0" applyAlignment="0" applyProtection="0"/>
    <xf numFmtId="41" fontId="30" fillId="33" borderId="9">
      <alignment horizontal="left"/>
      <protection locked="0"/>
    </xf>
    <xf numFmtId="10" fontId="30" fillId="33" borderId="9">
      <alignment horizontal="right"/>
      <protection locked="0"/>
    </xf>
    <xf numFmtId="41" fontId="30" fillId="33" borderId="9">
      <alignment horizontal="left"/>
      <protection locked="0"/>
    </xf>
    <xf numFmtId="0" fontId="13" fillId="30" borderId="0">
      <alignment/>
      <protection/>
    </xf>
    <xf numFmtId="0" fontId="13" fillId="30" borderId="0">
      <alignment/>
      <protection/>
    </xf>
    <xf numFmtId="0" fontId="13" fillId="30" borderId="0">
      <alignment/>
      <protection/>
    </xf>
    <xf numFmtId="3" fontId="41" fillId="0" borderId="0" applyFill="0" applyBorder="0" applyAlignment="0" applyProtection="0"/>
    <xf numFmtId="0" fontId="85" fillId="0" borderId="10" applyNumberFormat="0" applyFill="0" applyAlignment="0" applyProtection="0"/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1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44" fontId="21" fillId="0" borderId="12" applyNumberFormat="0" applyFont="0" applyAlignment="0">
      <protection/>
    </xf>
    <xf numFmtId="0" fontId="86" fillId="34" borderId="0" applyNumberFormat="0" applyBorder="0" applyAlignment="0" applyProtection="0"/>
    <xf numFmtId="37" fontId="31" fillId="0" borderId="0">
      <alignment/>
      <protection/>
    </xf>
    <xf numFmtId="37" fontId="31" fillId="0" borderId="0">
      <alignment/>
      <protection/>
    </xf>
    <xf numFmtId="37" fontId="31" fillId="0" borderId="0">
      <alignment/>
      <protection/>
    </xf>
    <xf numFmtId="188" fontId="0" fillId="0" borderId="0">
      <alignment/>
      <protection/>
    </xf>
    <xf numFmtId="197" fontId="35" fillId="0" borderId="0">
      <alignment/>
      <protection/>
    </xf>
    <xf numFmtId="197" fontId="35" fillId="0" borderId="0">
      <alignment/>
      <protection/>
    </xf>
    <xf numFmtId="201" fontId="11" fillId="0" borderId="0">
      <alignment/>
      <protection/>
    </xf>
    <xf numFmtId="164" fontId="11" fillId="0" borderId="0">
      <alignment/>
      <protection/>
    </xf>
    <xf numFmtId="204" fontId="11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38" fillId="0" borderId="0">
      <alignment/>
      <protection/>
    </xf>
    <xf numFmtId="198" fontId="11" fillId="0" borderId="0">
      <alignment horizontal="left" wrapText="1"/>
      <protection/>
    </xf>
    <xf numFmtId="0" fontId="8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35" borderId="13" applyNumberFormat="0" applyFont="0" applyAlignment="0" applyProtection="0"/>
    <xf numFmtId="0" fontId="45" fillId="35" borderId="13" applyNumberFormat="0" applyFont="0" applyAlignment="0" applyProtection="0"/>
    <xf numFmtId="0" fontId="88" fillId="28" borderId="1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9" fontId="4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36" borderId="9">
      <alignment/>
      <protection/>
    </xf>
    <xf numFmtId="41" fontId="11" fillId="36" borderId="9">
      <alignment/>
      <protection/>
    </xf>
    <xf numFmtId="41" fontId="11" fillId="36" borderId="9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32" fillId="0" borderId="15">
      <alignment horizontal="center"/>
      <protection/>
    </xf>
    <xf numFmtId="0" fontId="32" fillId="0" borderId="15">
      <alignment horizontal="center"/>
      <protection/>
    </xf>
    <xf numFmtId="0" fontId="32" fillId="0" borderId="15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37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42" fillId="0" borderId="0" applyFill="0" applyBorder="0" applyAlignment="0" applyProtection="0"/>
    <xf numFmtId="42" fontId="11" fillId="27" borderId="0">
      <alignment/>
      <protection/>
    </xf>
    <xf numFmtId="0" fontId="48" fillId="38" borderId="0">
      <alignment/>
      <protection/>
    </xf>
    <xf numFmtId="0" fontId="25" fillId="38" borderId="16">
      <alignment/>
      <protection/>
    </xf>
    <xf numFmtId="0" fontId="3" fillId="39" borderId="17">
      <alignment/>
      <protection/>
    </xf>
    <xf numFmtId="0" fontId="2" fillId="38" borderId="18">
      <alignment/>
      <protection/>
    </xf>
    <xf numFmtId="42" fontId="11" fillId="27" borderId="0">
      <alignment/>
      <protection/>
    </xf>
    <xf numFmtId="42" fontId="11" fillId="27" borderId="19">
      <alignment vertical="center"/>
      <protection/>
    </xf>
    <xf numFmtId="42" fontId="11" fillId="27" borderId="19">
      <alignment vertical="center"/>
      <protection/>
    </xf>
    <xf numFmtId="42" fontId="11" fillId="27" borderId="19">
      <alignment vertical="center"/>
      <protection/>
    </xf>
    <xf numFmtId="0" fontId="21" fillId="27" borderId="20" applyNumberFormat="0">
      <alignment horizontal="center" vertical="center" wrapText="1"/>
      <protection/>
    </xf>
    <xf numFmtId="0" fontId="21" fillId="27" borderId="20" applyNumberFormat="0">
      <alignment horizontal="center" vertical="center" wrapText="1"/>
      <protection/>
    </xf>
    <xf numFmtId="0" fontId="21" fillId="27" borderId="20" applyNumberFormat="0">
      <alignment horizontal="center" vertical="center" wrapText="1"/>
      <protection/>
    </xf>
    <xf numFmtId="10" fontId="11" fillId="27" borderId="0">
      <alignment/>
      <protection/>
    </xf>
    <xf numFmtId="10" fontId="11" fillId="27" borderId="0">
      <alignment/>
      <protection/>
    </xf>
    <xf numFmtId="10" fontId="11" fillId="27" borderId="0">
      <alignment/>
      <protection/>
    </xf>
    <xf numFmtId="200" fontId="11" fillId="27" borderId="0">
      <alignment/>
      <protection/>
    </xf>
    <xf numFmtId="200" fontId="11" fillId="27" borderId="0">
      <alignment/>
      <protection/>
    </xf>
    <xf numFmtId="200" fontId="11" fillId="27" borderId="0">
      <alignment/>
      <protection/>
    </xf>
    <xf numFmtId="42" fontId="11" fillId="27" borderId="0">
      <alignment/>
      <protection/>
    </xf>
    <xf numFmtId="177" fontId="12" fillId="0" borderId="0" applyBorder="0" applyAlignment="0">
      <protection/>
    </xf>
    <xf numFmtId="42" fontId="11" fillId="27" borderId="21">
      <alignment horizontal="left"/>
      <protection/>
    </xf>
    <xf numFmtId="42" fontId="11" fillId="27" borderId="21">
      <alignment horizontal="left"/>
      <protection/>
    </xf>
    <xf numFmtId="42" fontId="11" fillId="27" borderId="21">
      <alignment horizontal="left"/>
      <protection/>
    </xf>
    <xf numFmtId="200" fontId="24" fillId="27" borderId="21">
      <alignment horizontal="left"/>
      <protection/>
    </xf>
    <xf numFmtId="177" fontId="12" fillId="0" borderId="0" applyBorder="0" applyAlignment="0">
      <protection/>
    </xf>
    <xf numFmtId="14" fontId="0" fillId="0" borderId="0" applyNumberFormat="0" applyFill="0" applyBorder="0" applyAlignment="0" applyProtection="0"/>
    <xf numFmtId="186" fontId="11" fillId="0" borderId="0" applyFont="0" applyFill="0" applyAlignment="0">
      <protection/>
    </xf>
    <xf numFmtId="186" fontId="11" fillId="0" borderId="0" applyFont="0" applyFill="0" applyAlignment="0">
      <protection/>
    </xf>
    <xf numFmtId="186" fontId="11" fillId="0" borderId="0" applyFont="0" applyFill="0" applyAlignment="0">
      <protection/>
    </xf>
    <xf numFmtId="4" fontId="53" fillId="40" borderId="22" applyNumberFormat="0" applyProtection="0">
      <alignment horizontal="right" vertical="center"/>
    </xf>
    <xf numFmtId="39" fontId="11" fillId="41" borderId="0">
      <alignment/>
      <protection/>
    </xf>
    <xf numFmtId="39" fontId="11" fillId="41" borderId="0">
      <alignment/>
      <protection/>
    </xf>
    <xf numFmtId="39" fontId="11" fillId="41" borderId="0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3" fillId="0" borderId="23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8" fontId="12" fillId="0" borderId="21">
      <alignment/>
      <protection/>
    </xf>
    <xf numFmtId="39" fontId="0" fillId="42" borderId="0">
      <alignment/>
      <protection/>
    </xf>
    <xf numFmtId="169" fontId="11" fillId="0" borderId="0">
      <alignment horizontal="left" wrapText="1"/>
      <protection/>
    </xf>
    <xf numFmtId="187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6" fontId="11" fillId="0" borderId="0">
      <alignment horizontal="left" wrapText="1"/>
      <protection/>
    </xf>
    <xf numFmtId="40" fontId="33" fillId="0" borderId="0" applyBorder="0">
      <alignment horizontal="right"/>
      <protection/>
    </xf>
    <xf numFmtId="41" fontId="36" fillId="27" borderId="0">
      <alignment horizontal="left"/>
      <protection/>
    </xf>
    <xf numFmtId="0" fontId="11" fillId="0" borderId="0" applyNumberFormat="0" applyBorder="0" applyAlignment="0">
      <protection/>
    </xf>
    <xf numFmtId="0" fontId="89" fillId="0" borderId="0" applyNumberFormat="0" applyFill="0" applyBorder="0" applyAlignment="0" applyProtection="0"/>
    <xf numFmtId="0" fontId="48" fillId="0" borderId="0">
      <alignment/>
      <protection/>
    </xf>
    <xf numFmtId="0" fontId="25" fillId="38" borderId="0">
      <alignment/>
      <protection/>
    </xf>
    <xf numFmtId="196" fontId="44" fillId="27" borderId="0">
      <alignment horizontal="left" vertical="center"/>
      <protection/>
    </xf>
    <xf numFmtId="0" fontId="21" fillId="27" borderId="0">
      <alignment horizontal="left" wrapText="1"/>
      <protection/>
    </xf>
    <xf numFmtId="0" fontId="21" fillId="27" borderId="0">
      <alignment horizontal="left" wrapText="1"/>
      <protection/>
    </xf>
    <xf numFmtId="0" fontId="21" fillId="27" borderId="0">
      <alignment horizontal="left" wrapText="1"/>
      <protection/>
    </xf>
    <xf numFmtId="0" fontId="34" fillId="0" borderId="0">
      <alignment horizontal="left" vertical="center"/>
      <protection/>
    </xf>
    <xf numFmtId="0" fontId="20" fillId="0" borderId="24" applyNumberFormat="0" applyFon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0" fontId="39" fillId="0" borderId="26">
      <alignment/>
      <protection/>
    </xf>
    <xf numFmtId="0" fontId="39" fillId="0" borderId="26">
      <alignment/>
      <protection/>
    </xf>
    <xf numFmtId="0" fontId="39" fillId="0" borderId="26">
      <alignment/>
      <protection/>
    </xf>
    <xf numFmtId="0" fontId="91" fillId="0" borderId="0" applyNumberFormat="0" applyFill="0" applyBorder="0" applyAlignment="0" applyProtection="0"/>
  </cellStyleXfs>
  <cellXfs count="964"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>
      <alignment horizontal="fill"/>
    </xf>
    <xf numFmtId="0" fontId="8" fillId="0" borderId="0" xfId="0" applyNumberFormat="1" applyFont="1" applyFill="1" applyAlignment="1">
      <alignment horizontal="centerContinuous"/>
    </xf>
    <xf numFmtId="10" fontId="7" fillId="0" borderId="0" xfId="369" applyNumberFormat="1" applyFont="1" applyFill="1" applyAlignment="1">
      <alignment/>
    </xf>
    <xf numFmtId="42" fontId="7" fillId="0" borderId="0" xfId="246" applyNumberFormat="1" applyFont="1" applyFill="1" applyAlignment="1" applyProtection="1">
      <alignment/>
      <protection locked="0"/>
    </xf>
    <xf numFmtId="41" fontId="7" fillId="0" borderId="0" xfId="199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center"/>
    </xf>
    <xf numFmtId="171" fontId="7" fillId="0" borderId="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71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71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246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0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right"/>
    </xf>
    <xf numFmtId="0" fontId="8" fillId="0" borderId="20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21" xfId="246" applyNumberFormat="1" applyFont="1" applyFill="1" applyBorder="1" applyAlignment="1" applyProtection="1">
      <alignment/>
      <protection locked="0"/>
    </xf>
    <xf numFmtId="42" fontId="7" fillId="0" borderId="21" xfId="246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2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quotePrefix="1">
      <alignment horizontal="right"/>
    </xf>
    <xf numFmtId="42" fontId="7" fillId="0" borderId="0" xfId="246" applyNumberFormat="1" applyFont="1" applyFill="1" applyBorder="1" applyAlignment="1" applyProtection="1">
      <alignment/>
      <protection locked="0"/>
    </xf>
    <xf numFmtId="42" fontId="7" fillId="0" borderId="0" xfId="246" applyNumberFormat="1" applyFont="1" applyFill="1" applyBorder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41" fontId="7" fillId="0" borderId="20" xfId="0" applyNumberFormat="1" applyFont="1" applyFill="1" applyBorder="1" applyAlignment="1" applyProtection="1">
      <alignment/>
      <protection locked="0"/>
    </xf>
    <xf numFmtId="41" fontId="7" fillId="0" borderId="0" xfId="199" applyNumberFormat="1" applyFont="1" applyFill="1" applyBorder="1" applyAlignment="1">
      <alignment/>
    </xf>
    <xf numFmtId="41" fontId="7" fillId="0" borderId="0" xfId="246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3" fontId="7" fillId="0" borderId="0" xfId="199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Alignment="1" applyProtection="1">
      <alignment/>
      <protection locked="0"/>
    </xf>
    <xf numFmtId="171" fontId="7" fillId="0" borderId="0" xfId="0" applyNumberFormat="1" applyFont="1" applyFill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left" vertical="center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17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quotePrefix="1">
      <alignment horizontal="fill"/>
    </xf>
    <xf numFmtId="42" fontId="7" fillId="0" borderId="0" xfId="246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20" xfId="0" applyNumberFormat="1" applyFont="1" applyFill="1" applyBorder="1" applyAlignment="1">
      <alignment horizontal="right"/>
    </xf>
    <xf numFmtId="41" fontId="7" fillId="0" borderId="0" xfId="246" applyNumberFormat="1" applyFont="1" applyFill="1" applyAlignment="1">
      <alignment horizontal="right"/>
    </xf>
    <xf numFmtId="184" fontId="7" fillId="0" borderId="0" xfId="0" applyNumberFormat="1" applyFont="1" applyFill="1" applyAlignment="1">
      <alignment/>
    </xf>
    <xf numFmtId="6" fontId="7" fillId="0" borderId="0" xfId="246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right"/>
      <protection locked="0"/>
    </xf>
    <xf numFmtId="42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/>
    </xf>
    <xf numFmtId="41" fontId="7" fillId="0" borderId="20" xfId="199" applyNumberFormat="1" applyFont="1" applyFill="1" applyBorder="1" applyAlignment="1">
      <alignment/>
    </xf>
    <xf numFmtId="6" fontId="7" fillId="0" borderId="0" xfId="246" applyNumberFormat="1" applyFont="1" applyFill="1" applyAlignment="1">
      <alignment/>
    </xf>
    <xf numFmtId="15" fontId="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Border="1" applyAlignment="1">
      <alignment/>
    </xf>
    <xf numFmtId="3" fontId="8" fillId="0" borderId="0" xfId="199" applyNumberFormat="1" applyFont="1" applyFill="1" applyAlignment="1">
      <alignment horizontal="centerContinuous"/>
    </xf>
    <xf numFmtId="3" fontId="8" fillId="0" borderId="0" xfId="199" applyNumberFormat="1" applyFont="1" applyFill="1" applyAlignment="1">
      <alignment/>
    </xf>
    <xf numFmtId="0" fontId="8" fillId="0" borderId="0" xfId="0" applyNumberFormat="1" applyFont="1" applyFill="1" applyAlignment="1">
      <alignment horizontal="fill"/>
    </xf>
    <xf numFmtId="3" fontId="8" fillId="0" borderId="20" xfId="199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2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17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fill"/>
    </xf>
    <xf numFmtId="37" fontId="7" fillId="0" borderId="0" xfId="199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37" fontId="7" fillId="0" borderId="20" xfId="199" applyNumberFormat="1" applyFont="1" applyFill="1" applyBorder="1" applyAlignment="1">
      <alignment/>
    </xf>
    <xf numFmtId="41" fontId="7" fillId="0" borderId="0" xfId="246" applyNumberFormat="1" applyFont="1" applyFill="1" applyAlignment="1" applyProtection="1">
      <alignment/>
      <protection locked="0"/>
    </xf>
    <xf numFmtId="37" fontId="7" fillId="0" borderId="0" xfId="199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42" fontId="7" fillId="0" borderId="0" xfId="246" applyNumberFormat="1" applyFont="1" applyFill="1" applyBorder="1" applyAlignment="1" applyProtection="1">
      <alignment vertical="top"/>
      <protection locked="0"/>
    </xf>
    <xf numFmtId="9" fontId="7" fillId="0" borderId="0" xfId="369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>
      <alignment/>
    </xf>
    <xf numFmtId="6" fontId="7" fillId="0" borderId="0" xfId="246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horizontal="right"/>
    </xf>
    <xf numFmtId="38" fontId="7" fillId="0" borderId="0" xfId="199" applyNumberFormat="1" applyFont="1" applyFill="1" applyBorder="1" applyAlignment="1">
      <alignment/>
    </xf>
    <xf numFmtId="17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center"/>
    </xf>
    <xf numFmtId="0" fontId="7" fillId="0" borderId="0" xfId="358" applyFont="1" applyFill="1" applyAlignment="1">
      <alignment horizontal="centerContinuous"/>
      <protection/>
    </xf>
    <xf numFmtId="0" fontId="8" fillId="0" borderId="0" xfId="358" applyFont="1" applyFill="1" applyAlignment="1">
      <alignment horizontal="centerContinuous"/>
      <protection/>
    </xf>
    <xf numFmtId="0" fontId="7" fillId="0" borderId="0" xfId="358" applyFont="1" applyFill="1" applyAlignment="1">
      <alignment horizontal="center"/>
      <protection/>
    </xf>
    <xf numFmtId="0" fontId="7" fillId="0" borderId="0" xfId="358" applyFont="1" applyFill="1">
      <alignment/>
      <protection/>
    </xf>
    <xf numFmtId="0" fontId="10" fillId="0" borderId="0" xfId="358" applyFont="1" applyFill="1" applyAlignment="1">
      <alignment horizontal="centerContinuous"/>
      <protection/>
    </xf>
    <xf numFmtId="0" fontId="7" fillId="0" borderId="0" xfId="358" applyFont="1" applyFill="1" applyBorder="1" applyAlignment="1">
      <alignment horizontal="center"/>
      <protection/>
    </xf>
    <xf numFmtId="0" fontId="10" fillId="0" borderId="0" xfId="358" applyFont="1" applyFill="1" applyBorder="1" applyAlignment="1">
      <alignment horizontal="centerContinuous"/>
      <protection/>
    </xf>
    <xf numFmtId="0" fontId="7" fillId="0" borderId="0" xfId="358" applyFont="1" applyFill="1" applyBorder="1">
      <alignment/>
      <protection/>
    </xf>
    <xf numFmtId="173" fontId="7" fillId="0" borderId="0" xfId="358" applyNumberFormat="1" applyFont="1" applyFill="1" applyBorder="1" applyAlignment="1">
      <alignment horizontal="center"/>
      <protection/>
    </xf>
    <xf numFmtId="5" fontId="7" fillId="0" borderId="0" xfId="358" applyNumberFormat="1" applyFont="1" applyFill="1" applyBorder="1">
      <alignment/>
      <protection/>
    </xf>
    <xf numFmtId="37" fontId="7" fillId="0" borderId="0" xfId="358" applyNumberFormat="1" applyFont="1" applyFill="1" applyBorder="1">
      <alignment/>
      <protection/>
    </xf>
    <xf numFmtId="176" fontId="7" fillId="0" borderId="0" xfId="358" applyNumberFormat="1" applyFont="1" applyFill="1" applyBorder="1">
      <alignment/>
      <protection/>
    </xf>
    <xf numFmtId="7" fontId="7" fillId="0" borderId="0" xfId="358" applyNumberFormat="1" applyFont="1" applyFill="1" applyBorder="1">
      <alignment/>
      <protection/>
    </xf>
    <xf numFmtId="0" fontId="8" fillId="0" borderId="0" xfId="358" applyFont="1" applyFill="1" applyBorder="1" applyAlignment="1">
      <alignment horizontal="centerContinuous"/>
      <protection/>
    </xf>
    <xf numFmtId="0" fontId="7" fillId="0" borderId="0" xfId="358" applyFont="1" applyFill="1" applyBorder="1" applyAlignment="1">
      <alignment horizontal="centerContinuous"/>
      <protection/>
    </xf>
    <xf numFmtId="5" fontId="7" fillId="0" borderId="0" xfId="358" applyNumberFormat="1" applyFont="1" applyFill="1" applyBorder="1" applyAlignment="1">
      <alignment horizontal="centerContinuous"/>
      <protection/>
    </xf>
    <xf numFmtId="175" fontId="7" fillId="0" borderId="0" xfId="358" applyNumberFormat="1" applyFont="1" applyFill="1" applyBorder="1" applyAlignment="1">
      <alignment horizontal="centerContinuous"/>
      <protection/>
    </xf>
    <xf numFmtId="175" fontId="7" fillId="0" borderId="0" xfId="358" applyNumberFormat="1" applyFont="1" applyFill="1" applyBorder="1">
      <alignment/>
      <protection/>
    </xf>
    <xf numFmtId="169" fontId="7" fillId="0" borderId="0" xfId="358" applyNumberFormat="1" applyFont="1" applyFill="1" applyBorder="1" applyAlignment="1">
      <alignment horizontal="left"/>
      <protection/>
    </xf>
    <xf numFmtId="0" fontId="8" fillId="0" borderId="0" xfId="359" applyFont="1" applyFill="1" applyBorder="1" applyAlignment="1">
      <alignment horizontal="centerContinuous"/>
      <protection/>
    </xf>
    <xf numFmtId="0" fontId="7" fillId="0" borderId="0" xfId="359" applyFont="1" applyFill="1" applyBorder="1" applyAlignment="1">
      <alignment horizontal="centerContinuous"/>
      <protection/>
    </xf>
    <xf numFmtId="0" fontId="7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7" fillId="0" borderId="0" xfId="359" applyFont="1" applyFill="1" applyBorder="1" applyAlignment="1">
      <alignment horizontal="center"/>
      <protection/>
    </xf>
    <xf numFmtId="0" fontId="7" fillId="0" borderId="0" xfId="359" applyFont="1" applyFill="1" applyBorder="1">
      <alignment/>
      <protection/>
    </xf>
    <xf numFmtId="173" fontId="7" fillId="0" borderId="0" xfId="359" applyNumberFormat="1" applyFont="1" applyFill="1" applyBorder="1" applyAlignment="1">
      <alignment horizontal="center"/>
      <protection/>
    </xf>
    <xf numFmtId="5" fontId="7" fillId="0" borderId="0" xfId="359" applyNumberFormat="1" applyFont="1" applyFill="1" applyBorder="1">
      <alignment/>
      <protection/>
    </xf>
    <xf numFmtId="37" fontId="7" fillId="0" borderId="0" xfId="359" applyNumberFormat="1" applyFont="1" applyFill="1" applyBorder="1">
      <alignment/>
      <protection/>
    </xf>
    <xf numFmtId="174" fontId="7" fillId="0" borderId="0" xfId="359" applyNumberFormat="1" applyFont="1" applyFill="1" applyBorder="1">
      <alignment/>
      <protection/>
    </xf>
    <xf numFmtId="175" fontId="7" fillId="0" borderId="0" xfId="359" applyNumberFormat="1" applyFont="1" applyFill="1" applyBorder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Continuous"/>
    </xf>
    <xf numFmtId="9" fontId="7" fillId="0" borderId="0" xfId="369" applyFont="1" applyFill="1" applyAlignment="1">
      <alignment horizontal="left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369" applyFont="1" applyFill="1" applyAlignment="1">
      <alignment/>
    </xf>
    <xf numFmtId="42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quotePrefix="1">
      <alignment horizontal="centerContinuous"/>
    </xf>
    <xf numFmtId="178" fontId="7" fillId="0" borderId="0" xfId="246" applyNumberFormat="1" applyFont="1" applyFill="1" applyBorder="1" applyAlignment="1">
      <alignment/>
    </xf>
    <xf numFmtId="41" fontId="7" fillId="0" borderId="0" xfId="199" applyNumberFormat="1" applyFont="1" applyFill="1" applyBorder="1" applyAlignment="1">
      <alignment/>
    </xf>
    <xf numFmtId="178" fontId="7" fillId="0" borderId="0" xfId="199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42" fontId="7" fillId="0" borderId="0" xfId="246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14" fontId="1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3" fontId="7" fillId="0" borderId="0" xfId="199" applyNumberFormat="1" applyFont="1" applyFill="1" applyAlignment="1">
      <alignment horizontal="centerContinuous" vertical="center"/>
    </xf>
    <xf numFmtId="42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 quotePrefix="1">
      <alignment horizontal="left"/>
    </xf>
    <xf numFmtId="172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 applyAlignment="1">
      <alignment horizontal="left" indent="2"/>
    </xf>
    <xf numFmtId="171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 horizontal="centerContinuous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71" fontId="8" fillId="0" borderId="2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3" fontId="7" fillId="0" borderId="0" xfId="199" applyNumberFormat="1" applyFont="1" applyFill="1" applyAlignment="1">
      <alignment horizontal="right"/>
    </xf>
    <xf numFmtId="41" fontId="7" fillId="0" borderId="0" xfId="0" applyNumberFormat="1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 quotePrefix="1">
      <alignment horizontal="center"/>
      <protection locked="0"/>
    </xf>
    <xf numFmtId="3" fontId="7" fillId="0" borderId="0" xfId="199" applyNumberFormat="1" applyFont="1" applyFill="1" applyAlignment="1">
      <alignment/>
    </xf>
    <xf numFmtId="41" fontId="7" fillId="0" borderId="0" xfId="199" applyNumberFormat="1" applyFont="1" applyFill="1" applyAlignment="1">
      <alignment/>
    </xf>
    <xf numFmtId="41" fontId="7" fillId="0" borderId="21" xfId="199" applyNumberFormat="1" applyFont="1" applyFill="1" applyBorder="1" applyAlignment="1">
      <alignment/>
    </xf>
    <xf numFmtId="169" fontId="7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 wrapText="1"/>
    </xf>
    <xf numFmtId="41" fontId="7" fillId="0" borderId="0" xfId="0" applyNumberFormat="1" applyFont="1" applyFill="1" applyAlignment="1">
      <alignment horizontal="center"/>
    </xf>
    <xf numFmtId="169" fontId="8" fillId="0" borderId="0" xfId="0" applyFont="1" applyFill="1" applyAlignment="1">
      <alignment/>
    </xf>
    <xf numFmtId="169" fontId="7" fillId="0" borderId="0" xfId="0" applyFont="1" applyFill="1" applyAlignment="1">
      <alignment/>
    </xf>
    <xf numFmtId="169" fontId="8" fillId="0" borderId="0" xfId="0" applyFont="1" applyFill="1" applyAlignment="1">
      <alignment horizontal="right"/>
    </xf>
    <xf numFmtId="169" fontId="8" fillId="0" borderId="0" xfId="0" applyFont="1" applyFill="1" applyAlignment="1">
      <alignment horizontal="left"/>
    </xf>
    <xf numFmtId="169" fontId="8" fillId="0" borderId="0" xfId="0" applyFont="1" applyFill="1" applyAlignment="1" applyProtection="1">
      <alignment horizontal="centerContinuous"/>
      <protection locked="0"/>
    </xf>
    <xf numFmtId="169" fontId="8" fillId="0" borderId="0" xfId="0" applyFont="1" applyFill="1" applyAlignment="1">
      <alignment horizontal="centerContinuous"/>
    </xf>
    <xf numFmtId="169" fontId="8" fillId="0" borderId="0" xfId="0" applyFont="1" applyFill="1" applyBorder="1" applyAlignment="1">
      <alignment horizontal="centerContinuous"/>
    </xf>
    <xf numFmtId="169" fontId="8" fillId="0" borderId="0" xfId="0" applyFont="1" applyFill="1" applyAlignment="1" applyProtection="1">
      <alignment horizontal="left"/>
      <protection locked="0"/>
    </xf>
    <xf numFmtId="169" fontId="8" fillId="0" borderId="0" xfId="0" applyFont="1" applyFill="1" applyAlignment="1">
      <alignment horizontal="center"/>
    </xf>
    <xf numFmtId="169" fontId="8" fillId="0" borderId="20" xfId="0" applyFont="1" applyFill="1" applyBorder="1" applyAlignment="1">
      <alignment horizontal="center"/>
    </xf>
    <xf numFmtId="169" fontId="8" fillId="0" borderId="20" xfId="0" applyFont="1" applyFill="1" applyBorder="1" applyAlignment="1">
      <alignment horizontal="left"/>
    </xf>
    <xf numFmtId="169" fontId="7" fillId="0" borderId="0" xfId="0" applyFont="1" applyFill="1" applyAlignment="1">
      <alignment horizontal="fill"/>
    </xf>
    <xf numFmtId="42" fontId="7" fillId="0" borderId="0" xfId="0" applyNumberFormat="1" applyFont="1" applyFill="1" applyAlignment="1" applyProtection="1">
      <alignment horizontal="right"/>
      <protection locked="0"/>
    </xf>
    <xf numFmtId="171" fontId="7" fillId="0" borderId="21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Border="1" applyAlignment="1">
      <alignment horizontal="right"/>
    </xf>
    <xf numFmtId="16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69" fontId="8" fillId="0" borderId="20" xfId="0" applyFont="1" applyFill="1" applyBorder="1" applyAlignment="1">
      <alignment/>
    </xf>
    <xf numFmtId="42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vertical="center" indent="2"/>
    </xf>
    <xf numFmtId="169" fontId="7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left" wrapText="1"/>
      <protection locked="0"/>
    </xf>
    <xf numFmtId="169" fontId="7" fillId="0" borderId="0" xfId="0" applyFont="1" applyFill="1" applyAlignment="1">
      <alignment vertical="top"/>
    </xf>
    <xf numFmtId="37" fontId="7" fillId="0" borderId="0" xfId="0" applyNumberFormat="1" applyFont="1" applyFill="1" applyBorder="1" applyAlignment="1">
      <alignment horizontal="left" wrapText="1"/>
    </xf>
    <xf numFmtId="9" fontId="7" fillId="0" borderId="0" xfId="0" applyNumberFormat="1" applyFont="1" applyFill="1" applyBorder="1" applyAlignment="1">
      <alignment horizontal="left" wrapText="1"/>
    </xf>
    <xf numFmtId="41" fontId="7" fillId="0" borderId="0" xfId="199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0" fontId="7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2" fontId="7" fillId="0" borderId="0" xfId="246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42" fontId="7" fillId="0" borderId="0" xfId="246" applyNumberFormat="1" applyFont="1" applyFill="1" applyBorder="1" applyAlignment="1" applyProtection="1">
      <alignment/>
      <protection/>
    </xf>
    <xf numFmtId="179" fontId="7" fillId="0" borderId="0" xfId="0" applyNumberFormat="1" applyFont="1" applyFill="1" applyAlignment="1" applyProtection="1">
      <alignment horizontal="left"/>
      <protection/>
    </xf>
    <xf numFmtId="10" fontId="7" fillId="0" borderId="0" xfId="0" applyNumberFormat="1" applyFont="1" applyFill="1" applyAlignment="1" applyProtection="1">
      <alignment/>
      <protection/>
    </xf>
    <xf numFmtId="42" fontId="7" fillId="0" borderId="27" xfId="246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>
      <alignment vertical="top"/>
    </xf>
    <xf numFmtId="177" fontId="7" fillId="0" borderId="0" xfId="199" applyNumberFormat="1" applyFont="1" applyFill="1" applyBorder="1" applyAlignment="1">
      <alignment/>
    </xf>
    <xf numFmtId="3" fontId="7" fillId="0" borderId="0" xfId="199" applyNumberFormat="1" applyFont="1" applyFill="1" applyBorder="1" applyAlignment="1">
      <alignment/>
    </xf>
    <xf numFmtId="177" fontId="7" fillId="0" borderId="0" xfId="199" applyNumberFormat="1" applyFont="1" applyBorder="1" applyAlignment="1">
      <alignment/>
    </xf>
    <xf numFmtId="169" fontId="7" fillId="0" borderId="21" xfId="0" applyFont="1" applyFill="1" applyBorder="1" applyAlignment="1">
      <alignment/>
    </xf>
    <xf numFmtId="41" fontId="7" fillId="0" borderId="0" xfId="199" applyNumberFormat="1" applyFont="1" applyFill="1" applyAlignment="1">
      <alignment horizontal="left" vertical="top"/>
    </xf>
    <xf numFmtId="169" fontId="7" fillId="0" borderId="0" xfId="0" applyFont="1" applyFill="1" applyAlignment="1">
      <alignment horizontal="center"/>
    </xf>
    <xf numFmtId="169" fontId="7" fillId="0" borderId="0" xfId="0" applyFont="1" applyFill="1" applyAlignment="1">
      <alignment horizontal="left" wrapText="1"/>
    </xf>
    <xf numFmtId="171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center" vertical="top"/>
    </xf>
    <xf numFmtId="15" fontId="7" fillId="0" borderId="0" xfId="0" applyNumberFormat="1" applyFont="1" applyFill="1" applyAlignment="1">
      <alignment horizontal="left" wrapText="1"/>
    </xf>
    <xf numFmtId="169" fontId="7" fillId="0" borderId="0" xfId="0" applyFont="1" applyFill="1" applyAlignment="1">
      <alignment horizontal="left" vertical="center"/>
    </xf>
    <xf numFmtId="169" fontId="7" fillId="0" borderId="0" xfId="0" applyFont="1" applyFill="1" applyAlignment="1">
      <alignment horizontal="center" vertical="center"/>
    </xf>
    <xf numFmtId="169" fontId="7" fillId="0" borderId="21" xfId="0" applyFont="1" applyFill="1" applyBorder="1" applyAlignment="1">
      <alignment horizontal="left" wrapText="1"/>
    </xf>
    <xf numFmtId="37" fontId="7" fillId="0" borderId="21" xfId="0" applyNumberFormat="1" applyFont="1" applyFill="1" applyBorder="1" applyAlignment="1">
      <alignment vertical="top"/>
    </xf>
    <xf numFmtId="10" fontId="7" fillId="0" borderId="21" xfId="0" applyNumberFormat="1" applyFont="1" applyFill="1" applyBorder="1" applyAlignment="1">
      <alignment/>
    </xf>
    <xf numFmtId="1" fontId="8" fillId="43" borderId="0" xfId="0" applyNumberFormat="1" applyFont="1" applyFill="1" applyAlignment="1">
      <alignment/>
    </xf>
    <xf numFmtId="42" fontId="7" fillId="0" borderId="19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left"/>
    </xf>
    <xf numFmtId="169" fontId="8" fillId="0" borderId="0" xfId="0" applyFont="1" applyFill="1" applyBorder="1" applyAlignment="1">
      <alignment horizontal="center"/>
    </xf>
    <xf numFmtId="42" fontId="7" fillId="0" borderId="19" xfId="246" applyNumberFormat="1" applyFont="1" applyFill="1" applyBorder="1" applyAlignment="1">
      <alignment/>
    </xf>
    <xf numFmtId="169" fontId="8" fillId="0" borderId="0" xfId="0" applyFont="1" applyFill="1" applyAlignment="1">
      <alignment horizontal="left" wrapText="1"/>
    </xf>
    <xf numFmtId="42" fontId="7" fillId="0" borderId="27" xfId="0" applyNumberFormat="1" applyFont="1" applyFill="1" applyBorder="1" applyAlignment="1" applyProtection="1">
      <alignment horizontal="left" wrapText="1"/>
      <protection locked="0"/>
    </xf>
    <xf numFmtId="178" fontId="7" fillId="0" borderId="19" xfId="246" applyNumberFormat="1" applyFont="1" applyFill="1" applyBorder="1" applyAlignment="1" applyProtection="1">
      <alignment/>
      <protection locked="0"/>
    </xf>
    <xf numFmtId="0" fontId="8" fillId="0" borderId="0" xfId="360" applyFont="1" applyAlignment="1" applyProtection="1">
      <alignment horizontal="centerContinuous"/>
      <protection locked="0"/>
    </xf>
    <xf numFmtId="0" fontId="7" fillId="0" borderId="0" xfId="360" applyFont="1" applyAlignment="1">
      <alignment horizontal="centerContinuous"/>
      <protection/>
    </xf>
    <xf numFmtId="15" fontId="7" fillId="0" borderId="0" xfId="360" applyNumberFormat="1" applyFont="1" applyAlignment="1">
      <alignment horizontal="centerContinuous"/>
      <protection/>
    </xf>
    <xf numFmtId="0" fontId="7" fillId="0" borderId="0" xfId="360" applyFont="1" applyBorder="1" applyAlignment="1">
      <alignment horizontal="centerContinuous"/>
      <protection/>
    </xf>
    <xf numFmtId="0" fontId="7" fillId="0" borderId="0" xfId="360" applyFont="1">
      <alignment/>
      <protection/>
    </xf>
    <xf numFmtId="0" fontId="11" fillId="0" borderId="0" xfId="360">
      <alignment/>
      <protection/>
    </xf>
    <xf numFmtId="18" fontId="7" fillId="0" borderId="0" xfId="360" applyNumberFormat="1" applyFont="1" applyAlignment="1">
      <alignment horizontal="centerContinuous"/>
      <protection/>
    </xf>
    <xf numFmtId="0" fontId="8" fillId="0" borderId="0" xfId="360" applyFont="1" applyAlignment="1">
      <alignment horizontal="centerContinuous"/>
      <protection/>
    </xf>
    <xf numFmtId="0" fontId="8" fillId="0" borderId="20" xfId="360" applyFont="1" applyBorder="1" applyAlignment="1" quotePrefix="1">
      <alignment horizontal="center"/>
      <protection/>
    </xf>
    <xf numFmtId="0" fontId="8" fillId="0" borderId="20" xfId="360" applyFont="1" applyBorder="1" applyAlignment="1">
      <alignment horizontal="center"/>
      <protection/>
    </xf>
    <xf numFmtId="0" fontId="7" fillId="0" borderId="28" xfId="360" applyFont="1" applyBorder="1">
      <alignment/>
      <protection/>
    </xf>
    <xf numFmtId="0" fontId="7" fillId="0" borderId="21" xfId="360" applyFont="1" applyBorder="1">
      <alignment/>
      <protection/>
    </xf>
    <xf numFmtId="14" fontId="8" fillId="0" borderId="29" xfId="360" applyNumberFormat="1" applyFont="1" applyFill="1" applyBorder="1" applyAlignment="1">
      <alignment horizontal="centerContinuous"/>
      <protection/>
    </xf>
    <xf numFmtId="14" fontId="8" fillId="0" borderId="4" xfId="360" applyNumberFormat="1" applyFont="1" applyFill="1" applyBorder="1" applyAlignment="1">
      <alignment horizontal="centerContinuous"/>
      <protection/>
    </xf>
    <xf numFmtId="0" fontId="11" fillId="0" borderId="30" xfId="360" applyBorder="1">
      <alignment/>
      <protection/>
    </xf>
    <xf numFmtId="0" fontId="7" fillId="0" borderId="31" xfId="360" applyFont="1" applyBorder="1">
      <alignment/>
      <protection/>
    </xf>
    <xf numFmtId="0" fontId="7" fillId="0" borderId="0" xfId="360" applyFont="1" applyBorder="1">
      <alignment/>
      <protection/>
    </xf>
    <xf numFmtId="0" fontId="8" fillId="0" borderId="30" xfId="360" applyFont="1" applyBorder="1" applyAlignment="1">
      <alignment horizontal="center"/>
      <protection/>
    </xf>
    <xf numFmtId="0" fontId="8" fillId="0" borderId="4" xfId="360" applyFont="1" applyBorder="1" applyAlignment="1">
      <alignment horizontal="centerContinuous"/>
      <protection/>
    </xf>
    <xf numFmtId="0" fontId="8" fillId="0" borderId="32" xfId="360" applyFont="1" applyBorder="1" applyAlignment="1">
      <alignment horizontal="center"/>
      <protection/>
    </xf>
    <xf numFmtId="0" fontId="8" fillId="0" borderId="31" xfId="360" applyFont="1" applyBorder="1" applyAlignment="1">
      <alignment horizontal="center"/>
      <protection/>
    </xf>
    <xf numFmtId="0" fontId="7" fillId="0" borderId="0" xfId="360" applyFont="1" applyBorder="1" applyAlignment="1">
      <alignment horizontal="center"/>
      <protection/>
    </xf>
    <xf numFmtId="0" fontId="8" fillId="0" borderId="0" xfId="360" applyFont="1" applyBorder="1" applyAlignment="1">
      <alignment horizontal="center"/>
      <protection/>
    </xf>
    <xf numFmtId="0" fontId="8" fillId="0" borderId="33" xfId="360" applyFont="1" applyBorder="1" applyAlignment="1">
      <alignment horizontal="center"/>
      <protection/>
    </xf>
    <xf numFmtId="0" fontId="9" fillId="0" borderId="20" xfId="360" applyFont="1" applyBorder="1" applyAlignment="1">
      <alignment horizontal="center"/>
      <protection/>
    </xf>
    <xf numFmtId="0" fontId="7" fillId="0" borderId="20" xfId="360" applyFont="1" applyBorder="1">
      <alignment/>
      <protection/>
    </xf>
    <xf numFmtId="0" fontId="8" fillId="0" borderId="34" xfId="360" applyFont="1" applyBorder="1" applyAlignment="1">
      <alignment horizontal="center"/>
      <protection/>
    </xf>
    <xf numFmtId="38" fontId="8" fillId="0" borderId="20" xfId="217" applyNumberFormat="1" applyFont="1" applyFill="1" applyBorder="1" applyAlignment="1">
      <alignment horizontal="center"/>
    </xf>
    <xf numFmtId="0" fontId="8" fillId="0" borderId="34" xfId="360" applyFont="1" applyFill="1" applyBorder="1" applyAlignment="1">
      <alignment horizontal="center"/>
      <protection/>
    </xf>
    <xf numFmtId="0" fontId="7" fillId="0" borderId="32" xfId="360" applyFont="1" applyBorder="1">
      <alignment/>
      <protection/>
    </xf>
    <xf numFmtId="0" fontId="7" fillId="0" borderId="30" xfId="360" applyFont="1" applyBorder="1">
      <alignment/>
      <protection/>
    </xf>
    <xf numFmtId="0" fontId="7" fillId="0" borderId="31" xfId="360" applyFont="1" applyBorder="1" applyAlignment="1">
      <alignment horizontal="center"/>
      <protection/>
    </xf>
    <xf numFmtId="0" fontId="9" fillId="0" borderId="0" xfId="360" applyFont="1" applyBorder="1" applyAlignment="1">
      <alignment horizontal="left"/>
      <protection/>
    </xf>
    <xf numFmtId="171" fontId="7" fillId="0" borderId="32" xfId="360" applyNumberFormat="1" applyFont="1" applyFill="1" applyBorder="1">
      <alignment/>
      <protection/>
    </xf>
    <xf numFmtId="0" fontId="7" fillId="0" borderId="0" xfId="360" applyFont="1" applyFill="1" applyBorder="1">
      <alignment/>
      <protection/>
    </xf>
    <xf numFmtId="0" fontId="7" fillId="0" borderId="32" xfId="360" applyFont="1" applyFill="1" applyBorder="1">
      <alignment/>
      <protection/>
    </xf>
    <xf numFmtId="0" fontId="7" fillId="0" borderId="0" xfId="360" applyFont="1" applyBorder="1" applyAlignment="1">
      <alignment horizontal="left"/>
      <protection/>
    </xf>
    <xf numFmtId="42" fontId="7" fillId="0" borderId="32" xfId="360" applyNumberFormat="1" applyFont="1" applyFill="1" applyBorder="1" applyProtection="1">
      <alignment/>
      <protection locked="0"/>
    </xf>
    <xf numFmtId="182" fontId="7" fillId="0" borderId="0" xfId="360" applyNumberFormat="1" applyFont="1" applyBorder="1">
      <alignment/>
      <protection/>
    </xf>
    <xf numFmtId="0" fontId="7" fillId="0" borderId="0" xfId="360" applyFont="1" applyFill="1" applyBorder="1" applyAlignment="1">
      <alignment horizontal="left"/>
      <protection/>
    </xf>
    <xf numFmtId="41" fontId="7" fillId="0" borderId="32" xfId="360" applyNumberFormat="1" applyFont="1" applyFill="1" applyBorder="1" applyProtection="1">
      <alignment/>
      <protection locked="0"/>
    </xf>
    <xf numFmtId="183" fontId="7" fillId="0" borderId="0" xfId="360" applyNumberFormat="1" applyFont="1" applyBorder="1">
      <alignment/>
      <protection/>
    </xf>
    <xf numFmtId="41" fontId="7" fillId="0" borderId="32" xfId="360" applyNumberFormat="1" applyFont="1" applyBorder="1" applyProtection="1">
      <alignment/>
      <protection locked="0"/>
    </xf>
    <xf numFmtId="177" fontId="7" fillId="0" borderId="32" xfId="217" applyNumberFormat="1" applyFont="1" applyFill="1" applyBorder="1" applyAlignment="1" applyProtection="1">
      <alignment/>
      <protection locked="0"/>
    </xf>
    <xf numFmtId="183" fontId="7" fillId="0" borderId="20" xfId="360" applyNumberFormat="1" applyFont="1" applyBorder="1">
      <alignment/>
      <protection/>
    </xf>
    <xf numFmtId="41" fontId="7" fillId="0" borderId="34" xfId="360" applyNumberFormat="1" applyFont="1" applyBorder="1" applyProtection="1">
      <alignment/>
      <protection locked="0"/>
    </xf>
    <xf numFmtId="182" fontId="7" fillId="0" borderId="28" xfId="360" applyNumberFormat="1" applyFont="1" applyBorder="1">
      <alignment/>
      <protection/>
    </xf>
    <xf numFmtId="171" fontId="7" fillId="0" borderId="32" xfId="360" applyNumberFormat="1" applyFont="1" applyFill="1" applyBorder="1" applyProtection="1">
      <alignment/>
      <protection locked="0"/>
    </xf>
    <xf numFmtId="170" fontId="7" fillId="0" borderId="0" xfId="360" applyNumberFormat="1" applyFont="1" applyBorder="1">
      <alignment/>
      <protection/>
    </xf>
    <xf numFmtId="171" fontId="7" fillId="0" borderId="0" xfId="360" applyNumberFormat="1" applyFont="1" applyBorder="1">
      <alignment/>
      <protection/>
    </xf>
    <xf numFmtId="171" fontId="7" fillId="0" borderId="32" xfId="360" applyNumberFormat="1" applyFont="1" applyBorder="1">
      <alignment/>
      <protection/>
    </xf>
    <xf numFmtId="43" fontId="7" fillId="0" borderId="32" xfId="360" applyNumberFormat="1" applyFont="1" applyFill="1" applyBorder="1">
      <alignment/>
      <protection/>
    </xf>
    <xf numFmtId="42" fontId="7" fillId="0" borderId="30" xfId="360" applyNumberFormat="1" applyFont="1" applyFill="1" applyBorder="1">
      <alignment/>
      <protection/>
    </xf>
    <xf numFmtId="42" fontId="7" fillId="0" borderId="0" xfId="360" applyNumberFormat="1" applyFont="1" applyBorder="1">
      <alignment/>
      <protection/>
    </xf>
    <xf numFmtId="42" fontId="7" fillId="0" borderId="32" xfId="360" applyNumberFormat="1" applyFont="1" applyBorder="1">
      <alignment/>
      <protection/>
    </xf>
    <xf numFmtId="0" fontId="7" fillId="0" borderId="0" xfId="360" applyFont="1" applyBorder="1" applyAlignment="1">
      <alignment horizontal="center" vertical="center"/>
      <protection/>
    </xf>
    <xf numFmtId="0" fontId="7" fillId="0" borderId="0" xfId="360" applyFont="1" applyBorder="1" applyAlignment="1">
      <alignment horizontal="left" vertical="center"/>
      <protection/>
    </xf>
    <xf numFmtId="41" fontId="7" fillId="0" borderId="34" xfId="360" applyNumberFormat="1" applyFont="1" applyFill="1" applyBorder="1" applyProtection="1">
      <alignment/>
      <protection locked="0"/>
    </xf>
    <xf numFmtId="42" fontId="7" fillId="0" borderId="32" xfId="360" applyNumberFormat="1" applyFont="1" applyFill="1" applyBorder="1">
      <alignment/>
      <protection/>
    </xf>
    <xf numFmtId="182" fontId="7" fillId="0" borderId="0" xfId="360" applyNumberFormat="1" applyFont="1" applyFill="1" applyBorder="1">
      <alignment/>
      <protection/>
    </xf>
    <xf numFmtId="42" fontId="7" fillId="0" borderId="0" xfId="360" applyNumberFormat="1" applyFont="1" applyFill="1" applyBorder="1">
      <alignment/>
      <protection/>
    </xf>
    <xf numFmtId="42" fontId="7" fillId="0" borderId="32" xfId="360" applyNumberFormat="1" applyFont="1" applyFill="1" applyBorder="1" applyAlignment="1">
      <alignment horizontal="left"/>
      <protection/>
    </xf>
    <xf numFmtId="42" fontId="7" fillId="0" borderId="0" xfId="360" applyNumberFormat="1" applyFont="1" applyFill="1" applyBorder="1" applyAlignment="1">
      <alignment horizontal="left"/>
      <protection/>
    </xf>
    <xf numFmtId="0" fontId="11" fillId="0" borderId="32" xfId="360" applyBorder="1">
      <alignment/>
      <protection/>
    </xf>
    <xf numFmtId="44" fontId="7" fillId="0" borderId="32" xfId="360" applyNumberFormat="1" applyFont="1" applyBorder="1">
      <alignment/>
      <protection/>
    </xf>
    <xf numFmtId="10" fontId="7" fillId="0" borderId="32" xfId="369" applyNumberFormat="1" applyFont="1" applyFill="1" applyBorder="1" applyAlignment="1">
      <alignment/>
    </xf>
    <xf numFmtId="10" fontId="7" fillId="0" borderId="0" xfId="360" applyNumberFormat="1" applyFont="1" applyFill="1" applyBorder="1">
      <alignment/>
      <protection/>
    </xf>
    <xf numFmtId="10" fontId="7" fillId="0" borderId="32" xfId="369" applyNumberFormat="1" applyFont="1" applyBorder="1" applyAlignment="1">
      <alignment/>
    </xf>
    <xf numFmtId="178" fontId="7" fillId="0" borderId="32" xfId="360" applyNumberFormat="1" applyFont="1" applyFill="1" applyBorder="1">
      <alignment/>
      <protection/>
    </xf>
    <xf numFmtId="0" fontId="7" fillId="0" borderId="33" xfId="360" applyFont="1" applyBorder="1" applyAlignment="1">
      <alignment horizontal="center"/>
      <protection/>
    </xf>
    <xf numFmtId="42" fontId="7" fillId="0" borderId="0" xfId="246" applyNumberFormat="1" applyFont="1" applyFill="1" applyBorder="1" applyAlignment="1">
      <alignment horizontal="right"/>
    </xf>
    <xf numFmtId="169" fontId="7" fillId="0" borderId="0" xfId="0" applyFont="1" applyFill="1" applyAlignment="1" quotePrefix="1">
      <alignment horizontal="center"/>
    </xf>
    <xf numFmtId="169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69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7" fontId="7" fillId="0" borderId="0" xfId="199" applyNumberFormat="1" applyFont="1" applyFill="1" applyAlignment="1">
      <alignment/>
    </xf>
    <xf numFmtId="42" fontId="7" fillId="0" borderId="0" xfId="246" applyNumberFormat="1" applyFont="1" applyFill="1" applyAlignment="1">
      <alignment/>
    </xf>
    <xf numFmtId="37" fontId="7" fillId="0" borderId="0" xfId="199" applyNumberFormat="1" applyFont="1" applyFill="1" applyBorder="1" applyAlignment="1">
      <alignment/>
    </xf>
    <xf numFmtId="169" fontId="7" fillId="0" borderId="0" xfId="0" applyFont="1" applyFill="1" applyAlignment="1" quotePrefix="1">
      <alignment horizontal="left"/>
    </xf>
    <xf numFmtId="169" fontId="9" fillId="0" borderId="0" xfId="0" applyFont="1" applyFill="1" applyAlignment="1">
      <alignment horizontal="center"/>
    </xf>
    <xf numFmtId="169" fontId="7" fillId="0" borderId="0" xfId="0" applyFont="1" applyFill="1" applyBorder="1" applyAlignment="1">
      <alignment/>
    </xf>
    <xf numFmtId="37" fontId="7" fillId="0" borderId="0" xfId="0" applyNumberFormat="1" applyFont="1" applyAlignment="1">
      <alignment horizontal="right"/>
    </xf>
    <xf numFmtId="169" fontId="8" fillId="0" borderId="0" xfId="0" applyFont="1" applyFill="1" applyAlignment="1" applyProtection="1">
      <alignment horizontal="center"/>
      <protection locked="0"/>
    </xf>
    <xf numFmtId="18" fontId="8" fillId="0" borderId="0" xfId="0" applyNumberFormat="1" applyFont="1" applyFill="1" applyAlignment="1">
      <alignment horizontal="left" wrapText="1"/>
    </xf>
    <xf numFmtId="169" fontId="8" fillId="0" borderId="0" xfId="0" applyFont="1" applyFill="1" applyAlignment="1" applyProtection="1">
      <alignment horizontal="left" wrapText="1"/>
      <protection locked="0"/>
    </xf>
    <xf numFmtId="169" fontId="8" fillId="0" borderId="20" xfId="0" applyFont="1" applyFill="1" applyBorder="1" applyAlignment="1" applyProtection="1">
      <alignment horizontal="center"/>
      <protection locked="0"/>
    </xf>
    <xf numFmtId="169" fontId="7" fillId="0" borderId="0" xfId="0" applyFont="1" applyFill="1" applyAlignment="1">
      <alignment horizontal="left" indent="1"/>
    </xf>
    <xf numFmtId="178" fontId="7" fillId="0" borderId="0" xfId="246" applyNumberFormat="1" applyFont="1" applyFill="1" applyAlignment="1" applyProtection="1">
      <alignment/>
      <protection locked="0"/>
    </xf>
    <xf numFmtId="177" fontId="7" fillId="0" borderId="0" xfId="199" applyNumberFormat="1" applyFont="1" applyFill="1" applyAlignment="1" applyProtection="1">
      <alignment/>
      <protection locked="0"/>
    </xf>
    <xf numFmtId="177" fontId="7" fillId="0" borderId="0" xfId="199" applyNumberFormat="1" applyFont="1" applyFill="1" applyBorder="1" applyAlignment="1" applyProtection="1">
      <alignment/>
      <protection locked="0"/>
    </xf>
    <xf numFmtId="177" fontId="7" fillId="0" borderId="21" xfId="199" applyNumberFormat="1" applyFont="1" applyFill="1" applyBorder="1" applyAlignment="1" applyProtection="1">
      <alignment/>
      <protection locked="0"/>
    </xf>
    <xf numFmtId="190" fontId="7" fillId="0" borderId="0" xfId="199" applyNumberFormat="1" applyFont="1" applyFill="1" applyAlignment="1">
      <alignment/>
    </xf>
    <xf numFmtId="190" fontId="7" fillId="0" borderId="0" xfId="199" applyNumberFormat="1" applyFont="1" applyFill="1" applyBorder="1" applyAlignment="1">
      <alignment/>
    </xf>
    <xf numFmtId="190" fontId="7" fillId="0" borderId="0" xfId="199" applyNumberFormat="1" applyFont="1" applyFill="1" applyBorder="1" applyAlignment="1" applyProtection="1">
      <alignment/>
      <protection locked="0"/>
    </xf>
    <xf numFmtId="190" fontId="7" fillId="0" borderId="0" xfId="199" applyNumberFormat="1" applyFont="1" applyFill="1" applyBorder="1" applyAlignment="1">
      <alignment vertical="top"/>
    </xf>
    <xf numFmtId="4" fontId="7" fillId="0" borderId="0" xfId="199" applyFont="1" applyFill="1" applyAlignment="1">
      <alignment/>
    </xf>
    <xf numFmtId="169" fontId="8" fillId="0" borderId="0" xfId="0" applyFont="1" applyFill="1" applyBorder="1" applyAlignment="1">
      <alignment/>
    </xf>
    <xf numFmtId="169" fontId="7" fillId="0" borderId="0" xfId="0" applyFont="1" applyFill="1" applyBorder="1" applyAlignment="1">
      <alignment horizontal="left" indent="1"/>
    </xf>
    <xf numFmtId="169" fontId="7" fillId="0" borderId="0" xfId="0" applyFont="1" applyFill="1" applyAlignment="1">
      <alignment horizontal="left" indent="3"/>
    </xf>
    <xf numFmtId="169" fontId="7" fillId="0" borderId="0" xfId="0" applyFont="1" applyFill="1" applyAlignment="1">
      <alignment horizontal="left" indent="2"/>
    </xf>
    <xf numFmtId="3" fontId="7" fillId="0" borderId="21" xfId="199" applyNumberFormat="1" applyFont="1" applyFill="1" applyBorder="1" applyAlignment="1">
      <alignment/>
    </xf>
    <xf numFmtId="37" fontId="7" fillId="0" borderId="21" xfId="0" applyNumberFormat="1" applyFont="1" applyFill="1" applyBorder="1" applyAlignment="1">
      <alignment/>
    </xf>
    <xf numFmtId="171" fontId="7" fillId="0" borderId="0" xfId="0" applyNumberFormat="1" applyFont="1" applyFill="1" applyBorder="1" applyAlignment="1" applyProtection="1">
      <alignment horizontal="center"/>
      <protection locked="0"/>
    </xf>
    <xf numFmtId="169" fontId="9" fillId="0" borderId="0" xfId="0" applyFont="1" applyFill="1" applyAlignment="1">
      <alignment horizontal="left"/>
    </xf>
    <xf numFmtId="171" fontId="9" fillId="0" borderId="0" xfId="0" applyNumberFormat="1" applyFont="1" applyFill="1" applyBorder="1" applyAlignment="1" applyProtection="1">
      <alignment/>
      <protection locked="0"/>
    </xf>
    <xf numFmtId="171" fontId="7" fillId="0" borderId="21" xfId="0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>
      <alignment/>
    </xf>
    <xf numFmtId="9" fontId="7" fillId="0" borderId="0" xfId="369" applyFont="1" applyFill="1" applyAlignment="1">
      <alignment/>
    </xf>
    <xf numFmtId="9" fontId="7" fillId="0" borderId="0" xfId="369" applyFont="1" applyFill="1" applyBorder="1" applyAlignment="1">
      <alignment/>
    </xf>
    <xf numFmtId="41" fontId="7" fillId="0" borderId="0" xfId="199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Alignment="1">
      <alignment/>
    </xf>
    <xf numFmtId="42" fontId="7" fillId="0" borderId="19" xfId="246" applyNumberFormat="1" applyFont="1" applyFill="1" applyBorder="1" applyAlignment="1">
      <alignment/>
    </xf>
    <xf numFmtId="42" fontId="7" fillId="0" borderId="20" xfId="246" applyNumberFormat="1" applyFont="1" applyFill="1" applyBorder="1" applyAlignment="1">
      <alignment/>
    </xf>
    <xf numFmtId="9" fontId="7" fillId="0" borderId="0" xfId="369" applyNumberFormat="1" applyFont="1" applyFill="1" applyAlignment="1">
      <alignment/>
    </xf>
    <xf numFmtId="0" fontId="22" fillId="0" borderId="0" xfId="0" applyNumberFormat="1" applyFont="1" applyFill="1" applyAlignment="1">
      <alignment horizontal="center"/>
    </xf>
    <xf numFmtId="42" fontId="7" fillId="0" borderId="19" xfId="199" applyNumberFormat="1" applyFont="1" applyFill="1" applyBorder="1" applyAlignment="1">
      <alignment/>
    </xf>
    <xf numFmtId="178" fontId="7" fillId="0" borderId="0" xfId="246" applyNumberFormat="1" applyFont="1" applyFill="1" applyBorder="1" applyAlignment="1" applyProtection="1">
      <alignment/>
      <protection locked="0"/>
    </xf>
    <xf numFmtId="169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/>
      <protection locked="0"/>
    </xf>
    <xf numFmtId="178" fontId="7" fillId="0" borderId="27" xfId="0" applyNumberFormat="1" applyFont="1" applyFill="1" applyBorder="1" applyAlignment="1">
      <alignment/>
    </xf>
    <xf numFmtId="42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 applyProtection="1">
      <alignment/>
      <protection locked="0"/>
    </xf>
    <xf numFmtId="42" fontId="7" fillId="0" borderId="4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169" fontId="7" fillId="0" borderId="0" xfId="452" applyFont="1" applyFill="1" applyAlignment="1">
      <alignment/>
      <protection/>
    </xf>
    <xf numFmtId="3" fontId="7" fillId="0" borderId="0" xfId="209" applyNumberFormat="1" applyFont="1" applyFill="1" applyBorder="1" applyAlignment="1">
      <alignment/>
    </xf>
    <xf numFmtId="41" fontId="7" fillId="0" borderId="0" xfId="452" applyNumberFormat="1" applyFont="1" applyFill="1" applyAlignment="1">
      <alignment/>
      <protection/>
    </xf>
    <xf numFmtId="41" fontId="7" fillId="0" borderId="0" xfId="452" applyNumberFormat="1" applyFont="1" applyFill="1" applyBorder="1" applyAlignment="1">
      <alignment/>
      <protection/>
    </xf>
    <xf numFmtId="42" fontId="7" fillId="0" borderId="0" xfId="254" applyNumberFormat="1" applyFont="1" applyFill="1" applyBorder="1" applyAlignment="1">
      <alignment/>
    </xf>
    <xf numFmtId="37" fontId="7" fillId="0" borderId="0" xfId="452" applyNumberFormat="1" applyFont="1" applyFill="1" applyAlignment="1">
      <alignment/>
      <protection/>
    </xf>
    <xf numFmtId="9" fontId="7" fillId="0" borderId="0" xfId="452" applyNumberFormat="1" applyFont="1" applyFill="1" applyAlignment="1">
      <alignment horizontal="right"/>
      <protection/>
    </xf>
    <xf numFmtId="169" fontId="7" fillId="0" borderId="0" xfId="452" applyFont="1" applyFill="1" applyBorder="1">
      <alignment horizontal="left" wrapText="1"/>
      <protection/>
    </xf>
    <xf numFmtId="178" fontId="7" fillId="0" borderId="19" xfId="254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Alignment="1" applyProtection="1">
      <alignment horizontal="left" indent="1"/>
      <protection locked="0"/>
    </xf>
    <xf numFmtId="202" fontId="7" fillId="0" borderId="0" xfId="199" applyNumberFormat="1" applyFont="1" applyFill="1" applyAlignment="1">
      <alignment/>
    </xf>
    <xf numFmtId="202" fontId="7" fillId="0" borderId="21" xfId="199" applyNumberFormat="1" applyFont="1" applyFill="1" applyBorder="1" applyAlignment="1">
      <alignment/>
    </xf>
    <xf numFmtId="202" fontId="7" fillId="0" borderId="0" xfId="199" applyNumberFormat="1" applyFont="1" applyFill="1" applyBorder="1" applyAlignment="1">
      <alignment/>
    </xf>
    <xf numFmtId="195" fontId="7" fillId="0" borderId="0" xfId="369" applyNumberFormat="1" applyFont="1" applyFill="1" applyBorder="1" applyAlignment="1">
      <alignment horizontal="right"/>
    </xf>
    <xf numFmtId="195" fontId="7" fillId="0" borderId="20" xfId="369" applyNumberFormat="1" applyFont="1" applyFill="1" applyBorder="1" applyAlignment="1">
      <alignment horizontal="right"/>
    </xf>
    <xf numFmtId="169" fontId="9" fillId="0" borderId="0" xfId="0" applyFont="1" applyFill="1" applyBorder="1" applyAlignment="1">
      <alignment horizontal="left" indent="1"/>
    </xf>
    <xf numFmtId="42" fontId="7" fillId="0" borderId="0" xfId="199" applyNumberFormat="1" applyFont="1" applyFill="1" applyBorder="1" applyAlignment="1">
      <alignment/>
    </xf>
    <xf numFmtId="42" fontId="0" fillId="0" borderId="0" xfId="0" applyNumberFormat="1" applyAlignment="1">
      <alignment/>
    </xf>
    <xf numFmtId="9" fontId="7" fillId="0" borderId="0" xfId="379" applyFont="1" applyFill="1" applyBorder="1" applyAlignment="1">
      <alignment horizontal="right" wrapText="1"/>
    </xf>
    <xf numFmtId="44" fontId="11" fillId="0" borderId="0" xfId="360" applyNumberFormat="1">
      <alignment/>
      <protection/>
    </xf>
    <xf numFmtId="42" fontId="8" fillId="0" borderId="0" xfId="0" applyNumberFormat="1" applyFont="1" applyFill="1" applyAlignment="1" applyProtection="1">
      <alignment/>
      <protection locked="0"/>
    </xf>
    <xf numFmtId="42" fontId="8" fillId="0" borderId="0" xfId="0" applyNumberFormat="1" applyFont="1" applyFill="1" applyAlignment="1">
      <alignment/>
    </xf>
    <xf numFmtId="3" fontId="7" fillId="0" borderId="0" xfId="199" applyNumberFormat="1" applyFont="1" applyFill="1" applyBorder="1" applyAlignment="1" applyProtection="1">
      <alignment/>
      <protection locked="0"/>
    </xf>
    <xf numFmtId="3" fontId="7" fillId="0" borderId="0" xfId="199" applyNumberFormat="1" applyFont="1" applyFill="1" applyBorder="1" applyAlignment="1" applyProtection="1">
      <alignment vertical="center"/>
      <protection locked="0"/>
    </xf>
    <xf numFmtId="10" fontId="7" fillId="0" borderId="0" xfId="369" applyNumberFormat="1" applyFont="1" applyFill="1" applyBorder="1" applyAlignment="1">
      <alignment/>
    </xf>
    <xf numFmtId="169" fontId="7" fillId="0" borderId="0" xfId="454" applyNumberFormat="1" applyFont="1" applyFill="1" applyBorder="1" applyAlignment="1">
      <alignment/>
      <protection/>
    </xf>
    <xf numFmtId="169" fontId="7" fillId="0" borderId="0" xfId="454" applyNumberFormat="1" applyFont="1" applyFill="1" applyAlignment="1">
      <alignment horizontal="left" indent="1"/>
      <protection/>
    </xf>
    <xf numFmtId="169" fontId="7" fillId="0" borderId="0" xfId="454" applyNumberFormat="1" applyFont="1" applyFill="1" applyAlignment="1">
      <alignment horizontal="left" indent="2"/>
      <protection/>
    </xf>
    <xf numFmtId="169" fontId="7" fillId="0" borderId="0" xfId="454" applyNumberFormat="1" applyFont="1" applyFill="1" applyAlignment="1">
      <alignment horizontal="left"/>
      <protection/>
    </xf>
    <xf numFmtId="0" fontId="8" fillId="0" borderId="35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 locked="0"/>
    </xf>
    <xf numFmtId="202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203" fontId="7" fillId="0" borderId="20" xfId="0" applyNumberFormat="1" applyFont="1" applyFill="1" applyBorder="1" applyAlignment="1">
      <alignment/>
    </xf>
    <xf numFmtId="0" fontId="7" fillId="0" borderId="2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22" fillId="0" borderId="0" xfId="0" applyNumberFormat="1" applyFont="1" applyFill="1" applyAlignment="1">
      <alignment horizontal="centerContinuous"/>
    </xf>
    <xf numFmtId="169" fontId="22" fillId="0" borderId="0" xfId="0" applyFont="1" applyFill="1" applyBorder="1" applyAlignment="1">
      <alignment horizontal="center"/>
    </xf>
    <xf numFmtId="169" fontId="9" fillId="0" borderId="0" xfId="0" applyFont="1" applyFill="1" applyAlignment="1">
      <alignment/>
    </xf>
    <xf numFmtId="169" fontId="7" fillId="0" borderId="20" xfId="0" applyFont="1" applyFill="1" applyBorder="1" applyAlignment="1">
      <alignment horizontal="left"/>
    </xf>
    <xf numFmtId="169" fontId="7" fillId="0" borderId="20" xfId="0" applyFont="1" applyFill="1" applyBorder="1" applyAlignment="1">
      <alignment horizontal="left" vertical="top"/>
    </xf>
    <xf numFmtId="41" fontId="22" fillId="0" borderId="20" xfId="0" applyNumberFormat="1" applyFont="1" applyFill="1" applyBorder="1" applyAlignment="1" applyProtection="1">
      <alignment/>
      <protection locked="0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7" fillId="0" borderId="19" xfId="0" applyNumberFormat="1" applyFont="1" applyFill="1" applyBorder="1" applyAlignment="1">
      <alignment horizontal="right"/>
    </xf>
    <xf numFmtId="169" fontId="7" fillId="0" borderId="0" xfId="454" applyNumberFormat="1" applyFont="1" applyFill="1" applyAlignment="1">
      <alignment horizontal="left" indent="3"/>
      <protection/>
    </xf>
    <xf numFmtId="0" fontId="50" fillId="0" borderId="0" xfId="0" applyNumberFormat="1" applyFont="1" applyAlignment="1">
      <alignment/>
    </xf>
    <xf numFmtId="0" fontId="50" fillId="0" borderId="30" xfId="0" applyNumberFormat="1" applyFont="1" applyBorder="1" applyAlignment="1">
      <alignment horizontal="center"/>
    </xf>
    <xf numFmtId="0" fontId="50" fillId="0" borderId="32" xfId="0" applyNumberFormat="1" applyFont="1" applyBorder="1" applyAlignment="1">
      <alignment horizontal="center"/>
    </xf>
    <xf numFmtId="0" fontId="50" fillId="0" borderId="31" xfId="0" applyNumberFormat="1" applyFont="1" applyBorder="1" applyAlignment="1">
      <alignment horizontal="center"/>
    </xf>
    <xf numFmtId="0" fontId="50" fillId="0" borderId="34" xfId="0" applyNumberFormat="1" applyFont="1" applyBorder="1" applyAlignment="1">
      <alignment horizontal="center"/>
    </xf>
    <xf numFmtId="0" fontId="50" fillId="0" borderId="33" xfId="0" applyNumberFormat="1" applyFont="1" applyBorder="1" applyAlignment="1">
      <alignment horizontal="center"/>
    </xf>
    <xf numFmtId="42" fontId="50" fillId="0" borderId="4" xfId="199" applyNumberFormat="1" applyFont="1" applyBorder="1" applyAlignment="1">
      <alignment/>
    </xf>
    <xf numFmtId="177" fontId="50" fillId="0" borderId="4" xfId="199" applyNumberFormat="1" applyFont="1" applyBorder="1" applyAlignment="1">
      <alignment/>
    </xf>
    <xf numFmtId="42" fontId="50" fillId="0" borderId="4" xfId="0" applyNumberFormat="1" applyFont="1" applyBorder="1" applyAlignment="1">
      <alignment/>
    </xf>
    <xf numFmtId="0" fontId="50" fillId="0" borderId="0" xfId="0" applyNumberFormat="1" applyFont="1" applyAlignment="1">
      <alignment horizontal="center"/>
    </xf>
    <xf numFmtId="42" fontId="7" fillId="0" borderId="28" xfId="360" applyNumberFormat="1" applyFont="1" applyFill="1" applyBorder="1" applyProtection="1">
      <alignment/>
      <protection locked="0"/>
    </xf>
    <xf numFmtId="178" fontId="7" fillId="0" borderId="8" xfId="360" applyNumberFormat="1" applyFont="1" applyFill="1" applyBorder="1">
      <alignment/>
      <protection/>
    </xf>
    <xf numFmtId="0" fontId="11" fillId="0" borderId="0" xfId="336" applyAlignment="1">
      <alignment horizontal="centerContinuous"/>
      <protection/>
    </xf>
    <xf numFmtId="0" fontId="30" fillId="0" borderId="0" xfId="336" applyFont="1" applyAlignment="1">
      <alignment horizontal="left"/>
      <protection/>
    </xf>
    <xf numFmtId="0" fontId="11" fillId="0" borderId="0" xfId="336" applyFill="1" applyAlignment="1">
      <alignment horizontal="centerContinuous"/>
      <protection/>
    </xf>
    <xf numFmtId="0" fontId="11" fillId="0" borderId="0" xfId="336" applyBorder="1" applyAlignment="1">
      <alignment horizontal="left"/>
      <protection/>
    </xf>
    <xf numFmtId="0" fontId="11" fillId="0" borderId="0" xfId="336">
      <alignment/>
      <protection/>
    </xf>
    <xf numFmtId="0" fontId="11" fillId="0" borderId="0" xfId="336" applyFont="1">
      <alignment/>
      <protection/>
    </xf>
    <xf numFmtId="0" fontId="11" fillId="0" borderId="0" xfId="336" applyAlignment="1">
      <alignment horizontal="left"/>
      <protection/>
    </xf>
    <xf numFmtId="0" fontId="11" fillId="0" borderId="0" xfId="336" applyFill="1" applyBorder="1" applyAlignment="1">
      <alignment horizontal="centerContinuous"/>
      <protection/>
    </xf>
    <xf numFmtId="41" fontId="11" fillId="0" borderId="0" xfId="336" applyNumberFormat="1" applyFill="1" applyAlignment="1">
      <alignment horizontal="left"/>
      <protection/>
    </xf>
    <xf numFmtId="0" fontId="11" fillId="0" borderId="0" xfId="336" applyBorder="1" applyAlignment="1">
      <alignment horizontal="centerContinuous"/>
      <protection/>
    </xf>
    <xf numFmtId="0" fontId="21" fillId="0" borderId="0" xfId="336" applyFont="1" applyBorder="1" applyAlignment="1">
      <alignment horizontal="left"/>
      <protection/>
    </xf>
    <xf numFmtId="0" fontId="11" fillId="0" borderId="0" xfId="336" applyFill="1" applyAlignment="1">
      <alignment/>
      <protection/>
    </xf>
    <xf numFmtId="0" fontId="11" fillId="0" borderId="0" xfId="336" applyAlignment="1">
      <alignment/>
      <protection/>
    </xf>
    <xf numFmtId="0" fontId="11" fillId="0" borderId="36" xfId="336" applyBorder="1" applyAlignment="1">
      <alignment/>
      <protection/>
    </xf>
    <xf numFmtId="0" fontId="11" fillId="0" borderId="0" xfId="336" applyBorder="1">
      <alignment/>
      <protection/>
    </xf>
    <xf numFmtId="0" fontId="11" fillId="0" borderId="0" xfId="336" applyFill="1">
      <alignment/>
      <protection/>
    </xf>
    <xf numFmtId="42" fontId="11" fillId="0" borderId="0" xfId="336" applyNumberFormat="1">
      <alignment/>
      <protection/>
    </xf>
    <xf numFmtId="0" fontId="11" fillId="0" borderId="0" xfId="336" applyFill="1" applyBorder="1" applyAlignment="1">
      <alignment horizontal="center"/>
      <protection/>
    </xf>
    <xf numFmtId="0" fontId="11" fillId="0" borderId="0" xfId="336" applyBorder="1" applyAlignment="1">
      <alignment horizontal="center"/>
      <protection/>
    </xf>
    <xf numFmtId="0" fontId="11" fillId="0" borderId="0" xfId="336" applyFont="1" applyFill="1" applyBorder="1" applyAlignment="1">
      <alignment horizontal="center"/>
      <protection/>
    </xf>
    <xf numFmtId="0" fontId="11" fillId="0" borderId="0" xfId="336" applyFont="1" applyBorder="1" applyAlignment="1">
      <alignment horizontal="center"/>
      <protection/>
    </xf>
    <xf numFmtId="0" fontId="11" fillId="0" borderId="0" xfId="336" applyFont="1" applyBorder="1">
      <alignment/>
      <protection/>
    </xf>
    <xf numFmtId="0" fontId="11" fillId="0" borderId="20" xfId="336" applyBorder="1" applyAlignment="1">
      <alignment horizontal="center"/>
      <protection/>
    </xf>
    <xf numFmtId="0" fontId="11" fillId="0" borderId="20" xfId="336" applyFont="1" applyBorder="1" applyAlignment="1">
      <alignment horizontal="center"/>
      <protection/>
    </xf>
    <xf numFmtId="0" fontId="11" fillId="0" borderId="37" xfId="336" applyFill="1" applyBorder="1" applyAlignment="1">
      <alignment horizontal="center"/>
      <protection/>
    </xf>
    <xf numFmtId="0" fontId="11" fillId="0" borderId="38" xfId="336" applyFill="1" applyBorder="1" applyAlignment="1">
      <alignment horizontal="center"/>
      <protection/>
    </xf>
    <xf numFmtId="0" fontId="11" fillId="0" borderId="39" xfId="336" applyFill="1" applyBorder="1" applyAlignment="1">
      <alignment horizontal="center"/>
      <protection/>
    </xf>
    <xf numFmtId="0" fontId="11" fillId="0" borderId="40" xfId="336" applyFill="1" applyBorder="1" applyAlignment="1">
      <alignment horizontal="center"/>
      <protection/>
    </xf>
    <xf numFmtId="0" fontId="11" fillId="0" borderId="41" xfId="336" applyBorder="1" applyAlignment="1">
      <alignment/>
      <protection/>
    </xf>
    <xf numFmtId="42" fontId="49" fillId="0" borderId="0" xfId="336" applyNumberFormat="1" applyFont="1" applyFill="1" applyBorder="1" applyAlignment="1">
      <alignment horizontal="center"/>
      <protection/>
    </xf>
    <xf numFmtId="42" fontId="49" fillId="0" borderId="0" xfId="336" applyNumberFormat="1" applyFont="1" applyBorder="1" applyAlignment="1">
      <alignment horizontal="center"/>
      <protection/>
    </xf>
    <xf numFmtId="37" fontId="11" fillId="0" borderId="40" xfId="336" applyNumberFormat="1" applyBorder="1">
      <alignment/>
      <protection/>
    </xf>
    <xf numFmtId="37" fontId="11" fillId="0" borderId="0" xfId="336" applyNumberFormat="1" applyBorder="1">
      <alignment/>
      <protection/>
    </xf>
    <xf numFmtId="37" fontId="11" fillId="0" borderId="41" xfId="336" applyNumberFormat="1" applyBorder="1">
      <alignment/>
      <protection/>
    </xf>
    <xf numFmtId="41" fontId="49" fillId="0" borderId="0" xfId="336" applyNumberFormat="1" applyFont="1" applyFill="1">
      <alignment/>
      <protection/>
    </xf>
    <xf numFmtId="41" fontId="49" fillId="0" borderId="0" xfId="336" applyNumberFormat="1" applyFont="1" applyBorder="1" applyAlignment="1">
      <alignment horizontal="center"/>
      <protection/>
    </xf>
    <xf numFmtId="41" fontId="30" fillId="0" borderId="0" xfId="336" applyNumberFormat="1" applyFont="1" applyFill="1">
      <alignment/>
      <protection/>
    </xf>
    <xf numFmtId="42" fontId="11" fillId="0" borderId="21" xfId="336" applyNumberFormat="1" applyFill="1" applyBorder="1">
      <alignment/>
      <protection/>
    </xf>
    <xf numFmtId="42" fontId="11" fillId="0" borderId="0" xfId="336" applyNumberFormat="1" applyBorder="1">
      <alignment/>
      <protection/>
    </xf>
    <xf numFmtId="42" fontId="11" fillId="0" borderId="0" xfId="336" applyNumberFormat="1" applyFill="1">
      <alignment/>
      <protection/>
    </xf>
    <xf numFmtId="42" fontId="11" fillId="0" borderId="36" xfId="336" applyNumberFormat="1" applyBorder="1">
      <alignment/>
      <protection/>
    </xf>
    <xf numFmtId="0" fontId="11" fillId="0" borderId="40" xfId="336" applyBorder="1">
      <alignment/>
      <protection/>
    </xf>
    <xf numFmtId="0" fontId="11" fillId="0" borderId="41" xfId="336" applyBorder="1">
      <alignment/>
      <protection/>
    </xf>
    <xf numFmtId="42" fontId="11" fillId="0" borderId="0" xfId="336" applyNumberFormat="1" applyFill="1" applyBorder="1">
      <alignment/>
      <protection/>
    </xf>
    <xf numFmtId="42" fontId="11" fillId="0" borderId="41" xfId="336" applyNumberFormat="1" applyFill="1" applyBorder="1">
      <alignment/>
      <protection/>
    </xf>
    <xf numFmtId="0" fontId="11" fillId="0" borderId="41" xfId="336" applyFill="1" applyBorder="1">
      <alignment/>
      <protection/>
    </xf>
    <xf numFmtId="42" fontId="49" fillId="0" borderId="0" xfId="336" applyNumberFormat="1" applyFont="1" applyFill="1" applyBorder="1">
      <alignment/>
      <protection/>
    </xf>
    <xf numFmtId="37" fontId="11" fillId="0" borderId="42" xfId="336" applyNumberFormat="1" applyBorder="1">
      <alignment/>
      <protection/>
    </xf>
    <xf numFmtId="37" fontId="11" fillId="0" borderId="43" xfId="336" applyNumberFormat="1" applyBorder="1">
      <alignment/>
      <protection/>
    </xf>
    <xf numFmtId="0" fontId="11" fillId="0" borderId="44" xfId="336" applyFill="1" applyBorder="1">
      <alignment/>
      <protection/>
    </xf>
    <xf numFmtId="0" fontId="11" fillId="0" borderId="0" xfId="336" applyFont="1" applyFill="1">
      <alignment/>
      <protection/>
    </xf>
    <xf numFmtId="41" fontId="11" fillId="0" borderId="0" xfId="336" applyNumberFormat="1" applyBorder="1">
      <alignment/>
      <protection/>
    </xf>
    <xf numFmtId="37" fontId="11" fillId="0" borderId="0" xfId="336" applyNumberFormat="1">
      <alignment/>
      <protection/>
    </xf>
    <xf numFmtId="0" fontId="11" fillId="0" borderId="37" xfId="336" applyBorder="1">
      <alignment/>
      <protection/>
    </xf>
    <xf numFmtId="42" fontId="11" fillId="0" borderId="38" xfId="336" applyNumberFormat="1" applyBorder="1">
      <alignment/>
      <protection/>
    </xf>
    <xf numFmtId="42" fontId="11" fillId="0" borderId="38" xfId="336" applyNumberFormat="1" applyFill="1" applyBorder="1">
      <alignment/>
      <protection/>
    </xf>
    <xf numFmtId="42" fontId="11" fillId="0" borderId="39" xfId="336" applyNumberFormat="1" applyBorder="1">
      <alignment/>
      <protection/>
    </xf>
    <xf numFmtId="42" fontId="11" fillId="0" borderId="41" xfId="336" applyNumberFormat="1" applyBorder="1">
      <alignment/>
      <protection/>
    </xf>
    <xf numFmtId="0" fontId="11" fillId="0" borderId="42" xfId="336" applyBorder="1">
      <alignment/>
      <protection/>
    </xf>
    <xf numFmtId="0" fontId="11" fillId="0" borderId="43" xfId="336" applyFill="1" applyBorder="1">
      <alignment/>
      <protection/>
    </xf>
    <xf numFmtId="0" fontId="11" fillId="0" borderId="43" xfId="336" applyBorder="1">
      <alignment/>
      <protection/>
    </xf>
    <xf numFmtId="183" fontId="11" fillId="0" borderId="43" xfId="336" applyNumberFormat="1" applyBorder="1">
      <alignment/>
      <protection/>
    </xf>
    <xf numFmtId="183" fontId="11" fillId="0" borderId="44" xfId="336" applyNumberFormat="1" applyBorder="1">
      <alignment/>
      <protection/>
    </xf>
    <xf numFmtId="205" fontId="11" fillId="0" borderId="0" xfId="336" applyNumberFormat="1" applyBorder="1">
      <alignment/>
      <protection/>
    </xf>
    <xf numFmtId="178" fontId="7" fillId="0" borderId="0" xfId="253" applyNumberFormat="1" applyFont="1" applyFill="1" applyAlignment="1" applyProtection="1">
      <alignment/>
      <protection locked="0"/>
    </xf>
    <xf numFmtId="0" fontId="8" fillId="0" borderId="0" xfId="346" applyFont="1" applyFill="1" applyAlignment="1">
      <alignment horizontal="center"/>
      <protection/>
    </xf>
    <xf numFmtId="0" fontId="8" fillId="0" borderId="20" xfId="346" applyFont="1" applyFill="1" applyBorder="1" applyAlignment="1">
      <alignment horizontal="center"/>
      <protection/>
    </xf>
    <xf numFmtId="195" fontId="7" fillId="0" borderId="0" xfId="369" applyNumberFormat="1" applyFont="1" applyFill="1" applyAlignment="1">
      <alignment/>
    </xf>
    <xf numFmtId="195" fontId="7" fillId="0" borderId="4" xfId="0" applyNumberFormat="1" applyFont="1" applyFill="1" applyBorder="1" applyAlignment="1">
      <alignment horizontal="right" wrapText="1"/>
    </xf>
    <xf numFmtId="209" fontId="7" fillId="0" borderId="0" xfId="199" applyNumberFormat="1" applyFont="1" applyFill="1" applyAlignment="1">
      <alignment/>
    </xf>
    <xf numFmtId="209" fontId="7" fillId="0" borderId="0" xfId="199" applyNumberFormat="1" applyFont="1" applyFill="1" applyAlignment="1">
      <alignment horizontal="left" wrapText="1"/>
    </xf>
    <xf numFmtId="209" fontId="7" fillId="0" borderId="0" xfId="199" applyNumberFormat="1" applyFont="1" applyFill="1" applyAlignment="1">
      <alignment/>
    </xf>
    <xf numFmtId="210" fontId="7" fillId="0" borderId="0" xfId="0" applyNumberFormat="1" applyFont="1" applyFill="1" applyAlignment="1">
      <alignment/>
    </xf>
    <xf numFmtId="37" fontId="7" fillId="0" borderId="21" xfId="0" applyNumberFormat="1" applyFont="1" applyFill="1" applyBorder="1" applyAlignment="1" applyProtection="1">
      <alignment/>
      <protection locked="0"/>
    </xf>
    <xf numFmtId="41" fontId="7" fillId="0" borderId="21" xfId="0" applyNumberFormat="1" applyFont="1" applyFill="1" applyBorder="1" applyAlignment="1" applyProtection="1">
      <alignment/>
      <protection locked="0"/>
    </xf>
    <xf numFmtId="42" fontId="7" fillId="0" borderId="0" xfId="246" applyNumberFormat="1" applyFont="1" applyFill="1" applyBorder="1" applyAlignment="1" applyProtection="1">
      <alignment/>
      <protection locked="0"/>
    </xf>
    <xf numFmtId="42" fontId="7" fillId="0" borderId="27" xfId="199" applyNumberFormat="1" applyFont="1" applyFill="1" applyBorder="1" applyAlignment="1" applyProtection="1">
      <alignment/>
      <protection locked="0"/>
    </xf>
    <xf numFmtId="0" fontId="21" fillId="0" borderId="0" xfId="336" applyFont="1" applyAlignment="1">
      <alignment horizontal="left" wrapText="1"/>
      <protection/>
    </xf>
    <xf numFmtId="178" fontId="7" fillId="0" borderId="20" xfId="254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169" fontId="11" fillId="0" borderId="20" xfId="0" applyFont="1" applyBorder="1" applyAlignment="1">
      <alignment horizontal="center"/>
    </xf>
    <xf numFmtId="169" fontId="11" fillId="0" borderId="0" xfId="0" applyFont="1" applyFill="1" applyAlignment="1">
      <alignment horizontal="left" wrapText="1"/>
    </xf>
    <xf numFmtId="41" fontId="7" fillId="0" borderId="20" xfId="246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Border="1" applyAlignment="1">
      <alignment/>
    </xf>
    <xf numFmtId="178" fontId="7" fillId="0" borderId="27" xfId="246" applyNumberFormat="1" applyFont="1" applyFill="1" applyBorder="1" applyAlignment="1" applyProtection="1">
      <alignment/>
      <protection locked="0"/>
    </xf>
    <xf numFmtId="42" fontId="9" fillId="0" borderId="0" xfId="199" applyNumberFormat="1" applyFont="1" applyFill="1" applyBorder="1" applyAlignment="1">
      <alignment/>
    </xf>
    <xf numFmtId="202" fontId="7" fillId="0" borderId="27" xfId="199" applyNumberFormat="1" applyFont="1" applyFill="1" applyBorder="1" applyAlignment="1" applyProtection="1">
      <alignment/>
      <protection locked="0"/>
    </xf>
    <xf numFmtId="42" fontId="7" fillId="0" borderId="0" xfId="249" applyNumberFormat="1" applyFont="1" applyFill="1" applyAlignment="1">
      <alignment/>
    </xf>
    <xf numFmtId="42" fontId="7" fillId="0" borderId="20" xfId="249" applyNumberFormat="1" applyFont="1" applyFill="1" applyBorder="1" applyAlignment="1">
      <alignment/>
    </xf>
    <xf numFmtId="42" fontId="7" fillId="0" borderId="0" xfId="0" applyNumberFormat="1" applyFont="1" applyAlignment="1" applyProtection="1">
      <alignment horizontal="right"/>
      <protection locked="0"/>
    </xf>
    <xf numFmtId="6" fontId="7" fillId="0" borderId="0" xfId="0" applyNumberFormat="1" applyFont="1" applyFill="1" applyAlignment="1">
      <alignment/>
    </xf>
    <xf numFmtId="41" fontId="8" fillId="43" borderId="0" xfId="199" applyNumberFormat="1" applyFont="1" applyFill="1" applyAlignment="1">
      <alignment/>
    </xf>
    <xf numFmtId="10" fontId="50" fillId="0" borderId="0" xfId="369" applyNumberFormat="1" applyFont="1" applyAlignment="1">
      <alignment/>
    </xf>
    <xf numFmtId="195" fontId="50" fillId="0" borderId="0" xfId="369" applyNumberFormat="1" applyFont="1" applyAlignment="1">
      <alignment/>
    </xf>
    <xf numFmtId="0" fontId="50" fillId="0" borderId="0" xfId="0" applyNumberFormat="1" applyFont="1" applyAlignment="1">
      <alignment horizontal="right"/>
    </xf>
    <xf numFmtId="0" fontId="50" fillId="0" borderId="28" xfId="0" applyNumberFormat="1" applyFont="1" applyBorder="1" applyAlignment="1">
      <alignment/>
    </xf>
    <xf numFmtId="0" fontId="50" fillId="0" borderId="45" xfId="0" applyNumberFormat="1" applyFont="1" applyBorder="1" applyAlignment="1">
      <alignment/>
    </xf>
    <xf numFmtId="0" fontId="50" fillId="0" borderId="31" xfId="0" applyNumberFormat="1" applyFont="1" applyBorder="1" applyAlignment="1">
      <alignment/>
    </xf>
    <xf numFmtId="0" fontId="52" fillId="0" borderId="36" xfId="0" applyNumberFormat="1" applyFont="1" applyBorder="1" applyAlignment="1">
      <alignment/>
    </xf>
    <xf numFmtId="208" fontId="50" fillId="0" borderId="31" xfId="199" applyNumberFormat="1" applyFont="1" applyBorder="1" applyAlignment="1">
      <alignment horizontal="center"/>
    </xf>
    <xf numFmtId="0" fontId="50" fillId="0" borderId="36" xfId="0" applyNumberFormat="1" applyFont="1" applyBorder="1" applyAlignment="1">
      <alignment/>
    </xf>
    <xf numFmtId="43" fontId="50" fillId="0" borderId="31" xfId="199" applyNumberFormat="1" applyFont="1" applyBorder="1" applyAlignment="1">
      <alignment/>
    </xf>
    <xf numFmtId="0" fontId="0" fillId="0" borderId="33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50" fillId="0" borderId="21" xfId="0" applyNumberFormat="1" applyFont="1" applyBorder="1" applyAlignment="1">
      <alignment/>
    </xf>
    <xf numFmtId="177" fontId="50" fillId="0" borderId="29" xfId="199" applyNumberFormat="1" applyFont="1" applyBorder="1" applyAlignment="1">
      <alignment/>
    </xf>
    <xf numFmtId="42" fontId="37" fillId="0" borderId="47" xfId="199" applyNumberFormat="1" applyFont="1" applyFill="1" applyBorder="1" applyAlignment="1">
      <alignment/>
    </xf>
    <xf numFmtId="177" fontId="50" fillId="0" borderId="31" xfId="199" applyNumberFormat="1" applyFont="1" applyBorder="1" applyAlignment="1">
      <alignment/>
    </xf>
    <xf numFmtId="177" fontId="50" fillId="0" borderId="0" xfId="199" applyNumberFormat="1" applyFont="1" applyBorder="1" applyAlignment="1">
      <alignment/>
    </xf>
    <xf numFmtId="177" fontId="37" fillId="0" borderId="36" xfId="199" applyNumberFormat="1" applyFont="1" applyFill="1" applyBorder="1" applyAlignment="1">
      <alignment/>
    </xf>
    <xf numFmtId="177" fontId="50" fillId="0" borderId="47" xfId="199" applyNumberFormat="1" applyFont="1" applyBorder="1" applyAlignment="1">
      <alignment/>
    </xf>
    <xf numFmtId="0" fontId="0" fillId="0" borderId="20" xfId="0" applyNumberFormat="1" applyBorder="1" applyAlignment="1">
      <alignment/>
    </xf>
    <xf numFmtId="177" fontId="0" fillId="0" borderId="46" xfId="0" applyNumberFormat="1" applyBorder="1" applyAlignment="1">
      <alignment/>
    </xf>
    <xf numFmtId="42" fontId="50" fillId="0" borderId="29" xfId="199" applyNumberFormat="1" applyFont="1" applyBorder="1" applyAlignment="1">
      <alignment/>
    </xf>
    <xf numFmtId="42" fontId="50" fillId="0" borderId="29" xfId="0" applyNumberFormat="1" applyFont="1" applyBorder="1" applyAlignment="1">
      <alignment/>
    </xf>
    <xf numFmtId="42" fontId="50" fillId="0" borderId="47" xfId="0" applyNumberFormat="1" applyFont="1" applyBorder="1" applyAlignment="1">
      <alignment/>
    </xf>
    <xf numFmtId="177" fontId="50" fillId="0" borderId="36" xfId="199" applyNumberFormat="1" applyFont="1" applyBorder="1" applyAlignment="1">
      <alignment/>
    </xf>
    <xf numFmtId="42" fontId="50" fillId="0" borderId="47" xfId="199" applyNumberFormat="1" applyFont="1" applyBorder="1" applyAlignment="1">
      <alignment/>
    </xf>
    <xf numFmtId="17" fontId="8" fillId="0" borderId="0" xfId="0" applyNumberFormat="1" applyFont="1" applyFill="1" applyBorder="1" applyAlignment="1">
      <alignment horizontal="left"/>
    </xf>
    <xf numFmtId="171" fontId="8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 quotePrefix="1">
      <alignment vertical="top"/>
    </xf>
    <xf numFmtId="0" fontId="7" fillId="0" borderId="0" xfId="340" applyFont="1" applyFill="1" applyAlignment="1">
      <alignment/>
      <protection/>
    </xf>
    <xf numFmtId="1" fontId="7" fillId="0" borderId="0" xfId="340" applyNumberFormat="1" applyFont="1" applyFill="1" applyAlignment="1" quotePrefix="1">
      <alignment horizontal="left"/>
      <protection/>
    </xf>
    <xf numFmtId="0" fontId="7" fillId="0" borderId="0" xfId="341" applyFont="1" applyFill="1" applyAlignment="1">
      <alignment/>
      <protection/>
    </xf>
    <xf numFmtId="177" fontId="7" fillId="0" borderId="21" xfId="199" applyNumberFormat="1" applyFont="1" applyFill="1" applyBorder="1" applyAlignment="1">
      <alignment/>
    </xf>
    <xf numFmtId="42" fontId="7" fillId="0" borderId="30" xfId="360" applyNumberFormat="1" applyFont="1" applyFill="1" applyBorder="1" applyProtection="1">
      <alignment/>
      <protection locked="0"/>
    </xf>
    <xf numFmtId="44" fontId="7" fillId="0" borderId="0" xfId="360" applyNumberFormat="1" applyFont="1">
      <alignment/>
      <protection/>
    </xf>
    <xf numFmtId="3" fontId="7" fillId="0" borderId="0" xfId="199" applyNumberFormat="1" applyFont="1" applyAlignment="1">
      <alignment/>
    </xf>
    <xf numFmtId="41" fontId="11" fillId="0" borderId="0" xfId="360" applyNumberFormat="1">
      <alignment/>
      <protection/>
    </xf>
    <xf numFmtId="183" fontId="7" fillId="0" borderId="32" xfId="360" applyNumberFormat="1" applyFont="1" applyBorder="1">
      <alignment/>
      <protection/>
    </xf>
    <xf numFmtId="183" fontId="7" fillId="0" borderId="34" xfId="360" applyNumberFormat="1" applyFont="1" applyBorder="1">
      <alignment/>
      <protection/>
    </xf>
    <xf numFmtId="42" fontId="7" fillId="0" borderId="32" xfId="246" applyNumberFormat="1" applyFont="1" applyFill="1" applyBorder="1" applyAlignment="1">
      <alignment horizontal="right"/>
    </xf>
    <xf numFmtId="41" fontId="7" fillId="0" borderId="32" xfId="0" applyNumberFormat="1" applyFont="1" applyFill="1" applyBorder="1" applyAlignment="1">
      <alignment horizontal="right"/>
    </xf>
    <xf numFmtId="41" fontId="7" fillId="0" borderId="34" xfId="0" applyNumberFormat="1" applyFont="1" applyFill="1" applyBorder="1" applyAlignment="1">
      <alignment horizontal="right"/>
    </xf>
    <xf numFmtId="169" fontId="7" fillId="0" borderId="0" xfId="0" applyFont="1" applyFill="1" applyBorder="1" applyAlignment="1">
      <alignment horizontal="left" indent="2"/>
    </xf>
    <xf numFmtId="0" fontId="11" fillId="0" borderId="29" xfId="360" applyBorder="1">
      <alignment/>
      <protection/>
    </xf>
    <xf numFmtId="0" fontId="22" fillId="0" borderId="29" xfId="360" applyFont="1" applyBorder="1" applyAlignment="1">
      <alignment horizontal="center"/>
      <protection/>
    </xf>
    <xf numFmtId="0" fontId="22" fillId="0" borderId="4" xfId="360" applyFont="1" applyBorder="1" applyAlignment="1">
      <alignment horizontal="center"/>
      <protection/>
    </xf>
    <xf numFmtId="0" fontId="22" fillId="0" borderId="4" xfId="360" applyFont="1" applyBorder="1" applyAlignment="1">
      <alignment horizontal="left"/>
      <protection/>
    </xf>
    <xf numFmtId="41" fontId="22" fillId="0" borderId="8" xfId="360" applyNumberFormat="1" applyFont="1" applyFill="1" applyBorder="1" applyProtection="1">
      <alignment/>
      <protection locked="0"/>
    </xf>
    <xf numFmtId="183" fontId="22" fillId="0" borderId="29" xfId="360" applyNumberFormat="1" applyFont="1" applyBorder="1">
      <alignment/>
      <protection/>
    </xf>
    <xf numFmtId="183" fontId="22" fillId="0" borderId="4" xfId="360" applyNumberFormat="1" applyFont="1" applyBorder="1">
      <alignment/>
      <protection/>
    </xf>
    <xf numFmtId="0" fontId="11" fillId="0" borderId="47" xfId="360" applyBorder="1">
      <alignment/>
      <protection/>
    </xf>
    <xf numFmtId="202" fontId="7" fillId="0" borderId="0" xfId="199" applyNumberFormat="1" applyFont="1" applyFill="1" applyBorder="1" applyAlignment="1" applyProtection="1">
      <alignment/>
      <protection locked="0"/>
    </xf>
    <xf numFmtId="42" fontId="7" fillId="0" borderId="27" xfId="246" applyNumberFormat="1" applyFont="1" applyFill="1" applyBorder="1" applyAlignment="1" applyProtection="1">
      <alignment vertical="top"/>
      <protection/>
    </xf>
    <xf numFmtId="169" fontId="11" fillId="0" borderId="0" xfId="0" applyFont="1" applyFill="1" applyAlignment="1">
      <alignment horizontal="left" wrapText="1"/>
    </xf>
    <xf numFmtId="17" fontId="7" fillId="0" borderId="0" xfId="454" applyNumberFormat="1" applyFont="1" applyFill="1" applyAlignment="1">
      <alignment/>
      <protection/>
    </xf>
    <xf numFmtId="177" fontId="7" fillId="0" borderId="0" xfId="204" applyNumberFormat="1" applyFont="1" applyFill="1" applyBorder="1" applyAlignment="1">
      <alignment/>
    </xf>
    <xf numFmtId="177" fontId="7" fillId="0" borderId="20" xfId="204" applyNumberFormat="1" applyFont="1" applyFill="1" applyBorder="1" applyAlignment="1">
      <alignment/>
    </xf>
    <xf numFmtId="37" fontId="7" fillId="0" borderId="2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/>
    </xf>
    <xf numFmtId="169" fontId="7" fillId="0" borderId="0" xfId="454" applyNumberFormat="1" applyFont="1" applyFill="1" applyBorder="1" applyAlignment="1">
      <alignment horizontal="left"/>
      <protection/>
    </xf>
    <xf numFmtId="0" fontId="8" fillId="0" borderId="0" xfId="0" applyNumberFormat="1" applyFont="1" applyFill="1" applyAlignment="1" quotePrefix="1">
      <alignment/>
    </xf>
    <xf numFmtId="3" fontId="7" fillId="0" borderId="0" xfId="199" applyNumberFormat="1" applyFont="1" applyFill="1" applyAlignment="1">
      <alignment vertical="top"/>
    </xf>
    <xf numFmtId="0" fontId="11" fillId="0" borderId="0" xfId="357">
      <alignment/>
      <protection/>
    </xf>
    <xf numFmtId="0" fontId="11" fillId="0" borderId="0" xfId="357" applyAlignment="1">
      <alignment horizontal="center"/>
      <protection/>
    </xf>
    <xf numFmtId="0" fontId="11" fillId="0" borderId="0" xfId="357" applyAlignment="1">
      <alignment horizontal="left" indent="1"/>
      <protection/>
    </xf>
    <xf numFmtId="0" fontId="21" fillId="0" borderId="0" xfId="357" applyFont="1">
      <alignment/>
      <protection/>
    </xf>
    <xf numFmtId="0" fontId="11" fillId="0" borderId="0" xfId="357" applyAlignment="1">
      <alignment horizontal="right"/>
      <protection/>
    </xf>
    <xf numFmtId="168" fontId="11" fillId="0" borderId="0" xfId="357" applyNumberFormat="1">
      <alignment/>
      <protection/>
    </xf>
    <xf numFmtId="168" fontId="30" fillId="0" borderId="0" xfId="357" applyNumberFormat="1" applyFont="1">
      <alignment/>
      <protection/>
    </xf>
    <xf numFmtId="0" fontId="21" fillId="0" borderId="0" xfId="357" applyFont="1" applyAlignment="1">
      <alignment horizontal="center"/>
      <protection/>
    </xf>
    <xf numFmtId="195" fontId="11" fillId="0" borderId="0" xfId="381" applyNumberFormat="1" applyAlignment="1">
      <alignment/>
    </xf>
    <xf numFmtId="0" fontId="11" fillId="0" borderId="0" xfId="357" applyAlignment="1">
      <alignment horizontal="centerContinuous"/>
      <protection/>
    </xf>
    <xf numFmtId="169" fontId="11" fillId="0" borderId="0" xfId="357" applyNumberFormat="1">
      <alignment/>
      <protection/>
    </xf>
    <xf numFmtId="169" fontId="11" fillId="0" borderId="4" xfId="357" applyNumberFormat="1" applyBorder="1">
      <alignment/>
      <protection/>
    </xf>
    <xf numFmtId="169" fontId="11" fillId="0" borderId="19" xfId="357" applyNumberFormat="1" applyBorder="1">
      <alignment/>
      <protection/>
    </xf>
    <xf numFmtId="177" fontId="7" fillId="0" borderId="0" xfId="0" applyNumberFormat="1" applyFont="1" applyFill="1" applyBorder="1" applyAlignment="1">
      <alignment/>
    </xf>
    <xf numFmtId="169" fontId="11" fillId="0" borderId="0" xfId="0" applyFont="1" applyFill="1" applyAlignment="1">
      <alignment vertical="top" wrapText="1"/>
    </xf>
    <xf numFmtId="6" fontId="7" fillId="0" borderId="0" xfId="246" applyNumberFormat="1" applyFont="1" applyFill="1" applyBorder="1" applyAlignment="1">
      <alignment/>
    </xf>
    <xf numFmtId="6" fontId="7" fillId="0" borderId="21" xfId="0" applyNumberFormat="1" applyFont="1" applyFill="1" applyBorder="1" applyAlignment="1">
      <alignment/>
    </xf>
    <xf numFmtId="0" fontId="54" fillId="0" borderId="0" xfId="340" applyFont="1" applyFill="1" applyAlignment="1">
      <alignment/>
      <protection/>
    </xf>
    <xf numFmtId="178" fontId="54" fillId="0" borderId="20" xfId="249" applyNumberFormat="1" applyFont="1" applyFill="1" applyBorder="1" applyAlignment="1" applyProtection="1">
      <alignment/>
      <protection locked="0"/>
    </xf>
    <xf numFmtId="178" fontId="54" fillId="0" borderId="0" xfId="249" applyNumberFormat="1" applyFont="1" applyFill="1" applyBorder="1" applyAlignment="1" applyProtection="1">
      <alignment/>
      <protection locked="0"/>
    </xf>
    <xf numFmtId="169" fontId="54" fillId="0" borderId="0" xfId="452" applyFont="1" applyFill="1" applyAlignment="1">
      <alignment horizontal="left"/>
      <protection/>
    </xf>
    <xf numFmtId="177" fontId="54" fillId="0" borderId="0" xfId="204" applyNumberFormat="1" applyFont="1" applyFill="1" applyAlignment="1">
      <alignment/>
    </xf>
    <xf numFmtId="178" fontId="54" fillId="0" borderId="27" xfId="249" applyNumberFormat="1" applyFont="1" applyFill="1" applyBorder="1" applyAlignment="1" applyProtection="1">
      <alignment/>
      <protection locked="0"/>
    </xf>
    <xf numFmtId="0" fontId="54" fillId="0" borderId="0" xfId="340" applyFont="1" applyFill="1" applyAlignment="1">
      <alignment horizontal="left"/>
      <protection/>
    </xf>
    <xf numFmtId="9" fontId="54" fillId="0" borderId="0" xfId="340" applyNumberFormat="1" applyFont="1" applyFill="1" applyAlignment="1">
      <alignment/>
      <protection/>
    </xf>
    <xf numFmtId="42" fontId="54" fillId="0" borderId="0" xfId="249" applyNumberFormat="1" applyFont="1" applyFill="1" applyBorder="1" applyAlignment="1">
      <alignment/>
    </xf>
    <xf numFmtId="37" fontId="54" fillId="0" borderId="0" xfId="340" applyNumberFormat="1" applyFont="1" applyFill="1" applyAlignment="1">
      <alignment/>
      <protection/>
    </xf>
    <xf numFmtId="37" fontId="54" fillId="0" borderId="19" xfId="340" applyNumberFormat="1" applyFont="1" applyFill="1" applyBorder="1" applyAlignment="1">
      <alignment/>
      <protection/>
    </xf>
    <xf numFmtId="0" fontId="8" fillId="0" borderId="0" xfId="0" applyNumberFormat="1" applyFont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0" fillId="0" borderId="0" xfId="0" applyNumberFormat="1" applyBorder="1" applyAlignment="1">
      <alignment/>
    </xf>
    <xf numFmtId="169" fontId="7" fillId="0" borderId="0" xfId="452" applyFont="1" applyFill="1" applyAlignment="1">
      <alignment horizontal="left"/>
      <protection/>
    </xf>
    <xf numFmtId="42" fontId="7" fillId="0" borderId="21" xfId="0" applyNumberFormat="1" applyFont="1" applyBorder="1" applyAlignment="1">
      <alignment/>
    </xf>
    <xf numFmtId="0" fontId="11" fillId="0" borderId="0" xfId="0" applyNumberFormat="1" applyFont="1" applyFill="1" applyAlignment="1">
      <alignment/>
    </xf>
    <xf numFmtId="178" fontId="7" fillId="0" borderId="0" xfId="248" applyNumberFormat="1" applyFont="1" applyFill="1" applyBorder="1" applyAlignment="1">
      <alignment/>
    </xf>
    <xf numFmtId="177" fontId="7" fillId="0" borderId="0" xfId="201" applyNumberFormat="1" applyFont="1" applyFill="1" applyBorder="1" applyAlignment="1">
      <alignment/>
    </xf>
    <xf numFmtId="10" fontId="7" fillId="0" borderId="0" xfId="201" applyNumberFormat="1" applyFont="1" applyFill="1" applyBorder="1" applyAlignment="1">
      <alignment/>
    </xf>
    <xf numFmtId="177" fontId="7" fillId="0" borderId="21" xfId="199" applyNumberFormat="1" applyFont="1" applyFill="1" applyBorder="1" applyAlignment="1">
      <alignment/>
    </xf>
    <xf numFmtId="9" fontId="7" fillId="0" borderId="0" xfId="369" applyFont="1" applyFill="1" applyBorder="1" applyAlignment="1" applyProtection="1">
      <alignment/>
      <protection locked="0"/>
    </xf>
    <xf numFmtId="178" fontId="7" fillId="0" borderId="21" xfId="246" applyNumberFormat="1" applyFont="1" applyFill="1" applyBorder="1" applyAlignment="1" applyProtection="1">
      <alignment/>
      <protection locked="0"/>
    </xf>
    <xf numFmtId="4" fontId="8" fillId="43" borderId="0" xfId="199" applyFont="1" applyFill="1" applyAlignment="1">
      <alignment/>
    </xf>
    <xf numFmtId="9" fontId="54" fillId="0" borderId="0" xfId="369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/>
    </xf>
    <xf numFmtId="42" fontId="7" fillId="0" borderId="27" xfId="0" applyNumberFormat="1" applyFont="1" applyFill="1" applyBorder="1" applyAlignment="1">
      <alignment/>
    </xf>
    <xf numFmtId="5" fontId="7" fillId="0" borderId="0" xfId="246" applyNumberFormat="1" applyFont="1" applyFill="1" applyBorder="1" applyAlignment="1">
      <alignment/>
    </xf>
    <xf numFmtId="194" fontId="8" fillId="0" borderId="35" xfId="0" applyNumberFormat="1" applyFont="1" applyFill="1" applyBorder="1" applyAlignment="1" quotePrefix="1">
      <alignment horizontal="right"/>
    </xf>
    <xf numFmtId="169" fontId="8" fillId="0" borderId="0" xfId="0" applyFont="1" applyFill="1" applyBorder="1" applyAlignment="1">
      <alignment horizontal="right"/>
    </xf>
    <xf numFmtId="22" fontId="7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195" fontId="7" fillId="0" borderId="20" xfId="0" applyNumberFormat="1" applyFont="1" applyFill="1" applyBorder="1" applyAlignment="1">
      <alignment/>
    </xf>
    <xf numFmtId="195" fontId="7" fillId="0" borderId="0" xfId="0" applyNumberFormat="1" applyFont="1" applyFill="1" applyAlignment="1">
      <alignment/>
    </xf>
    <xf numFmtId="0" fontId="11" fillId="0" borderId="21" xfId="0" applyNumberFormat="1" applyFont="1" applyBorder="1" applyAlignment="1">
      <alignment/>
    </xf>
    <xf numFmtId="42" fontId="7" fillId="0" borderId="27" xfId="248" applyNumberFormat="1" applyFont="1" applyFill="1" applyBorder="1" applyAlignment="1">
      <alignment/>
    </xf>
    <xf numFmtId="42" fontId="7" fillId="0" borderId="27" xfId="0" applyNumberFormat="1" applyFont="1" applyFill="1" applyBorder="1" applyAlignment="1">
      <alignment horizontal="right"/>
    </xf>
    <xf numFmtId="42" fontId="7" fillId="0" borderId="27" xfId="246" applyNumberFormat="1" applyFont="1" applyFill="1" applyBorder="1" applyAlignment="1" applyProtection="1">
      <alignment/>
      <protection locked="0"/>
    </xf>
    <xf numFmtId="42" fontId="7" fillId="0" borderId="27" xfId="0" applyNumberFormat="1" applyFont="1" applyFill="1" applyBorder="1" applyAlignment="1" applyProtection="1">
      <alignment/>
      <protection locked="0"/>
    </xf>
    <xf numFmtId="0" fontId="55" fillId="0" borderId="0" xfId="340" applyFont="1" applyFill="1" applyAlignment="1">
      <alignment/>
      <protection/>
    </xf>
    <xf numFmtId="42" fontId="7" fillId="0" borderId="20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2" fontId="7" fillId="0" borderId="0" xfId="454" applyNumberFormat="1" applyFont="1" applyFill="1" applyAlignment="1">
      <alignment horizontal="right"/>
      <protection/>
    </xf>
    <xf numFmtId="42" fontId="7" fillId="0" borderId="20" xfId="454" applyNumberFormat="1" applyFont="1" applyFill="1" applyBorder="1" applyAlignment="1">
      <alignment horizontal="right"/>
      <protection/>
    </xf>
    <xf numFmtId="42" fontId="7" fillId="0" borderId="20" xfId="0" applyNumberFormat="1" applyFont="1" applyFill="1" applyBorder="1" applyAlignment="1">
      <alignment horizontal="right"/>
    </xf>
    <xf numFmtId="42" fontId="7" fillId="0" borderId="21" xfId="0" applyNumberFormat="1" applyFont="1" applyFill="1" applyBorder="1" applyAlignment="1">
      <alignment/>
    </xf>
    <xf numFmtId="42" fontId="7" fillId="0" borderId="0" xfId="452" applyNumberFormat="1" applyFont="1" applyFill="1" applyAlignment="1">
      <alignment/>
      <protection/>
    </xf>
    <xf numFmtId="44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Border="1" applyAlignment="1" applyProtection="1">
      <alignment/>
      <protection locked="0"/>
    </xf>
    <xf numFmtId="42" fontId="7" fillId="0" borderId="0" xfId="199" applyNumberFormat="1" applyFont="1" applyFill="1" applyAlignment="1">
      <alignment/>
    </xf>
    <xf numFmtId="42" fontId="7" fillId="0" borderId="20" xfId="199" applyNumberFormat="1" applyFont="1" applyFill="1" applyBorder="1" applyAlignment="1" applyProtection="1">
      <alignment/>
      <protection locked="0"/>
    </xf>
    <xf numFmtId="42" fontId="7" fillId="0" borderId="20" xfId="199" applyNumberFormat="1" applyFont="1" applyFill="1" applyBorder="1" applyAlignment="1">
      <alignment/>
    </xf>
    <xf numFmtId="42" fontId="7" fillId="0" borderId="0" xfId="201" applyNumberFormat="1" applyFont="1" applyFill="1" applyAlignment="1">
      <alignment/>
    </xf>
    <xf numFmtId="42" fontId="7" fillId="0" borderId="0" xfId="201" applyNumberFormat="1" applyFont="1" applyFill="1" applyAlignment="1">
      <alignment/>
    </xf>
    <xf numFmtId="42" fontId="7" fillId="0" borderId="20" xfId="201" applyNumberFormat="1" applyFont="1" applyFill="1" applyBorder="1" applyAlignment="1">
      <alignment/>
    </xf>
    <xf numFmtId="42" fontId="7" fillId="0" borderId="20" xfId="0" applyNumberFormat="1" applyFont="1" applyFill="1" applyBorder="1" applyAlignment="1">
      <alignment/>
    </xf>
    <xf numFmtId="42" fontId="7" fillId="0" borderId="20" xfId="215" applyNumberFormat="1" applyFont="1" applyFill="1" applyBorder="1" applyAlignment="1">
      <alignment/>
    </xf>
    <xf numFmtId="42" fontId="7" fillId="0" borderId="0" xfId="215" applyNumberFormat="1" applyFont="1" applyFill="1" applyBorder="1" applyAlignment="1">
      <alignment/>
    </xf>
    <xf numFmtId="42" fontId="7" fillId="0" borderId="0" xfId="452" applyNumberFormat="1" applyFont="1" applyFill="1" applyBorder="1" applyAlignment="1">
      <alignment/>
      <protection/>
    </xf>
    <xf numFmtId="178" fontId="7" fillId="0" borderId="20" xfId="246" applyNumberFormat="1" applyFont="1" applyFill="1" applyBorder="1" applyAlignment="1" applyProtection="1">
      <alignment/>
      <protection locked="0"/>
    </xf>
    <xf numFmtId="42" fontId="7" fillId="0" borderId="20" xfId="199" applyNumberFormat="1" applyFont="1" applyFill="1" applyBorder="1" applyAlignment="1">
      <alignment/>
    </xf>
    <xf numFmtId="42" fontId="7" fillId="0" borderId="20" xfId="246" applyNumberFormat="1" applyFont="1" applyFill="1" applyBorder="1" applyAlignment="1" applyProtection="1">
      <alignment/>
      <protection locked="0"/>
    </xf>
    <xf numFmtId="42" fontId="7" fillId="0" borderId="20" xfId="0" applyNumberFormat="1" applyFont="1" applyFill="1" applyBorder="1" applyAlignment="1" applyProtection="1">
      <alignment/>
      <protection locked="0"/>
    </xf>
    <xf numFmtId="178" fontId="7" fillId="0" borderId="20" xfId="253" applyNumberFormat="1" applyFont="1" applyFill="1" applyBorder="1" applyAlignment="1" applyProtection="1">
      <alignment/>
      <protection locked="0"/>
    </xf>
    <xf numFmtId="5" fontId="7" fillId="0" borderId="20" xfId="246" applyNumberFormat="1" applyFont="1" applyFill="1" applyBorder="1" applyAlignment="1">
      <alignment/>
    </xf>
    <xf numFmtId="6" fontId="7" fillId="0" borderId="20" xfId="246" applyNumberFormat="1" applyFont="1" applyFill="1" applyBorder="1" applyAlignment="1">
      <alignment/>
    </xf>
    <xf numFmtId="10" fontId="7" fillId="0" borderId="0" xfId="369" applyNumberFormat="1" applyFont="1" applyFill="1" applyAlignment="1">
      <alignment horizontal="center"/>
    </xf>
    <xf numFmtId="42" fontId="7" fillId="0" borderId="19" xfId="0" applyNumberFormat="1" applyFont="1" applyFill="1" applyBorder="1" applyAlignment="1" applyProtection="1">
      <alignment/>
      <protection locked="0"/>
    </xf>
    <xf numFmtId="42" fontId="7" fillId="0" borderId="19" xfId="215" applyNumberFormat="1" applyFont="1" applyFill="1" applyBorder="1" applyAlignment="1">
      <alignment/>
    </xf>
    <xf numFmtId="42" fontId="22" fillId="0" borderId="4" xfId="0" applyNumberFormat="1" applyFont="1" applyFill="1" applyBorder="1" applyAlignment="1">
      <alignment horizontal="left" wrapText="1"/>
    </xf>
    <xf numFmtId="42" fontId="22" fillId="0" borderId="0" xfId="0" applyNumberFormat="1" applyFont="1" applyFill="1" applyBorder="1" applyAlignment="1">
      <alignment horizontal="left" wrapText="1"/>
    </xf>
    <xf numFmtId="42" fontId="22" fillId="0" borderId="21" xfId="0" applyNumberFormat="1" applyFont="1" applyBorder="1" applyAlignment="1">
      <alignment/>
    </xf>
    <xf numFmtId="42" fontId="22" fillId="0" borderId="0" xfId="201" applyNumberFormat="1" applyFont="1" applyFill="1" applyAlignment="1">
      <alignment/>
    </xf>
    <xf numFmtId="0" fontId="3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9" fontId="8" fillId="0" borderId="20" xfId="0" applyFont="1" applyFill="1" applyBorder="1" applyAlignment="1">
      <alignment horizontal="centerContinuous"/>
    </xf>
    <xf numFmtId="177" fontId="7" fillId="0" borderId="0" xfId="199" applyNumberFormat="1" applyFont="1" applyFill="1" applyAlignment="1">
      <alignment horizontal="right"/>
    </xf>
    <xf numFmtId="169" fontId="22" fillId="0" borderId="0" xfId="0" applyFont="1" applyAlignment="1">
      <alignment horizontal="left" wrapText="1"/>
    </xf>
    <xf numFmtId="14" fontId="8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/>
    </xf>
    <xf numFmtId="3" fontId="56" fillId="0" borderId="0" xfId="0" applyNumberFormat="1" applyFont="1" applyFill="1" applyAlignment="1">
      <alignment/>
    </xf>
    <xf numFmtId="42" fontId="7" fillId="0" borderId="27" xfId="246" applyNumberFormat="1" applyFont="1" applyFill="1" applyBorder="1" applyAlignment="1">
      <alignment/>
    </xf>
    <xf numFmtId="42" fontId="7" fillId="0" borderId="21" xfId="246" applyNumberFormat="1" applyFont="1" applyFill="1" applyBorder="1" applyAlignment="1">
      <alignment horizontal="left"/>
    </xf>
    <xf numFmtId="42" fontId="7" fillId="0" borderId="21" xfId="0" applyNumberFormat="1" applyFont="1" applyFill="1" applyBorder="1" applyAlignment="1">
      <alignment horizontal="left"/>
    </xf>
    <xf numFmtId="171" fontId="7" fillId="0" borderId="21" xfId="0" applyNumberFormat="1" applyFont="1" applyFill="1" applyBorder="1" applyAlignment="1">
      <alignment/>
    </xf>
    <xf numFmtId="171" fontId="7" fillId="0" borderId="21" xfId="0" applyNumberFormat="1" applyFont="1" applyFill="1" applyBorder="1" applyAlignment="1">
      <alignment horizontal="left"/>
    </xf>
    <xf numFmtId="194" fontId="8" fillId="0" borderId="48" xfId="0" applyNumberFormat="1" applyFont="1" applyFill="1" applyBorder="1" applyAlignment="1">
      <alignment/>
    </xf>
    <xf numFmtId="169" fontId="22" fillId="0" borderId="0" xfId="454" applyNumberFormat="1" applyFont="1" applyFill="1" applyAlignment="1">
      <alignment horizontal="left" indent="1"/>
      <protection/>
    </xf>
    <xf numFmtId="178" fontId="22" fillId="0" borderId="0" xfId="246" applyNumberFormat="1" applyFont="1" applyFill="1" applyBorder="1" applyAlignment="1">
      <alignment/>
    </xf>
    <xf numFmtId="178" fontId="22" fillId="0" borderId="4" xfId="246" applyNumberFormat="1" applyFont="1" applyFill="1" applyBorder="1" applyAlignment="1">
      <alignment/>
    </xf>
    <xf numFmtId="42" fontId="22" fillId="0" borderId="0" xfId="0" applyNumberFormat="1" applyFont="1" applyFill="1" applyBorder="1" applyAlignment="1">
      <alignment/>
    </xf>
    <xf numFmtId="169" fontId="22" fillId="0" borderId="0" xfId="454" applyNumberFormat="1" applyFont="1" applyFill="1" applyAlignment="1">
      <alignment horizontal="left"/>
      <protection/>
    </xf>
    <xf numFmtId="42" fontId="22" fillId="0" borderId="4" xfId="246" applyNumberFormat="1" applyFont="1" applyFill="1" applyBorder="1" applyAlignment="1">
      <alignment horizontal="right"/>
    </xf>
    <xf numFmtId="169" fontId="22" fillId="0" borderId="0" xfId="0" applyFont="1" applyFill="1" applyAlignment="1">
      <alignment/>
    </xf>
    <xf numFmtId="42" fontId="22" fillId="0" borderId="0" xfId="246" applyNumberFormat="1" applyFont="1" applyFill="1" applyBorder="1" applyAlignment="1">
      <alignment horizontal="right"/>
    </xf>
    <xf numFmtId="41" fontId="22" fillId="0" borderId="0" xfId="0" applyNumberFormat="1" applyFont="1" applyFill="1" applyAlignment="1">
      <alignment/>
    </xf>
    <xf numFmtId="42" fontId="22" fillId="0" borderId="0" xfId="0" applyNumberFormat="1" applyFont="1" applyFill="1" applyBorder="1" applyAlignment="1">
      <alignment horizontal="right"/>
    </xf>
    <xf numFmtId="42" fontId="22" fillId="0" borderId="0" xfId="246" applyNumberFormat="1" applyFont="1" applyFill="1" applyBorder="1" applyAlignment="1">
      <alignment/>
    </xf>
    <xf numFmtId="41" fontId="22" fillId="0" borderId="21" xfId="0" applyNumberFormat="1" applyFont="1" applyFill="1" applyBorder="1" applyAlignment="1">
      <alignment/>
    </xf>
    <xf numFmtId="37" fontId="22" fillId="0" borderId="0" xfId="0" applyNumberFormat="1" applyFont="1" applyFill="1" applyBorder="1" applyAlignment="1">
      <alignment/>
    </xf>
    <xf numFmtId="42" fontId="22" fillId="0" borderId="21" xfId="0" applyNumberFormat="1" applyFont="1" applyFill="1" applyBorder="1" applyAlignment="1">
      <alignment/>
    </xf>
    <xf numFmtId="37" fontId="22" fillId="0" borderId="0" xfId="0" applyNumberFormat="1" applyFont="1" applyFill="1" applyAlignment="1">
      <alignment/>
    </xf>
    <xf numFmtId="42" fontId="22" fillId="0" borderId="19" xfId="246" applyNumberFormat="1" applyFont="1" applyFill="1" applyBorder="1" applyAlignment="1">
      <alignment/>
    </xf>
    <xf numFmtId="1" fontId="11" fillId="0" borderId="0" xfId="0" applyNumberFormat="1" applyFont="1" applyBorder="1" applyAlignment="1">
      <alignment horizontal="right"/>
    </xf>
    <xf numFmtId="169" fontId="11" fillId="0" borderId="0" xfId="0" applyFont="1" applyAlignment="1">
      <alignment horizontal="left"/>
    </xf>
    <xf numFmtId="169" fontId="11" fillId="0" borderId="0" xfId="0" applyFont="1" applyFill="1" applyBorder="1" applyAlignment="1">
      <alignment horizontal="left"/>
    </xf>
    <xf numFmtId="169" fontId="11" fillId="0" borderId="0" xfId="0" applyFont="1" applyAlignment="1">
      <alignment horizontal="left" wrapText="1"/>
    </xf>
    <xf numFmtId="169" fontId="11" fillId="0" borderId="0" xfId="0" applyFont="1" applyAlignment="1" quotePrefix="1">
      <alignment vertical="top"/>
    </xf>
    <xf numFmtId="169" fontId="11" fillId="0" borderId="0" xfId="0" applyFont="1" applyAlignment="1">
      <alignment vertical="top" wrapText="1"/>
    </xf>
    <xf numFmtId="169" fontId="11" fillId="0" borderId="0" xfId="0" applyFont="1" applyFill="1" applyAlignment="1">
      <alignment vertical="top"/>
    </xf>
    <xf numFmtId="42" fontId="30" fillId="0" borderId="0" xfId="0" applyNumberFormat="1" applyFont="1" applyFill="1" applyBorder="1" applyAlignment="1">
      <alignment horizontal="center"/>
    </xf>
    <xf numFmtId="41" fontId="30" fillId="0" borderId="0" xfId="0" applyNumberFormat="1" applyFont="1" applyFill="1" applyBorder="1" applyAlignment="1">
      <alignment horizontal="center"/>
    </xf>
    <xf numFmtId="42" fontId="0" fillId="0" borderId="21" xfId="0" applyNumberFormat="1" applyFill="1" applyBorder="1" applyAlignment="1">
      <alignment horizontal="left" wrapText="1"/>
    </xf>
    <xf numFmtId="42" fontId="0" fillId="0" borderId="0" xfId="0" applyNumberFormat="1" applyFill="1" applyBorder="1" applyAlignment="1">
      <alignment horizontal="left" wrapText="1"/>
    </xf>
    <xf numFmtId="42" fontId="11" fillId="0" borderId="21" xfId="0" applyNumberFormat="1" applyFont="1" applyFill="1" applyBorder="1" applyAlignment="1">
      <alignment horizontal="left" wrapText="1"/>
    </xf>
    <xf numFmtId="42" fontId="49" fillId="0" borderId="0" xfId="0" applyNumberFormat="1" applyFont="1" applyFill="1" applyBorder="1" applyAlignment="1">
      <alignment horizontal="center"/>
    </xf>
    <xf numFmtId="41" fontId="49" fillId="0" borderId="0" xfId="0" applyNumberFormat="1" applyFont="1" applyFill="1" applyAlignment="1">
      <alignment horizontal="left" wrapText="1"/>
    </xf>
    <xf numFmtId="41" fontId="49" fillId="0" borderId="0" xfId="0" applyNumberFormat="1" applyFont="1" applyFill="1" applyBorder="1" applyAlignment="1">
      <alignment horizontal="center"/>
    </xf>
    <xf numFmtId="169" fontId="36" fillId="0" borderId="0" xfId="0" applyFont="1" applyFill="1" applyBorder="1" applyAlignment="1">
      <alignment horizontal="center"/>
    </xf>
    <xf numFmtId="169" fontId="0" fillId="0" borderId="0" xfId="0" applyFill="1" applyBorder="1" applyAlignment="1">
      <alignment horizontal="center"/>
    </xf>
    <xf numFmtId="169" fontId="11" fillId="0" borderId="0" xfId="0" applyFont="1" applyFill="1" applyBorder="1" applyAlignment="1">
      <alignment horizontal="center"/>
    </xf>
    <xf numFmtId="169" fontId="11" fillId="0" borderId="0" xfId="0" applyFont="1" applyBorder="1" applyAlignment="1">
      <alignment horizontal="center"/>
    </xf>
    <xf numFmtId="169" fontId="36" fillId="0" borderId="20" xfId="0" applyFont="1" applyFill="1" applyBorder="1" applyAlignment="1">
      <alignment horizontal="center"/>
    </xf>
    <xf numFmtId="169" fontId="11" fillId="0" borderId="20" xfId="0" applyFont="1" applyBorder="1" applyAlignment="1">
      <alignment horizontal="center"/>
    </xf>
    <xf numFmtId="169" fontId="11" fillId="0" borderId="0" xfId="0" applyFont="1" applyFill="1" applyAlignment="1">
      <alignment horizontal="center"/>
    </xf>
    <xf numFmtId="169" fontId="11" fillId="0" borderId="0" xfId="0" applyFont="1" applyAlignment="1">
      <alignment horizontal="center"/>
    </xf>
    <xf numFmtId="169" fontId="11" fillId="0" borderId="0" xfId="0" applyFont="1" applyAlignment="1">
      <alignment horizontal="left" wrapText="1"/>
    </xf>
    <xf numFmtId="42" fontId="11" fillId="0" borderId="0" xfId="0" applyNumberFormat="1" applyFont="1" applyAlignment="1">
      <alignment horizontal="left" wrapText="1"/>
    </xf>
    <xf numFmtId="169" fontId="11" fillId="0" borderId="0" xfId="0" applyFont="1" applyFill="1" applyBorder="1" applyAlignment="1">
      <alignment horizontal="center"/>
    </xf>
    <xf numFmtId="169" fontId="11" fillId="0" borderId="0" xfId="0" applyFont="1" applyBorder="1" applyAlignment="1">
      <alignment horizontal="center"/>
    </xf>
    <xf numFmtId="169" fontId="11" fillId="0" borderId="0" xfId="0" applyFont="1" applyFill="1" applyAlignment="1">
      <alignment horizontal="center"/>
    </xf>
    <xf numFmtId="169" fontId="11" fillId="0" borderId="0" xfId="0" applyFont="1" applyFill="1" applyBorder="1" applyAlignment="1" quotePrefix="1">
      <alignment horizontal="center"/>
    </xf>
    <xf numFmtId="169" fontId="11" fillId="0" borderId="2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center"/>
    </xf>
    <xf numFmtId="169" fontId="0" fillId="0" borderId="0" xfId="0" applyFont="1" applyFill="1" applyBorder="1" applyAlignment="1">
      <alignment horizontal="center"/>
    </xf>
    <xf numFmtId="42" fontId="57" fillId="0" borderId="0" xfId="0" applyNumberFormat="1" applyFont="1" applyFill="1" applyBorder="1" applyAlignment="1">
      <alignment horizontal="center"/>
    </xf>
    <xf numFmtId="41" fontId="57" fillId="0" borderId="0" xfId="0" applyNumberFormat="1" applyFont="1" applyFill="1" applyBorder="1" applyAlignment="1">
      <alignment horizontal="center"/>
    </xf>
    <xf numFmtId="41" fontId="36" fillId="0" borderId="0" xfId="0" applyNumberFormat="1" applyFont="1" applyFill="1" applyBorder="1" applyAlignment="1">
      <alignment horizontal="center"/>
    </xf>
    <xf numFmtId="42" fontId="36" fillId="0" borderId="21" xfId="0" applyNumberFormat="1" applyFont="1" applyFill="1" applyBorder="1" applyAlignment="1">
      <alignment horizontal="left" wrapText="1"/>
    </xf>
    <xf numFmtId="42" fontId="1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2" fontId="11" fillId="0" borderId="21" xfId="0" applyNumberFormat="1" applyFont="1" applyFill="1" applyBorder="1" applyAlignment="1">
      <alignment horizontal="left" wrapText="1"/>
    </xf>
    <xf numFmtId="42" fontId="11" fillId="0" borderId="21" xfId="0" applyNumberFormat="1" applyFont="1" applyFill="1" applyBorder="1" applyAlignment="1">
      <alignment horizontal="left" wrapText="1"/>
    </xf>
    <xf numFmtId="169" fontId="0" fillId="0" borderId="0" xfId="0" applyBorder="1" applyAlignment="1">
      <alignment horizontal="left" wrapText="1"/>
    </xf>
    <xf numFmtId="42" fontId="11" fillId="0" borderId="20" xfId="0" applyNumberFormat="1" applyFont="1" applyBorder="1" applyAlignment="1">
      <alignment horizontal="center"/>
    </xf>
    <xf numFmtId="42" fontId="11" fillId="0" borderId="0" xfId="0" applyNumberFormat="1" applyFont="1" applyFill="1" applyBorder="1" applyAlignment="1">
      <alignment horizontal="left" wrapText="1"/>
    </xf>
    <xf numFmtId="41" fontId="11" fillId="0" borderId="0" xfId="0" applyNumberFormat="1" applyFont="1" applyFill="1" applyBorder="1" applyAlignment="1">
      <alignment horizontal="left" wrapText="1"/>
    </xf>
    <xf numFmtId="41" fontId="57" fillId="0" borderId="0" xfId="0" applyNumberFormat="1" applyFont="1" applyFill="1" applyAlignment="1">
      <alignment horizontal="left" wrapText="1"/>
    </xf>
    <xf numFmtId="41" fontId="36" fillId="0" borderId="0" xfId="0" applyNumberFormat="1" applyFont="1" applyFill="1" applyBorder="1" applyAlignment="1">
      <alignment horizontal="left" wrapText="1"/>
    </xf>
    <xf numFmtId="41" fontId="30" fillId="0" borderId="0" xfId="0" applyNumberFormat="1" applyFont="1" applyFill="1" applyAlignment="1">
      <alignment horizontal="left" wrapText="1"/>
    </xf>
    <xf numFmtId="44" fontId="30" fillId="0" borderId="0" xfId="0" applyNumberFormat="1" applyFont="1" applyFill="1" applyAlignment="1">
      <alignment horizontal="left" wrapText="1"/>
    </xf>
    <xf numFmtId="42" fontId="49" fillId="0" borderId="0" xfId="0" applyNumberFormat="1" applyFont="1" applyFill="1" applyAlignment="1">
      <alignment horizontal="left" wrapText="1"/>
    </xf>
    <xf numFmtId="42" fontId="30" fillId="0" borderId="0" xfId="0" applyNumberFormat="1" applyFont="1" applyFill="1" applyAlignment="1">
      <alignment horizontal="left" wrapText="1"/>
    </xf>
    <xf numFmtId="42" fontId="36" fillId="0" borderId="0" xfId="0" applyNumberFormat="1" applyFont="1" applyFill="1" applyBorder="1" applyAlignment="1">
      <alignment horizontal="left" wrapText="1"/>
    </xf>
    <xf numFmtId="42" fontId="30" fillId="0" borderId="0" xfId="0" applyNumberFormat="1" applyFont="1" applyFill="1" applyBorder="1" applyAlignment="1">
      <alignment horizontal="left" wrapText="1"/>
    </xf>
    <xf numFmtId="42" fontId="11" fillId="0" borderId="0" xfId="336" applyNumberFormat="1" applyFont="1" applyFill="1" applyBorder="1">
      <alignment/>
      <protection/>
    </xf>
    <xf numFmtId="42" fontId="11" fillId="0" borderId="0" xfId="336" applyNumberFormat="1" applyFont="1" applyBorder="1">
      <alignment/>
      <protection/>
    </xf>
    <xf numFmtId="42" fontId="11" fillId="0" borderId="0" xfId="0" applyNumberFormat="1" applyFont="1" applyFill="1" applyBorder="1" applyAlignment="1">
      <alignment horizontal="left" wrapText="1"/>
    </xf>
    <xf numFmtId="169" fontId="11" fillId="0" borderId="0" xfId="0" applyFont="1" applyFill="1" applyAlignment="1">
      <alignment horizontal="left" wrapText="1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2" fontId="11" fillId="0" borderId="0" xfId="0" applyNumberFormat="1" applyFont="1" applyFill="1" applyBorder="1" applyAlignment="1">
      <alignment horizontal="left" wrapText="1"/>
    </xf>
    <xf numFmtId="42" fontId="11" fillId="0" borderId="0" xfId="0" applyNumberFormat="1" applyFont="1" applyBorder="1" applyAlignment="1">
      <alignment horizontal="left" wrapText="1"/>
    </xf>
    <xf numFmtId="42" fontId="11" fillId="0" borderId="0" xfId="336" applyNumberFormat="1" applyFont="1" applyFill="1" applyBorder="1">
      <alignment/>
      <protection/>
    </xf>
    <xf numFmtId="41" fontId="11" fillId="0" borderId="0" xfId="336" applyNumberFormat="1" applyFont="1" applyFill="1">
      <alignment/>
      <protection/>
    </xf>
    <xf numFmtId="41" fontId="11" fillId="0" borderId="0" xfId="336" applyNumberFormat="1" applyFont="1">
      <alignment/>
      <protection/>
    </xf>
    <xf numFmtId="0" fontId="11" fillId="0" borderId="0" xfId="336" applyFont="1">
      <alignment/>
      <protection/>
    </xf>
    <xf numFmtId="41" fontId="11" fillId="0" borderId="0" xfId="336" applyNumberFormat="1" applyFont="1" applyBorder="1">
      <alignment/>
      <protection/>
    </xf>
    <xf numFmtId="0" fontId="11" fillId="0" borderId="0" xfId="336" applyAlignment="1" applyProtection="1">
      <alignment horizontal="centerContinuous"/>
      <protection locked="0"/>
    </xf>
    <xf numFmtId="0" fontId="49" fillId="0" borderId="0" xfId="336" applyFont="1" applyAlignment="1" applyProtection="1">
      <alignment horizontal="centerContinuous"/>
      <protection locked="0"/>
    </xf>
    <xf numFmtId="0" fontId="11" fillId="0" borderId="0" xfId="336" applyFill="1" applyAlignment="1" applyProtection="1">
      <alignment horizontal="centerContinuous"/>
      <protection locked="0"/>
    </xf>
    <xf numFmtId="0" fontId="11" fillId="0" borderId="0" xfId="336" applyBorder="1" applyAlignment="1" applyProtection="1">
      <alignment horizontal="left"/>
      <protection locked="0"/>
    </xf>
    <xf numFmtId="0" fontId="11" fillId="0" borderId="0" xfId="336" applyProtection="1">
      <alignment/>
      <protection locked="0"/>
    </xf>
    <xf numFmtId="0" fontId="11" fillId="0" borderId="0" xfId="336" applyBorder="1" applyProtection="1">
      <alignment/>
      <protection locked="0"/>
    </xf>
    <xf numFmtId="0" fontId="11" fillId="0" borderId="0" xfId="336" applyFill="1" applyBorder="1" applyAlignment="1" applyProtection="1">
      <alignment horizontal="centerContinuous"/>
      <protection locked="0"/>
    </xf>
    <xf numFmtId="41" fontId="11" fillId="0" borderId="0" xfId="336" applyNumberFormat="1" applyFill="1" applyAlignment="1" applyProtection="1">
      <alignment horizontal="left"/>
      <protection locked="0"/>
    </xf>
    <xf numFmtId="0" fontId="11" fillId="0" borderId="0" xfId="336" applyBorder="1" applyAlignment="1" applyProtection="1">
      <alignment horizontal="centerContinuous"/>
      <protection locked="0"/>
    </xf>
    <xf numFmtId="0" fontId="21" fillId="0" borderId="0" xfId="336" applyFont="1" applyBorder="1" applyAlignment="1" applyProtection="1">
      <alignment horizontal="left"/>
      <protection locked="0"/>
    </xf>
    <xf numFmtId="0" fontId="11" fillId="0" borderId="0" xfId="336" applyFill="1" applyAlignment="1" applyProtection="1">
      <alignment/>
      <protection locked="0"/>
    </xf>
    <xf numFmtId="0" fontId="11" fillId="0" borderId="0" xfId="336" applyFont="1" applyProtection="1">
      <alignment/>
      <protection locked="0"/>
    </xf>
    <xf numFmtId="0" fontId="11" fillId="0" borderId="0" xfId="336" applyFont="1" applyFill="1" applyProtection="1">
      <alignment/>
      <protection locked="0"/>
    </xf>
    <xf numFmtId="0" fontId="11" fillId="0" borderId="0" xfId="336" applyFont="1" applyBorder="1" applyProtection="1">
      <alignment/>
      <protection locked="0"/>
    </xf>
    <xf numFmtId="0" fontId="11" fillId="0" borderId="0" xfId="336" applyFont="1" applyFill="1" applyBorder="1" applyAlignment="1" applyProtection="1">
      <alignment horizontal="center"/>
      <protection locked="0"/>
    </xf>
    <xf numFmtId="0" fontId="11" fillId="0" borderId="0" xfId="336" applyFont="1" applyBorder="1" applyAlignment="1" applyProtection="1">
      <alignment horizontal="center"/>
      <protection locked="0"/>
    </xf>
    <xf numFmtId="0" fontId="11" fillId="0" borderId="0" xfId="336" applyFont="1" applyBorder="1" applyAlignment="1" applyProtection="1">
      <alignment horizontal="left"/>
      <protection locked="0"/>
    </xf>
    <xf numFmtId="0" fontId="11" fillId="0" borderId="0" xfId="336" applyFont="1" applyBorder="1" applyAlignment="1" applyProtection="1">
      <alignment/>
      <protection locked="0"/>
    </xf>
    <xf numFmtId="0" fontId="11" fillId="0" borderId="20" xfId="336" applyFont="1" applyBorder="1" applyAlignment="1" applyProtection="1">
      <alignment horizontal="center"/>
      <protection locked="0"/>
    </xf>
    <xf numFmtId="37" fontId="11" fillId="0" borderId="0" xfId="336" applyNumberFormat="1" applyFont="1" applyFill="1" applyProtection="1">
      <alignment/>
      <protection locked="0"/>
    </xf>
    <xf numFmtId="0" fontId="11" fillId="0" borderId="0" xfId="336" applyFont="1" applyFill="1" applyBorder="1" applyAlignment="1" applyProtection="1">
      <alignment/>
      <protection locked="0"/>
    </xf>
    <xf numFmtId="0" fontId="11" fillId="0" borderId="0" xfId="336" applyFont="1" applyFill="1" applyAlignment="1" applyProtection="1">
      <alignment horizontal="left"/>
      <protection locked="0"/>
    </xf>
    <xf numFmtId="42" fontId="11" fillId="0" borderId="0" xfId="371" applyNumberFormat="1" applyFont="1" applyFill="1" applyBorder="1" applyAlignment="1" applyProtection="1">
      <alignment/>
      <protection locked="0"/>
    </xf>
    <xf numFmtId="42" fontId="11" fillId="0" borderId="0" xfId="336" applyNumberFormat="1" applyFont="1" applyFill="1" applyBorder="1" applyProtection="1">
      <alignment/>
      <protection locked="0"/>
    </xf>
    <xf numFmtId="42" fontId="11" fillId="0" borderId="0" xfId="336" applyNumberFormat="1" applyFont="1" applyFill="1" applyProtection="1">
      <alignment/>
      <protection locked="0"/>
    </xf>
    <xf numFmtId="0" fontId="11" fillId="0" borderId="0" xfId="336" applyFont="1" applyFill="1" applyBorder="1" applyProtection="1">
      <alignment/>
      <protection locked="0"/>
    </xf>
    <xf numFmtId="42" fontId="49" fillId="0" borderId="0" xfId="336" applyNumberFormat="1" applyFont="1" applyFill="1" applyProtection="1">
      <alignment/>
      <protection locked="0"/>
    </xf>
    <xf numFmtId="42" fontId="49" fillId="0" borderId="0" xfId="336" applyNumberFormat="1" applyFont="1" applyFill="1" applyBorder="1" applyProtection="1">
      <alignment/>
      <protection locked="0"/>
    </xf>
    <xf numFmtId="0" fontId="11" fillId="0" borderId="0" xfId="336" applyFill="1" applyProtection="1">
      <alignment/>
      <protection locked="0"/>
    </xf>
    <xf numFmtId="0" fontId="11" fillId="0" borderId="0" xfId="336" applyFill="1" applyAlignment="1" applyProtection="1">
      <alignment horizontal="left"/>
      <protection locked="0"/>
    </xf>
    <xf numFmtId="42" fontId="11" fillId="0" borderId="0" xfId="336" applyNumberFormat="1" applyFill="1" applyBorder="1" applyProtection="1">
      <alignment/>
      <protection locked="0"/>
    </xf>
    <xf numFmtId="0" fontId="11" fillId="0" borderId="0" xfId="336" applyFill="1" applyBorder="1" applyProtection="1">
      <alignment/>
      <protection locked="0"/>
    </xf>
    <xf numFmtId="0" fontId="11" fillId="0" borderId="0" xfId="336" applyAlignment="1" applyProtection="1">
      <alignment horizontal="left"/>
      <protection locked="0"/>
    </xf>
    <xf numFmtId="42" fontId="11" fillId="0" borderId="0" xfId="336" applyNumberFormat="1" applyBorder="1" applyProtection="1">
      <alignment/>
      <protection locked="0"/>
    </xf>
    <xf numFmtId="0" fontId="21" fillId="0" borderId="0" xfId="336" applyFont="1" applyAlignment="1" applyProtection="1">
      <alignment horizontal="left"/>
      <protection locked="0"/>
    </xf>
    <xf numFmtId="42" fontId="11" fillId="0" borderId="0" xfId="336" applyNumberFormat="1" applyFont="1" applyBorder="1" applyProtection="1">
      <alignment/>
      <protection locked="0"/>
    </xf>
    <xf numFmtId="37" fontId="11" fillId="0" borderId="0" xfId="336" applyNumberFormat="1" applyFont="1" applyProtection="1">
      <alignment/>
      <protection locked="0"/>
    </xf>
    <xf numFmtId="41" fontId="11" fillId="0" borderId="0" xfId="336" applyNumberFormat="1" applyFill="1" applyProtection="1">
      <alignment/>
      <protection locked="0"/>
    </xf>
    <xf numFmtId="41" fontId="11" fillId="0" borderId="0" xfId="336" applyNumberFormat="1" applyProtection="1">
      <alignment/>
      <protection locked="0"/>
    </xf>
    <xf numFmtId="41" fontId="11" fillId="0" borderId="0" xfId="336" applyNumberFormat="1" applyBorder="1" applyProtection="1">
      <alignment/>
      <protection locked="0"/>
    </xf>
    <xf numFmtId="0" fontId="11" fillId="0" borderId="0" xfId="336" applyFill="1" applyAlignment="1" applyProtection="1">
      <alignment vertical="top"/>
      <protection locked="0"/>
    </xf>
    <xf numFmtId="42" fontId="11" fillId="0" borderId="0" xfId="336" applyNumberFormat="1" applyProtection="1">
      <alignment/>
      <protection locked="0"/>
    </xf>
    <xf numFmtId="0" fontId="30" fillId="0" borderId="0" xfId="336" applyFont="1" applyAlignment="1" applyProtection="1">
      <alignment/>
      <protection locked="0"/>
    </xf>
    <xf numFmtId="169" fontId="11" fillId="0" borderId="0" xfId="0" applyFont="1" applyFill="1" applyAlignment="1">
      <alignment horizontal="left"/>
    </xf>
    <xf numFmtId="169" fontId="11" fillId="0" borderId="2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center"/>
    </xf>
    <xf numFmtId="169" fontId="11" fillId="0" borderId="0" xfId="0" applyFont="1" applyFill="1" applyBorder="1" applyAlignment="1" quotePrefix="1">
      <alignment horizontal="center"/>
    </xf>
    <xf numFmtId="42" fontId="11" fillId="0" borderId="0" xfId="0" applyNumberFormat="1" applyFont="1" applyFill="1" applyAlignment="1">
      <alignment horizontal="left" wrapText="1"/>
    </xf>
    <xf numFmtId="42" fontId="49" fillId="0" borderId="0" xfId="0" applyNumberFormat="1" applyFont="1" applyFill="1" applyBorder="1" applyAlignment="1">
      <alignment horizontal="left" wrapText="1"/>
    </xf>
    <xf numFmtId="169" fontId="21" fillId="0" borderId="0" xfId="0" applyFont="1" applyAlignment="1">
      <alignment horizontal="left"/>
    </xf>
    <xf numFmtId="42" fontId="0" fillId="0" borderId="0" xfId="0" applyNumberFormat="1" applyFill="1" applyBorder="1" applyAlignment="1">
      <alignment horizontal="center"/>
    </xf>
    <xf numFmtId="42" fontId="11" fillId="0" borderId="0" xfId="0" applyNumberFormat="1" applyFont="1" applyAlignment="1">
      <alignment horizontal="left" wrapText="1"/>
    </xf>
    <xf numFmtId="41" fontId="11" fillId="0" borderId="0" xfId="0" applyNumberFormat="1" applyFont="1" applyAlignment="1">
      <alignment horizontal="left" wrapText="1"/>
    </xf>
    <xf numFmtId="42" fontId="11" fillId="0" borderId="21" xfId="0" applyNumberFormat="1" applyFont="1" applyBorder="1" applyAlignment="1">
      <alignment horizontal="left" wrapText="1"/>
    </xf>
    <xf numFmtId="169" fontId="0" fillId="0" borderId="0" xfId="0" applyAlignment="1">
      <alignment horizontal="left" wrapText="1"/>
    </xf>
    <xf numFmtId="41" fontId="0" fillId="0" borderId="0" xfId="0" applyNumberFormat="1" applyFill="1" applyAlignment="1">
      <alignment horizontal="left" wrapText="1"/>
    </xf>
    <xf numFmtId="41" fontId="0" fillId="0" borderId="0" xfId="0" applyNumberFormat="1" applyAlignment="1">
      <alignment horizontal="left" wrapText="1"/>
    </xf>
    <xf numFmtId="205" fontId="0" fillId="0" borderId="0" xfId="0" applyNumberFormat="1" applyAlignment="1">
      <alignment horizontal="left" wrapText="1"/>
    </xf>
    <xf numFmtId="169" fontId="0" fillId="0" borderId="0" xfId="0" applyFill="1" applyAlignment="1">
      <alignment horizontal="left" wrapText="1"/>
    </xf>
    <xf numFmtId="0" fontId="50" fillId="0" borderId="28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/>
    </xf>
    <xf numFmtId="0" fontId="5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42" fontId="22" fillId="0" borderId="27" xfId="246" applyNumberFormat="1" applyFont="1" applyFill="1" applyBorder="1" applyAlignment="1">
      <alignment/>
    </xf>
    <xf numFmtId="0" fontId="22" fillId="0" borderId="0" xfId="0" applyNumberFormat="1" applyFont="1" applyAlignment="1">
      <alignment/>
    </xf>
    <xf numFmtId="42" fontId="22" fillId="0" borderId="27" xfId="246" applyNumberFormat="1" applyFont="1" applyFill="1" applyBorder="1" applyAlignment="1" applyProtection="1">
      <alignment/>
      <protection/>
    </xf>
    <xf numFmtId="42" fontId="22" fillId="0" borderId="27" xfId="0" applyNumberFormat="1" applyFont="1" applyFill="1" applyBorder="1" applyAlignment="1">
      <alignment/>
    </xf>
    <xf numFmtId="41" fontId="49" fillId="0" borderId="20" xfId="0" applyNumberFormat="1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11" fillId="0" borderId="20" xfId="0" applyNumberFormat="1" applyFont="1" applyFill="1" applyBorder="1" applyAlignment="1">
      <alignment horizontal="center"/>
    </xf>
    <xf numFmtId="42" fontId="49" fillId="0" borderId="0" xfId="0" applyNumberFormat="1" applyFont="1" applyBorder="1" applyAlignment="1">
      <alignment horizontal="left" wrapText="1"/>
    </xf>
    <xf numFmtId="41" fontId="49" fillId="0" borderId="0" xfId="0" applyNumberFormat="1" applyFont="1" applyBorder="1" applyAlignment="1">
      <alignment horizontal="left" wrapText="1"/>
    </xf>
    <xf numFmtId="41" fontId="49" fillId="0" borderId="20" xfId="0" applyNumberFormat="1" applyFont="1" applyBorder="1" applyAlignment="1">
      <alignment horizontal="left" wrapText="1"/>
    </xf>
    <xf numFmtId="37" fontId="11" fillId="0" borderId="20" xfId="336" applyNumberFormat="1" applyFont="1" applyFill="1" applyBorder="1" applyProtection="1">
      <alignment/>
      <protection locked="0"/>
    </xf>
    <xf numFmtId="42" fontId="22" fillId="0" borderId="0" xfId="246" applyNumberFormat="1" applyFont="1" applyFill="1" applyAlignment="1">
      <alignment/>
    </xf>
    <xf numFmtId="42" fontId="22" fillId="0" borderId="21" xfId="246" applyNumberFormat="1" applyFont="1" applyFill="1" applyBorder="1" applyAlignment="1" applyProtection="1">
      <alignment/>
      <protection locked="0"/>
    </xf>
    <xf numFmtId="42" fontId="22" fillId="0" borderId="21" xfId="246" applyNumberFormat="1" applyFont="1" applyFill="1" applyBorder="1" applyAlignment="1">
      <alignment/>
    </xf>
    <xf numFmtId="41" fontId="22" fillId="0" borderId="0" xfId="0" applyNumberFormat="1" applyFont="1" applyFill="1" applyAlignment="1">
      <alignment vertical="center"/>
    </xf>
    <xf numFmtId="42" fontId="22" fillId="0" borderId="21" xfId="0" applyNumberFormat="1" applyFont="1" applyFill="1" applyBorder="1" applyAlignment="1">
      <alignment horizontal="left"/>
    </xf>
    <xf numFmtId="42" fontId="22" fillId="0" borderId="27" xfId="246" applyNumberFormat="1" applyFont="1" applyFill="1" applyBorder="1" applyAlignment="1" applyProtection="1">
      <alignment/>
      <protection locked="0"/>
    </xf>
    <xf numFmtId="42" fontId="22" fillId="0" borderId="0" xfId="246" applyNumberFormat="1" applyFont="1" applyFill="1" applyAlignment="1">
      <alignment horizontal="right"/>
    </xf>
    <xf numFmtId="10" fontId="22" fillId="0" borderId="20" xfId="0" applyNumberFormat="1" applyFont="1" applyFill="1" applyBorder="1" applyAlignment="1">
      <alignment/>
    </xf>
    <xf numFmtId="42" fontId="22" fillId="0" borderId="0" xfId="0" applyNumberFormat="1" applyFont="1" applyFill="1" applyAlignment="1">
      <alignment/>
    </xf>
    <xf numFmtId="42" fontId="22" fillId="0" borderId="20" xfId="0" applyNumberFormat="1" applyFont="1" applyFill="1" applyBorder="1" applyAlignment="1">
      <alignment/>
    </xf>
    <xf numFmtId="42" fontId="22" fillId="0" borderId="19" xfId="246" applyNumberFormat="1" applyFont="1" applyFill="1" applyBorder="1" applyAlignment="1">
      <alignment horizontal="right"/>
    </xf>
    <xf numFmtId="10" fontId="22" fillId="0" borderId="0" xfId="0" applyNumberFormat="1" applyFont="1" applyFill="1" applyAlignment="1" applyProtection="1">
      <alignment/>
      <protection locked="0"/>
    </xf>
    <xf numFmtId="10" fontId="22" fillId="0" borderId="0" xfId="0" applyNumberFormat="1" applyFont="1" applyFill="1" applyAlignment="1">
      <alignment/>
    </xf>
    <xf numFmtId="10" fontId="22" fillId="0" borderId="21" xfId="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37" fontId="22" fillId="0" borderId="0" xfId="199" applyNumberFormat="1" applyFont="1" applyFill="1" applyAlignment="1">
      <alignment/>
    </xf>
    <xf numFmtId="42" fontId="22" fillId="0" borderId="0" xfId="246" applyNumberFormat="1" applyFont="1" applyFill="1" applyBorder="1" applyAlignment="1" applyProtection="1">
      <alignment/>
      <protection locked="0"/>
    </xf>
    <xf numFmtId="5" fontId="22" fillId="0" borderId="0" xfId="0" applyNumberFormat="1" applyFont="1" applyFill="1" applyAlignment="1">
      <alignment/>
    </xf>
    <xf numFmtId="42" fontId="22" fillId="0" borderId="27" xfId="246" applyNumberFormat="1" applyFont="1" applyFill="1" applyBorder="1" applyAlignment="1" applyProtection="1">
      <alignment vertical="top"/>
      <protection/>
    </xf>
    <xf numFmtId="41" fontId="22" fillId="0" borderId="0" xfId="0" applyNumberFormat="1" applyFont="1" applyFill="1" applyAlignment="1">
      <alignment horizontal="right"/>
    </xf>
    <xf numFmtId="41" fontId="22" fillId="0" borderId="20" xfId="0" applyNumberFormat="1" applyFont="1" applyFill="1" applyBorder="1" applyAlignment="1">
      <alignment horizontal="right"/>
    </xf>
    <xf numFmtId="42" fontId="22" fillId="0" borderId="0" xfId="0" applyNumberFormat="1" applyFont="1" applyFill="1" applyAlignment="1">
      <alignment horizontal="left"/>
    </xf>
    <xf numFmtId="41" fontId="22" fillId="0" borderId="0" xfId="0" applyNumberFormat="1" applyFont="1" applyFill="1" applyAlignment="1" applyProtection="1">
      <alignment/>
      <protection locked="0"/>
    </xf>
    <xf numFmtId="42" fontId="22" fillId="0" borderId="21" xfId="246" applyNumberFormat="1" applyFont="1" applyFill="1" applyBorder="1" applyAlignment="1" applyProtection="1">
      <alignment horizontal="left"/>
      <protection locked="0"/>
    </xf>
    <xf numFmtId="41" fontId="22" fillId="0" borderId="20" xfId="0" applyNumberFormat="1" applyFont="1" applyFill="1" applyBorder="1" applyAlignment="1">
      <alignment/>
    </xf>
    <xf numFmtId="171" fontId="22" fillId="0" borderId="21" xfId="0" applyNumberFormat="1" applyFont="1" applyFill="1" applyBorder="1" applyAlignment="1">
      <alignment/>
    </xf>
    <xf numFmtId="171" fontId="22" fillId="0" borderId="0" xfId="0" applyNumberFormat="1" applyFont="1" applyFill="1" applyAlignment="1">
      <alignment/>
    </xf>
    <xf numFmtId="0" fontId="22" fillId="0" borderId="21" xfId="0" applyNumberFormat="1" applyFont="1" applyFill="1" applyBorder="1" applyAlignment="1">
      <alignment/>
    </xf>
    <xf numFmtId="10" fontId="22" fillId="0" borderId="20" xfId="369" applyNumberFormat="1" applyFont="1" applyFill="1" applyBorder="1" applyAlignment="1">
      <alignment horizontal="right"/>
    </xf>
    <xf numFmtId="171" fontId="22" fillId="0" borderId="0" xfId="0" applyNumberFormat="1" applyFont="1" applyFill="1" applyBorder="1" applyAlignment="1" applyProtection="1">
      <alignment/>
      <protection locked="0"/>
    </xf>
    <xf numFmtId="42" fontId="22" fillId="0" borderId="0" xfId="246" applyNumberFormat="1" applyFont="1" applyFill="1" applyBorder="1" applyAlignment="1" applyProtection="1">
      <alignment horizontal="right"/>
      <protection locked="0"/>
    </xf>
    <xf numFmtId="42" fontId="22" fillId="0" borderId="0" xfId="0" applyNumberFormat="1" applyFont="1" applyFill="1" applyBorder="1" applyAlignment="1" applyProtection="1">
      <alignment/>
      <protection locked="0"/>
    </xf>
    <xf numFmtId="42" fontId="22" fillId="0" borderId="19" xfId="199" applyNumberFormat="1" applyFont="1" applyFill="1" applyBorder="1" applyAlignment="1">
      <alignment/>
    </xf>
    <xf numFmtId="178" fontId="22" fillId="0" borderId="0" xfId="253" applyNumberFormat="1" applyFont="1" applyFill="1" applyAlignment="1" applyProtection="1">
      <alignment/>
      <protection locked="0"/>
    </xf>
    <xf numFmtId="178" fontId="22" fillId="0" borderId="20" xfId="253" applyNumberFormat="1" applyFont="1" applyFill="1" applyBorder="1" applyAlignment="1" applyProtection="1">
      <alignment/>
      <protection locked="0"/>
    </xf>
    <xf numFmtId="42" fontId="22" fillId="0" borderId="0" xfId="0" applyNumberFormat="1" applyFont="1" applyFill="1" applyAlignment="1" applyProtection="1">
      <alignment/>
      <protection locked="0"/>
    </xf>
    <xf numFmtId="42" fontId="22" fillId="0" borderId="20" xfId="0" applyNumberFormat="1" applyFont="1" applyFill="1" applyBorder="1" applyAlignment="1" applyProtection="1">
      <alignment/>
      <protection locked="0"/>
    </xf>
    <xf numFmtId="171" fontId="22" fillId="0" borderId="0" xfId="0" applyNumberFormat="1" applyFont="1" applyFill="1" applyAlignment="1" applyProtection="1">
      <alignment/>
      <protection locked="0"/>
    </xf>
    <xf numFmtId="171" fontId="22" fillId="0" borderId="0" xfId="0" applyNumberFormat="1" applyFont="1" applyFill="1" applyAlignment="1" applyProtection="1">
      <alignment vertical="center"/>
      <protection locked="0"/>
    </xf>
    <xf numFmtId="42" fontId="22" fillId="0" borderId="0" xfId="0" applyNumberFormat="1" applyFont="1" applyFill="1" applyAlignment="1" applyProtection="1">
      <alignment vertical="center"/>
      <protection locked="0"/>
    </xf>
    <xf numFmtId="42" fontId="22" fillId="0" borderId="19" xfId="0" applyNumberFormat="1" applyFont="1" applyFill="1" applyBorder="1" applyAlignment="1">
      <alignment/>
    </xf>
    <xf numFmtId="5" fontId="22" fillId="0" borderId="20" xfId="246" applyNumberFormat="1" applyFont="1" applyFill="1" applyBorder="1" applyAlignment="1">
      <alignment/>
    </xf>
    <xf numFmtId="5" fontId="22" fillId="0" borderId="0" xfId="246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 horizontal="center"/>
    </xf>
    <xf numFmtId="5" fontId="22" fillId="0" borderId="19" xfId="246" applyNumberFormat="1" applyFont="1" applyFill="1" applyBorder="1" applyAlignment="1">
      <alignment/>
    </xf>
    <xf numFmtId="6" fontId="22" fillId="0" borderId="0" xfId="246" applyNumberFormat="1" applyFont="1" applyFill="1" applyBorder="1" applyAlignment="1">
      <alignment/>
    </xf>
    <xf numFmtId="6" fontId="22" fillId="0" borderId="21" xfId="0" applyNumberFormat="1" applyFont="1" applyFill="1" applyBorder="1" applyAlignment="1">
      <alignment/>
    </xf>
    <xf numFmtId="42" fontId="22" fillId="0" borderId="32" xfId="360" applyNumberFormat="1" applyFont="1" applyFill="1" applyBorder="1" applyProtection="1">
      <alignment/>
      <protection locked="0"/>
    </xf>
    <xf numFmtId="42" fontId="22" fillId="0" borderId="28" xfId="360" applyNumberFormat="1" applyFont="1" applyFill="1" applyBorder="1" applyProtection="1">
      <alignment/>
      <protection locked="0"/>
    </xf>
    <xf numFmtId="182" fontId="22" fillId="0" borderId="32" xfId="360" applyNumberFormat="1" applyFont="1" applyBorder="1">
      <alignment/>
      <protection/>
    </xf>
    <xf numFmtId="182" fontId="22" fillId="0" borderId="28" xfId="360" applyNumberFormat="1" applyFont="1" applyBorder="1">
      <alignment/>
      <protection/>
    </xf>
    <xf numFmtId="41" fontId="22" fillId="0" borderId="32" xfId="360" applyNumberFormat="1" applyFont="1" applyFill="1" applyBorder="1" applyProtection="1">
      <alignment/>
      <protection locked="0"/>
    </xf>
    <xf numFmtId="183" fontId="22" fillId="0" borderId="0" xfId="360" applyNumberFormat="1" applyFont="1" applyBorder="1">
      <alignment/>
      <protection/>
    </xf>
    <xf numFmtId="183" fontId="22" fillId="0" borderId="20" xfId="360" applyNumberFormat="1" applyFont="1" applyBorder="1">
      <alignment/>
      <protection/>
    </xf>
    <xf numFmtId="42" fontId="22" fillId="0" borderId="30" xfId="360" applyNumberFormat="1" applyFont="1" applyFill="1" applyBorder="1">
      <alignment/>
      <protection/>
    </xf>
    <xf numFmtId="171" fontId="22" fillId="0" borderId="32" xfId="360" applyNumberFormat="1" applyFont="1" applyFill="1" applyBorder="1">
      <alignment/>
      <protection/>
    </xf>
    <xf numFmtId="42" fontId="22" fillId="0" borderId="0" xfId="360" applyNumberFormat="1" applyFont="1" applyBorder="1">
      <alignment/>
      <protection/>
    </xf>
    <xf numFmtId="182" fontId="22" fillId="0" borderId="0" xfId="360" applyNumberFormat="1" applyFont="1" applyBorder="1">
      <alignment/>
      <protection/>
    </xf>
    <xf numFmtId="183" fontId="22" fillId="0" borderId="32" xfId="360" applyNumberFormat="1" applyFont="1" applyBorder="1">
      <alignment/>
      <protection/>
    </xf>
    <xf numFmtId="182" fontId="22" fillId="0" borderId="0" xfId="360" applyNumberFormat="1" applyFont="1" applyFill="1" applyBorder="1">
      <alignment/>
      <protection/>
    </xf>
    <xf numFmtId="42" fontId="22" fillId="0" borderId="32" xfId="360" applyNumberFormat="1" applyFont="1" applyFill="1" applyBorder="1">
      <alignment/>
      <protection/>
    </xf>
    <xf numFmtId="10" fontId="22" fillId="0" borderId="32" xfId="369" applyNumberFormat="1" applyFont="1" applyFill="1" applyBorder="1" applyAlignment="1">
      <alignment/>
    </xf>
    <xf numFmtId="10" fontId="22" fillId="0" borderId="0" xfId="360" applyNumberFormat="1" applyFont="1" applyFill="1" applyBorder="1">
      <alignment/>
      <protection/>
    </xf>
    <xf numFmtId="178" fontId="22" fillId="0" borderId="32" xfId="360" applyNumberFormat="1" applyFont="1" applyFill="1" applyBorder="1">
      <alignment/>
      <protection/>
    </xf>
    <xf numFmtId="178" fontId="22" fillId="0" borderId="8" xfId="360" applyNumberFormat="1" applyFont="1" applyFill="1" applyBorder="1">
      <alignment/>
      <protection/>
    </xf>
    <xf numFmtId="0" fontId="22" fillId="0" borderId="20" xfId="360" applyFont="1" applyBorder="1">
      <alignment/>
      <protection/>
    </xf>
    <xf numFmtId="14" fontId="15" fillId="0" borderId="0" xfId="0" applyNumberFormat="1" applyFont="1" applyFill="1" applyBorder="1" applyAlignment="1">
      <alignment/>
    </xf>
    <xf numFmtId="3" fontId="7" fillId="0" borderId="0" xfId="199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94" fontId="8" fillId="0" borderId="35" xfId="0" applyNumberFormat="1" applyFont="1" applyFill="1" applyBorder="1" applyAlignment="1">
      <alignment horizontal="right"/>
    </xf>
    <xf numFmtId="0" fontId="8" fillId="0" borderId="35" xfId="0" applyNumberFormat="1" applyFont="1" applyFill="1" applyBorder="1" applyAlignment="1" quotePrefix="1">
      <alignment horizontal="right"/>
    </xf>
    <xf numFmtId="169" fontId="22" fillId="0" borderId="0" xfId="0" applyFont="1" applyFill="1" applyBorder="1" applyAlignment="1">
      <alignment horizontal="centerContinuous"/>
    </xf>
    <xf numFmtId="164" fontId="7" fillId="0" borderId="0" xfId="0" applyNumberFormat="1" applyFont="1" applyFill="1" applyAlignment="1">
      <alignment horizontal="left" vertical="center"/>
    </xf>
    <xf numFmtId="0" fontId="50" fillId="0" borderId="29" xfId="0" applyNumberFormat="1" applyFont="1" applyBorder="1" applyAlignment="1">
      <alignment horizontal="center"/>
    </xf>
    <xf numFmtId="0" fontId="51" fillId="0" borderId="4" xfId="0" applyNumberFormat="1" applyFont="1" applyBorder="1" applyAlignment="1">
      <alignment horizontal="center"/>
    </xf>
    <xf numFmtId="0" fontId="51" fillId="0" borderId="47" xfId="0" applyNumberFormat="1" applyFont="1" applyBorder="1" applyAlignment="1">
      <alignment horizontal="center"/>
    </xf>
    <xf numFmtId="0" fontId="50" fillId="0" borderId="4" xfId="0" applyNumberFormat="1" applyFont="1" applyBorder="1" applyAlignment="1">
      <alignment horizontal="center"/>
    </xf>
    <xf numFmtId="0" fontId="50" fillId="0" borderId="47" xfId="0" applyNumberFormat="1" applyFont="1" applyBorder="1" applyAlignment="1">
      <alignment horizontal="center"/>
    </xf>
    <xf numFmtId="0" fontId="30" fillId="0" borderId="0" xfId="336" applyFont="1" applyAlignment="1">
      <alignment horizontal="left"/>
      <protection/>
    </xf>
    <xf numFmtId="169" fontId="21" fillId="0" borderId="0" xfId="0" applyFont="1" applyAlignment="1">
      <alignment horizontal="left" wrapText="1"/>
    </xf>
    <xf numFmtId="0" fontId="30" fillId="0" borderId="0" xfId="336" applyFont="1" applyAlignment="1" applyProtection="1">
      <alignment horizontal="left"/>
      <protection locked="0"/>
    </xf>
    <xf numFmtId="0" fontId="11" fillId="0" borderId="0" xfId="357" applyAlignment="1">
      <alignment horizontal="center"/>
      <protection/>
    </xf>
  </cellXfs>
  <cellStyles count="461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alculation 2" xfId="193"/>
    <cellStyle name="Calculation 3" xfId="194"/>
    <cellStyle name="Check Cell" xfId="195"/>
    <cellStyle name="CheckCell" xfId="196"/>
    <cellStyle name="CheckCell 2" xfId="197"/>
    <cellStyle name="CheckCell_Electric Rev Req Model (2009 GRC) Rebuttal" xfId="198"/>
    <cellStyle name="Comma" xfId="199"/>
    <cellStyle name="Comma [0]" xfId="200"/>
    <cellStyle name="Comma 10" xfId="201"/>
    <cellStyle name="Comma 11" xfId="202"/>
    <cellStyle name="Comma 12" xfId="203"/>
    <cellStyle name="Comma 2" xfId="204"/>
    <cellStyle name="Comma 2 2" xfId="205"/>
    <cellStyle name="Comma 2 3" xfId="206"/>
    <cellStyle name="Comma 2 4" xfId="207"/>
    <cellStyle name="Comma 3" xfId="208"/>
    <cellStyle name="Comma 3 2" xfId="209"/>
    <cellStyle name="Comma 4" xfId="210"/>
    <cellStyle name="Comma 4 2" xfId="211"/>
    <cellStyle name="Comma 5" xfId="212"/>
    <cellStyle name="Comma 6" xfId="213"/>
    <cellStyle name="Comma 7" xfId="214"/>
    <cellStyle name="Comma 8" xfId="215"/>
    <cellStyle name="Comma 9" xfId="216"/>
    <cellStyle name="Comma_Unit Cost Gas 2003 to 2001" xfId="217"/>
    <cellStyle name="Comma0" xfId="218"/>
    <cellStyle name="Comma0 - Style2" xfId="219"/>
    <cellStyle name="Comma0 - Style4" xfId="220"/>
    <cellStyle name="Comma0 - Style5" xfId="221"/>
    <cellStyle name="Comma0 - Style5 2" xfId="222"/>
    <cellStyle name="Comma0 - Style5_Electric Rev Req Model (2009 GRC) Rebuttal" xfId="223"/>
    <cellStyle name="Comma0 2" xfId="224"/>
    <cellStyle name="Comma0 3" xfId="225"/>
    <cellStyle name="Comma0 4" xfId="226"/>
    <cellStyle name="Comma0 5" xfId="227"/>
    <cellStyle name="Comma0_00COS Ind Allocators" xfId="228"/>
    <cellStyle name="Comma1 - Style1" xfId="229"/>
    <cellStyle name="Comma1 - Style1 2" xfId="230"/>
    <cellStyle name="Comma1 - Style1_Electric Rev Req Model (2009 GRC) Rebuttal" xfId="231"/>
    <cellStyle name="Copied" xfId="232"/>
    <cellStyle name="Copied 2" xfId="233"/>
    <cellStyle name="Copied 3" xfId="234"/>
    <cellStyle name="COST1" xfId="235"/>
    <cellStyle name="COST1 2" xfId="236"/>
    <cellStyle name="COST1 3" xfId="237"/>
    <cellStyle name="Curren - Style1" xfId="238"/>
    <cellStyle name="Curren - Style2" xfId="239"/>
    <cellStyle name="Curren - Style2 2" xfId="240"/>
    <cellStyle name="Curren - Style2_Electric Rev Req Model (2009 GRC) Rebuttal" xfId="241"/>
    <cellStyle name="Curren - Style5" xfId="242"/>
    <cellStyle name="Curren - Style6" xfId="243"/>
    <cellStyle name="Curren - Style6 2" xfId="244"/>
    <cellStyle name="Curren - Style6_Electric Rev Req Model (2009 GRC) Rebuttal" xfId="245"/>
    <cellStyle name="Currency" xfId="246"/>
    <cellStyle name="Currency [0]" xfId="247"/>
    <cellStyle name="Currency 10" xfId="248"/>
    <cellStyle name="Currency 2" xfId="249"/>
    <cellStyle name="Currency 2 2" xfId="250"/>
    <cellStyle name="Currency 2 3" xfId="251"/>
    <cellStyle name="Currency 2 4" xfId="252"/>
    <cellStyle name="Currency 3" xfId="253"/>
    <cellStyle name="Currency 3 2" xfId="254"/>
    <cellStyle name="Currency 4" xfId="255"/>
    <cellStyle name="Currency 5" xfId="256"/>
    <cellStyle name="Currency 6" xfId="257"/>
    <cellStyle name="Currency 7" xfId="258"/>
    <cellStyle name="Currency 8" xfId="259"/>
    <cellStyle name="Currency 9" xfId="260"/>
    <cellStyle name="Currency0" xfId="261"/>
    <cellStyle name="Currency0 2" xfId="262"/>
    <cellStyle name="Currency0 3" xfId="263"/>
    <cellStyle name="Currency0 4" xfId="264"/>
    <cellStyle name="Date" xfId="265"/>
    <cellStyle name="Date 2" xfId="266"/>
    <cellStyle name="Date 3" xfId="267"/>
    <cellStyle name="Date 4" xfId="268"/>
    <cellStyle name="Date 5" xfId="269"/>
    <cellStyle name="Entered" xfId="270"/>
    <cellStyle name="Euro" xfId="271"/>
    <cellStyle name="Explanatory Text" xfId="272"/>
    <cellStyle name="Fixed" xfId="273"/>
    <cellStyle name="Fixed 2" xfId="274"/>
    <cellStyle name="Fixed 3" xfId="275"/>
    <cellStyle name="Fixed 4" xfId="276"/>
    <cellStyle name="Fixed3 - Style3" xfId="277"/>
    <cellStyle name="Followed Hyperlink" xfId="278"/>
    <cellStyle name="Good" xfId="279"/>
    <cellStyle name="Grey" xfId="280"/>
    <cellStyle name="Grey 2" xfId="281"/>
    <cellStyle name="Grey 3" xfId="282"/>
    <cellStyle name="Grey 4" xfId="283"/>
    <cellStyle name="Header1" xfId="284"/>
    <cellStyle name="Header1 2" xfId="285"/>
    <cellStyle name="Header1 3" xfId="286"/>
    <cellStyle name="Header2" xfId="287"/>
    <cellStyle name="Header2 2" xfId="288"/>
    <cellStyle name="Header2 3" xfId="289"/>
    <cellStyle name="Heading 1" xfId="290"/>
    <cellStyle name="Heading 1 2" xfId="291"/>
    <cellStyle name="Heading 1 3" xfId="292"/>
    <cellStyle name="Heading 2" xfId="293"/>
    <cellStyle name="Heading 2 2" xfId="294"/>
    <cellStyle name="Heading 2 3" xfId="295"/>
    <cellStyle name="Heading 3" xfId="296"/>
    <cellStyle name="Heading 4" xfId="297"/>
    <cellStyle name="Heading1" xfId="298"/>
    <cellStyle name="Heading1 2" xfId="299"/>
    <cellStyle name="Heading1 3" xfId="300"/>
    <cellStyle name="Heading2" xfId="301"/>
    <cellStyle name="Heading2 2" xfId="302"/>
    <cellStyle name="Heading2 3" xfId="303"/>
    <cellStyle name="Hyperlink" xfId="304"/>
    <cellStyle name="Input" xfId="305"/>
    <cellStyle name="Input [yellow]" xfId="306"/>
    <cellStyle name="Input [yellow] 2" xfId="307"/>
    <cellStyle name="Input [yellow] 3" xfId="308"/>
    <cellStyle name="Input [yellow] 4" xfId="309"/>
    <cellStyle name="Input Cells" xfId="310"/>
    <cellStyle name="Input Cells Percent" xfId="311"/>
    <cellStyle name="Input Cells_Book9" xfId="312"/>
    <cellStyle name="Lines" xfId="313"/>
    <cellStyle name="Lines 2" xfId="314"/>
    <cellStyle name="Lines_Electric Rev Req Model (2009 GRC) Rebuttal" xfId="315"/>
    <cellStyle name="LINKED" xfId="316"/>
    <cellStyle name="Linked Cell" xfId="317"/>
    <cellStyle name="modified border" xfId="318"/>
    <cellStyle name="modified border 2" xfId="319"/>
    <cellStyle name="modified border 3" xfId="320"/>
    <cellStyle name="modified border 4" xfId="321"/>
    <cellStyle name="modified border1" xfId="322"/>
    <cellStyle name="modified border1 2" xfId="323"/>
    <cellStyle name="modified border1 3" xfId="324"/>
    <cellStyle name="modified border1 4" xfId="325"/>
    <cellStyle name="Neutral" xfId="326"/>
    <cellStyle name="no dec" xfId="327"/>
    <cellStyle name="no dec 2" xfId="328"/>
    <cellStyle name="no dec 3" xfId="329"/>
    <cellStyle name="Normal - Style1" xfId="330"/>
    <cellStyle name="Normal - Style1 2" xfId="331"/>
    <cellStyle name="Normal - Style1 3" xfId="332"/>
    <cellStyle name="Normal - Style1 4" xfId="333"/>
    <cellStyle name="Normal - Style1 5" xfId="334"/>
    <cellStyle name="Normal - Style1_Book2" xfId="335"/>
    <cellStyle name="Normal 10" xfId="336"/>
    <cellStyle name="Normal 11" xfId="337"/>
    <cellStyle name="Normal 12" xfId="338"/>
    <cellStyle name="Normal 13" xfId="339"/>
    <cellStyle name="Normal 2" xfId="340"/>
    <cellStyle name="Normal 2 2" xfId="341"/>
    <cellStyle name="Normal 2 3" xfId="342"/>
    <cellStyle name="Normal 2 4" xfId="343"/>
    <cellStyle name="Normal 2 5" xfId="344"/>
    <cellStyle name="Normal 2 6" xfId="345"/>
    <cellStyle name="Normal 3" xfId="346"/>
    <cellStyle name="Normal 3 2" xfId="347"/>
    <cellStyle name="Normal 3_Electric Rev Req Model (2009 GRC) Rebuttal" xfId="348"/>
    <cellStyle name="Normal 4" xfId="349"/>
    <cellStyle name="Normal 4 2" xfId="350"/>
    <cellStyle name="Normal 4_Electric Rev Req Model (2009 GRC) Rebuttal" xfId="351"/>
    <cellStyle name="Normal 5" xfId="352"/>
    <cellStyle name="Normal 6" xfId="353"/>
    <cellStyle name="Normal 7" xfId="354"/>
    <cellStyle name="Normal 8" xfId="355"/>
    <cellStyle name="Normal 9" xfId="356"/>
    <cellStyle name="Normal_2004 GRC Gas Conv&amp;Gross-up Factor" xfId="357"/>
    <cellStyle name="Normal_BASECOST" xfId="358"/>
    <cellStyle name="Normal_RESCOST" xfId="359"/>
    <cellStyle name="Normal_Unit Cost Gas 2003 to 2001" xfId="360"/>
    <cellStyle name="Note" xfId="361"/>
    <cellStyle name="Note 2" xfId="362"/>
    <cellStyle name="Output" xfId="363"/>
    <cellStyle name="Percen - Style1" xfId="364"/>
    <cellStyle name="Percen - Style2" xfId="365"/>
    <cellStyle name="Percen - Style3" xfId="366"/>
    <cellStyle name="Percen - Style3 2" xfId="367"/>
    <cellStyle name="Percen - Style3_Electric Rev Req Model (2009 GRC) Rebuttal" xfId="368"/>
    <cellStyle name="Percent" xfId="369"/>
    <cellStyle name="Percent [2]" xfId="370"/>
    <cellStyle name="Percent 2" xfId="371"/>
    <cellStyle name="Percent 2 2" xfId="372"/>
    <cellStyle name="Percent 2 3" xfId="373"/>
    <cellStyle name="Percent 2 4" xfId="374"/>
    <cellStyle name="Percent 3" xfId="375"/>
    <cellStyle name="Percent 4" xfId="376"/>
    <cellStyle name="Percent 4 2" xfId="377"/>
    <cellStyle name="Percent 5" xfId="378"/>
    <cellStyle name="Percent 6" xfId="379"/>
    <cellStyle name="Percent 7" xfId="380"/>
    <cellStyle name="Percent 8" xfId="381"/>
    <cellStyle name="Processing" xfId="382"/>
    <cellStyle name="Processing 2" xfId="383"/>
    <cellStyle name="Processing_Electric Rev Req Model (2009 GRC) Rebuttal" xfId="384"/>
    <cellStyle name="PSChar" xfId="385"/>
    <cellStyle name="PSChar 2" xfId="386"/>
    <cellStyle name="PSChar 3" xfId="387"/>
    <cellStyle name="PSDate" xfId="388"/>
    <cellStyle name="PSDate 2" xfId="389"/>
    <cellStyle name="PSDate 3" xfId="390"/>
    <cellStyle name="PSDec" xfId="391"/>
    <cellStyle name="PSDec 2" xfId="392"/>
    <cellStyle name="PSDec 3" xfId="393"/>
    <cellStyle name="PSHeading" xfId="394"/>
    <cellStyle name="PSHeading 2" xfId="395"/>
    <cellStyle name="PSHeading 3" xfId="396"/>
    <cellStyle name="PSInt" xfId="397"/>
    <cellStyle name="PSInt 2" xfId="398"/>
    <cellStyle name="PSInt 3" xfId="399"/>
    <cellStyle name="PSSpacer" xfId="400"/>
    <cellStyle name="PSSpacer 2" xfId="401"/>
    <cellStyle name="PSSpacer 3" xfId="402"/>
    <cellStyle name="purple - Style8" xfId="403"/>
    <cellStyle name="purple - Style8 2" xfId="404"/>
    <cellStyle name="purple - Style8_Electric Rev Req Model (2009 GRC) Rebuttal" xfId="405"/>
    <cellStyle name="RED" xfId="406"/>
    <cellStyle name="Red - Style7" xfId="407"/>
    <cellStyle name="Red - Style7 2" xfId="408"/>
    <cellStyle name="Red - Style7_Electric Rev Req Model (2009 GRC) Rebuttal" xfId="409"/>
    <cellStyle name="RED_04 07E Wild Horse Wind Expansion (C) (2)" xfId="410"/>
    <cellStyle name="Report" xfId="411"/>
    <cellStyle name="Report - Style5" xfId="412"/>
    <cellStyle name="Report - Style6" xfId="413"/>
    <cellStyle name="Report - Style7" xfId="414"/>
    <cellStyle name="Report - Style8" xfId="415"/>
    <cellStyle name="Report 2" xfId="416"/>
    <cellStyle name="Report Bar" xfId="417"/>
    <cellStyle name="Report Bar 2" xfId="418"/>
    <cellStyle name="Report Bar_Electric Rev Req Model (2009 GRC) Rebuttal" xfId="419"/>
    <cellStyle name="Report Heading" xfId="420"/>
    <cellStyle name="Report Heading 2" xfId="421"/>
    <cellStyle name="Report Heading_Electric Rev Req Model (2009 GRC) Rebuttal" xfId="422"/>
    <cellStyle name="Report Percent" xfId="423"/>
    <cellStyle name="Report Percent 2" xfId="424"/>
    <cellStyle name="Report Percent_Electric Rev Req Model (2009 GRC) Rebuttal" xfId="425"/>
    <cellStyle name="Report Unit Cost" xfId="426"/>
    <cellStyle name="Report Unit Cost 2" xfId="427"/>
    <cellStyle name="Report Unit Cost_Electric Rev Req Model (2009 GRC) Rebuttal" xfId="428"/>
    <cellStyle name="Report_Electric Rev Req Model (2009 GRC) Rebuttal" xfId="429"/>
    <cellStyle name="Reports" xfId="430"/>
    <cellStyle name="Reports Total" xfId="431"/>
    <cellStyle name="Reports Total 2" xfId="432"/>
    <cellStyle name="Reports Total_Electric Rev Req Model (2009 GRC) Rebuttal" xfId="433"/>
    <cellStyle name="Reports Unit Cost Total" xfId="434"/>
    <cellStyle name="Reports_Book9" xfId="435"/>
    <cellStyle name="RevList" xfId="436"/>
    <cellStyle name="round100" xfId="437"/>
    <cellStyle name="round100 2" xfId="438"/>
    <cellStyle name="round100 3" xfId="439"/>
    <cellStyle name="SAPBEXstdData" xfId="440"/>
    <cellStyle name="shade" xfId="441"/>
    <cellStyle name="shade 2" xfId="442"/>
    <cellStyle name="shade 3" xfId="443"/>
    <cellStyle name="StmtTtl1" xfId="444"/>
    <cellStyle name="StmtTtl1 2" xfId="445"/>
    <cellStyle name="StmtTtl1 3" xfId="446"/>
    <cellStyle name="StmtTtl1 4" xfId="447"/>
    <cellStyle name="StmtTtl2" xfId="448"/>
    <cellStyle name="StmtTtl2 2" xfId="449"/>
    <cellStyle name="StmtTtl2 3" xfId="450"/>
    <cellStyle name="STYL1 - Style1" xfId="451"/>
    <cellStyle name="Style 1" xfId="452"/>
    <cellStyle name="Style 1 2" xfId="453"/>
    <cellStyle name="Style 1 3" xfId="454"/>
    <cellStyle name="Style 1 4" xfId="455"/>
    <cellStyle name="Style 1_Book9" xfId="456"/>
    <cellStyle name="Subtotal" xfId="457"/>
    <cellStyle name="Sub-total" xfId="458"/>
    <cellStyle name="Test" xfId="459"/>
    <cellStyle name="Title" xfId="460"/>
    <cellStyle name="Title: - Style3" xfId="461"/>
    <cellStyle name="Title: - Style4" xfId="462"/>
    <cellStyle name="Title: Major" xfId="463"/>
    <cellStyle name="Title: Minor" xfId="464"/>
    <cellStyle name="Title: Minor 2" xfId="465"/>
    <cellStyle name="Title: Minor_Electric Rev Req Model (2009 GRC) Rebuttal" xfId="466"/>
    <cellStyle name="Title: Worksheet" xfId="467"/>
    <cellStyle name="Total" xfId="468"/>
    <cellStyle name="Total 2" xfId="469"/>
    <cellStyle name="Total 3" xfId="470"/>
    <cellStyle name="Total4 - Style4" xfId="471"/>
    <cellStyle name="Total4 - Style4 2" xfId="472"/>
    <cellStyle name="Total4 - Style4_Electric Rev Req Model (2009 GRC) Rebuttal" xfId="473"/>
    <cellStyle name="Warning Text" xfId="474"/>
  </cellStyles>
  <dxfs count="5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14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14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tabSelected="1" zoomScale="88" zoomScaleNormal="88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9.33203125" defaultRowHeight="10.5"/>
  <cols>
    <col min="1" max="1" width="5.83203125" style="3" bestFit="1" customWidth="1"/>
    <col min="2" max="2" width="43.66015625" style="3" customWidth="1"/>
    <col min="3" max="3" width="20" style="3" bestFit="1" customWidth="1"/>
    <col min="4" max="4" width="22.66015625" style="3" bestFit="1" customWidth="1"/>
    <col min="5" max="5" width="25.5" style="3" bestFit="1" customWidth="1"/>
    <col min="6" max="6" width="24.83203125" style="3" customWidth="1"/>
    <col min="7" max="7" width="23.33203125" style="3" customWidth="1"/>
    <col min="8" max="8" width="26.83203125" style="3" customWidth="1"/>
    <col min="9" max="9" width="22.33203125" style="3" customWidth="1"/>
    <col min="10" max="10" width="22.83203125" style="3" bestFit="1" customWidth="1"/>
    <col min="11" max="11" width="26.83203125" style="3" customWidth="1"/>
    <col min="12" max="13" width="26.33203125" style="3" customWidth="1"/>
    <col min="14" max="14" width="28" style="3" bestFit="1" customWidth="1"/>
    <col min="15" max="15" width="18.66015625" style="3" customWidth="1"/>
    <col min="16" max="16" width="32.33203125" style="3" customWidth="1"/>
    <col min="17" max="17" width="26.33203125" style="3" bestFit="1" customWidth="1"/>
    <col min="18" max="18" width="23.66015625" style="3" customWidth="1"/>
    <col min="19" max="19" width="27" style="3" customWidth="1"/>
    <col min="20" max="20" width="15.5" style="3" bestFit="1" customWidth="1"/>
    <col min="21" max="21" width="23.66015625" style="3" customWidth="1"/>
    <col min="22" max="22" width="15.33203125" style="3" bestFit="1" customWidth="1"/>
    <col min="23" max="23" width="20.83203125" style="3" bestFit="1" customWidth="1"/>
    <col min="24" max="24" width="16.66015625" style="3" customWidth="1"/>
    <col min="25" max="25" width="27.5" style="3" customWidth="1"/>
    <col min="26" max="26" width="20.66015625" style="3" customWidth="1"/>
    <col min="27" max="27" width="26.5" style="3" bestFit="1" customWidth="1"/>
    <col min="28" max="28" width="15.66015625" style="3" bestFit="1" customWidth="1"/>
    <col min="29" max="29" width="22.33203125" style="3" customWidth="1"/>
    <col min="30" max="33" width="23.66015625" style="3" customWidth="1"/>
    <col min="34" max="34" width="24.83203125" style="3" bestFit="1" customWidth="1"/>
    <col min="35" max="35" width="20.5" style="3" bestFit="1" customWidth="1"/>
    <col min="37" max="37" width="31" style="0" customWidth="1"/>
    <col min="38" max="38" width="15.5" style="0" bestFit="1" customWidth="1"/>
    <col min="39" max="39" width="14.83203125" style="0" bestFit="1" customWidth="1"/>
    <col min="40" max="40" width="15.5" style="0" bestFit="1" customWidth="1"/>
    <col min="41" max="41" width="14.33203125" style="0" bestFit="1" customWidth="1"/>
    <col min="42" max="42" width="15.5" style="0" bestFit="1" customWidth="1"/>
  </cols>
  <sheetData>
    <row r="1" spans="1:42" ht="12.75">
      <c r="A1" s="272"/>
      <c r="B1" s="272"/>
      <c r="C1" s="272"/>
      <c r="D1" s="272"/>
      <c r="E1" s="272"/>
      <c r="F1" s="558">
        <f>F16+F17-'MJS-14'!E28</f>
        <v>0</v>
      </c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</row>
    <row r="2" spans="1:42" s="444" customFormat="1" ht="12.75">
      <c r="A2" s="377"/>
      <c r="B2" s="2"/>
      <c r="C2" s="2"/>
      <c r="D2" s="2"/>
      <c r="E2" s="103"/>
      <c r="F2" s="948"/>
      <c r="G2" s="218" t="str">
        <f>WUTC_Docket_No._UG_11____</f>
        <v>WUTC Docket No. UG-111049</v>
      </c>
      <c r="H2" s="57"/>
      <c r="I2" s="2"/>
      <c r="J2" s="57"/>
      <c r="K2" s="57"/>
      <c r="L2" s="2"/>
      <c r="M2" s="218" t="str">
        <f>WUTC_Docket_No._UG_11____</f>
        <v>WUTC Docket No. UG-111049</v>
      </c>
      <c r="N2" s="2"/>
      <c r="O2" s="2"/>
      <c r="P2" s="2"/>
      <c r="Q2" s="2"/>
      <c r="R2" s="2"/>
      <c r="S2" s="218" t="str">
        <f>WUTC_Docket_No._UG_11____</f>
        <v>WUTC Docket No. UG-111049</v>
      </c>
      <c r="T2" s="2"/>
      <c r="U2" s="2"/>
      <c r="V2" s="2"/>
      <c r="W2" s="57"/>
      <c r="X2" s="2"/>
      <c r="Y2" s="2"/>
      <c r="Z2" s="2"/>
      <c r="AA2" s="218" t="str">
        <f>WUTC_Docket_No._UG_11____</f>
        <v>WUTC Docket No. UG-111049</v>
      </c>
      <c r="AB2" s="2"/>
      <c r="AC2" s="2"/>
      <c r="AD2" s="2"/>
      <c r="AE2" s="2"/>
      <c r="AF2" s="2"/>
      <c r="AG2" s="2"/>
      <c r="AH2" s="2"/>
      <c r="AI2" s="218" t="str">
        <f>WUTC_Docket_No._UG_11____</f>
        <v>WUTC Docket No. UG-111049</v>
      </c>
      <c r="AJ2" s="2"/>
      <c r="AK2" s="2"/>
      <c r="AL2" s="2"/>
      <c r="AM2" s="2"/>
      <c r="AN2" s="2"/>
      <c r="AO2" s="2"/>
      <c r="AP2" s="2"/>
    </row>
    <row r="3" spans="1:42" s="444" customFormat="1" ht="13.5" thickBot="1">
      <c r="A3" s="2"/>
      <c r="B3" s="2"/>
      <c r="C3" s="2"/>
      <c r="D3" s="2"/>
      <c r="E3" s="949"/>
      <c r="F3" s="2"/>
      <c r="G3" s="398" t="str">
        <f>Exhibit_No.______MJS_11</f>
        <v>Exhibit No. ___ (MJS-11)</v>
      </c>
      <c r="H3" s="22"/>
      <c r="I3" s="2"/>
      <c r="J3" s="22"/>
      <c r="K3" s="22"/>
      <c r="L3" s="2"/>
      <c r="M3" s="950" t="s">
        <v>547</v>
      </c>
      <c r="N3" s="2"/>
      <c r="O3" s="2"/>
      <c r="P3" s="2"/>
      <c r="Q3" s="2"/>
      <c r="R3" s="2"/>
      <c r="S3" s="950" t="s">
        <v>547</v>
      </c>
      <c r="T3" s="2"/>
      <c r="U3" s="2"/>
      <c r="V3" s="2"/>
      <c r="W3" s="22"/>
      <c r="X3" s="2"/>
      <c r="Y3" s="2"/>
      <c r="Z3" s="2"/>
      <c r="AA3" s="950" t="s">
        <v>547</v>
      </c>
      <c r="AB3" s="2"/>
      <c r="AC3" s="2"/>
      <c r="AD3" s="2"/>
      <c r="AE3" s="2"/>
      <c r="AF3" s="2"/>
      <c r="AG3" s="2"/>
      <c r="AH3" s="156"/>
      <c r="AI3" s="950" t="s">
        <v>547</v>
      </c>
      <c r="AJ3" s="2"/>
      <c r="AK3" s="2"/>
      <c r="AL3" s="2"/>
      <c r="AM3" s="2"/>
      <c r="AN3" s="2"/>
      <c r="AO3" s="2"/>
      <c r="AP3" s="2"/>
    </row>
    <row r="4" spans="1:42" s="444" customFormat="1" ht="14.25" thickBot="1" thickTop="1">
      <c r="A4" s="156"/>
      <c r="B4" s="156"/>
      <c r="C4" s="156"/>
      <c r="D4" s="156"/>
      <c r="E4" s="2"/>
      <c r="F4" s="2"/>
      <c r="G4" s="951">
        <v>11.01</v>
      </c>
      <c r="H4" s="22"/>
      <c r="I4" s="2"/>
      <c r="J4" s="22"/>
      <c r="K4" s="22"/>
      <c r="L4" s="2"/>
      <c r="M4" s="951">
        <f>G4+0.01</f>
        <v>11.02</v>
      </c>
      <c r="N4" s="2"/>
      <c r="O4" s="2"/>
      <c r="P4" s="2"/>
      <c r="Q4" s="2"/>
      <c r="R4" s="2"/>
      <c r="S4" s="951">
        <f>M4+0.01</f>
        <v>11.03</v>
      </c>
      <c r="T4" s="2"/>
      <c r="U4" s="2"/>
      <c r="V4" s="2"/>
      <c r="W4" s="22"/>
      <c r="X4" s="2"/>
      <c r="Y4" s="2"/>
      <c r="Z4" s="2"/>
      <c r="AA4" s="951">
        <f>S4+0.01</f>
        <v>11.04</v>
      </c>
      <c r="AB4" s="2"/>
      <c r="AC4" s="2"/>
      <c r="AD4" s="2"/>
      <c r="AE4" s="2"/>
      <c r="AF4" s="2"/>
      <c r="AG4" s="2"/>
      <c r="AH4" s="2"/>
      <c r="AI4" s="951">
        <f>AA4+0.01</f>
        <v>11.049999999999999</v>
      </c>
      <c r="AJ4" s="2"/>
      <c r="AK4" s="2"/>
      <c r="AL4" s="2"/>
      <c r="AM4" s="2"/>
      <c r="AN4" s="2"/>
      <c r="AO4" s="2"/>
      <c r="AP4" s="2"/>
    </row>
    <row r="5" spans="1:42" ht="13.5" thickTop="1">
      <c r="A5" s="35" t="str">
        <f>PSE</f>
        <v>PUGET SOUND ENERGY-GAS </v>
      </c>
      <c r="B5" s="181"/>
      <c r="C5" s="181"/>
      <c r="D5" s="181"/>
      <c r="E5" s="183"/>
      <c r="F5" s="181"/>
      <c r="G5" s="181"/>
      <c r="H5" s="180" t="s">
        <v>18</v>
      </c>
      <c r="I5" s="181"/>
      <c r="J5" s="181"/>
      <c r="K5" s="181"/>
      <c r="L5" s="181"/>
      <c r="M5" s="181"/>
      <c r="N5" s="180" t="s">
        <v>18</v>
      </c>
      <c r="O5" s="10"/>
      <c r="P5" s="10"/>
      <c r="Q5" s="10"/>
      <c r="R5" s="181"/>
      <c r="S5" s="181"/>
      <c r="T5" s="180" t="s">
        <v>18</v>
      </c>
      <c r="U5" s="181"/>
      <c r="V5" s="181"/>
      <c r="W5" s="181"/>
      <c r="X5" s="181"/>
      <c r="Y5" s="10"/>
      <c r="Z5" s="181"/>
      <c r="AA5" s="181"/>
      <c r="AB5" s="180" t="s">
        <v>18</v>
      </c>
      <c r="AC5" s="180"/>
      <c r="AD5" s="181"/>
      <c r="AE5" s="10"/>
      <c r="AF5" s="181"/>
      <c r="AG5" s="181"/>
      <c r="AH5" s="181"/>
      <c r="AI5" s="181"/>
      <c r="AJ5" s="36"/>
      <c r="AK5" s="36"/>
      <c r="AL5" s="36"/>
      <c r="AM5" s="36"/>
      <c r="AN5" s="36"/>
      <c r="AO5" s="36"/>
      <c r="AP5" s="36"/>
    </row>
    <row r="6" spans="1:42" ht="12.75">
      <c r="A6" s="180" t="s">
        <v>22</v>
      </c>
      <c r="B6" s="180"/>
      <c r="C6" s="180"/>
      <c r="D6" s="180"/>
      <c r="E6" s="180"/>
      <c r="F6" s="181"/>
      <c r="G6" s="181"/>
      <c r="H6" s="180" t="s">
        <v>105</v>
      </c>
      <c r="I6" s="180"/>
      <c r="J6" s="181"/>
      <c r="K6" s="181"/>
      <c r="L6" s="182"/>
      <c r="M6" s="181"/>
      <c r="N6" s="180" t="s">
        <v>105</v>
      </c>
      <c r="O6" s="10"/>
      <c r="P6" s="10"/>
      <c r="Q6" s="10"/>
      <c r="R6" s="181"/>
      <c r="S6" s="180"/>
      <c r="T6" s="180" t="s">
        <v>105</v>
      </c>
      <c r="U6" s="181"/>
      <c r="V6" s="182"/>
      <c r="W6" s="181"/>
      <c r="X6" s="181"/>
      <c r="Y6" s="10"/>
      <c r="Z6" s="180"/>
      <c r="AA6" s="181"/>
      <c r="AB6" s="180" t="s">
        <v>105</v>
      </c>
      <c r="AC6" s="180"/>
      <c r="AD6" s="181"/>
      <c r="AE6" s="10"/>
      <c r="AF6" s="181"/>
      <c r="AG6" s="181"/>
      <c r="AH6" s="180"/>
      <c r="AI6" s="181"/>
      <c r="AJ6" s="36"/>
      <c r="AK6" s="36"/>
      <c r="AL6" s="36"/>
      <c r="AM6" s="36"/>
      <c r="AN6" s="36"/>
      <c r="AO6" s="36"/>
      <c r="AP6" s="36"/>
    </row>
    <row r="7" spans="1:42" ht="12.75">
      <c r="A7" s="181" t="str">
        <f>TESTYEAR</f>
        <v>FOR THE TWELVE MONTHS ENDED DECEMBER 31, 2010</v>
      </c>
      <c r="B7" s="180"/>
      <c r="C7" s="180"/>
      <c r="D7" s="180"/>
      <c r="E7" s="180"/>
      <c r="F7" s="181"/>
      <c r="G7" s="181"/>
      <c r="H7" s="181" t="str">
        <f>TESTYEAR</f>
        <v>FOR THE TWELVE MONTHS ENDED DECEMBER 31, 2010</v>
      </c>
      <c r="I7" s="180"/>
      <c r="J7" s="181"/>
      <c r="K7" s="181"/>
      <c r="L7" s="181"/>
      <c r="M7" s="181"/>
      <c r="N7" s="181" t="str">
        <f>TESTYEAR</f>
        <v>FOR THE TWELVE MONTHS ENDED DECEMBER 31, 2010</v>
      </c>
      <c r="O7" s="10"/>
      <c r="P7" s="10"/>
      <c r="Q7" s="10"/>
      <c r="R7" s="181"/>
      <c r="S7" s="180"/>
      <c r="T7" s="181" t="str">
        <f>TESTYEAR</f>
        <v>FOR THE TWELVE MONTHS ENDED DECEMBER 31, 2010</v>
      </c>
      <c r="U7" s="181"/>
      <c r="V7" s="181"/>
      <c r="W7" s="181"/>
      <c r="X7" s="181"/>
      <c r="Y7" s="10"/>
      <c r="Z7" s="180"/>
      <c r="AA7" s="181"/>
      <c r="AB7" s="181" t="str">
        <f>TESTYEAR</f>
        <v>FOR THE TWELVE MONTHS ENDED DECEMBER 31, 2010</v>
      </c>
      <c r="AC7" s="181"/>
      <c r="AD7" s="181"/>
      <c r="AE7" s="10"/>
      <c r="AF7" s="181"/>
      <c r="AG7" s="181"/>
      <c r="AH7" s="180"/>
      <c r="AI7" s="181"/>
      <c r="AJ7" s="36"/>
      <c r="AK7" s="36"/>
      <c r="AL7" s="36"/>
      <c r="AM7" s="36"/>
      <c r="AN7" s="36"/>
      <c r="AO7" s="36"/>
      <c r="AP7" s="36"/>
    </row>
    <row r="8" spans="1:42" ht="12.75">
      <c r="A8" s="181" t="str">
        <f>DOCKET</f>
        <v>GENERAL RATE INCREASE</v>
      </c>
      <c r="B8" s="181"/>
      <c r="C8" s="181"/>
      <c r="D8" s="181"/>
      <c r="E8" s="181"/>
      <c r="F8" s="181"/>
      <c r="G8" s="181"/>
      <c r="H8" s="181" t="s">
        <v>521</v>
      </c>
      <c r="I8" s="181"/>
      <c r="J8" s="181"/>
      <c r="K8" s="181"/>
      <c r="L8" s="181"/>
      <c r="M8" s="181"/>
      <c r="N8" s="181" t="s">
        <v>522</v>
      </c>
      <c r="O8" s="10"/>
      <c r="P8" s="10"/>
      <c r="Q8" s="10"/>
      <c r="R8" s="181"/>
      <c r="S8" s="181"/>
      <c r="T8" s="181" t="s">
        <v>523</v>
      </c>
      <c r="U8" s="181"/>
      <c r="V8" s="181"/>
      <c r="W8" s="181"/>
      <c r="X8" s="181"/>
      <c r="Y8" s="10"/>
      <c r="Z8" s="181"/>
      <c r="AA8" s="181"/>
      <c r="AB8" s="181" t="s">
        <v>524</v>
      </c>
      <c r="AC8" s="180"/>
      <c r="AD8" s="181"/>
      <c r="AE8" s="10"/>
      <c r="AF8" s="181"/>
      <c r="AG8" s="181"/>
      <c r="AH8" s="181"/>
      <c r="AI8" s="181"/>
      <c r="AJ8" s="36"/>
      <c r="AK8" s="36"/>
      <c r="AL8" s="36"/>
      <c r="AM8" s="36"/>
      <c r="AN8" s="36"/>
      <c r="AO8" s="36"/>
      <c r="AP8" s="36"/>
    </row>
    <row r="9" spans="1:42" ht="12.75">
      <c r="A9" s="34"/>
      <c r="B9" s="34"/>
      <c r="C9" s="34"/>
      <c r="D9" s="275"/>
      <c r="E9" s="275"/>
      <c r="F9" s="275"/>
      <c r="G9" s="27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275"/>
      <c r="AJ9" s="36"/>
      <c r="AK9" s="36"/>
      <c r="AL9" s="36"/>
      <c r="AM9" s="36"/>
      <c r="AN9" s="36"/>
      <c r="AO9" s="36"/>
      <c r="AP9" s="36"/>
    </row>
    <row r="10" spans="1:42" ht="13.5">
      <c r="A10" s="36"/>
      <c r="B10" s="36"/>
      <c r="C10" s="446"/>
      <c r="D10" s="446" t="s">
        <v>598</v>
      </c>
      <c r="E10" s="446" t="s">
        <v>598</v>
      </c>
      <c r="F10" s="446" t="s">
        <v>598</v>
      </c>
      <c r="G10" s="446" t="s">
        <v>598</v>
      </c>
      <c r="H10" s="11"/>
      <c r="I10" s="85"/>
      <c r="J10" s="6"/>
      <c r="K10" s="6"/>
      <c r="L10" s="85"/>
      <c r="M10" s="446" t="s">
        <v>598</v>
      </c>
      <c r="N10" s="85"/>
      <c r="O10" s="445"/>
      <c r="P10" s="446" t="s">
        <v>598</v>
      </c>
      <c r="Q10" s="446" t="s">
        <v>598</v>
      </c>
      <c r="R10" s="85"/>
      <c r="S10" s="85"/>
      <c r="T10" s="85"/>
      <c r="U10" s="85"/>
      <c r="V10" s="445"/>
      <c r="W10" s="6"/>
      <c r="X10" s="445"/>
      <c r="Y10" s="445"/>
      <c r="Z10" s="106"/>
      <c r="AA10" s="85"/>
      <c r="AB10" s="445"/>
      <c r="AC10" s="85"/>
      <c r="AD10" s="446" t="s">
        <v>598</v>
      </c>
      <c r="AE10" s="446" t="s">
        <v>598</v>
      </c>
      <c r="AF10" s="446" t="s">
        <v>598</v>
      </c>
      <c r="AG10" s="445" t="s">
        <v>558</v>
      </c>
      <c r="AH10" s="446" t="s">
        <v>598</v>
      </c>
      <c r="AI10" s="446" t="s">
        <v>598</v>
      </c>
      <c r="AJ10" s="36"/>
      <c r="AK10" s="36"/>
      <c r="AL10" s="36"/>
      <c r="AM10" s="36"/>
      <c r="AN10" s="36"/>
      <c r="AO10" s="36"/>
      <c r="AP10" s="36"/>
    </row>
    <row r="11" spans="1:42" ht="12.75">
      <c r="A11" s="36"/>
      <c r="B11" s="36"/>
      <c r="C11" s="11" t="s">
        <v>36</v>
      </c>
      <c r="D11" s="11"/>
      <c r="E11" s="11" t="s">
        <v>124</v>
      </c>
      <c r="F11" s="11" t="s">
        <v>125</v>
      </c>
      <c r="G11" s="11" t="s">
        <v>126</v>
      </c>
      <c r="H11" s="11" t="s">
        <v>26</v>
      </c>
      <c r="I11" s="11" t="s">
        <v>413</v>
      </c>
      <c r="J11" s="11" t="s">
        <v>440</v>
      </c>
      <c r="K11" s="11" t="s">
        <v>442</v>
      </c>
      <c r="L11" s="34" t="s">
        <v>217</v>
      </c>
      <c r="M11" s="34" t="s">
        <v>142</v>
      </c>
      <c r="N11" s="11" t="s">
        <v>237</v>
      </c>
      <c r="O11" s="34" t="s">
        <v>27</v>
      </c>
      <c r="P11" s="34" t="s">
        <v>28</v>
      </c>
      <c r="Q11" s="189" t="s">
        <v>30</v>
      </c>
      <c r="R11" s="11" t="s">
        <v>402</v>
      </c>
      <c r="S11" s="34" t="s">
        <v>409</v>
      </c>
      <c r="T11" s="34" t="s">
        <v>29</v>
      </c>
      <c r="U11" s="11" t="s">
        <v>445</v>
      </c>
      <c r="V11" s="34" t="s">
        <v>31</v>
      </c>
      <c r="W11" s="11" t="s">
        <v>446</v>
      </c>
      <c r="X11" s="11" t="s">
        <v>173</v>
      </c>
      <c r="Y11" s="11" t="s">
        <v>178</v>
      </c>
      <c r="Z11" s="11" t="s">
        <v>35</v>
      </c>
      <c r="AA11" s="11" t="s">
        <v>169</v>
      </c>
      <c r="AB11" s="11" t="s">
        <v>131</v>
      </c>
      <c r="AC11" s="11" t="s">
        <v>145</v>
      </c>
      <c r="AD11" s="11" t="s">
        <v>118</v>
      </c>
      <c r="AE11" s="11" t="s">
        <v>33</v>
      </c>
      <c r="AF11" s="11" t="s">
        <v>32</v>
      </c>
      <c r="AG11" s="11" t="s">
        <v>557</v>
      </c>
      <c r="AH11" s="11" t="s">
        <v>37</v>
      </c>
      <c r="AI11" s="11" t="s">
        <v>124</v>
      </c>
      <c r="AJ11" s="36"/>
      <c r="AK11" s="36"/>
      <c r="AL11" s="36"/>
      <c r="AM11" s="36"/>
      <c r="AN11" s="36"/>
      <c r="AO11" s="36"/>
      <c r="AP11" s="36"/>
    </row>
    <row r="12" spans="1:42" ht="12.75">
      <c r="A12" s="11" t="s">
        <v>23</v>
      </c>
      <c r="B12" s="36"/>
      <c r="C12" s="11" t="s">
        <v>55</v>
      </c>
      <c r="D12" s="11" t="s">
        <v>37</v>
      </c>
      <c r="E12" s="11" t="s">
        <v>55</v>
      </c>
      <c r="F12" s="11" t="s">
        <v>127</v>
      </c>
      <c r="G12" s="11" t="s">
        <v>57</v>
      </c>
      <c r="H12" s="11" t="s">
        <v>45</v>
      </c>
      <c r="I12" s="11" t="s">
        <v>155</v>
      </c>
      <c r="J12" s="11" t="s">
        <v>441</v>
      </c>
      <c r="K12" s="11" t="s">
        <v>443</v>
      </c>
      <c r="L12" s="34" t="s">
        <v>218</v>
      </c>
      <c r="M12" s="34" t="s">
        <v>54</v>
      </c>
      <c r="N12" s="11" t="s">
        <v>238</v>
      </c>
      <c r="O12" s="34" t="s">
        <v>47</v>
      </c>
      <c r="P12" s="34" t="s">
        <v>143</v>
      </c>
      <c r="Q12" s="189" t="s">
        <v>78</v>
      </c>
      <c r="R12" s="11" t="s">
        <v>155</v>
      </c>
      <c r="S12" s="34" t="s">
        <v>410</v>
      </c>
      <c r="T12" s="34" t="s">
        <v>48</v>
      </c>
      <c r="U12" s="11" t="s">
        <v>444</v>
      </c>
      <c r="V12" s="34" t="s">
        <v>50</v>
      </c>
      <c r="W12" s="11" t="s">
        <v>50</v>
      </c>
      <c r="X12" s="11" t="s">
        <v>52</v>
      </c>
      <c r="Y12" s="11" t="s">
        <v>179</v>
      </c>
      <c r="Z12" s="11" t="s">
        <v>54</v>
      </c>
      <c r="AA12" s="11" t="s">
        <v>170</v>
      </c>
      <c r="AB12" s="11" t="s">
        <v>132</v>
      </c>
      <c r="AC12" s="11" t="s">
        <v>53</v>
      </c>
      <c r="AD12" s="11" t="s">
        <v>24</v>
      </c>
      <c r="AE12" s="11" t="s">
        <v>53</v>
      </c>
      <c r="AF12" s="11" t="s">
        <v>52</v>
      </c>
      <c r="AG12" s="11" t="s">
        <v>96</v>
      </c>
      <c r="AH12" s="34" t="s">
        <v>49</v>
      </c>
      <c r="AI12" s="11" t="s">
        <v>55</v>
      </c>
      <c r="AJ12" s="36"/>
      <c r="AK12" s="36"/>
      <c r="AL12" s="36"/>
      <c r="AM12" s="36"/>
      <c r="AN12" s="36"/>
      <c r="AO12" s="36"/>
      <c r="AP12" s="36"/>
    </row>
    <row r="13" spans="1:42" ht="12.75">
      <c r="A13" s="34" t="s">
        <v>38</v>
      </c>
      <c r="B13" s="2"/>
      <c r="C13" s="34" t="s">
        <v>45</v>
      </c>
      <c r="D13" s="34" t="s">
        <v>49</v>
      </c>
      <c r="E13" s="34" t="s">
        <v>45</v>
      </c>
      <c r="F13" s="34" t="s">
        <v>128</v>
      </c>
      <c r="G13" s="34" t="s">
        <v>24</v>
      </c>
      <c r="H13" s="11" t="s">
        <v>434</v>
      </c>
      <c r="I13" s="28">
        <v>12.01</v>
      </c>
      <c r="J13" s="196">
        <f>I13+0.01</f>
        <v>12.02</v>
      </c>
      <c r="K13" s="196">
        <f>J13+0.01</f>
        <v>12.03</v>
      </c>
      <c r="L13" s="4">
        <v>13.01</v>
      </c>
      <c r="M13" s="4">
        <f aca="true" t="shared" si="0" ref="M13:AE13">L13+0.01</f>
        <v>13.02</v>
      </c>
      <c r="N13" s="28">
        <f t="shared" si="0"/>
        <v>13.03</v>
      </c>
      <c r="O13" s="28">
        <f t="shared" si="0"/>
        <v>13.04</v>
      </c>
      <c r="P13" s="4">
        <f t="shared" si="0"/>
        <v>13.049999999999999</v>
      </c>
      <c r="Q13" s="28">
        <f t="shared" si="0"/>
        <v>13.059999999999999</v>
      </c>
      <c r="R13" s="28">
        <f t="shared" si="0"/>
        <v>13.069999999999999</v>
      </c>
      <c r="S13" s="28">
        <f t="shared" si="0"/>
        <v>13.079999999999998</v>
      </c>
      <c r="T13" s="28">
        <f t="shared" si="0"/>
        <v>13.089999999999998</v>
      </c>
      <c r="U13" s="28">
        <f t="shared" si="0"/>
        <v>13.099999999999998</v>
      </c>
      <c r="V13" s="28">
        <f t="shared" si="0"/>
        <v>13.109999999999998</v>
      </c>
      <c r="W13" s="28">
        <f t="shared" si="0"/>
        <v>13.119999999999997</v>
      </c>
      <c r="X13" s="28">
        <f t="shared" si="0"/>
        <v>13.129999999999997</v>
      </c>
      <c r="Y13" s="28">
        <f t="shared" si="0"/>
        <v>13.139999999999997</v>
      </c>
      <c r="Z13" s="28">
        <f t="shared" si="0"/>
        <v>13.149999999999997</v>
      </c>
      <c r="AA13" s="28">
        <f t="shared" si="0"/>
        <v>13.159999999999997</v>
      </c>
      <c r="AB13" s="28">
        <f t="shared" si="0"/>
        <v>13.169999999999996</v>
      </c>
      <c r="AC13" s="28">
        <f t="shared" si="0"/>
        <v>13.179999999999996</v>
      </c>
      <c r="AD13" s="28">
        <f t="shared" si="0"/>
        <v>13.189999999999996</v>
      </c>
      <c r="AE13" s="28">
        <f t="shared" si="0"/>
        <v>13.199999999999996</v>
      </c>
      <c r="AF13" s="28">
        <f>+AE13+0.01</f>
        <v>13.209999999999996</v>
      </c>
      <c r="AG13" s="28">
        <v>13.22</v>
      </c>
      <c r="AH13" s="34"/>
      <c r="AI13" s="34" t="s">
        <v>45</v>
      </c>
      <c r="AJ13" s="3"/>
      <c r="AK13" s="3"/>
      <c r="AL13" s="3"/>
      <c r="AM13" s="3"/>
      <c r="AN13" s="3"/>
      <c r="AO13" s="3"/>
      <c r="AP13" s="3"/>
    </row>
    <row r="14" spans="1:42" ht="12.75">
      <c r="A14" s="5" t="s">
        <v>59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12"/>
      <c r="U14" s="5"/>
      <c r="V14" s="5"/>
      <c r="W14" s="108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3"/>
      <c r="AL14" s="3"/>
      <c r="AM14" s="3"/>
      <c r="AN14" s="3"/>
      <c r="AO14" s="3"/>
      <c r="AP14" s="3"/>
    </row>
    <row r="15" spans="1:42" ht="12.75">
      <c r="A15" s="12">
        <v>1</v>
      </c>
      <c r="B15" s="68" t="s">
        <v>0</v>
      </c>
      <c r="C15" s="25"/>
      <c r="H15" s="74"/>
      <c r="J15" s="74"/>
      <c r="K15" s="74"/>
      <c r="L15" s="25"/>
      <c r="M15" s="25"/>
      <c r="O15" s="25"/>
      <c r="P15" s="25"/>
      <c r="S15" s="25"/>
      <c r="V15" s="25"/>
      <c r="W15" s="74"/>
      <c r="AD15" s="25"/>
      <c r="AH15" s="30"/>
      <c r="AI15" s="25"/>
      <c r="AJ15" s="3"/>
      <c r="AK15" s="3"/>
      <c r="AL15" s="3"/>
      <c r="AM15" s="3"/>
      <c r="AN15" s="3"/>
      <c r="AO15" s="3"/>
      <c r="AP15" s="3"/>
    </row>
    <row r="16" spans="1:42" ht="13.5">
      <c r="A16" s="12">
        <f aca="true" t="shared" si="1" ref="A16:A59">+A15+1</f>
        <v>2</v>
      </c>
      <c r="B16" s="13" t="s">
        <v>1</v>
      </c>
      <c r="C16" s="29">
        <f>'MJS-11'!H16</f>
        <v>953445525.51</v>
      </c>
      <c r="D16" s="882">
        <f>'MJS-11'!AH16</f>
        <v>86342727.59308854</v>
      </c>
      <c r="E16" s="888">
        <f>C16+D16</f>
        <v>1039788253.1030885</v>
      </c>
      <c r="F16" s="888">
        <f>+F19-F18</f>
        <v>28468160</v>
      </c>
      <c r="G16" s="888">
        <f>E16+F16</f>
        <v>1068256413.1030885</v>
      </c>
      <c r="H16" s="8">
        <v>953445525.51</v>
      </c>
      <c r="I16" s="30">
        <v>0</v>
      </c>
      <c r="J16" s="8"/>
      <c r="K16" s="8"/>
      <c r="L16" s="29">
        <f>+'MJS-13'!F40</f>
        <v>33261442.322567675</v>
      </c>
      <c r="M16" s="882">
        <f>'MJS-13'!K28</f>
        <v>10718138.27052087</v>
      </c>
      <c r="N16" s="357">
        <f>-SUM('MJS-13'!O15:O17)</f>
        <v>42363147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8"/>
      <c r="X16" s="29"/>
      <c r="Y16" s="29">
        <v>0</v>
      </c>
      <c r="Z16" s="30">
        <v>0</v>
      </c>
      <c r="AA16" s="29"/>
      <c r="AB16" s="30">
        <v>0</v>
      </c>
      <c r="AC16" s="30">
        <v>0</v>
      </c>
      <c r="AD16" s="29">
        <v>0</v>
      </c>
      <c r="AE16" s="30">
        <v>0</v>
      </c>
      <c r="AF16" s="29">
        <v>0</v>
      </c>
      <c r="AG16" s="29"/>
      <c r="AH16" s="890">
        <f>SUM(I16:AG16)</f>
        <v>86342727.59308854</v>
      </c>
      <c r="AI16" s="890">
        <f>H16+AH16</f>
        <v>1039788253.1030885</v>
      </c>
      <c r="AJ16" s="3"/>
      <c r="AK16" s="3"/>
      <c r="AL16" s="3"/>
      <c r="AM16" s="3"/>
      <c r="AN16" s="3"/>
      <c r="AO16" s="3"/>
      <c r="AP16" s="3"/>
    </row>
    <row r="17" spans="1:42" ht="13.5">
      <c r="A17" s="12">
        <f t="shared" si="1"/>
        <v>3</v>
      </c>
      <c r="B17" s="13" t="s">
        <v>67</v>
      </c>
      <c r="C17" s="9">
        <f>'MJS-11'!H17</f>
        <v>43761997</v>
      </c>
      <c r="D17" s="113">
        <f>'MJS-11'!AH17</f>
        <v>-43761997</v>
      </c>
      <c r="E17" s="87">
        <f>+C17+D17</f>
        <v>0</v>
      </c>
      <c r="F17" s="901"/>
      <c r="G17" s="901">
        <f>+E17+F17</f>
        <v>0</v>
      </c>
      <c r="H17" s="55">
        <v>43761997</v>
      </c>
      <c r="I17" s="51"/>
      <c r="J17" s="55"/>
      <c r="K17" s="55"/>
      <c r="L17" s="51"/>
      <c r="M17" s="51"/>
      <c r="N17" s="51">
        <f>-SUM('MJS-13'!O18:O19)</f>
        <v>-43761997</v>
      </c>
      <c r="O17" s="51"/>
      <c r="P17" s="51"/>
      <c r="Q17" s="55"/>
      <c r="R17" s="51"/>
      <c r="S17" s="51"/>
      <c r="T17" s="51"/>
      <c r="U17" s="51"/>
      <c r="V17" s="51"/>
      <c r="W17" s="55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>
        <f>SUM(I17:AG17)</f>
        <v>-43761997</v>
      </c>
      <c r="AI17" s="51">
        <f>H17+AH17</f>
        <v>0</v>
      </c>
      <c r="AJ17" s="3"/>
      <c r="AK17" s="3"/>
      <c r="AL17" s="3"/>
      <c r="AM17" s="3"/>
      <c r="AN17" s="3"/>
      <c r="AO17" s="3"/>
      <c r="AP17" s="3"/>
    </row>
    <row r="18" spans="1:42" ht="13.5">
      <c r="A18" s="12">
        <f t="shared" si="1"/>
        <v>4</v>
      </c>
      <c r="B18" s="13" t="s">
        <v>2</v>
      </c>
      <c r="C18" s="99">
        <f>'MJS-11'!H18</f>
        <v>14322993.74</v>
      </c>
      <c r="D18" s="115">
        <f>'MJS-11'!AH18</f>
        <v>575830.2649999997</v>
      </c>
      <c r="E18" s="88">
        <f>+C18+D18</f>
        <v>14898824.004999999</v>
      </c>
      <c r="F18" s="902">
        <f>'MJS-14'!E26</f>
        <v>147865</v>
      </c>
      <c r="G18" s="902">
        <f>+E18+F18</f>
        <v>15046689.004999999</v>
      </c>
      <c r="H18" s="55">
        <v>14322993.74</v>
      </c>
      <c r="I18" s="52"/>
      <c r="J18" s="52"/>
      <c r="K18" s="52"/>
      <c r="L18" s="51"/>
      <c r="M18" s="51">
        <f>'MJS-13'!K40</f>
        <v>575830.2649999997</v>
      </c>
      <c r="N18" s="52"/>
      <c r="O18" s="51"/>
      <c r="P18" s="244"/>
      <c r="Q18" s="60"/>
      <c r="R18" s="52"/>
      <c r="S18" s="51"/>
      <c r="T18" s="51"/>
      <c r="U18" s="52"/>
      <c r="V18" s="52"/>
      <c r="W18" s="55"/>
      <c r="X18" s="52"/>
      <c r="Y18" s="52" t="s">
        <v>17</v>
      </c>
      <c r="Z18" s="52"/>
      <c r="AA18" s="52"/>
      <c r="AB18" s="52"/>
      <c r="AC18" s="52"/>
      <c r="AD18" s="52"/>
      <c r="AE18" s="52"/>
      <c r="AF18" s="52"/>
      <c r="AG18" s="52"/>
      <c r="AH18" s="52">
        <f>SUM(I18:AG18)</f>
        <v>575830.2649999997</v>
      </c>
      <c r="AI18" s="52">
        <f>H18+AH18</f>
        <v>14898824.004999999</v>
      </c>
      <c r="AJ18" s="3"/>
      <c r="AK18" s="3"/>
      <c r="AL18" s="3"/>
      <c r="AM18" s="3"/>
      <c r="AN18" s="3"/>
      <c r="AO18" s="3"/>
      <c r="AP18" s="3"/>
    </row>
    <row r="19" spans="1:42" ht="13.5">
      <c r="A19" s="12">
        <f t="shared" si="1"/>
        <v>5</v>
      </c>
      <c r="B19" s="13" t="s">
        <v>3</v>
      </c>
      <c r="C19" s="29">
        <f>SUM(C16:C18)</f>
        <v>1011530516.25</v>
      </c>
      <c r="D19" s="882">
        <f>SUM(D16:D18)</f>
        <v>43156560.85808854</v>
      </c>
      <c r="E19" s="883">
        <f>SUM(E16:E18)</f>
        <v>1054687077.1080885</v>
      </c>
      <c r="F19" s="883">
        <f>'MJS-14'!E25</f>
        <v>28616025</v>
      </c>
      <c r="G19" s="883">
        <f>SUM(G16:G18)</f>
        <v>1083303102.1080885</v>
      </c>
      <c r="H19" s="49">
        <f aca="true" t="shared" si="2" ref="H19:P19">SUM(H16:H18)</f>
        <v>1011530516.25</v>
      </c>
      <c r="I19" s="24">
        <f>SUM(I16:I18)</f>
        <v>0</v>
      </c>
      <c r="J19" s="24">
        <f>SUM(J16:J18)</f>
        <v>0</v>
      </c>
      <c r="K19" s="24">
        <f>SUM(K16:K18)</f>
        <v>0</v>
      </c>
      <c r="L19" s="49">
        <f t="shared" si="2"/>
        <v>33261442.322567675</v>
      </c>
      <c r="M19" s="883">
        <f t="shared" si="2"/>
        <v>11293968.53552087</v>
      </c>
      <c r="N19" s="49">
        <f>SUM(N16:N18)</f>
        <v>-1398850</v>
      </c>
      <c r="O19" s="49">
        <f t="shared" si="2"/>
        <v>0</v>
      </c>
      <c r="P19" s="49">
        <f t="shared" si="2"/>
        <v>0</v>
      </c>
      <c r="Q19" s="49">
        <f aca="true" t="shared" si="3" ref="Q19:W19">SUM(Q16:Q18)</f>
        <v>0</v>
      </c>
      <c r="R19" s="49">
        <f t="shared" si="3"/>
        <v>0</v>
      </c>
      <c r="S19" s="49">
        <f t="shared" si="3"/>
        <v>0</v>
      </c>
      <c r="T19" s="49">
        <f t="shared" si="3"/>
        <v>0</v>
      </c>
      <c r="U19" s="49">
        <f t="shared" si="3"/>
        <v>0</v>
      </c>
      <c r="V19" s="49">
        <f t="shared" si="3"/>
        <v>0</v>
      </c>
      <c r="W19" s="49">
        <f t="shared" si="3"/>
        <v>0</v>
      </c>
      <c r="X19" s="57">
        <f>SUM(X15:X18)</f>
        <v>0</v>
      </c>
      <c r="Y19" s="49">
        <f aca="true" t="shared" si="4" ref="Y19:AD19">SUM(Y16:Y18)</f>
        <v>0</v>
      </c>
      <c r="Z19" s="24">
        <f t="shared" si="4"/>
        <v>0</v>
      </c>
      <c r="AA19" s="49">
        <f t="shared" si="4"/>
        <v>0</v>
      </c>
      <c r="AB19" s="24">
        <f t="shared" si="4"/>
        <v>0</v>
      </c>
      <c r="AC19" s="24">
        <f t="shared" si="4"/>
        <v>0</v>
      </c>
      <c r="AD19" s="49">
        <f t="shared" si="4"/>
        <v>0</v>
      </c>
      <c r="AE19" s="24">
        <f>SUM(AE16:AE18)</f>
        <v>0</v>
      </c>
      <c r="AF19" s="49">
        <f>SUM(AF16:AF18)</f>
        <v>0</v>
      </c>
      <c r="AG19" s="49">
        <f>SUM(AG16:AG18)</f>
        <v>0</v>
      </c>
      <c r="AH19" s="890">
        <f>SUM(AH16:AH18)</f>
        <v>43156560.85808854</v>
      </c>
      <c r="AI19" s="890">
        <f>H19+AH19</f>
        <v>1054687077.1080885</v>
      </c>
      <c r="AJ19" s="3"/>
      <c r="AK19" s="3"/>
      <c r="AL19" s="3"/>
      <c r="AM19" s="3"/>
      <c r="AN19" s="3"/>
      <c r="AO19" s="3"/>
      <c r="AP19" s="3"/>
    </row>
    <row r="20" spans="1:42" ht="12.75">
      <c r="A20" s="12">
        <f t="shared" si="1"/>
        <v>6</v>
      </c>
      <c r="D20" s="30"/>
      <c r="E20" s="25"/>
      <c r="F20" s="557"/>
      <c r="I20" s="18"/>
      <c r="N20" s="18"/>
      <c r="R20" s="18"/>
      <c r="U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5"/>
      <c r="AI20" s="25"/>
      <c r="AJ20" s="3"/>
      <c r="AK20" s="3"/>
      <c r="AL20" s="3"/>
      <c r="AM20" s="3"/>
      <c r="AN20" s="3"/>
      <c r="AO20" s="3"/>
      <c r="AP20" s="3"/>
    </row>
    <row r="21" spans="1:42" ht="12.75">
      <c r="A21" s="12">
        <f t="shared" si="1"/>
        <v>7</v>
      </c>
      <c r="C21" s="25"/>
      <c r="D21" s="25"/>
      <c r="E21" s="25"/>
      <c r="F21" s="208"/>
      <c r="G21" s="25"/>
      <c r="H21" s="74"/>
      <c r="J21" s="74"/>
      <c r="K21" s="74"/>
      <c r="L21" s="27"/>
      <c r="M21" s="27"/>
      <c r="N21" s="27" t="s">
        <v>17</v>
      </c>
      <c r="O21" s="27" t="s">
        <v>17</v>
      </c>
      <c r="P21" s="27" t="s">
        <v>17</v>
      </c>
      <c r="Q21" s="190" t="s">
        <v>17</v>
      </c>
      <c r="R21" s="27"/>
      <c r="S21" s="27" t="s">
        <v>17</v>
      </c>
      <c r="T21" s="27" t="s">
        <v>17</v>
      </c>
      <c r="U21" s="27"/>
      <c r="V21" s="27"/>
      <c r="W21" s="74"/>
      <c r="X21" s="27"/>
      <c r="Y21" s="27"/>
      <c r="AA21" s="27"/>
      <c r="AD21" s="27" t="s">
        <v>17</v>
      </c>
      <c r="AE21" s="17" t="s">
        <v>17</v>
      </c>
      <c r="AF21" s="27" t="s">
        <v>17</v>
      </c>
      <c r="AG21" s="27"/>
      <c r="AH21" s="25"/>
      <c r="AI21" s="25"/>
      <c r="AJ21" s="3"/>
      <c r="AK21" s="3"/>
      <c r="AL21" s="3"/>
      <c r="AM21" s="3"/>
      <c r="AN21" s="3"/>
      <c r="AO21" s="3"/>
      <c r="AP21" s="3"/>
    </row>
    <row r="22" spans="1:42" ht="12.75">
      <c r="A22" s="12">
        <f t="shared" si="1"/>
        <v>8</v>
      </c>
      <c r="B22" s="97" t="s">
        <v>4</v>
      </c>
      <c r="C22" s="25"/>
      <c r="D22" s="25"/>
      <c r="E22" s="25"/>
      <c r="F22" s="25"/>
      <c r="G22" s="25"/>
      <c r="H22" s="29"/>
      <c r="J22" s="29"/>
      <c r="K22" s="29"/>
      <c r="L22" s="25"/>
      <c r="M22" s="25"/>
      <c r="N22" s="25"/>
      <c r="O22" s="25"/>
      <c r="P22" s="25"/>
      <c r="Q22" s="74"/>
      <c r="R22" s="25"/>
      <c r="S22" s="25"/>
      <c r="T22" s="25"/>
      <c r="U22" s="25"/>
      <c r="V22" s="25"/>
      <c r="W22" s="29"/>
      <c r="X22" s="25"/>
      <c r="Y22" s="25"/>
      <c r="AA22" s="25"/>
      <c r="AD22" s="25"/>
      <c r="AE22" s="20"/>
      <c r="AF22" s="25"/>
      <c r="AG22" s="25"/>
      <c r="AH22" s="25"/>
      <c r="AI22" s="25"/>
      <c r="AJ22" s="3"/>
      <c r="AK22" s="3"/>
      <c r="AL22" s="3"/>
      <c r="AM22" s="3"/>
      <c r="AN22" s="3"/>
      <c r="AO22" s="3"/>
      <c r="AP22" s="3"/>
    </row>
    <row r="23" spans="1:42" ht="12.75">
      <c r="A23" s="12">
        <f t="shared" si="1"/>
        <v>9</v>
      </c>
      <c r="C23" s="25"/>
      <c r="D23" s="25"/>
      <c r="E23" s="25"/>
      <c r="F23" s="25" t="s">
        <v>17</v>
      </c>
      <c r="G23" s="25"/>
      <c r="AE23" s="2"/>
      <c r="AH23" s="25"/>
      <c r="AI23" s="25"/>
      <c r="AJ23" s="3"/>
      <c r="AK23" s="3"/>
      <c r="AL23" s="3"/>
      <c r="AM23" s="3"/>
      <c r="AN23" s="3"/>
      <c r="AO23" s="3"/>
      <c r="AP23" s="3"/>
    </row>
    <row r="24" spans="1:42" ht="12.75">
      <c r="A24" s="12">
        <f t="shared" si="1"/>
        <v>10</v>
      </c>
      <c r="B24" s="13" t="s">
        <v>146</v>
      </c>
      <c r="C24" s="25"/>
      <c r="D24" s="25"/>
      <c r="E24" s="25"/>
      <c r="F24" s="25" t="s">
        <v>17</v>
      </c>
      <c r="G24" s="25"/>
      <c r="H24" s="8"/>
      <c r="J24" s="8"/>
      <c r="K24" s="8"/>
      <c r="L24" s="29"/>
      <c r="M24" s="29"/>
      <c r="N24" s="25"/>
      <c r="O24" s="29"/>
      <c r="P24" s="29"/>
      <c r="Q24" s="74"/>
      <c r="R24" s="25"/>
      <c r="S24" s="29"/>
      <c r="T24" s="29"/>
      <c r="U24" s="25"/>
      <c r="V24" s="25"/>
      <c r="W24" s="8"/>
      <c r="X24" s="25"/>
      <c r="Y24" s="25"/>
      <c r="AA24" s="25"/>
      <c r="AD24" s="25"/>
      <c r="AE24" s="20"/>
      <c r="AF24" s="25"/>
      <c r="AG24" s="25"/>
      <c r="AH24" s="25"/>
      <c r="AI24" s="25"/>
      <c r="AJ24" s="3"/>
      <c r="AK24" s="3"/>
      <c r="AL24" s="3"/>
      <c r="AM24" s="3"/>
      <c r="AN24" s="3"/>
      <c r="AO24" s="3"/>
      <c r="AP24" s="3"/>
    </row>
    <row r="25" spans="1:42" ht="12.75">
      <c r="A25" s="12">
        <f t="shared" si="1"/>
        <v>11</v>
      </c>
      <c r="B25" s="13"/>
      <c r="C25" s="62"/>
      <c r="D25" s="62"/>
      <c r="E25" s="89"/>
      <c r="F25" s="89"/>
      <c r="G25" s="89"/>
      <c r="H25" s="116"/>
      <c r="I25" s="30"/>
      <c r="J25" s="116"/>
      <c r="K25" s="116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116"/>
      <c r="X25" s="62"/>
      <c r="Y25" s="62"/>
      <c r="Z25" s="30"/>
      <c r="AA25" s="62"/>
      <c r="AB25" s="30"/>
      <c r="AC25" s="30"/>
      <c r="AD25" s="62"/>
      <c r="AE25" s="54"/>
      <c r="AF25" s="62"/>
      <c r="AG25" s="62"/>
      <c r="AH25" s="30"/>
      <c r="AI25" s="30"/>
      <c r="AJ25" s="3"/>
      <c r="AK25" s="3"/>
      <c r="AL25" s="3"/>
      <c r="AM25" s="3"/>
      <c r="AN25" s="3"/>
      <c r="AO25" s="3"/>
      <c r="AP25" s="3"/>
    </row>
    <row r="26" spans="1:42" ht="13.5">
      <c r="A26" s="12">
        <f t="shared" si="1"/>
        <v>12</v>
      </c>
      <c r="B26" s="13" t="s">
        <v>147</v>
      </c>
      <c r="C26" s="29">
        <f>'MJS-11'!H26</f>
        <v>535932510.269999</v>
      </c>
      <c r="D26" s="882">
        <f>'MJS-11'!AH26</f>
        <v>64990761.938795984</v>
      </c>
      <c r="E26" s="888">
        <f>+C26+D26</f>
        <v>600923272.2087951</v>
      </c>
      <c r="F26" s="86">
        <v>0</v>
      </c>
      <c r="G26" s="888">
        <f>+E26+F26</f>
        <v>600923272.2087951</v>
      </c>
      <c r="H26" s="8">
        <v>535932510.269999</v>
      </c>
      <c r="I26" s="30">
        <v>0</v>
      </c>
      <c r="J26" s="8"/>
      <c r="K26" s="8"/>
      <c r="L26" s="29">
        <f>'MJS-13'!E43</f>
        <v>21569842.008104395</v>
      </c>
      <c r="M26" s="882">
        <f>'MJS-13'!J56</f>
        <v>-15221524.069308411</v>
      </c>
      <c r="N26" s="29">
        <f>'MJS-13'!O31</f>
        <v>58642444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8"/>
      <c r="X26" s="29"/>
      <c r="Y26" s="29">
        <v>0</v>
      </c>
      <c r="Z26" s="30">
        <v>0</v>
      </c>
      <c r="AA26" s="29"/>
      <c r="AB26" s="30">
        <v>0</v>
      </c>
      <c r="AC26" s="30">
        <v>0</v>
      </c>
      <c r="AD26" s="29">
        <v>0</v>
      </c>
      <c r="AE26" s="54">
        <v>0</v>
      </c>
      <c r="AF26" s="29">
        <v>0</v>
      </c>
      <c r="AG26" s="29"/>
      <c r="AH26" s="890">
        <f>SUM(I26:AG26)</f>
        <v>64990761.938795984</v>
      </c>
      <c r="AI26" s="890">
        <f>H26+AH26</f>
        <v>600923272.2087951</v>
      </c>
      <c r="AJ26" s="3"/>
      <c r="AK26" s="3"/>
      <c r="AL26" s="3"/>
      <c r="AM26" s="3"/>
      <c r="AN26" s="3"/>
      <c r="AO26" s="3"/>
      <c r="AP26" s="3"/>
    </row>
    <row r="27" spans="1:42" ht="13.5">
      <c r="A27" s="12">
        <f t="shared" si="1"/>
        <v>13</v>
      </c>
      <c r="B27" s="13"/>
      <c r="C27" s="52"/>
      <c r="D27" s="735"/>
      <c r="E27" s="901"/>
      <c r="F27" s="87"/>
      <c r="G27" s="902"/>
      <c r="H27" s="55"/>
      <c r="I27" s="52"/>
      <c r="J27" s="52"/>
      <c r="K27" s="52"/>
      <c r="L27" s="51"/>
      <c r="M27" s="735"/>
      <c r="N27" s="52"/>
      <c r="O27" s="51"/>
      <c r="P27" s="51"/>
      <c r="Q27" s="55"/>
      <c r="R27" s="52"/>
      <c r="S27" s="51"/>
      <c r="T27" s="51"/>
      <c r="U27" s="52"/>
      <c r="V27" s="51"/>
      <c r="W27" s="55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906"/>
      <c r="AI27" s="906"/>
      <c r="AJ27" s="3"/>
      <c r="AK27" s="3"/>
      <c r="AL27" s="3"/>
      <c r="AM27" s="3"/>
      <c r="AN27" s="3"/>
      <c r="AO27" s="3"/>
      <c r="AP27" s="3"/>
    </row>
    <row r="28" spans="1:42" ht="13.5">
      <c r="A28" s="12">
        <f t="shared" si="1"/>
        <v>14</v>
      </c>
      <c r="B28" s="13" t="s">
        <v>5</v>
      </c>
      <c r="C28" s="50">
        <f>SUM(C24:C27)</f>
        <v>535932510.269999</v>
      </c>
      <c r="D28" s="884">
        <f>SUM(D24:D27)</f>
        <v>64990761.938795984</v>
      </c>
      <c r="E28" s="884">
        <f>SUM(E24:E27)</f>
        <v>600923272.2087951</v>
      </c>
      <c r="F28" s="50">
        <f>SUM(F24:F27)</f>
        <v>0</v>
      </c>
      <c r="G28" s="884">
        <f>SUM(G24:G27)</f>
        <v>600923272.2087951</v>
      </c>
      <c r="H28" s="50">
        <f aca="true" t="shared" si="5" ref="H28:P28">SUM(H25:H27)</f>
        <v>535932510.269999</v>
      </c>
      <c r="I28" s="30">
        <f>SUM(I25:I27)</f>
        <v>0</v>
      </c>
      <c r="J28" s="30">
        <f>SUM(J25:J27)</f>
        <v>0</v>
      </c>
      <c r="K28" s="30">
        <f>SUM(K25:K27)</f>
        <v>0</v>
      </c>
      <c r="L28" s="50">
        <f t="shared" si="5"/>
        <v>21569842.008104395</v>
      </c>
      <c r="M28" s="884">
        <f t="shared" si="5"/>
        <v>-15221524.069308411</v>
      </c>
      <c r="N28" s="50">
        <f>SUM(N25:N27)</f>
        <v>58642444</v>
      </c>
      <c r="O28" s="50">
        <f t="shared" si="5"/>
        <v>0</v>
      </c>
      <c r="P28" s="50">
        <f t="shared" si="5"/>
        <v>0</v>
      </c>
      <c r="Q28" s="50">
        <f aca="true" t="shared" si="6" ref="Q28:W28">SUM(Q25:Q27)</f>
        <v>0</v>
      </c>
      <c r="R28" s="50">
        <f t="shared" si="6"/>
        <v>0</v>
      </c>
      <c r="S28" s="50">
        <f t="shared" si="6"/>
        <v>0</v>
      </c>
      <c r="T28" s="50">
        <f t="shared" si="6"/>
        <v>0</v>
      </c>
      <c r="U28" s="50">
        <f t="shared" si="6"/>
        <v>0</v>
      </c>
      <c r="V28" s="50">
        <f t="shared" si="6"/>
        <v>0</v>
      </c>
      <c r="W28" s="50">
        <f t="shared" si="6"/>
        <v>0</v>
      </c>
      <c r="X28" s="58">
        <f>SUM(X23:X27)</f>
        <v>0</v>
      </c>
      <c r="Y28" s="50">
        <f aca="true" t="shared" si="7" ref="Y28:AD28">SUM(Y25:Y27)</f>
        <v>0</v>
      </c>
      <c r="Z28" s="30">
        <f t="shared" si="7"/>
        <v>0</v>
      </c>
      <c r="AA28" s="50">
        <f t="shared" si="7"/>
        <v>0</v>
      </c>
      <c r="AB28" s="30">
        <f t="shared" si="7"/>
        <v>0</v>
      </c>
      <c r="AC28" s="30">
        <f t="shared" si="7"/>
        <v>0</v>
      </c>
      <c r="AD28" s="50">
        <f t="shared" si="7"/>
        <v>0</v>
      </c>
      <c r="AE28" s="30">
        <f>SUM(AE25:AE27)</f>
        <v>0</v>
      </c>
      <c r="AF28" s="50">
        <f>SUM(AF25:AF27)</f>
        <v>0</v>
      </c>
      <c r="AG28" s="50">
        <f>SUM(AG25:AG27)</f>
        <v>0</v>
      </c>
      <c r="AH28" s="884">
        <f>SUM(AH25:AH27)</f>
        <v>64990761.938795984</v>
      </c>
      <c r="AI28" s="890">
        <f>H28+AH28</f>
        <v>600923272.2087951</v>
      </c>
      <c r="AJ28" s="3"/>
      <c r="AK28" s="3"/>
      <c r="AL28" s="3"/>
      <c r="AM28" s="3"/>
      <c r="AN28" s="3"/>
      <c r="AO28" s="3"/>
      <c r="AP28" s="3"/>
    </row>
    <row r="29" spans="1:42" ht="12.75">
      <c r="A29" s="12">
        <f t="shared" si="1"/>
        <v>15</v>
      </c>
      <c r="B29" s="118"/>
      <c r="C29" s="45"/>
      <c r="D29" s="45"/>
      <c r="E29" s="45"/>
      <c r="F29" s="45"/>
      <c r="G29" s="45"/>
      <c r="H29" s="45"/>
      <c r="I29" s="47"/>
      <c r="J29" s="45"/>
      <c r="K29" s="45"/>
      <c r="L29" s="45"/>
      <c r="M29" s="45"/>
      <c r="N29" s="46"/>
      <c r="O29" s="45"/>
      <c r="P29" s="45"/>
      <c r="Q29" s="84"/>
      <c r="R29" s="46"/>
      <c r="S29" s="45"/>
      <c r="T29" s="45"/>
      <c r="U29" s="46"/>
      <c r="V29" s="84"/>
      <c r="W29" s="45"/>
      <c r="X29" s="46"/>
      <c r="Y29" s="46"/>
      <c r="Z29" s="47"/>
      <c r="AA29" s="46"/>
      <c r="AB29" s="47"/>
      <c r="AC29" s="47"/>
      <c r="AD29" s="46"/>
      <c r="AE29" s="46"/>
      <c r="AF29" s="46"/>
      <c r="AG29" s="46"/>
      <c r="AH29" s="45"/>
      <c r="AI29" s="45"/>
      <c r="AJ29" s="81"/>
      <c r="AK29" s="81"/>
      <c r="AL29" s="81"/>
      <c r="AM29" s="81"/>
      <c r="AN29" s="81"/>
      <c r="AO29" s="81"/>
      <c r="AP29" s="81"/>
    </row>
    <row r="30" spans="1:42" ht="13.5">
      <c r="A30" s="12">
        <f t="shared" si="1"/>
        <v>16</v>
      </c>
      <c r="B30" s="97" t="s">
        <v>91</v>
      </c>
      <c r="C30" s="29">
        <f>'MJS-11'!H30</f>
        <v>1937121.8</v>
      </c>
      <c r="D30" s="882">
        <f>'MJS-11'!AH30</f>
        <v>22110.61738955527</v>
      </c>
      <c r="E30" s="888">
        <f>C30+D30</f>
        <v>1959232.4173895554</v>
      </c>
      <c r="F30" s="86">
        <v>0</v>
      </c>
      <c r="G30" s="888">
        <f>E30+F30</f>
        <v>1959232.4173895554</v>
      </c>
      <c r="H30" s="58">
        <v>1937121.8</v>
      </c>
      <c r="I30" s="54">
        <v>0</v>
      </c>
      <c r="J30" s="58">
        <v>0</v>
      </c>
      <c r="K30" s="58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54">
        <v>0</v>
      </c>
      <c r="S30" s="29">
        <v>0</v>
      </c>
      <c r="T30" s="29">
        <v>0</v>
      </c>
      <c r="U30" s="54">
        <f>SUM('MJS-13'!AY15:AY17)</f>
        <v>-9798.383992409443</v>
      </c>
      <c r="V30" s="29">
        <v>0</v>
      </c>
      <c r="W30" s="58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730">
        <f>+'MJS-13'!CQ16+'MJS-13'!CQ17+'MJS-13'!CQ15</f>
        <v>31909.001381964714</v>
      </c>
      <c r="AE30" s="54">
        <v>0</v>
      </c>
      <c r="AF30" s="54">
        <v>0</v>
      </c>
      <c r="AG30" s="54"/>
      <c r="AH30" s="890">
        <f aca="true" t="shared" si="8" ref="AH30:AH44">SUM(I30:AG30)</f>
        <v>22110.61738955527</v>
      </c>
      <c r="AI30" s="890">
        <f aca="true" t="shared" si="9" ref="AI30:AI44">H30+AH30</f>
        <v>1959232.4173895554</v>
      </c>
      <c r="AJ30" s="3"/>
      <c r="AK30" s="3"/>
      <c r="AL30" s="3"/>
      <c r="AM30" s="3"/>
      <c r="AN30" s="3"/>
      <c r="AO30" s="3"/>
      <c r="AP30" s="3"/>
    </row>
    <row r="31" spans="1:42" ht="13.5">
      <c r="A31" s="12">
        <f t="shared" si="1"/>
        <v>17</v>
      </c>
      <c r="B31" s="13" t="s">
        <v>6</v>
      </c>
      <c r="C31" s="51">
        <f>'MJS-11'!H31</f>
        <v>226853.499999999</v>
      </c>
      <c r="D31" s="897">
        <f>'MJS-11'!AH31</f>
        <v>1584.271207963111</v>
      </c>
      <c r="E31" s="901">
        <f aca="true" t="shared" si="10" ref="E31:E44">+C31+D31</f>
        <v>228437.77120796213</v>
      </c>
      <c r="F31" s="87"/>
      <c r="G31" s="901">
        <f aca="true" t="shared" si="11" ref="G31:G44">+E31+F31</f>
        <v>228437.77120796213</v>
      </c>
      <c r="H31" s="64">
        <v>226853.499999999</v>
      </c>
      <c r="I31" s="51"/>
      <c r="J31" s="64"/>
      <c r="K31" s="64"/>
      <c r="L31" s="51"/>
      <c r="M31" s="51"/>
      <c r="N31" s="51"/>
      <c r="O31" s="51"/>
      <c r="P31" s="51"/>
      <c r="Q31" s="55"/>
      <c r="R31" s="51"/>
      <c r="S31" s="51"/>
      <c r="T31" s="51"/>
      <c r="U31" s="51">
        <f>'MJS-13'!AY18</f>
        <v>-722.728792036889</v>
      </c>
      <c r="V31" s="51"/>
      <c r="W31" s="64"/>
      <c r="X31" s="51"/>
      <c r="Y31" s="51"/>
      <c r="Z31" s="51"/>
      <c r="AA31" s="51"/>
      <c r="AB31" s="51"/>
      <c r="AC31" s="51"/>
      <c r="AD31" s="735">
        <f>+'MJS-13'!CQ18</f>
        <v>2307</v>
      </c>
      <c r="AE31" s="64"/>
      <c r="AF31" s="51"/>
      <c r="AG31" s="51"/>
      <c r="AH31" s="735">
        <f t="shared" si="8"/>
        <v>1584.271207963111</v>
      </c>
      <c r="AI31" s="735">
        <f t="shared" si="9"/>
        <v>228437.77120796213</v>
      </c>
      <c r="AJ31" s="3"/>
      <c r="AK31" s="3"/>
      <c r="AL31" s="3"/>
      <c r="AM31" s="3"/>
      <c r="AN31" s="3"/>
      <c r="AO31" s="3"/>
      <c r="AP31" s="3"/>
    </row>
    <row r="32" spans="1:42" ht="13.5">
      <c r="A32" s="12">
        <f t="shared" si="1"/>
        <v>18</v>
      </c>
      <c r="B32" s="13" t="s">
        <v>7</v>
      </c>
      <c r="C32" s="51">
        <f>'MJS-11'!H32</f>
        <v>50238405.47</v>
      </c>
      <c r="D32" s="897">
        <f>'MJS-11'!AH32</f>
        <v>-683276.9959125298</v>
      </c>
      <c r="E32" s="901">
        <f t="shared" si="10"/>
        <v>49555128.47408747</v>
      </c>
      <c r="F32" s="87"/>
      <c r="G32" s="901">
        <f t="shared" si="11"/>
        <v>49555128.47408747</v>
      </c>
      <c r="H32" s="64">
        <v>50238405.47</v>
      </c>
      <c r="I32" s="51"/>
      <c r="J32" s="64"/>
      <c r="K32" s="64">
        <f>'MJS-12'!O15</f>
        <v>-984862.3747806204</v>
      </c>
      <c r="L32" s="51"/>
      <c r="M32" s="51"/>
      <c r="N32" s="51"/>
      <c r="O32" s="51"/>
      <c r="P32" s="51"/>
      <c r="Q32" s="55">
        <f>'MJS-13'!AC16</f>
        <v>-72884.58478527999</v>
      </c>
      <c r="R32" s="51"/>
      <c r="S32" s="51"/>
      <c r="T32" s="51"/>
      <c r="U32" s="51">
        <f>'MJS-13'!AY19</f>
        <v>-175074.03634662926</v>
      </c>
      <c r="V32" s="51"/>
      <c r="W32" s="64"/>
      <c r="X32" s="51"/>
      <c r="Y32" s="51"/>
      <c r="Z32" s="51"/>
      <c r="AA32" s="51"/>
      <c r="AB32" s="51"/>
      <c r="AC32" s="51"/>
      <c r="AD32" s="735">
        <f>'MJS-13'!CQ19</f>
        <v>549544</v>
      </c>
      <c r="AE32" s="64"/>
      <c r="AF32" s="51"/>
      <c r="AG32" s="51"/>
      <c r="AH32" s="735">
        <f t="shared" si="8"/>
        <v>-683276.9959125298</v>
      </c>
      <c r="AI32" s="735">
        <f t="shared" si="9"/>
        <v>49555128.47408747</v>
      </c>
      <c r="AJ32" s="3"/>
      <c r="AK32" s="3"/>
      <c r="AL32" s="3"/>
      <c r="AM32" s="3"/>
      <c r="AN32" s="3"/>
      <c r="AO32" s="3"/>
      <c r="AP32" s="3"/>
    </row>
    <row r="33" spans="1:42" ht="13.5">
      <c r="A33" s="12">
        <f t="shared" si="1"/>
        <v>19</v>
      </c>
      <c r="B33" s="78" t="s">
        <v>97</v>
      </c>
      <c r="C33" s="51">
        <f>'MJS-11'!H33</f>
        <v>32629594.350796</v>
      </c>
      <c r="D33" s="897">
        <f>'MJS-11'!AH33</f>
        <v>-2107163.122550402</v>
      </c>
      <c r="E33" s="901">
        <f t="shared" si="10"/>
        <v>30522431.228245597</v>
      </c>
      <c r="F33" s="901">
        <f>F19*('MJS-14'!O14)</f>
        <v>99440.686875</v>
      </c>
      <c r="G33" s="901">
        <f t="shared" si="11"/>
        <v>30621871.915120598</v>
      </c>
      <c r="H33" s="65">
        <v>32629594.350796</v>
      </c>
      <c r="I33" s="51"/>
      <c r="J33" s="65"/>
      <c r="K33" s="65"/>
      <c r="L33" s="53">
        <f>+'MJS-13'!E46</f>
        <v>115584</v>
      </c>
      <c r="M33" s="885">
        <f>'MJS-13'!J58</f>
        <v>39246.540660935025</v>
      </c>
      <c r="N33" s="51">
        <f>'MJS-13'!O23</f>
        <v>-4861.00375</v>
      </c>
      <c r="O33" s="53"/>
      <c r="P33" s="53"/>
      <c r="Q33" s="55"/>
      <c r="R33" s="51"/>
      <c r="S33" s="53"/>
      <c r="T33" s="53">
        <f>'MJS-13'!AT26</f>
        <v>-2422201</v>
      </c>
      <c r="U33" s="51">
        <f>'MJS-13'!AY20</f>
        <v>-72600.66959333641</v>
      </c>
      <c r="V33" s="53"/>
      <c r="W33" s="65"/>
      <c r="X33" s="51"/>
      <c r="Y33" s="51">
        <f>'MJS-13'!BR14</f>
        <v>21705.010132</v>
      </c>
      <c r="Z33" s="51"/>
      <c r="AA33" s="51"/>
      <c r="AB33" s="51"/>
      <c r="AC33" s="51"/>
      <c r="AD33" s="735">
        <f>+'MJS-13'!CQ20</f>
        <v>215964</v>
      </c>
      <c r="AE33" s="64"/>
      <c r="AF33" s="51"/>
      <c r="AG33" s="51"/>
      <c r="AH33" s="735">
        <f t="shared" si="8"/>
        <v>-2107163.122550402</v>
      </c>
      <c r="AI33" s="735">
        <f t="shared" si="9"/>
        <v>30522431.228245597</v>
      </c>
      <c r="AJ33" s="3"/>
      <c r="AK33" s="3"/>
      <c r="AL33" s="3"/>
      <c r="AM33" s="3"/>
      <c r="AN33" s="3"/>
      <c r="AO33" s="3"/>
      <c r="AP33" s="3"/>
    </row>
    <row r="34" spans="1:42" ht="13.5">
      <c r="A34" s="12">
        <f t="shared" si="1"/>
        <v>20</v>
      </c>
      <c r="B34" s="13" t="s">
        <v>8</v>
      </c>
      <c r="C34" s="51">
        <f>'MJS-11'!H34</f>
        <v>4454345.868047989</v>
      </c>
      <c r="D34" s="897">
        <f>'MJS-11'!AH34</f>
        <v>-3318460.754058497</v>
      </c>
      <c r="E34" s="901">
        <f t="shared" si="10"/>
        <v>1135885.113989492</v>
      </c>
      <c r="F34" s="901"/>
      <c r="G34" s="901">
        <f t="shared" si="11"/>
        <v>1135885.113989492</v>
      </c>
      <c r="H34" s="64">
        <v>4454345.868047989</v>
      </c>
      <c r="I34" s="51"/>
      <c r="J34" s="64"/>
      <c r="K34" s="64"/>
      <c r="L34" s="51"/>
      <c r="M34" s="735"/>
      <c r="N34" s="51">
        <f>'MJS-13'!O29</f>
        <v>-3337444</v>
      </c>
      <c r="O34" s="51"/>
      <c r="P34" s="51"/>
      <c r="Q34" s="55"/>
      <c r="R34" s="51"/>
      <c r="S34" s="51"/>
      <c r="T34" s="51"/>
      <c r="U34" s="51">
        <f>'MJS-13'!AY21+'MJS-13'!AY22</f>
        <v>-8439.754058496797</v>
      </c>
      <c r="V34" s="51"/>
      <c r="W34" s="64"/>
      <c r="X34" s="51"/>
      <c r="Y34" s="51"/>
      <c r="Z34" s="51"/>
      <c r="AA34" s="51"/>
      <c r="AB34" s="51"/>
      <c r="AC34" s="51"/>
      <c r="AD34" s="735">
        <f>+'MJS-13'!CQ21+'MJS-13'!CQ22</f>
        <v>27423</v>
      </c>
      <c r="AE34" s="64"/>
      <c r="AF34" s="51"/>
      <c r="AG34" s="51"/>
      <c r="AH34" s="735">
        <f t="shared" si="8"/>
        <v>-3318460.754058497</v>
      </c>
      <c r="AI34" s="735">
        <f t="shared" si="9"/>
        <v>1135885.113989492</v>
      </c>
      <c r="AJ34" s="3"/>
      <c r="AK34" s="3"/>
      <c r="AL34" s="3"/>
      <c r="AM34" s="3"/>
      <c r="AN34" s="3"/>
      <c r="AO34" s="3"/>
      <c r="AP34" s="3"/>
    </row>
    <row r="35" spans="1:42" ht="13.5">
      <c r="A35" s="12">
        <f t="shared" si="1"/>
        <v>21</v>
      </c>
      <c r="B35" s="13" t="s">
        <v>9</v>
      </c>
      <c r="C35" s="51">
        <f>'MJS-11'!H35</f>
        <v>14771681.6299999</v>
      </c>
      <c r="D35" s="113">
        <f>'MJS-11'!AH35</f>
        <v>-14771682</v>
      </c>
      <c r="E35" s="87">
        <f t="shared" si="10"/>
        <v>-0.3700000997632742</v>
      </c>
      <c r="F35" s="901"/>
      <c r="G35" s="87">
        <f t="shared" si="11"/>
        <v>-0.3700000997632742</v>
      </c>
      <c r="H35" s="64">
        <v>14771681.6299999</v>
      </c>
      <c r="I35" s="53"/>
      <c r="J35" s="64"/>
      <c r="K35" s="64"/>
      <c r="L35" s="51"/>
      <c r="M35" s="735"/>
      <c r="N35" s="53">
        <f>'MJS-13'!O30</f>
        <v>-14771682</v>
      </c>
      <c r="O35" s="51"/>
      <c r="P35" s="51"/>
      <c r="Q35" s="55"/>
      <c r="R35" s="53"/>
      <c r="S35" s="51"/>
      <c r="T35" s="51"/>
      <c r="U35" s="53"/>
      <c r="V35" s="51"/>
      <c r="W35" s="64"/>
      <c r="X35" s="53"/>
      <c r="Y35" s="53"/>
      <c r="Z35" s="53"/>
      <c r="AA35" s="53"/>
      <c r="AB35" s="53"/>
      <c r="AC35" s="53"/>
      <c r="AD35" s="53"/>
      <c r="AE35" s="65"/>
      <c r="AF35" s="53"/>
      <c r="AG35" s="53"/>
      <c r="AH35" s="51">
        <f t="shared" si="8"/>
        <v>-14771682</v>
      </c>
      <c r="AI35" s="51">
        <f t="shared" si="9"/>
        <v>-0.3700000997632742</v>
      </c>
      <c r="AJ35" s="26"/>
      <c r="AK35" s="26"/>
      <c r="AL35" s="26"/>
      <c r="AM35" s="26"/>
      <c r="AN35" s="26"/>
      <c r="AO35" s="26"/>
      <c r="AP35" s="26"/>
    </row>
    <row r="36" spans="1:42" ht="13.5">
      <c r="A36" s="12">
        <f t="shared" si="1"/>
        <v>22</v>
      </c>
      <c r="B36" s="13" t="s">
        <v>10</v>
      </c>
      <c r="C36" s="51">
        <f>'MJS-11'!H36</f>
        <v>42818070.121348</v>
      </c>
      <c r="D36" s="897">
        <f>'MJS-11'!AH36</f>
        <v>1150297.2349232268</v>
      </c>
      <c r="E36" s="901">
        <f t="shared" si="10"/>
        <v>43968367.35627123</v>
      </c>
      <c r="F36" s="901">
        <f>F19*('MJS-14'!O15)</f>
        <v>57232.05</v>
      </c>
      <c r="G36" s="901">
        <f t="shared" si="11"/>
        <v>44025599.40627123</v>
      </c>
      <c r="H36" s="64">
        <v>42818070.121348</v>
      </c>
      <c r="I36" s="51" t="s">
        <v>17</v>
      </c>
      <c r="J36" s="64"/>
      <c r="K36" s="64"/>
      <c r="L36" s="51">
        <f>+'MJS-13'!E47</f>
        <v>66523</v>
      </c>
      <c r="M36" s="735">
        <f>'MJS-13'!J59</f>
        <v>22587.937071041742</v>
      </c>
      <c r="N36" s="51">
        <f>'MJS-13'!O24</f>
        <v>-2797.7000000000003</v>
      </c>
      <c r="O36" s="51"/>
      <c r="P36" s="51"/>
      <c r="Q36" s="904">
        <f>SUM('MJS-13'!AC17:AC19)+SUM('MJS-13'!AC21:AC21)</f>
        <v>-315604.6301786466</v>
      </c>
      <c r="R36" s="51"/>
      <c r="S36" s="51">
        <f>'MJS-13'!AM22</f>
        <v>83552.81827933407</v>
      </c>
      <c r="T36" s="51">
        <v>0</v>
      </c>
      <c r="U36" s="51">
        <f>'MJS-13'!AY23</f>
        <v>-84412.29017976345</v>
      </c>
      <c r="V36" s="51"/>
      <c r="W36" s="51">
        <f>'MJS-13'!BH20</f>
        <v>-0.2575000000651926</v>
      </c>
      <c r="X36" s="51">
        <f>'MJS-13'!BM18</f>
        <v>-35963.839560477354</v>
      </c>
      <c r="Y36" s="51"/>
      <c r="Z36" s="51">
        <f>'MJS-13'!BV24</f>
        <v>219575</v>
      </c>
      <c r="AA36" s="51"/>
      <c r="AB36" s="51">
        <f>'MJS-13'!CE16</f>
        <v>-55002.72657152591</v>
      </c>
      <c r="AC36" s="51">
        <f>'MJS-13'!CJ17</f>
        <v>896597.2196113239</v>
      </c>
      <c r="AD36" s="735">
        <f>+'MJS-13'!CQ23</f>
        <v>284336</v>
      </c>
      <c r="AE36" s="735">
        <f>'MJS-13'!CV38</f>
        <v>62481.40241337987</v>
      </c>
      <c r="AF36" s="735">
        <f>'MJS-13'!CZ21</f>
        <v>8425.30153856054</v>
      </c>
      <c r="AG36" s="51"/>
      <c r="AH36" s="735">
        <f t="shared" si="8"/>
        <v>1150297.2349232268</v>
      </c>
      <c r="AI36" s="735">
        <f t="shared" si="9"/>
        <v>43968367.35627123</v>
      </c>
      <c r="AJ36" s="3"/>
      <c r="AK36" s="3"/>
      <c r="AL36" s="3"/>
      <c r="AM36" s="3"/>
      <c r="AN36" s="3"/>
      <c r="AO36" s="3"/>
      <c r="AP36" s="3"/>
    </row>
    <row r="37" spans="1:42" ht="13.5">
      <c r="A37" s="12">
        <f t="shared" si="1"/>
        <v>23</v>
      </c>
      <c r="B37" s="13" t="s">
        <v>155</v>
      </c>
      <c r="C37" s="51">
        <f>'MJS-11'!H37</f>
        <v>102386842.9798589</v>
      </c>
      <c r="D37" s="113">
        <f>'MJS-11'!AH37</f>
        <v>-6555171.526901739</v>
      </c>
      <c r="E37" s="87">
        <f t="shared" si="10"/>
        <v>95831671.45295717</v>
      </c>
      <c r="F37" s="901"/>
      <c r="G37" s="87">
        <f t="shared" si="11"/>
        <v>95831671.45295717</v>
      </c>
      <c r="H37" s="64">
        <v>102386842.9798589</v>
      </c>
      <c r="I37" s="51">
        <f>'MJS-12'!E15</f>
        <v>-6263399.029024666</v>
      </c>
      <c r="J37" s="64">
        <f>'MJS-12'!J15</f>
        <v>300533.7168480002</v>
      </c>
      <c r="K37" s="64"/>
      <c r="L37" s="51"/>
      <c r="M37" s="735"/>
      <c r="N37" s="51"/>
      <c r="O37" s="51"/>
      <c r="P37" s="51"/>
      <c r="Q37" s="55"/>
      <c r="R37" s="51">
        <f>'MJS-13'!AH15</f>
        <v>-592306.2147250725</v>
      </c>
      <c r="S37" s="51"/>
      <c r="T37" s="51"/>
      <c r="U37" s="51"/>
      <c r="V37" s="51"/>
      <c r="W37" s="64"/>
      <c r="X37" s="51"/>
      <c r="Y37" s="51"/>
      <c r="Z37" s="51"/>
      <c r="AA37" s="51"/>
      <c r="AB37" s="51"/>
      <c r="AC37" s="51"/>
      <c r="AD37" s="51"/>
      <c r="AE37" s="64"/>
      <c r="AF37" s="51"/>
      <c r="AG37" s="51"/>
      <c r="AH37" s="51">
        <f t="shared" si="8"/>
        <v>-6555171.526901739</v>
      </c>
      <c r="AI37" s="51">
        <f t="shared" si="9"/>
        <v>95831671.45295717</v>
      </c>
      <c r="AJ37" s="3"/>
      <c r="AK37" s="3"/>
      <c r="AL37" s="3"/>
      <c r="AM37" s="3"/>
      <c r="AN37" s="3"/>
      <c r="AO37" s="3"/>
      <c r="AP37" s="3"/>
    </row>
    <row r="38" spans="1:42" ht="13.5">
      <c r="A38" s="12">
        <f t="shared" si="1"/>
        <v>24</v>
      </c>
      <c r="B38" s="13" t="s">
        <v>46</v>
      </c>
      <c r="C38" s="51">
        <f>'MJS-11'!H38</f>
        <v>12778120.276430989</v>
      </c>
      <c r="D38" s="113">
        <f>'MJS-11'!AH38</f>
        <v>0</v>
      </c>
      <c r="E38" s="87">
        <f t="shared" si="10"/>
        <v>12778120.276430989</v>
      </c>
      <c r="F38" s="87"/>
      <c r="G38" s="87">
        <f t="shared" si="11"/>
        <v>12778120.276430989</v>
      </c>
      <c r="H38" s="64">
        <v>12778120.276430989</v>
      </c>
      <c r="I38" s="51"/>
      <c r="J38" s="64"/>
      <c r="K38" s="64"/>
      <c r="L38" s="51"/>
      <c r="M38" s="735"/>
      <c r="N38" s="51"/>
      <c r="O38" s="51"/>
      <c r="P38" s="51"/>
      <c r="Q38" s="55"/>
      <c r="R38" s="51"/>
      <c r="S38" s="51"/>
      <c r="T38" s="51"/>
      <c r="U38" s="51"/>
      <c r="V38" s="51"/>
      <c r="W38" s="64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>
        <f t="shared" si="8"/>
        <v>0</v>
      </c>
      <c r="AI38" s="51">
        <f t="shared" si="9"/>
        <v>12778120.276430989</v>
      </c>
      <c r="AJ38" s="3"/>
      <c r="AK38" s="3"/>
      <c r="AL38" s="3"/>
      <c r="AM38" s="3"/>
      <c r="AN38" s="3"/>
      <c r="AO38" s="3"/>
      <c r="AP38" s="3"/>
    </row>
    <row r="39" spans="1:42" ht="13.5">
      <c r="A39" s="12">
        <f t="shared" si="1"/>
        <v>25</v>
      </c>
      <c r="B39" s="13" t="s">
        <v>99</v>
      </c>
      <c r="C39" s="51">
        <f>'MJS-11'!H39</f>
        <v>0</v>
      </c>
      <c r="D39" s="113">
        <f>'MJS-11'!AH39</f>
        <v>0</v>
      </c>
      <c r="E39" s="87">
        <f t="shared" si="10"/>
        <v>0</v>
      </c>
      <c r="F39" s="87"/>
      <c r="G39" s="87">
        <f t="shared" si="11"/>
        <v>0</v>
      </c>
      <c r="H39" s="64">
        <v>0</v>
      </c>
      <c r="I39" s="51"/>
      <c r="J39" s="64"/>
      <c r="K39" s="64"/>
      <c r="L39" s="51"/>
      <c r="M39" s="735"/>
      <c r="N39" s="51"/>
      <c r="O39" s="51"/>
      <c r="P39" s="51"/>
      <c r="Q39" s="55"/>
      <c r="R39" s="51"/>
      <c r="S39" s="51"/>
      <c r="T39" s="51"/>
      <c r="U39" s="51"/>
      <c r="V39" s="51"/>
      <c r="W39" s="64"/>
      <c r="X39" s="51"/>
      <c r="Y39" s="51"/>
      <c r="Z39" s="51"/>
      <c r="AA39" s="51"/>
      <c r="AB39" s="51"/>
      <c r="AC39" s="51"/>
      <c r="AD39" s="51"/>
      <c r="AE39" s="64"/>
      <c r="AF39" s="51"/>
      <c r="AG39" s="51"/>
      <c r="AH39" s="51">
        <f t="shared" si="8"/>
        <v>0</v>
      </c>
      <c r="AI39" s="51">
        <f t="shared" si="9"/>
        <v>0</v>
      </c>
      <c r="AJ39" s="3"/>
      <c r="AK39" s="3"/>
      <c r="AL39" s="3"/>
      <c r="AM39" s="3"/>
      <c r="AN39" s="3"/>
      <c r="AO39" s="3"/>
      <c r="AP39" s="3"/>
    </row>
    <row r="40" spans="1:42" ht="13.5">
      <c r="A40" s="12">
        <f t="shared" si="1"/>
        <v>26</v>
      </c>
      <c r="B40" s="13" t="s">
        <v>11</v>
      </c>
      <c r="C40" s="51">
        <f>'MJS-11'!H40</f>
        <v>-187823.5</v>
      </c>
      <c r="D40" s="113">
        <f>'MJS-11'!AH40</f>
        <v>142453.22666666686</v>
      </c>
      <c r="E40" s="87">
        <f t="shared" si="10"/>
        <v>-45370.27333333314</v>
      </c>
      <c r="F40" s="87"/>
      <c r="G40" s="87">
        <f t="shared" si="11"/>
        <v>-45370.27333333314</v>
      </c>
      <c r="H40" s="64">
        <v>-187823.5</v>
      </c>
      <c r="I40" s="51"/>
      <c r="J40" s="64"/>
      <c r="K40" s="64"/>
      <c r="L40" s="51">
        <v>0</v>
      </c>
      <c r="M40" s="735">
        <v>0</v>
      </c>
      <c r="N40" s="51"/>
      <c r="O40" s="51"/>
      <c r="P40" s="51"/>
      <c r="Q40" s="51"/>
      <c r="R40" s="51"/>
      <c r="S40" s="51"/>
      <c r="T40" s="51"/>
      <c r="U40" s="51"/>
      <c r="V40" s="51"/>
      <c r="W40" s="64"/>
      <c r="X40" s="51"/>
      <c r="Y40" s="51"/>
      <c r="Z40" s="51"/>
      <c r="AA40" s="51">
        <f>'MJS-13'!BZ22</f>
        <v>142453.22666666686</v>
      </c>
      <c r="AB40" s="51"/>
      <c r="AC40" s="51"/>
      <c r="AD40" s="51"/>
      <c r="AE40" s="64"/>
      <c r="AF40" s="51"/>
      <c r="AG40" s="51"/>
      <c r="AH40" s="51">
        <f t="shared" si="8"/>
        <v>142453.22666666686</v>
      </c>
      <c r="AI40" s="51">
        <f t="shared" si="9"/>
        <v>-45370.27333333314</v>
      </c>
      <c r="AJ40" s="3"/>
      <c r="AK40" s="3"/>
      <c r="AL40" s="3"/>
      <c r="AM40" s="3"/>
      <c r="AN40" s="3"/>
      <c r="AO40" s="3"/>
      <c r="AP40" s="3"/>
    </row>
    <row r="41" spans="1:42" ht="13.5">
      <c r="A41" s="12">
        <f t="shared" si="1"/>
        <v>27</v>
      </c>
      <c r="B41" s="3" t="s">
        <v>164</v>
      </c>
      <c r="C41" s="51">
        <f>'MJS-11'!H41</f>
        <v>0</v>
      </c>
      <c r="D41" s="113">
        <f>'MJS-11'!AH41</f>
        <v>0</v>
      </c>
      <c r="E41" s="87">
        <f t="shared" si="10"/>
        <v>0</v>
      </c>
      <c r="F41" s="87"/>
      <c r="G41" s="87">
        <f t="shared" si="11"/>
        <v>0</v>
      </c>
      <c r="H41" s="64">
        <v>0</v>
      </c>
      <c r="J41" s="64"/>
      <c r="K41" s="64"/>
      <c r="M41" s="443"/>
      <c r="W41" s="64"/>
      <c r="AH41" s="51">
        <f t="shared" si="8"/>
        <v>0</v>
      </c>
      <c r="AI41" s="51">
        <f t="shared" si="9"/>
        <v>0</v>
      </c>
      <c r="AJ41" s="3"/>
      <c r="AK41" s="3"/>
      <c r="AL41" s="3"/>
      <c r="AM41" s="3"/>
      <c r="AN41" s="3"/>
      <c r="AO41" s="3"/>
      <c r="AP41" s="3"/>
    </row>
    <row r="42" spans="1:42" ht="13.5">
      <c r="A42" s="12">
        <f t="shared" si="1"/>
        <v>28</v>
      </c>
      <c r="B42" s="13" t="s">
        <v>195</v>
      </c>
      <c r="C42" s="51">
        <f>'MJS-11'!H42</f>
        <v>98746987.673014</v>
      </c>
      <c r="D42" s="897">
        <f>'MJS-11'!AH42</f>
        <v>-37779964.59450031</v>
      </c>
      <c r="E42" s="901">
        <f t="shared" si="10"/>
        <v>60967023.07851369</v>
      </c>
      <c r="F42" s="901">
        <f>F19*('MJS-14'!O16)</f>
        <v>1098454.7356500002</v>
      </c>
      <c r="G42" s="901">
        <f t="shared" si="11"/>
        <v>62065477.81416369</v>
      </c>
      <c r="H42" s="64">
        <v>98746987.673014</v>
      </c>
      <c r="I42" s="51"/>
      <c r="J42" s="64"/>
      <c r="K42" s="64"/>
      <c r="L42" s="51">
        <f>+'MJS-13'!E50</f>
        <v>1276774</v>
      </c>
      <c r="M42" s="735">
        <f>'MJS-13'!K63</f>
        <v>433530.2762045042</v>
      </c>
      <c r="N42" s="51">
        <f>'MJS-13'!O25+'MJS-13'!O32</f>
        <v>-42162546.2561</v>
      </c>
      <c r="O42" s="51"/>
      <c r="P42" s="735"/>
      <c r="Q42" s="55">
        <f>'MJS-13'!AC20</f>
        <v>-13986.712798215238</v>
      </c>
      <c r="R42" s="51"/>
      <c r="S42" s="51"/>
      <c r="T42" s="51"/>
      <c r="U42" s="51">
        <f>'MJS-13'!AY26</f>
        <v>-28367.78902160251</v>
      </c>
      <c r="V42" s="51">
        <f>'MJS-13'!BD16</f>
        <v>2566608.76</v>
      </c>
      <c r="W42" s="64">
        <f>'MJS-13'!BH16</f>
        <v>75779.12721500546</v>
      </c>
      <c r="X42" s="51"/>
      <c r="Y42" s="51"/>
      <c r="Z42" s="51"/>
      <c r="AA42" s="51"/>
      <c r="AB42" s="51"/>
      <c r="AC42" s="51"/>
      <c r="AD42" s="735">
        <f>+'MJS-13'!CQ26</f>
        <v>72244</v>
      </c>
      <c r="AE42" s="64"/>
      <c r="AF42" s="51"/>
      <c r="AG42" s="51"/>
      <c r="AH42" s="735">
        <f t="shared" si="8"/>
        <v>-37779964.59450031</v>
      </c>
      <c r="AI42" s="735">
        <f t="shared" si="9"/>
        <v>60967023.07851369</v>
      </c>
      <c r="AJ42" s="3"/>
      <c r="AK42" s="3"/>
      <c r="AL42" s="3"/>
      <c r="AM42" s="3"/>
      <c r="AN42" s="3"/>
      <c r="AO42" s="3"/>
      <c r="AP42" s="3"/>
    </row>
    <row r="43" spans="1:42" ht="13.5">
      <c r="A43" s="12">
        <f t="shared" si="1"/>
        <v>29</v>
      </c>
      <c r="B43" s="13" t="s">
        <v>194</v>
      </c>
      <c r="C43" s="51">
        <f>'MJS-11'!H43</f>
        <v>15204117</v>
      </c>
      <c r="D43" s="897">
        <f>'MJS-11'!AH43</f>
        <v>-20103385.780719537</v>
      </c>
      <c r="E43" s="901">
        <f t="shared" si="10"/>
        <v>-4899268.780719537</v>
      </c>
      <c r="F43" s="901">
        <f>F19*'MJS-14'!O21</f>
        <v>9576324.150224999</v>
      </c>
      <c r="G43" s="901">
        <f t="shared" si="11"/>
        <v>4677055.369505461</v>
      </c>
      <c r="H43" s="64">
        <v>15204117</v>
      </c>
      <c r="I43" s="51">
        <f>'MJS-12'!E20</f>
        <v>2192189.6601586333</v>
      </c>
      <c r="J43" s="64">
        <f>'MJS-12'!J19</f>
        <v>-105186.80089680006</v>
      </c>
      <c r="K43" s="64">
        <f>'MJS-12'!O19</f>
        <v>344701.83117321716</v>
      </c>
      <c r="L43" s="51">
        <f>+'MJS-13'!F55</f>
        <v>3581452</v>
      </c>
      <c r="M43" s="735">
        <f>'MJS-13'!K66</f>
        <v>9107045</v>
      </c>
      <c r="N43" s="51">
        <f>'MJS-13'!O37</f>
        <v>83312.9359475</v>
      </c>
      <c r="O43" s="51">
        <f>'MJS-13'!T31</f>
        <v>-16846706.551784992</v>
      </c>
      <c r="P43" s="735">
        <f>+'MJS-13'!X23</f>
        <v>-17987051.62511435</v>
      </c>
      <c r="Q43" s="904">
        <f>'MJS-13'!AC24</f>
        <v>140866.57471674966</v>
      </c>
      <c r="R43" s="51">
        <f>'MJS-13'!AH20</f>
        <v>207307.17515377537</v>
      </c>
      <c r="S43" s="51">
        <f>'MJS-13'!AM23</f>
        <v>-29243</v>
      </c>
      <c r="T43" s="51">
        <f>'MJS-13'!AT28</f>
        <v>847770</v>
      </c>
      <c r="U43" s="51">
        <f>'MJS-13'!AY31</f>
        <v>132795</v>
      </c>
      <c r="V43" s="51">
        <f>'MJS-13'!BD18</f>
        <v>-898313.0659999999</v>
      </c>
      <c r="W43" s="64">
        <f>'MJS-13'!BH25</f>
        <v>-26523</v>
      </c>
      <c r="X43" s="51">
        <f>'MJS-13'!BM20</f>
        <v>12587.343846167074</v>
      </c>
      <c r="Y43" s="51"/>
      <c r="Z43" s="30">
        <f>'MJS-13'!BV26</f>
        <v>-76851.25</v>
      </c>
      <c r="AA43" s="51">
        <f>'MJS-13'!BZ24</f>
        <v>-49858.629333333396</v>
      </c>
      <c r="AB43" s="51">
        <f>'MJS-13'!CE19</f>
        <v>19250.954300034067</v>
      </c>
      <c r="AC43" s="51">
        <f>'MJS-13'!CJ20</f>
        <v>-313809.02686396334</v>
      </c>
      <c r="AD43" s="735">
        <f>'MJS-13'!CQ30</f>
        <v>-414304.4504836872</v>
      </c>
      <c r="AE43" s="735">
        <f>'MJS-13'!CV40</f>
        <v>-21868</v>
      </c>
      <c r="AF43" s="735">
        <f>'MJS-13'!CZ23</f>
        <v>-2948.8555384961887</v>
      </c>
      <c r="AG43" s="51"/>
      <c r="AH43" s="735">
        <f t="shared" si="8"/>
        <v>-20103385.780719537</v>
      </c>
      <c r="AI43" s="735">
        <f t="shared" si="9"/>
        <v>-4899268.780719537</v>
      </c>
      <c r="AJ43" s="3"/>
      <c r="AK43" s="3"/>
      <c r="AL43" s="3"/>
      <c r="AM43" s="3"/>
      <c r="AN43" s="3"/>
      <c r="AO43" s="3"/>
      <c r="AP43" s="3"/>
    </row>
    <row r="44" spans="1:42" ht="13.5">
      <c r="A44" s="12">
        <f t="shared" si="1"/>
        <v>30</v>
      </c>
      <c r="B44" s="3" t="s">
        <v>12</v>
      </c>
      <c r="C44" s="52">
        <f>'MJS-11'!H44</f>
        <v>-3067770.709</v>
      </c>
      <c r="D44" s="115">
        <f>'MJS-11'!AH44</f>
        <v>45680807.810784996</v>
      </c>
      <c r="E44" s="88">
        <f t="shared" si="10"/>
        <v>42613037.101785</v>
      </c>
      <c r="F44" s="902"/>
      <c r="G44" s="88">
        <f t="shared" si="11"/>
        <v>42613037.101785</v>
      </c>
      <c r="H44" s="52">
        <v>-3067770.709</v>
      </c>
      <c r="I44" s="52"/>
      <c r="J44" s="64"/>
      <c r="K44" s="64"/>
      <c r="L44" s="51"/>
      <c r="M44" s="735"/>
      <c r="N44" s="52"/>
      <c r="O44" s="51">
        <f>'MJS-13'!T32+'MJS-13'!T33</f>
        <v>45680807.810784996</v>
      </c>
      <c r="P44" s="735"/>
      <c r="Q44" s="51"/>
      <c r="R44" s="52"/>
      <c r="S44" s="51"/>
      <c r="T44" s="51"/>
      <c r="U44" s="52"/>
      <c r="V44" s="55"/>
      <c r="W44" s="64"/>
      <c r="X44" s="64"/>
      <c r="Y44" s="52"/>
      <c r="Z44" s="52"/>
      <c r="AA44" s="64"/>
      <c r="AB44" s="52"/>
      <c r="AC44" s="52"/>
      <c r="AD44" s="52"/>
      <c r="AE44" s="52"/>
      <c r="AF44" s="52"/>
      <c r="AG44" s="64"/>
      <c r="AH44" s="51">
        <f t="shared" si="8"/>
        <v>45680807.810784996</v>
      </c>
      <c r="AI44" s="52">
        <f t="shared" si="9"/>
        <v>42613037.101785</v>
      </c>
      <c r="AJ44" s="3"/>
      <c r="AK44" s="3"/>
      <c r="AL44" s="3"/>
      <c r="AM44" s="3"/>
      <c r="AN44" s="3"/>
      <c r="AO44" s="3"/>
      <c r="AP44" s="3"/>
    </row>
    <row r="45" spans="1:42" ht="13.5">
      <c r="A45" s="12">
        <f t="shared" si="1"/>
        <v>31</v>
      </c>
      <c r="B45" s="13" t="s">
        <v>13</v>
      </c>
      <c r="C45" s="50">
        <f>SUM(C28:C44)</f>
        <v>908869056.7304947</v>
      </c>
      <c r="D45" s="884">
        <f>SUM(D30:D44)</f>
        <v>-38321851.6136706</v>
      </c>
      <c r="E45" s="884">
        <f>SUM(E30:E44)</f>
        <v>334614694.8468252</v>
      </c>
      <c r="F45" s="884">
        <f>SUM(F30:F44)</f>
        <v>10831451.62275</v>
      </c>
      <c r="G45" s="884">
        <f>SUM(G30:G44)</f>
        <v>345446146.46957517</v>
      </c>
      <c r="H45" s="50">
        <f>SUM(H28:H44)</f>
        <v>908869056.7304947</v>
      </c>
      <c r="I45" s="50">
        <f>SUM(I30:I44)</f>
        <v>-4071209.368866033</v>
      </c>
      <c r="J45" s="50">
        <f>SUM(J30:J44)</f>
        <v>195346.91595120012</v>
      </c>
      <c r="K45" s="50">
        <f>SUM(K30:K44)</f>
        <v>-640160.5436074033</v>
      </c>
      <c r="L45" s="50">
        <f aca="true" t="shared" si="12" ref="L45:R45">SUM(L30:L44)</f>
        <v>5040333</v>
      </c>
      <c r="M45" s="884">
        <f t="shared" si="12"/>
        <v>9602409.75393648</v>
      </c>
      <c r="N45" s="50">
        <f t="shared" si="12"/>
        <v>-60196018.0239025</v>
      </c>
      <c r="O45" s="50">
        <f t="shared" si="12"/>
        <v>28834101.259000003</v>
      </c>
      <c r="P45" s="884">
        <f t="shared" si="12"/>
        <v>-17987051.62511435</v>
      </c>
      <c r="Q45" s="884">
        <f t="shared" si="12"/>
        <v>-261609.35304539214</v>
      </c>
      <c r="R45" s="50">
        <f t="shared" si="12"/>
        <v>-384999.0395712971</v>
      </c>
      <c r="S45" s="50">
        <f>SUM(S28:S44)</f>
        <v>54309.81827933407</v>
      </c>
      <c r="T45" s="50">
        <f>SUM(T30:T44)</f>
        <v>-1574431</v>
      </c>
      <c r="U45" s="50">
        <f>SUM(U30:U44)</f>
        <v>-246620.65198427474</v>
      </c>
      <c r="V45" s="50">
        <f>SUM(V30:V44)</f>
        <v>1668295.694</v>
      </c>
      <c r="W45" s="50">
        <f>SUM(W30:W44)</f>
        <v>49255.86971500539</v>
      </c>
      <c r="X45" s="50">
        <f>SUM(X30:X44)</f>
        <v>-23376.49571431028</v>
      </c>
      <c r="Y45" s="50">
        <f>SUM(Y28:Y44)</f>
        <v>21705.010132</v>
      </c>
      <c r="Z45" s="50">
        <f>SUM(Z30:Z44)</f>
        <v>142723.75</v>
      </c>
      <c r="AA45" s="50">
        <f>SUM(AA30:AA44)</f>
        <v>92594.59733333346</v>
      </c>
      <c r="AB45" s="50">
        <f>SUM(AB30:AB44)</f>
        <v>-35751.77227149185</v>
      </c>
      <c r="AC45" s="50">
        <f>SUM(AC30:AC44)</f>
        <v>582788.1927473606</v>
      </c>
      <c r="AD45" s="884">
        <f>SUM(AD30:AD44)</f>
        <v>769422.5508982774</v>
      </c>
      <c r="AE45" s="884">
        <f>SUM(AE28:AE44)</f>
        <v>40613.40241337987</v>
      </c>
      <c r="AF45" s="884">
        <f>SUM(AF30:AF44)</f>
        <v>5476.44600006435</v>
      </c>
      <c r="AG45" s="50">
        <f>SUM(AG30:AG44)</f>
        <v>0</v>
      </c>
      <c r="AH45" s="884">
        <f>SUM(AH30:AH44)</f>
        <v>-38321851.6136706</v>
      </c>
      <c r="AI45" s="884">
        <f>SUM(AI30:AI44)</f>
        <v>334614694.8468252</v>
      </c>
      <c r="AJ45" s="3"/>
      <c r="AK45" s="3"/>
      <c r="AL45" s="3"/>
      <c r="AM45" s="3"/>
      <c r="AN45" s="3"/>
      <c r="AO45" s="3"/>
      <c r="AP45" s="3"/>
    </row>
    <row r="46" spans="1:42" ht="13.5">
      <c r="A46" s="12">
        <f t="shared" si="1"/>
        <v>32</v>
      </c>
      <c r="C46" s="30"/>
      <c r="D46" s="30"/>
      <c r="E46" s="30" t="s">
        <v>17</v>
      </c>
      <c r="F46" s="30"/>
      <c r="G46" s="30"/>
      <c r="H46" s="685"/>
      <c r="I46" s="722"/>
      <c r="J46" s="685"/>
      <c r="K46" s="685"/>
      <c r="L46" s="723" t="s">
        <v>17</v>
      </c>
      <c r="M46" s="886" t="s">
        <v>17</v>
      </c>
      <c r="N46" s="724"/>
      <c r="O46" s="723" t="s">
        <v>17</v>
      </c>
      <c r="P46" s="886" t="s">
        <v>17</v>
      </c>
      <c r="Q46" s="905"/>
      <c r="R46" s="724"/>
      <c r="S46" s="685"/>
      <c r="T46" s="723" t="s">
        <v>17</v>
      </c>
      <c r="U46" s="724"/>
      <c r="V46" s="722"/>
      <c r="W46" s="685"/>
      <c r="X46" s="724"/>
      <c r="Y46" s="685"/>
      <c r="Z46" s="725" t="s">
        <v>17</v>
      </c>
      <c r="AA46" s="724"/>
      <c r="AB46" s="725"/>
      <c r="AC46" s="725"/>
      <c r="AD46" s="724"/>
      <c r="AE46" s="685"/>
      <c r="AF46" s="724"/>
      <c r="AG46" s="724"/>
      <c r="AH46" s="724" t="s">
        <v>17</v>
      </c>
      <c r="AI46" s="907"/>
      <c r="AJ46" s="3"/>
      <c r="AK46" s="3"/>
      <c r="AL46" s="3"/>
      <c r="AM46" s="3"/>
      <c r="AN46" s="3"/>
      <c r="AO46" s="3"/>
      <c r="AP46" s="3"/>
    </row>
    <row r="47" spans="1:42" ht="14.25" thickBot="1">
      <c r="A47" s="12">
        <f t="shared" si="1"/>
        <v>33</v>
      </c>
      <c r="B47" s="3" t="s">
        <v>14</v>
      </c>
      <c r="C47" s="57">
        <f>C19-C45</f>
        <v>102661459.51950526</v>
      </c>
      <c r="D47" s="898">
        <f>D19-D28-D45</f>
        <v>16487650.532963157</v>
      </c>
      <c r="E47" s="898">
        <f>E19-E28-E45</f>
        <v>119149110.05246824</v>
      </c>
      <c r="F47" s="898">
        <f>F19-F28-F45</f>
        <v>17784573.37725</v>
      </c>
      <c r="G47" s="898">
        <f>G19-G28-G45</f>
        <v>136933683.42971826</v>
      </c>
      <c r="H47" s="677">
        <f>H19-H45</f>
        <v>102661459.51950526</v>
      </c>
      <c r="I47" s="677">
        <f>I19-I28-I45</f>
        <v>4071209.368866033</v>
      </c>
      <c r="J47" s="677">
        <f>J19-J28-J45</f>
        <v>-195346.91595120012</v>
      </c>
      <c r="K47" s="677">
        <f>K19-K28-K45</f>
        <v>640160.5436074033</v>
      </c>
      <c r="L47" s="677">
        <f aca="true" t="shared" si="13" ref="L47:R47">L19-L28-L45</f>
        <v>6651267.31446328</v>
      </c>
      <c r="M47" s="887">
        <f t="shared" si="13"/>
        <v>16913082.8508928</v>
      </c>
      <c r="N47" s="677">
        <f t="shared" si="13"/>
        <v>154724.0239024982</v>
      </c>
      <c r="O47" s="677">
        <f t="shared" si="13"/>
        <v>-28834101.259000003</v>
      </c>
      <c r="P47" s="887">
        <f t="shared" si="13"/>
        <v>17987051.62511435</v>
      </c>
      <c r="Q47" s="887">
        <f t="shared" si="13"/>
        <v>261609.35304539214</v>
      </c>
      <c r="R47" s="677">
        <f t="shared" si="13"/>
        <v>384999.0395712971</v>
      </c>
      <c r="S47" s="677">
        <f>S19-S45</f>
        <v>-54309.81827933407</v>
      </c>
      <c r="T47" s="677">
        <f>T19-T28-T45</f>
        <v>1574431</v>
      </c>
      <c r="U47" s="677">
        <f>U19-U28-U45</f>
        <v>246620.65198427474</v>
      </c>
      <c r="V47" s="677">
        <f>V19-V28-V45</f>
        <v>-1668295.694</v>
      </c>
      <c r="W47" s="677">
        <f>W19-W28-W45</f>
        <v>-49255.86971500539</v>
      </c>
      <c r="X47" s="677">
        <f>X19-X28-X45</f>
        <v>23376.49571431028</v>
      </c>
      <c r="Y47" s="677">
        <f>Y19-Y45</f>
        <v>-21705.010132</v>
      </c>
      <c r="Z47" s="677">
        <f>Z19-Z28-Z45</f>
        <v>-142723.75</v>
      </c>
      <c r="AA47" s="677">
        <f>AA19-AA28-AA45</f>
        <v>-92594.59733333346</v>
      </c>
      <c r="AB47" s="677">
        <f>AB19-AB28-AB45</f>
        <v>35751.77227149185</v>
      </c>
      <c r="AC47" s="677">
        <f>AC19-AC28-AC45</f>
        <v>-582788.1927473606</v>
      </c>
      <c r="AD47" s="887">
        <f>AD19-AD28-AD45</f>
        <v>-769422.5508982774</v>
      </c>
      <c r="AE47" s="887">
        <f>AE19-AE45</f>
        <v>-40613.40241337987</v>
      </c>
      <c r="AF47" s="887">
        <f>AF19-AF28-AF45</f>
        <v>-5476.44600006435</v>
      </c>
      <c r="AG47" s="677">
        <f>AG19-AG28-AG45</f>
        <v>0</v>
      </c>
      <c r="AH47" s="887">
        <f>AH19-AH28-AH45</f>
        <v>16487650.532963157</v>
      </c>
      <c r="AI47" s="887">
        <f>AI19-AI28-AI45</f>
        <v>119149110.05246824</v>
      </c>
      <c r="AJ47" s="3"/>
      <c r="AK47" s="3"/>
      <c r="AL47" s="3"/>
      <c r="AM47" s="3"/>
      <c r="AN47" s="3"/>
      <c r="AO47" s="3"/>
      <c r="AP47" s="3"/>
    </row>
    <row r="48" spans="1:42" ht="14.25" thickTop="1">
      <c r="A48" s="12">
        <f t="shared" si="1"/>
        <v>34</v>
      </c>
      <c r="B48" s="13"/>
      <c r="C48" s="31"/>
      <c r="D48" s="31"/>
      <c r="E48" s="903"/>
      <c r="F48" s="31"/>
      <c r="G48" s="31"/>
      <c r="H48" s="30"/>
      <c r="J48" s="30"/>
      <c r="K48" s="30"/>
      <c r="L48" s="30"/>
      <c r="M48" s="30"/>
      <c r="N48" s="17" t="s">
        <v>17</v>
      </c>
      <c r="O48" s="30"/>
      <c r="P48" s="30"/>
      <c r="Q48" s="30"/>
      <c r="R48" s="17"/>
      <c r="S48" s="30"/>
      <c r="T48" s="30"/>
      <c r="U48" s="17"/>
      <c r="V48" s="30"/>
      <c r="W48" s="30"/>
      <c r="X48" s="17"/>
      <c r="Y48" s="17"/>
      <c r="AA48" s="17"/>
      <c r="AD48" s="17" t="s">
        <v>17</v>
      </c>
      <c r="AE48" s="17" t="s">
        <v>17</v>
      </c>
      <c r="AF48" s="17" t="s">
        <v>17</v>
      </c>
      <c r="AG48" s="17"/>
      <c r="AH48" s="25"/>
      <c r="AI48" s="908"/>
      <c r="AJ48" s="3"/>
      <c r="AK48" s="3"/>
      <c r="AL48" s="3"/>
      <c r="AM48" s="3"/>
      <c r="AN48" s="3"/>
      <c r="AO48" s="3"/>
      <c r="AP48" s="3"/>
    </row>
    <row r="49" spans="1:42" ht="14.25" thickBot="1">
      <c r="A49" s="12">
        <f t="shared" si="1"/>
        <v>35</v>
      </c>
      <c r="B49" s="13" t="s">
        <v>15</v>
      </c>
      <c r="C49" s="30">
        <f>'MJS-11'!H49</f>
        <v>1660735111.288854</v>
      </c>
      <c r="D49" s="899">
        <f>'MJS-11'!AH49</f>
        <v>-2942334.780618466</v>
      </c>
      <c r="E49" s="890">
        <f>+C49+D49</f>
        <v>1657792776.5082355</v>
      </c>
      <c r="F49" s="30">
        <v>0</v>
      </c>
      <c r="G49" s="890">
        <f>+E49+F49</f>
        <v>1657792776.5082355</v>
      </c>
      <c r="H49" s="677">
        <f>H60</f>
        <v>1660735111.288854</v>
      </c>
      <c r="I49" s="666">
        <f>'MJS-12'!E28</f>
        <v>-2218846.4496661704</v>
      </c>
      <c r="J49" s="677">
        <f>'MJS-12'!J26</f>
        <v>-97673.45797560006</v>
      </c>
      <c r="K49" s="677">
        <v>0</v>
      </c>
      <c r="L49" s="666">
        <v>0</v>
      </c>
      <c r="M49" s="666">
        <v>0</v>
      </c>
      <c r="N49" s="678">
        <v>0</v>
      </c>
      <c r="O49" s="666">
        <v>0</v>
      </c>
      <c r="P49" s="666">
        <v>0</v>
      </c>
      <c r="Q49" s="666">
        <f>'MJS-13'!AC34</f>
        <v>0</v>
      </c>
      <c r="R49" s="666">
        <f>R60</f>
        <v>-113066.91905510958</v>
      </c>
      <c r="S49" s="666">
        <f>S60</f>
        <v>0</v>
      </c>
      <c r="T49" s="666">
        <v>0</v>
      </c>
      <c r="U49" s="666">
        <v>0</v>
      </c>
      <c r="V49" s="666">
        <v>0</v>
      </c>
      <c r="W49" s="677">
        <v>0</v>
      </c>
      <c r="X49" s="666">
        <v>0</v>
      </c>
      <c r="Y49" s="666">
        <f>'MJS-13'!BR24</f>
        <v>0</v>
      </c>
      <c r="Z49" s="666">
        <v>0</v>
      </c>
      <c r="AA49" s="666">
        <v>0</v>
      </c>
      <c r="AB49" s="666">
        <v>0</v>
      </c>
      <c r="AC49" s="666">
        <v>0</v>
      </c>
      <c r="AD49" s="678">
        <v>0</v>
      </c>
      <c r="AE49" s="678">
        <v>0</v>
      </c>
      <c r="AF49" s="666">
        <v>0</v>
      </c>
      <c r="AG49" s="874">
        <f>AG60</f>
        <v>-512747.9539215863</v>
      </c>
      <c r="AH49" s="874">
        <f>SUM(I49:AG49)</f>
        <v>-2942334.780618466</v>
      </c>
      <c r="AI49" s="874">
        <f>H49+AH49</f>
        <v>1657792776.5082355</v>
      </c>
      <c r="AJ49" s="3"/>
      <c r="AK49" s="3"/>
      <c r="AL49" s="3"/>
      <c r="AM49" s="3"/>
      <c r="AN49" s="3"/>
      <c r="AO49" s="3"/>
      <c r="AP49" s="3"/>
    </row>
    <row r="50" spans="1:42" ht="14.25" thickTop="1">
      <c r="A50" s="12">
        <f t="shared" si="1"/>
        <v>36</v>
      </c>
      <c r="E50" s="443"/>
      <c r="N50" s="20"/>
      <c r="R50" s="2"/>
      <c r="U50" s="2"/>
      <c r="X50" s="2"/>
      <c r="Y50" s="2"/>
      <c r="AA50" s="2"/>
      <c r="AD50" s="2"/>
      <c r="AE50" s="2"/>
      <c r="AF50" s="2"/>
      <c r="AG50" s="2"/>
      <c r="AH50" s="25"/>
      <c r="AI50" s="908"/>
      <c r="AJ50" s="3"/>
      <c r="AK50" s="3"/>
      <c r="AL50" s="3"/>
      <c r="AM50" s="3"/>
      <c r="AN50" s="3"/>
      <c r="AO50" s="3"/>
      <c r="AP50" s="3"/>
    </row>
    <row r="51" spans="1:42" ht="13.5">
      <c r="A51" s="12">
        <f t="shared" si="1"/>
        <v>37</v>
      </c>
      <c r="B51" s="13" t="s">
        <v>16</v>
      </c>
      <c r="C51" s="63">
        <f>'MJS-11'!H51</f>
        <v>0.06181687785226166</v>
      </c>
      <c r="E51" s="894">
        <f>E47/E49</f>
        <v>0.07187213730260596</v>
      </c>
      <c r="F51" s="63"/>
      <c r="G51" s="894">
        <f>G47/G49</f>
        <v>0.0826000000543723</v>
      </c>
      <c r="H51" s="129">
        <f>H47/H49</f>
        <v>0.06181687785226166</v>
      </c>
      <c r="J51" s="129"/>
      <c r="K51" s="129"/>
      <c r="N51" s="2"/>
      <c r="R51" s="2"/>
      <c r="S51" s="59"/>
      <c r="U51" s="2"/>
      <c r="W51" s="129"/>
      <c r="X51" s="2"/>
      <c r="Y51" s="2"/>
      <c r="AA51" s="2"/>
      <c r="AD51" s="2"/>
      <c r="AE51" s="2"/>
      <c r="AF51" s="2"/>
      <c r="AG51" s="2"/>
      <c r="AI51" s="894">
        <f>AI47/AI49</f>
        <v>0.07187213730260596</v>
      </c>
      <c r="AJ51" s="3"/>
      <c r="AK51" s="3"/>
      <c r="AL51" s="3"/>
      <c r="AM51" s="3"/>
      <c r="AN51" s="3"/>
      <c r="AO51" s="3"/>
      <c r="AP51" s="3"/>
    </row>
    <row r="52" spans="1:42" ht="12.75">
      <c r="A52" s="12">
        <f t="shared" si="1"/>
        <v>38</v>
      </c>
      <c r="C52" s="90"/>
      <c r="E52" s="90"/>
      <c r="F52" s="90"/>
      <c r="G52" s="90"/>
      <c r="AJ52" s="3"/>
      <c r="AK52" s="3"/>
      <c r="AL52" s="3"/>
      <c r="AM52" s="3"/>
      <c r="AN52" s="3"/>
      <c r="AO52" s="3"/>
      <c r="AP52" s="3"/>
    </row>
    <row r="53" spans="1:42" ht="12.75">
      <c r="A53" s="12">
        <f t="shared" si="1"/>
        <v>39</v>
      </c>
      <c r="B53" s="3" t="s">
        <v>119</v>
      </c>
      <c r="I53" s="8"/>
      <c r="N53" s="2"/>
      <c r="R53" s="2"/>
      <c r="U53" s="2"/>
      <c r="X53" s="2"/>
      <c r="Y53" s="2"/>
      <c r="AA53" s="2"/>
      <c r="AD53" s="2"/>
      <c r="AE53" s="2"/>
      <c r="AF53" s="2"/>
      <c r="AG53" s="2"/>
      <c r="AI53" s="25"/>
      <c r="AJ53" s="3"/>
      <c r="AK53" s="3"/>
      <c r="AL53" s="3"/>
      <c r="AM53" s="3"/>
      <c r="AN53" s="3"/>
      <c r="AO53" s="3"/>
      <c r="AP53" s="3"/>
    </row>
    <row r="54" spans="1:42" ht="12.75">
      <c r="A54" s="12">
        <f t="shared" si="1"/>
        <v>40</v>
      </c>
      <c r="B54" s="250" t="s">
        <v>175</v>
      </c>
      <c r="C54" s="55">
        <f>+'MJS-11'!H54</f>
        <v>2787911459</v>
      </c>
      <c r="D54" s="248">
        <f>+'MJS-11'!AH54</f>
        <v>0</v>
      </c>
      <c r="E54" s="8">
        <f>+D54+C54</f>
        <v>2787911459</v>
      </c>
      <c r="G54" s="117"/>
      <c r="H54" s="8">
        <f>2648893764+139017695</f>
        <v>2787911459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f>'MJS-13'!AC30</f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f>'MJS-13'!BQ26</f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/>
      <c r="AH54" s="8">
        <f>SUM(I54:AG54)</f>
        <v>0</v>
      </c>
      <c r="AI54" s="8">
        <f>+AH54+H54</f>
        <v>2787911459</v>
      </c>
      <c r="AJ54" s="3"/>
      <c r="AK54" s="3"/>
      <c r="AL54" s="3"/>
      <c r="AM54" s="3"/>
      <c r="AN54" s="3"/>
      <c r="AO54" s="3"/>
      <c r="AP54" s="3"/>
    </row>
    <row r="55" spans="1:42" ht="12.75">
      <c r="A55" s="12">
        <f t="shared" si="1"/>
        <v>41</v>
      </c>
      <c r="B55" s="249" t="s">
        <v>120</v>
      </c>
      <c r="C55" s="55">
        <f>+'MJS-11'!H55</f>
        <v>-924038095</v>
      </c>
      <c r="D55" s="55">
        <f>+'MJS-11'!AH55</f>
        <v>-2755565.1687069084</v>
      </c>
      <c r="E55" s="55">
        <f>+D55+C55</f>
        <v>-926793660.1687069</v>
      </c>
      <c r="F55" s="249"/>
      <c r="G55" s="117"/>
      <c r="H55" s="55">
        <f>-857738071-66300024</f>
        <v>-924038095</v>
      </c>
      <c r="I55" s="8">
        <f>'MJS-12'!E25</f>
        <v>-2431349.2040442782</v>
      </c>
      <c r="J55" s="55">
        <f>'MJS-12'!J24</f>
        <v>-150266.8584240001</v>
      </c>
      <c r="K55" s="55"/>
      <c r="L55" s="55"/>
      <c r="M55" s="55"/>
      <c r="N55" s="55"/>
      <c r="O55" s="55"/>
      <c r="P55" s="55"/>
      <c r="Q55" s="55">
        <f>'MJS-13'!AC32</f>
        <v>0</v>
      </c>
      <c r="R55" s="55">
        <f>'MJS-13'!AH27</f>
        <v>-173949.10623863013</v>
      </c>
      <c r="S55" s="55">
        <f>'MJS-13'!AM40</f>
        <v>0</v>
      </c>
      <c r="T55" s="55"/>
      <c r="U55" s="55"/>
      <c r="V55" s="55"/>
      <c r="W55" s="55"/>
      <c r="X55" s="116"/>
      <c r="Y55" s="116">
        <f>'MJS-13'!BQ27</f>
        <v>0</v>
      </c>
      <c r="Z55" s="55"/>
      <c r="AA55" s="116"/>
      <c r="AB55" s="55"/>
      <c r="AC55" s="55"/>
      <c r="AD55" s="55"/>
      <c r="AE55" s="55"/>
      <c r="AF55" s="55"/>
      <c r="AG55" s="55"/>
      <c r="AH55" s="116">
        <f>SUM(I55:AG55)</f>
        <v>-2755565.1687069084</v>
      </c>
      <c r="AI55" s="55">
        <f>+AH55+H55</f>
        <v>-926793660.1687069</v>
      </c>
      <c r="AJ55" s="3"/>
      <c r="AK55" s="3"/>
      <c r="AL55" s="3"/>
      <c r="AM55" s="3"/>
      <c r="AN55" s="3"/>
      <c r="AO55" s="3"/>
      <c r="AP55" s="3"/>
    </row>
    <row r="56" spans="1:42" ht="12.75">
      <c r="A56" s="12">
        <f t="shared" si="1"/>
        <v>42</v>
      </c>
      <c r="B56" s="249" t="s">
        <v>514</v>
      </c>
      <c r="C56" s="165">
        <f>+'MJS-11'!H56</f>
        <v>-254856083.35497576</v>
      </c>
      <c r="D56" s="165">
        <f>+'MJS-11'!AH56</f>
        <v>325978.34201002866</v>
      </c>
      <c r="E56" s="165">
        <f>+D56+C56</f>
        <v>-254530105.01296574</v>
      </c>
      <c r="F56" s="251"/>
      <c r="G56" s="117"/>
      <c r="H56" s="165">
        <v>-254856083.35497576</v>
      </c>
      <c r="I56" s="8">
        <f>'MJS-12'!E26</f>
        <v>212502.75437810807</v>
      </c>
      <c r="J56" s="165">
        <f>'MJS-12'!J25</f>
        <v>52593.40044840003</v>
      </c>
      <c r="K56" s="165"/>
      <c r="L56" s="165"/>
      <c r="M56" s="165"/>
      <c r="N56" s="165"/>
      <c r="O56" s="165"/>
      <c r="P56" s="165"/>
      <c r="Q56" s="165"/>
      <c r="R56" s="165">
        <f>'MJS-13'!AH28</f>
        <v>60882.187183520546</v>
      </c>
      <c r="S56" s="165">
        <f>'MJS-13'!AM41</f>
        <v>0</v>
      </c>
      <c r="T56" s="165"/>
      <c r="U56" s="165"/>
      <c r="V56" s="165"/>
      <c r="W56" s="165"/>
      <c r="X56" s="116"/>
      <c r="Y56" s="116">
        <f>'MJS-13'!BQ28</f>
        <v>0</v>
      </c>
      <c r="Z56" s="165"/>
      <c r="AA56" s="116"/>
      <c r="AB56" s="165"/>
      <c r="AC56" s="165"/>
      <c r="AD56" s="165"/>
      <c r="AE56" s="165"/>
      <c r="AF56" s="165"/>
      <c r="AG56" s="165"/>
      <c r="AH56" s="116">
        <f>SUM(I56:AG56)</f>
        <v>325978.34201002866</v>
      </c>
      <c r="AI56" s="55">
        <f>+AH56+H56</f>
        <v>-254530105.01296574</v>
      </c>
      <c r="AJ56" s="3"/>
      <c r="AK56" s="3"/>
      <c r="AL56" s="3"/>
      <c r="AM56" s="3"/>
      <c r="AN56" s="3"/>
      <c r="AO56" s="3"/>
      <c r="AP56" s="3"/>
    </row>
    <row r="57" spans="1:42" ht="13.5">
      <c r="A57" s="12">
        <f t="shared" si="1"/>
        <v>43</v>
      </c>
      <c r="B57" s="249" t="s">
        <v>174</v>
      </c>
      <c r="C57" s="60">
        <f>+'MJS-11'!H57</f>
        <v>-27129125</v>
      </c>
      <c r="D57" s="60">
        <f>+'MJS-11'!AH57</f>
        <v>0</v>
      </c>
      <c r="E57" s="60">
        <f>+D57+C57</f>
        <v>-27129125</v>
      </c>
      <c r="F57" s="248"/>
      <c r="G57" s="117"/>
      <c r="H57" s="60">
        <v>-27129125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450">
        <f>'MJS-13'!BR22</f>
        <v>0</v>
      </c>
      <c r="Z57" s="60"/>
      <c r="AA57" s="60"/>
      <c r="AB57" s="60"/>
      <c r="AC57" s="60"/>
      <c r="AD57" s="60"/>
      <c r="AE57" s="60"/>
      <c r="AF57" s="60"/>
      <c r="AG57" s="60"/>
      <c r="AH57" s="549">
        <f>SUM(I57:AG57)</f>
        <v>0</v>
      </c>
      <c r="AI57" s="60">
        <f>+AH57+H57</f>
        <v>-27129125</v>
      </c>
      <c r="AJ57" s="3"/>
      <c r="AK57" s="3"/>
      <c r="AL57" s="3"/>
      <c r="AM57" s="3"/>
      <c r="AN57" s="3"/>
      <c r="AO57" s="3"/>
      <c r="AP57" s="3"/>
    </row>
    <row r="58" spans="1:42" ht="12.75">
      <c r="A58" s="12">
        <f t="shared" si="1"/>
        <v>44</v>
      </c>
      <c r="B58" s="249" t="s">
        <v>123</v>
      </c>
      <c r="C58" s="248">
        <f>SUM(C54:C57)</f>
        <v>1581888155.6450243</v>
      </c>
      <c r="D58" s="248">
        <f>SUM(D54:D57)</f>
        <v>-2429586.8266968797</v>
      </c>
      <c r="E58" s="248">
        <f>SUM(E54:E57)</f>
        <v>1579458568.8183274</v>
      </c>
      <c r="F58" s="251"/>
      <c r="G58" s="117"/>
      <c r="H58" s="248">
        <f aca="true" t="shared" si="14" ref="H58:P58">SUM(H54:H57)</f>
        <v>1581888155.6450243</v>
      </c>
      <c r="I58" s="248">
        <f>SUM(I53:I57)</f>
        <v>-2218846.4496661704</v>
      </c>
      <c r="J58" s="248">
        <f>SUM(J53:J57)</f>
        <v>-97673.45797560006</v>
      </c>
      <c r="K58" s="248">
        <f>SUM(K53:K57)</f>
        <v>0</v>
      </c>
      <c r="L58" s="248">
        <f t="shared" si="14"/>
        <v>0</v>
      </c>
      <c r="M58" s="248">
        <f t="shared" si="14"/>
        <v>0</v>
      </c>
      <c r="N58" s="248">
        <f>SUM(N54:N57)</f>
        <v>0</v>
      </c>
      <c r="O58" s="248">
        <f t="shared" si="14"/>
        <v>0</v>
      </c>
      <c r="P58" s="248">
        <f t="shared" si="14"/>
        <v>0</v>
      </c>
      <c r="Q58" s="248">
        <f aca="true" t="shared" si="15" ref="Q58:W58">SUM(Q54:Q57)</f>
        <v>0</v>
      </c>
      <c r="R58" s="248">
        <f t="shared" si="15"/>
        <v>-113066.91905510958</v>
      </c>
      <c r="S58" s="248">
        <f t="shared" si="15"/>
        <v>0</v>
      </c>
      <c r="T58" s="248">
        <f t="shared" si="15"/>
        <v>0</v>
      </c>
      <c r="U58" s="248">
        <f t="shared" si="15"/>
        <v>0</v>
      </c>
      <c r="V58" s="248">
        <f t="shared" si="15"/>
        <v>0</v>
      </c>
      <c r="W58" s="248">
        <f t="shared" si="15"/>
        <v>0</v>
      </c>
      <c r="X58" s="248">
        <f>SUM(X54:X57)</f>
        <v>0</v>
      </c>
      <c r="Y58" s="248">
        <f aca="true" t="shared" si="16" ref="Y58:AD58">SUM(Y54:Y57)</f>
        <v>0</v>
      </c>
      <c r="Z58" s="248">
        <f t="shared" si="16"/>
        <v>0</v>
      </c>
      <c r="AA58" s="248">
        <f t="shared" si="16"/>
        <v>0</v>
      </c>
      <c r="AB58" s="248">
        <f t="shared" si="16"/>
        <v>0</v>
      </c>
      <c r="AC58" s="248">
        <f t="shared" si="16"/>
        <v>0</v>
      </c>
      <c r="AD58" s="248">
        <f t="shared" si="16"/>
        <v>0</v>
      </c>
      <c r="AE58" s="248">
        <f>SUM(AE54:AE57)</f>
        <v>0</v>
      </c>
      <c r="AF58" s="248">
        <f>SUM(AF54:AF57)</f>
        <v>0</v>
      </c>
      <c r="AG58" s="248">
        <f>SUM(AG54:AG57)</f>
        <v>0</v>
      </c>
      <c r="AH58" s="248">
        <f>SUM(AH54:AH57)</f>
        <v>-2429586.8266968797</v>
      </c>
      <c r="AI58" s="248">
        <f>SUM(AI54:AI57)</f>
        <v>1579458568.8183274</v>
      </c>
      <c r="AJ58" s="3"/>
      <c r="AK58" s="3"/>
      <c r="AL58" s="3"/>
      <c r="AM58" s="3"/>
      <c r="AN58" s="3"/>
      <c r="AO58" s="3"/>
      <c r="AP58" s="3"/>
    </row>
    <row r="59" spans="1:42" ht="13.5">
      <c r="A59" s="12">
        <f t="shared" si="1"/>
        <v>45</v>
      </c>
      <c r="B59" s="249" t="s">
        <v>121</v>
      </c>
      <c r="C59" s="60">
        <f>+'MJS-11'!H59</f>
        <v>78846955.64382969</v>
      </c>
      <c r="D59" s="450">
        <f>+'MJS-11'!AH59</f>
        <v>-512747.9539215863</v>
      </c>
      <c r="E59" s="450">
        <f>+D59+C59</f>
        <v>78334207.6899081</v>
      </c>
      <c r="F59" s="252"/>
      <c r="G59" s="117"/>
      <c r="H59" s="60">
        <v>78846955.64382969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>
        <f>'MJS-13'!BR23</f>
        <v>0</v>
      </c>
      <c r="Z59" s="60"/>
      <c r="AA59" s="60"/>
      <c r="AB59" s="60"/>
      <c r="AC59" s="60"/>
      <c r="AD59" s="60"/>
      <c r="AE59" s="60"/>
      <c r="AF59" s="60"/>
      <c r="AG59" s="450">
        <f>'MJS-13'!DE14</f>
        <v>-512747.9539215863</v>
      </c>
      <c r="AH59" s="450">
        <f>SUM(I59:AG59)</f>
        <v>-512747.9539215863</v>
      </c>
      <c r="AI59" s="450">
        <f>+AH59+H59</f>
        <v>78334207.6899081</v>
      </c>
      <c r="AJ59" s="3"/>
      <c r="AK59" s="3"/>
      <c r="AL59" s="3"/>
      <c r="AM59" s="3"/>
      <c r="AN59" s="3"/>
      <c r="AO59" s="3"/>
      <c r="AP59" s="3"/>
    </row>
    <row r="60" spans="1:42" ht="14.25" thickBot="1">
      <c r="A60" s="12">
        <v>46</v>
      </c>
      <c r="B60" s="250" t="s">
        <v>122</v>
      </c>
      <c r="C60" s="611">
        <f>SUM(C58:C59)</f>
        <v>1660735111.288854</v>
      </c>
      <c r="D60" s="900">
        <f>SUM(D58:D59)</f>
        <v>-2942334.780618466</v>
      </c>
      <c r="E60" s="900">
        <f>SUM(E58:E59)</f>
        <v>1657792776.5082355</v>
      </c>
      <c r="F60" s="253"/>
      <c r="G60" s="389"/>
      <c r="H60" s="255">
        <f aca="true" t="shared" si="17" ref="H60:P60">SUM(H58:H59)</f>
        <v>1660735111.288854</v>
      </c>
      <c r="I60" s="255">
        <f>SUM(I58:I59)</f>
        <v>-2218846.4496661704</v>
      </c>
      <c r="J60" s="255">
        <f>SUM(J58:J59)</f>
        <v>-97673.45797560006</v>
      </c>
      <c r="K60" s="255">
        <f>SUM(K58:K59)</f>
        <v>0</v>
      </c>
      <c r="L60" s="255">
        <f t="shared" si="17"/>
        <v>0</v>
      </c>
      <c r="M60" s="255">
        <f t="shared" si="17"/>
        <v>0</v>
      </c>
      <c r="N60" s="255">
        <f>SUM(N58:N59)</f>
        <v>0</v>
      </c>
      <c r="O60" s="255">
        <f t="shared" si="17"/>
        <v>0</v>
      </c>
      <c r="P60" s="255">
        <f t="shared" si="17"/>
        <v>0</v>
      </c>
      <c r="Q60" s="255">
        <f aca="true" t="shared" si="18" ref="Q60:W60">SUM(Q58:Q59)</f>
        <v>0</v>
      </c>
      <c r="R60" s="255">
        <f t="shared" si="18"/>
        <v>-113066.91905510958</v>
      </c>
      <c r="S60" s="255">
        <f t="shared" si="18"/>
        <v>0</v>
      </c>
      <c r="T60" s="255">
        <f t="shared" si="18"/>
        <v>0</v>
      </c>
      <c r="U60" s="255">
        <f t="shared" si="18"/>
        <v>0</v>
      </c>
      <c r="V60" s="255">
        <f t="shared" si="18"/>
        <v>0</v>
      </c>
      <c r="W60" s="255">
        <f t="shared" si="18"/>
        <v>0</v>
      </c>
      <c r="X60" s="255">
        <f>SUM(X58:X59)</f>
        <v>0</v>
      </c>
      <c r="Y60" s="255">
        <f aca="true" t="shared" si="19" ref="Y60:AD60">SUM(Y58:Y59)</f>
        <v>0</v>
      </c>
      <c r="Z60" s="255">
        <f t="shared" si="19"/>
        <v>0</v>
      </c>
      <c r="AA60" s="255">
        <f t="shared" si="19"/>
        <v>0</v>
      </c>
      <c r="AB60" s="255">
        <f t="shared" si="19"/>
        <v>0</v>
      </c>
      <c r="AC60" s="255">
        <f t="shared" si="19"/>
        <v>0</v>
      </c>
      <c r="AD60" s="255">
        <f t="shared" si="19"/>
        <v>0</v>
      </c>
      <c r="AE60" s="255">
        <f>SUM(AE58:AE59)</f>
        <v>0</v>
      </c>
      <c r="AF60" s="255">
        <f>SUM(AF58:AF59)</f>
        <v>0</v>
      </c>
      <c r="AG60" s="873">
        <f>SUM(AG58:AG59)</f>
        <v>-512747.9539215863</v>
      </c>
      <c r="AH60" s="873">
        <f>SUM(AH58:AH59)</f>
        <v>-2942334.780618466</v>
      </c>
      <c r="AI60" s="873">
        <f>SUM(AI58:AI59)</f>
        <v>1657792776.5082355</v>
      </c>
      <c r="AJ60" s="3"/>
      <c r="AK60" s="3"/>
      <c r="AL60" s="3"/>
      <c r="AM60" s="3"/>
      <c r="AN60" s="3"/>
      <c r="AO60" s="3"/>
      <c r="AP60" s="3"/>
    </row>
    <row r="61" spans="1:42" ht="13.5" thickTop="1">
      <c r="A61" s="12"/>
      <c r="F61" s="254"/>
      <c r="G61" s="254"/>
      <c r="AJ61" s="3"/>
      <c r="AK61" s="3"/>
      <c r="AL61" s="3"/>
      <c r="AM61" s="3"/>
      <c r="AN61" s="3"/>
      <c r="AO61" s="3"/>
      <c r="AP61" s="3"/>
    </row>
  </sheetData>
  <sheetProtection/>
  <conditionalFormatting sqref="A1:AI1">
    <cfRule type="cellIs" priority="10" dxfId="4" operator="notEqual" stopIfTrue="1">
      <formula>0</formula>
    </cfRule>
  </conditionalFormatting>
  <printOptions horizontalCentered="1"/>
  <pageMargins left="0.45" right="0.45" top="0.5" bottom="0.75" header="0" footer="0.4"/>
  <pageSetup fitToHeight="1" fitToWidth="1" horizontalDpi="600" verticalDpi="600" orientation="landscape" scale="68" r:id="rId1"/>
  <headerFooter>
    <oddFooter>&amp;L&amp;"Helv,Bold Italic"&amp;10Note:  Amounts presented in bold italic have changed since the June 13, 2011 original filing.</oddFooter>
  </headerFooter>
  <colBreaks count="4" manualBreakCount="4">
    <brk id="7" min="1" max="59" man="1"/>
    <brk id="13" min="1" max="59" man="1"/>
    <brk id="19" min="1" max="59" man="1"/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2" sqref="B32"/>
    </sheetView>
  </sheetViews>
  <sheetFormatPr defaultColWidth="9.33203125" defaultRowHeight="12.75" customHeight="1"/>
  <cols>
    <col min="1" max="1" width="5.83203125" style="3" customWidth="1"/>
    <col min="2" max="2" width="64.66015625" style="3" customWidth="1"/>
    <col min="3" max="3" width="16" style="3" customWidth="1"/>
    <col min="4" max="4" width="14" style="3" customWidth="1"/>
    <col min="5" max="5" width="17.83203125" style="51" customWidth="1"/>
    <col min="6" max="6" width="5.83203125" style="3" customWidth="1"/>
    <col min="7" max="7" width="64.66015625" style="3" customWidth="1"/>
    <col min="8" max="8" width="16" style="3" customWidth="1"/>
    <col min="9" max="9" width="14" style="3" customWidth="1"/>
    <col min="10" max="10" width="17.83203125" style="51" customWidth="1"/>
    <col min="11" max="11" width="5.83203125" style="3" customWidth="1"/>
    <col min="12" max="12" width="69.66015625" style="3" bestFit="1" customWidth="1"/>
    <col min="13" max="13" width="16" style="3" customWidth="1"/>
    <col min="14" max="14" width="14" style="3" customWidth="1"/>
    <col min="15" max="15" width="17.83203125" style="51" customWidth="1"/>
    <col min="16" max="16384" width="9.33203125" style="3" customWidth="1"/>
  </cols>
  <sheetData>
    <row r="1" spans="5:15" s="272" customFormat="1" ht="12.75" customHeight="1">
      <c r="E1" s="661">
        <f>ROUND(E22-'MJS-11'!I47,0)</f>
        <v>0</v>
      </c>
      <c r="I1" s="272">
        <f>ROUND(-J26+'MJS-11'!J60,0)</f>
        <v>0</v>
      </c>
      <c r="J1" s="272">
        <f>ROUND(J21-'MJS-11'!J47,0)</f>
        <v>0</v>
      </c>
      <c r="O1" s="272">
        <f>ROUND(O21-'MJS-11'!K47,0)</f>
        <v>0</v>
      </c>
    </row>
    <row r="2" spans="5:15" ht="14.25" customHeight="1">
      <c r="E2" s="218" t="str">
        <f>WUTC_Docket_No._UG_11____</f>
        <v>WUTC Docket No. UG-111049</v>
      </c>
      <c r="J2" s="218" t="str">
        <f>WUTC_Docket_No._UG_11____</f>
        <v>WUTC Docket No. UG-111049</v>
      </c>
      <c r="O2" s="218" t="str">
        <f>WUTC_Docket_No._UG_11____</f>
        <v>WUTC Docket No. UG-111049</v>
      </c>
    </row>
    <row r="3" spans="1:15" ht="14.25" customHeight="1" thickBot="1">
      <c r="A3" s="36"/>
      <c r="E3" s="398" t="s">
        <v>548</v>
      </c>
      <c r="F3" s="36"/>
      <c r="J3" s="398" t="str">
        <f>Exhibit_No.______MJS_12</f>
        <v>Exhibit No. ___ (MJS-12)</v>
      </c>
      <c r="K3" s="36"/>
      <c r="O3" s="398" t="str">
        <f>Exhibit_No.______MJS_12</f>
        <v>Exhibit No. ___ (MJS-12)</v>
      </c>
    </row>
    <row r="4" spans="5:15" ht="14.25" customHeight="1" thickBot="1" thickTop="1">
      <c r="E4" s="668">
        <v>12.01</v>
      </c>
      <c r="J4" s="668">
        <f>E4+0.01</f>
        <v>12.02</v>
      </c>
      <c r="O4" s="668">
        <f>J4+0.01</f>
        <v>12.03</v>
      </c>
    </row>
    <row r="5" spans="1:14" s="36" customFormat="1" ht="9.75" customHeight="1" thickTop="1">
      <c r="A5" s="245"/>
      <c r="B5" s="56"/>
      <c r="C5" s="56"/>
      <c r="D5" s="56"/>
      <c r="F5" s="245"/>
      <c r="G5" s="56"/>
      <c r="H5" s="56"/>
      <c r="I5" s="56"/>
      <c r="K5" s="245"/>
      <c r="L5" s="56"/>
      <c r="M5" s="56"/>
      <c r="N5" s="56"/>
    </row>
    <row r="6" spans="1:15" s="36" customFormat="1" ht="14.25" customHeight="1">
      <c r="A6" s="35" t="str">
        <f>PSE</f>
        <v>PUGET SOUND ENERGY-GAS </v>
      </c>
      <c r="B6" s="6"/>
      <c r="C6" s="6"/>
      <c r="D6" s="6"/>
      <c r="E6" s="6"/>
      <c r="F6" s="35" t="str">
        <f>PSE</f>
        <v>PUGET SOUND ENERGY-GAS </v>
      </c>
      <c r="G6" s="6"/>
      <c r="H6" s="6"/>
      <c r="I6" s="6"/>
      <c r="J6" s="6"/>
      <c r="K6" s="35" t="str">
        <f>PSE</f>
        <v>PUGET SOUND ENERGY-GAS </v>
      </c>
      <c r="L6" s="6"/>
      <c r="M6" s="6"/>
      <c r="N6" s="6"/>
      <c r="O6" s="6"/>
    </row>
    <row r="7" spans="1:15" s="36" customFormat="1" ht="14.25" customHeight="1">
      <c r="A7" s="6" t="s">
        <v>414</v>
      </c>
      <c r="B7" s="37"/>
      <c r="C7" s="37"/>
      <c r="D7" s="37"/>
      <c r="E7" s="37"/>
      <c r="F7" s="6" t="s">
        <v>437</v>
      </c>
      <c r="G7" s="37"/>
      <c r="H7" s="37"/>
      <c r="I7" s="37"/>
      <c r="J7" s="37"/>
      <c r="K7" s="6" t="s">
        <v>438</v>
      </c>
      <c r="L7" s="37"/>
      <c r="M7" s="37"/>
      <c r="N7" s="37"/>
      <c r="O7" s="37"/>
    </row>
    <row r="8" spans="1:15" s="36" customFormat="1" ht="14.25" customHeight="1">
      <c r="A8" s="6" t="str">
        <f>TESTYEAR</f>
        <v>FOR THE TWELVE MONTHS ENDED DECEMBER 31, 2010</v>
      </c>
      <c r="B8" s="38"/>
      <c r="C8" s="38"/>
      <c r="D8" s="38"/>
      <c r="E8" s="38"/>
      <c r="F8" s="6" t="str">
        <f>TESTYEAR</f>
        <v>FOR THE TWELVE MONTHS ENDED DECEMBER 31, 2010</v>
      </c>
      <c r="G8" s="38"/>
      <c r="H8" s="38"/>
      <c r="I8" s="38"/>
      <c r="J8" s="38"/>
      <c r="K8" s="6" t="str">
        <f>TESTYEAR</f>
        <v>FOR THE TWELVE MONTHS ENDED DECEMBER 31, 2010</v>
      </c>
      <c r="L8" s="38"/>
      <c r="M8" s="38"/>
      <c r="N8" s="38"/>
      <c r="O8" s="38"/>
    </row>
    <row r="9" spans="1:15" s="36" customFormat="1" ht="14.25" customHeight="1">
      <c r="A9" s="35" t="str">
        <f>DOCKET</f>
        <v>GENERAL RATE INCREASE</v>
      </c>
      <c r="B9" s="6"/>
      <c r="C9" s="6"/>
      <c r="D9" s="6"/>
      <c r="E9" s="6"/>
      <c r="F9" s="35" t="str">
        <f>DOCKET</f>
        <v>GENERAL RATE INCREASE</v>
      </c>
      <c r="G9" s="6"/>
      <c r="H9" s="6"/>
      <c r="I9" s="6"/>
      <c r="J9" s="6"/>
      <c r="K9" s="35" t="str">
        <f>DOCKET</f>
        <v>GENERAL RATE INCREASE</v>
      </c>
      <c r="L9" s="6"/>
      <c r="M9" s="6"/>
      <c r="N9" s="6"/>
      <c r="O9" s="6"/>
    </row>
    <row r="10" s="36" customFormat="1" ht="12" customHeight="1"/>
    <row r="11" spans="1:15" s="36" customFormat="1" ht="14.25" customHeight="1">
      <c r="A11" s="48" t="s">
        <v>23</v>
      </c>
      <c r="C11" s="208"/>
      <c r="D11" s="48" t="s">
        <v>34</v>
      </c>
      <c r="E11" s="48"/>
      <c r="F11" s="48"/>
      <c r="H11" s="208"/>
      <c r="I11" s="48"/>
      <c r="J11" s="48"/>
      <c r="K11" s="48" t="s">
        <v>23</v>
      </c>
      <c r="M11" s="649"/>
      <c r="N11" s="650"/>
      <c r="O11" s="11"/>
    </row>
    <row r="12" spans="1:15" s="36" customFormat="1" ht="14.25" customHeight="1">
      <c r="A12" s="23" t="s">
        <v>38</v>
      </c>
      <c r="B12" s="42" t="s">
        <v>39</v>
      </c>
      <c r="C12" s="198" t="s">
        <v>36</v>
      </c>
      <c r="D12" s="209" t="s">
        <v>40</v>
      </c>
      <c r="E12" s="66" t="s">
        <v>42</v>
      </c>
      <c r="F12" s="23"/>
      <c r="G12" s="42"/>
      <c r="H12" s="198"/>
      <c r="I12" s="209"/>
      <c r="J12" s="66"/>
      <c r="K12" s="23" t="s">
        <v>38</v>
      </c>
      <c r="L12" s="40" t="s">
        <v>39</v>
      </c>
      <c r="M12" s="23" t="s">
        <v>36</v>
      </c>
      <c r="N12" s="23" t="s">
        <v>40</v>
      </c>
      <c r="O12" s="23" t="s">
        <v>42</v>
      </c>
    </row>
    <row r="13" spans="3:15" ht="14.25" customHeight="1">
      <c r="C13" s="123"/>
      <c r="D13" s="123"/>
      <c r="E13" s="123"/>
      <c r="H13" s="123"/>
      <c r="I13" s="123"/>
      <c r="J13" s="123"/>
      <c r="M13" s="123"/>
      <c r="N13" s="123"/>
      <c r="O13" s="123"/>
    </row>
    <row r="14" spans="1:15" ht="14.25" customHeight="1">
      <c r="A14" s="12">
        <v>1</v>
      </c>
      <c r="B14" s="552" t="s">
        <v>415</v>
      </c>
      <c r="C14" s="423"/>
      <c r="D14" s="423"/>
      <c r="E14" s="423"/>
      <c r="F14" s="12">
        <v>1</v>
      </c>
      <c r="G14" s="679" t="s">
        <v>415</v>
      </c>
      <c r="H14" s="638"/>
      <c r="I14" s="638"/>
      <c r="J14" s="638"/>
      <c r="K14" s="12">
        <v>1</v>
      </c>
      <c r="L14" s="68" t="s">
        <v>415</v>
      </c>
      <c r="M14" s="651"/>
      <c r="N14" s="651"/>
      <c r="O14" s="651"/>
    </row>
    <row r="15" spans="1:15" ht="15">
      <c r="A15" s="12">
        <v>2</v>
      </c>
      <c r="B15" s="174" t="s">
        <v>276</v>
      </c>
      <c r="C15" s="368">
        <v>7798988</v>
      </c>
      <c r="D15" s="368">
        <v>1535588.9709753334</v>
      </c>
      <c r="E15" s="368">
        <f>+D15-C15</f>
        <v>-6263399.029024666</v>
      </c>
      <c r="F15" s="12">
        <f>F14+1</f>
        <v>2</v>
      </c>
      <c r="G15" s="638" t="s">
        <v>490</v>
      </c>
      <c r="H15" s="639">
        <v>1062621.399639</v>
      </c>
      <c r="I15" s="639">
        <v>1363155.1164870001</v>
      </c>
      <c r="J15" s="639">
        <f>+I15-H15</f>
        <v>300533.7168480002</v>
      </c>
      <c r="K15" s="12">
        <f>K14+1</f>
        <v>2</v>
      </c>
      <c r="L15" s="652" t="s">
        <v>506</v>
      </c>
      <c r="M15" s="680">
        <v>8525942.400000002</v>
      </c>
      <c r="N15" s="680">
        <v>7541080.025219382</v>
      </c>
      <c r="O15" s="680">
        <f>N15-M15</f>
        <v>-984862.3747806204</v>
      </c>
    </row>
    <row r="16" spans="1:15" ht="15">
      <c r="A16" s="12">
        <v>3</v>
      </c>
      <c r="B16" s="174" t="s">
        <v>416</v>
      </c>
      <c r="C16" s="371">
        <f>SUM(C15:C15)</f>
        <v>7798988</v>
      </c>
      <c r="D16" s="371">
        <f>SUM(D15:D15)</f>
        <v>1535588.9709753334</v>
      </c>
      <c r="E16" s="371">
        <f>SUM(E15:E15)</f>
        <v>-6263399.029024666</v>
      </c>
      <c r="F16" s="12">
        <f aca="true" t="shared" si="0" ref="F16:F26">F15+1</f>
        <v>3</v>
      </c>
      <c r="G16" s="638"/>
      <c r="H16" s="640"/>
      <c r="I16" s="640"/>
      <c r="J16" s="640"/>
      <c r="K16" s="12">
        <f aca="true" t="shared" si="1" ref="K16:K21">K15+1</f>
        <v>3</v>
      </c>
      <c r="L16" s="13" t="s">
        <v>492</v>
      </c>
      <c r="M16" s="653">
        <f>SUM(M15:M15)</f>
        <v>8525942.400000002</v>
      </c>
      <c r="N16" s="653">
        <f>SUM(N15:N15)</f>
        <v>7541080.025219382</v>
      </c>
      <c r="O16" s="653">
        <f>SUM(O15:O15)</f>
        <v>-984862.3747806204</v>
      </c>
    </row>
    <row r="17" spans="1:15" ht="15">
      <c r="A17" s="12">
        <v>4</v>
      </c>
      <c r="C17" s="370"/>
      <c r="D17" s="370"/>
      <c r="E17" s="370"/>
      <c r="F17" s="12">
        <f t="shared" si="0"/>
        <v>4</v>
      </c>
      <c r="G17" s="652" t="s">
        <v>62</v>
      </c>
      <c r="H17" s="640"/>
      <c r="I17" s="640"/>
      <c r="J17" s="640">
        <f>J15</f>
        <v>300533.7168480002</v>
      </c>
      <c r="K17" s="12">
        <f t="shared" si="1"/>
        <v>4</v>
      </c>
      <c r="L17"/>
      <c r="M17" s="546"/>
      <c r="N17" s="546"/>
      <c r="O17" s="654"/>
    </row>
    <row r="18" spans="1:15" ht="14.25" customHeight="1">
      <c r="A18" s="12">
        <v>5</v>
      </c>
      <c r="B18" s="652" t="s">
        <v>62</v>
      </c>
      <c r="C18" s="397"/>
      <c r="D18" s="397"/>
      <c r="E18" s="397">
        <f>E16</f>
        <v>-6263399.029024666</v>
      </c>
      <c r="F18" s="12">
        <f t="shared" si="0"/>
        <v>5</v>
      </c>
      <c r="G18" s="638"/>
      <c r="H18" s="640"/>
      <c r="I18" s="640"/>
      <c r="J18" s="640"/>
      <c r="K18" s="12">
        <f t="shared" si="1"/>
        <v>5</v>
      </c>
      <c r="L18" s="33" t="s">
        <v>493</v>
      </c>
      <c r="M18" s="655"/>
      <c r="N18" s="656"/>
      <c r="O18" s="681">
        <f>O16</f>
        <v>-984862.3747806204</v>
      </c>
    </row>
    <row r="19" spans="1:15" ht="15">
      <c r="A19" s="12">
        <v>6</v>
      </c>
      <c r="B19" s="652"/>
      <c r="C19" s="397"/>
      <c r="D19" s="397"/>
      <c r="E19" s="397"/>
      <c r="F19" s="12">
        <f t="shared" si="0"/>
        <v>6</v>
      </c>
      <c r="G19" s="652" t="s">
        <v>495</v>
      </c>
      <c r="H19" s="640"/>
      <c r="I19" s="662">
        <v>0.35</v>
      </c>
      <c r="J19" s="640">
        <f>-J17*I19</f>
        <v>-105186.80089680006</v>
      </c>
      <c r="K19" s="12">
        <f t="shared" si="1"/>
        <v>6</v>
      </c>
      <c r="L19" s="15" t="s">
        <v>494</v>
      </c>
      <c r="M19" s="15"/>
      <c r="N19" s="657">
        <v>0.35</v>
      </c>
      <c r="O19" s="681">
        <f>O18*-N19</f>
        <v>344701.83117321716</v>
      </c>
    </row>
    <row r="20" spans="1:15" ht="14.25" customHeight="1">
      <c r="A20" s="12">
        <v>7</v>
      </c>
      <c r="B20" s="652" t="s">
        <v>495</v>
      </c>
      <c r="C20" s="397"/>
      <c r="D20" s="659">
        <v>0.35</v>
      </c>
      <c r="E20" s="397">
        <f>-E18*0.35</f>
        <v>2192189.6601586333</v>
      </c>
      <c r="F20" s="12">
        <f t="shared" si="0"/>
        <v>7</v>
      </c>
      <c r="G20" s="638"/>
      <c r="H20" s="640"/>
      <c r="I20" s="640"/>
      <c r="J20" s="640"/>
      <c r="K20" s="12">
        <f t="shared" si="1"/>
        <v>7</v>
      </c>
      <c r="L20"/>
      <c r="M20" s="546"/>
      <c r="N20" s="546"/>
      <c r="O20" s="674"/>
    </row>
    <row r="21" spans="1:15" ht="15.75" thickBot="1">
      <c r="A21" s="12">
        <v>8</v>
      </c>
      <c r="B21" s="652"/>
      <c r="C21" s="397"/>
      <c r="D21" s="397"/>
      <c r="E21" s="660"/>
      <c r="F21" s="12">
        <f t="shared" si="0"/>
        <v>8</v>
      </c>
      <c r="G21" s="641" t="s">
        <v>73</v>
      </c>
      <c r="H21" s="642"/>
      <c r="I21" s="642"/>
      <c r="J21" s="643">
        <f>-J17-J19</f>
        <v>-195346.91595120012</v>
      </c>
      <c r="K21" s="12">
        <f t="shared" si="1"/>
        <v>8</v>
      </c>
      <c r="L21" s="664" t="s">
        <v>75</v>
      </c>
      <c r="M21" s="2"/>
      <c r="N21" s="665"/>
      <c r="O21" s="675">
        <f>-O18-O19</f>
        <v>640160.5436074033</v>
      </c>
    </row>
    <row r="22" spans="1:15" ht="16.5" thickBot="1" thickTop="1">
      <c r="A22" s="12">
        <v>9</v>
      </c>
      <c r="B22" s="652" t="s">
        <v>75</v>
      </c>
      <c r="C22" s="356"/>
      <c r="D22" s="356"/>
      <c r="E22" s="551">
        <f>-E18-E20</f>
        <v>4071209.368866033</v>
      </c>
      <c r="F22" s="12">
        <f t="shared" si="0"/>
        <v>9</v>
      </c>
      <c r="G22" s="644"/>
      <c r="H22" s="642"/>
      <c r="I22" s="642"/>
      <c r="J22" s="642"/>
      <c r="K22" s="12"/>
      <c r="L22" s="552"/>
      <c r="M22" s="257"/>
      <c r="N22" s="257"/>
      <c r="O22" s="257"/>
    </row>
    <row r="23" spans="1:15" ht="15.75" thickTop="1">
      <c r="A23" s="12">
        <v>10</v>
      </c>
      <c r="B23" s="550"/>
      <c r="C23" s="356"/>
      <c r="D23" s="356"/>
      <c r="E23" s="356"/>
      <c r="F23" s="12">
        <f t="shared" si="0"/>
        <v>10</v>
      </c>
      <c r="G23" s="679" t="s">
        <v>417</v>
      </c>
      <c r="H23" s="642"/>
      <c r="I23" s="642"/>
      <c r="J23" s="642"/>
      <c r="K23" s="12"/>
      <c r="L23" s="550"/>
      <c r="M23" s="257"/>
      <c r="N23" s="257"/>
      <c r="O23" s="257"/>
    </row>
    <row r="24" spans="1:15" ht="14.25" customHeight="1">
      <c r="A24" s="12">
        <v>11</v>
      </c>
      <c r="B24" s="552" t="s">
        <v>417</v>
      </c>
      <c r="C24" s="356"/>
      <c r="D24" s="356"/>
      <c r="E24" s="356"/>
      <c r="F24" s="12">
        <f t="shared" si="0"/>
        <v>11</v>
      </c>
      <c r="G24" s="644" t="s">
        <v>491</v>
      </c>
      <c r="H24" s="645"/>
      <c r="I24" s="638"/>
      <c r="J24" s="646">
        <f>-J17/2</f>
        <v>-150266.8584240001</v>
      </c>
      <c r="K24" s="12"/>
      <c r="L24" s="550"/>
      <c r="M24" s="123"/>
      <c r="N24" s="123"/>
      <c r="O24" s="123"/>
    </row>
    <row r="25" spans="1:15" ht="14.25" customHeight="1">
      <c r="A25" s="12">
        <v>12</v>
      </c>
      <c r="B25" s="550" t="s">
        <v>496</v>
      </c>
      <c r="C25" s="356"/>
      <c r="D25" s="356"/>
      <c r="E25" s="397">
        <v>-2431349.2040442782</v>
      </c>
      <c r="F25" s="12">
        <f t="shared" si="0"/>
        <v>12</v>
      </c>
      <c r="G25" s="644" t="s">
        <v>498</v>
      </c>
      <c r="H25" s="645"/>
      <c r="I25" s="638"/>
      <c r="J25" s="646">
        <f>-J24*0.35</f>
        <v>52593.40044840003</v>
      </c>
      <c r="K25" s="12"/>
      <c r="M25" s="2"/>
      <c r="N25" s="2"/>
      <c r="O25" s="2"/>
    </row>
    <row r="26" spans="1:15" ht="15.75" thickBot="1">
      <c r="A26" s="12">
        <v>13</v>
      </c>
      <c r="B26" s="550" t="s">
        <v>497</v>
      </c>
      <c r="C26" s="356"/>
      <c r="D26" s="356"/>
      <c r="E26" s="397">
        <v>212502.75437810807</v>
      </c>
      <c r="F26" s="12">
        <f t="shared" si="0"/>
        <v>13</v>
      </c>
      <c r="G26" s="644" t="s">
        <v>418</v>
      </c>
      <c r="H26" s="647"/>
      <c r="I26" s="647"/>
      <c r="J26" s="648">
        <f>SUM(J24:J25)</f>
        <v>-97673.45797560006</v>
      </c>
      <c r="K26" s="81"/>
      <c r="L26" s="81"/>
      <c r="M26" s="81"/>
      <c r="N26" s="81"/>
      <c r="O26" s="587"/>
    </row>
    <row r="27" spans="1:15" ht="13.5" thickTop="1">
      <c r="A27" s="12">
        <v>14</v>
      </c>
      <c r="B27" s="552"/>
      <c r="C27" s="356"/>
      <c r="D27" s="356"/>
      <c r="E27" s="658"/>
      <c r="F27" s="12"/>
      <c r="H27" s="2"/>
      <c r="I27" s="2"/>
      <c r="J27" s="2"/>
      <c r="L27" s="36"/>
      <c r="O27" s="3"/>
    </row>
    <row r="28" spans="1:15" ht="14.25" customHeight="1" thickBot="1">
      <c r="A28" s="12">
        <v>15</v>
      </c>
      <c r="B28" s="550" t="s">
        <v>418</v>
      </c>
      <c r="C28" s="15"/>
      <c r="D28" s="15"/>
      <c r="E28" s="551">
        <f>SUM(E25:E26)</f>
        <v>-2218846.4496661704</v>
      </c>
      <c r="F28" s="81"/>
      <c r="G28" s="81"/>
      <c r="H28" s="81"/>
      <c r="I28" s="81"/>
      <c r="J28" s="587"/>
      <c r="O28" s="3"/>
    </row>
    <row r="29" spans="1:15" s="81" customFormat="1" ht="13.5" thickTop="1">
      <c r="A29" s="3"/>
      <c r="B29" s="3"/>
      <c r="C29" s="3"/>
      <c r="D29" s="3"/>
      <c r="E29" s="3"/>
      <c r="F29" s="3"/>
      <c r="J29" s="587"/>
      <c r="K29" s="3"/>
      <c r="L29" s="3"/>
      <c r="M29" s="3"/>
      <c r="N29" s="3"/>
      <c r="O29" s="3"/>
    </row>
    <row r="30" spans="1:15" ht="12.75">
      <c r="A30" s="81"/>
      <c r="B30" s="81"/>
      <c r="C30" s="81"/>
      <c r="D30" s="81"/>
      <c r="E30" s="587"/>
      <c r="G30" s="81"/>
      <c r="H30" s="81"/>
      <c r="I30" s="81"/>
      <c r="J30" s="587"/>
      <c r="O30" s="3"/>
    </row>
    <row r="31" spans="5:15" ht="12.75">
      <c r="E31" s="391"/>
      <c r="G31" s="81"/>
      <c r="H31" s="81"/>
      <c r="I31" s="81"/>
      <c r="J31" s="587"/>
      <c r="O31" s="3"/>
    </row>
    <row r="32" spans="5:15" ht="14.25" customHeight="1">
      <c r="E32" s="3"/>
      <c r="J32" s="3"/>
      <c r="K32" s="26"/>
      <c r="L32" s="26"/>
      <c r="M32" s="26"/>
      <c r="N32" s="26"/>
      <c r="O32" s="26"/>
    </row>
    <row r="33" spans="5:15" ht="12.75">
      <c r="E33" s="3"/>
      <c r="J33" s="3"/>
      <c r="O33" s="3"/>
    </row>
    <row r="34" spans="5:10" ht="12.75" customHeight="1">
      <c r="E34" s="3"/>
      <c r="F34" s="26"/>
      <c r="G34" s="26"/>
      <c r="H34" s="26"/>
      <c r="I34" s="26"/>
      <c r="J34" s="26"/>
    </row>
    <row r="35" spans="1:15" s="26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1"/>
    </row>
    <row r="36" spans="1:5" ht="14.25" customHeight="1">
      <c r="A36" s="26"/>
      <c r="B36" s="26"/>
      <c r="C36" s="26"/>
      <c r="D36" s="26"/>
      <c r="E36" s="26"/>
    </row>
    <row r="37" ht="14.25" customHeight="1">
      <c r="E37" s="3"/>
    </row>
    <row r="38" ht="14.25" customHeight="1"/>
    <row r="41" ht="14.25" customHeight="1"/>
    <row r="42" ht="14.25" customHeight="1"/>
    <row r="43" ht="14.25" customHeight="1"/>
    <row r="44" spans="11:15" ht="14.25" customHeight="1">
      <c r="K44" s="12"/>
      <c r="L44" s="97"/>
      <c r="M44" s="97"/>
      <c r="N44" s="2"/>
      <c r="O44" s="64"/>
    </row>
    <row r="45" ht="14.25" customHeight="1"/>
    <row r="46" spans="6:11" ht="14.25" customHeight="1">
      <c r="F46" s="12"/>
      <c r="G46" s="97"/>
      <c r="H46" s="97"/>
      <c r="I46" s="2"/>
      <c r="J46" s="64"/>
      <c r="K46" s="12"/>
    </row>
    <row r="47" ht="14.25" customHeight="1">
      <c r="K47" s="12"/>
    </row>
    <row r="48" spans="1:11" ht="14.25" customHeight="1">
      <c r="A48" s="12"/>
      <c r="B48" s="97"/>
      <c r="C48" s="97"/>
      <c r="D48" s="2"/>
      <c r="E48" s="64"/>
      <c r="F48" s="12"/>
      <c r="K48" s="12"/>
    </row>
    <row r="49" spans="5:15" ht="14.25" customHeight="1">
      <c r="E49" s="218" t="str">
        <f>WUTC_Docket_No._UG_11____</f>
        <v>WUTC Docket No. UG-111049</v>
      </c>
      <c r="J49" s="218" t="str">
        <f>WUTC_Docket_No._UG_11____</f>
        <v>WUTC Docket No. UG-111049</v>
      </c>
      <c r="O49" s="218" t="str">
        <f>WUTC_Docket_No._UG_11____</f>
        <v>WUTC Docket No. UG-111049</v>
      </c>
    </row>
    <row r="50" spans="1:15" ht="14.25" customHeight="1" thickBot="1">
      <c r="A50" s="36"/>
      <c r="E50" s="398" t="s">
        <v>548</v>
      </c>
      <c r="F50" s="36"/>
      <c r="J50" s="398" t="str">
        <f>Exhibit_No.______MJS_12</f>
        <v>Exhibit No. ___ (MJS-12)</v>
      </c>
      <c r="K50" s="36"/>
      <c r="O50" s="398" t="str">
        <f>Exhibit_No.______MJS_12</f>
        <v>Exhibit No. ___ (MJS-12)</v>
      </c>
    </row>
    <row r="51" spans="5:15" ht="14.25" customHeight="1" thickBot="1" thickTop="1">
      <c r="E51" s="668">
        <v>12.01</v>
      </c>
      <c r="J51" s="668">
        <f>E51+0.01</f>
        <v>12.02</v>
      </c>
      <c r="O51" s="668">
        <f>J51+0.01</f>
        <v>12.03</v>
      </c>
    </row>
    <row r="52" spans="1:15" ht="12.75" customHeight="1" thickTop="1">
      <c r="A52" s="12"/>
      <c r="F52" s="12"/>
      <c r="K52" s="12"/>
      <c r="L52" s="2"/>
      <c r="M52" s="2"/>
      <c r="N52" s="130"/>
      <c r="O52" s="64"/>
    </row>
    <row r="53" spans="6:15" ht="12.75" customHeight="1">
      <c r="F53" s="12"/>
      <c r="G53" s="2"/>
      <c r="H53" s="2"/>
      <c r="I53" s="2"/>
      <c r="J53" s="64"/>
      <c r="K53" s="12"/>
      <c r="L53" s="2"/>
      <c r="M53" s="2"/>
      <c r="N53" s="2"/>
      <c r="O53" s="64"/>
    </row>
    <row r="54" spans="1:15" ht="12.75" customHeight="1">
      <c r="A54" s="12"/>
      <c r="F54" s="12"/>
      <c r="G54" s="2"/>
      <c r="H54" s="2"/>
      <c r="I54" s="130"/>
      <c r="J54" s="64"/>
      <c r="K54" s="12"/>
      <c r="L54" s="125"/>
      <c r="M54" s="125"/>
      <c r="N54" s="130"/>
      <c r="O54" s="64"/>
    </row>
    <row r="55" spans="1:15" ht="14.25" customHeight="1">
      <c r="A55" s="12"/>
      <c r="B55" s="2"/>
      <c r="C55" s="2"/>
      <c r="D55" s="2"/>
      <c r="E55" s="64"/>
      <c r="F55" s="12"/>
      <c r="G55" s="2"/>
      <c r="H55" s="2"/>
      <c r="I55" s="2"/>
      <c r="J55" s="64"/>
      <c r="K55" s="12"/>
      <c r="L55" s="125"/>
      <c r="M55" s="125"/>
      <c r="N55" s="130"/>
      <c r="O55" s="64"/>
    </row>
    <row r="56" spans="1:15" ht="14.25" customHeight="1">
      <c r="A56" s="12"/>
      <c r="B56" s="2"/>
      <c r="C56" s="2"/>
      <c r="D56" s="130"/>
      <c r="E56" s="64"/>
      <c r="F56" s="12"/>
      <c r="G56" s="125"/>
      <c r="H56" s="125"/>
      <c r="I56" s="130"/>
      <c r="J56" s="64"/>
      <c r="K56" s="98"/>
      <c r="L56" s="125"/>
      <c r="M56" s="125"/>
      <c r="N56" s="130"/>
      <c r="O56" s="64"/>
    </row>
    <row r="57" spans="1:14" ht="15" customHeight="1">
      <c r="A57" s="12"/>
      <c r="B57" s="2"/>
      <c r="C57" s="2"/>
      <c r="D57" s="2"/>
      <c r="E57" s="64"/>
      <c r="F57" s="12"/>
      <c r="G57" s="125"/>
      <c r="H57" s="125"/>
      <c r="I57" s="130"/>
      <c r="J57" s="64"/>
      <c r="K57" s="21"/>
      <c r="L57" s="125"/>
      <c r="M57" s="125"/>
      <c r="N57" s="131"/>
    </row>
    <row r="58" spans="1:14" ht="15" customHeight="1">
      <c r="A58" s="12"/>
      <c r="B58" s="125"/>
      <c r="C58" s="125"/>
      <c r="D58" s="130"/>
      <c r="E58" s="64"/>
      <c r="F58" s="98"/>
      <c r="G58" s="125"/>
      <c r="H58" s="125"/>
      <c r="I58" s="130"/>
      <c r="J58" s="64"/>
      <c r="K58" s="21"/>
      <c r="L58" s="125"/>
      <c r="M58" s="125"/>
      <c r="N58" s="131"/>
    </row>
    <row r="59" spans="1:14" ht="15" customHeight="1">
      <c r="A59" s="12"/>
      <c r="B59" s="125"/>
      <c r="C59" s="125"/>
      <c r="D59" s="130"/>
      <c r="E59" s="64"/>
      <c r="F59" s="21"/>
      <c r="G59" s="125"/>
      <c r="H59" s="125"/>
      <c r="I59" s="131"/>
      <c r="K59" s="21"/>
      <c r="L59" s="125"/>
      <c r="M59" s="125"/>
      <c r="N59" s="131"/>
    </row>
    <row r="60" spans="1:14" ht="13.5" customHeight="1">
      <c r="A60" s="98"/>
      <c r="B60" s="125"/>
      <c r="C60" s="125"/>
      <c r="D60" s="130"/>
      <c r="E60" s="64"/>
      <c r="F60" s="21"/>
      <c r="G60" s="125"/>
      <c r="H60" s="125"/>
      <c r="I60" s="131"/>
      <c r="K60" s="21"/>
      <c r="L60" s="125"/>
      <c r="M60" s="125"/>
      <c r="N60" s="131"/>
    </row>
    <row r="61" spans="1:14" ht="15.75" customHeight="1">
      <c r="A61" s="21"/>
      <c r="B61" s="125"/>
      <c r="C61" s="125"/>
      <c r="D61" s="131"/>
      <c r="F61" s="21"/>
      <c r="G61" s="125"/>
      <c r="H61" s="125"/>
      <c r="I61" s="131"/>
      <c r="K61" s="21"/>
      <c r="L61" s="125"/>
      <c r="M61" s="125"/>
      <c r="N61" s="131"/>
    </row>
    <row r="62" spans="1:14" ht="15.75" customHeight="1">
      <c r="A62" s="21"/>
      <c r="B62" s="125"/>
      <c r="C62" s="125"/>
      <c r="D62" s="131"/>
      <c r="F62" s="21"/>
      <c r="G62" s="125"/>
      <c r="H62" s="125"/>
      <c r="I62" s="131"/>
      <c r="K62" s="21"/>
      <c r="L62" s="125"/>
      <c r="M62" s="125"/>
      <c r="N62" s="131"/>
    </row>
    <row r="63" spans="1:9" ht="15" customHeight="1">
      <c r="A63" s="21"/>
      <c r="B63" s="125"/>
      <c r="C63" s="125"/>
      <c r="D63" s="131"/>
      <c r="F63" s="21"/>
      <c r="G63" s="125"/>
      <c r="H63" s="125"/>
      <c r="I63" s="131"/>
    </row>
    <row r="64" spans="1:9" ht="13.5" customHeight="1">
      <c r="A64" s="21"/>
      <c r="B64" s="125"/>
      <c r="C64" s="125"/>
      <c r="D64" s="131"/>
      <c r="F64" s="21"/>
      <c r="G64" s="125"/>
      <c r="H64" s="125"/>
      <c r="I64" s="131"/>
    </row>
    <row r="65" spans="1:4" ht="13.5" customHeight="1">
      <c r="A65" s="21"/>
      <c r="B65" s="125"/>
      <c r="C65" s="125"/>
      <c r="D65" s="131"/>
    </row>
    <row r="66" spans="1:4" ht="14.25" customHeight="1">
      <c r="A66" s="21"/>
      <c r="B66" s="125"/>
      <c r="C66" s="125"/>
      <c r="D66" s="131"/>
    </row>
  </sheetData>
  <sheetProtection/>
  <conditionalFormatting sqref="A1:O1">
    <cfRule type="cellIs" priority="2" dxfId="4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scale="97" r:id="rId1"/>
  <headerFooter alignWithMargins="0">
    <oddFooter>&amp;L&amp;"Helv,Bold Italic"Note:  Amounts presented in bold italic have changed since the June 13, 2011 original filing.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327"/>
  <sheetViews>
    <sheetView zoomScale="88" zoomScaleNormal="88" zoomScalePageLayoutView="0" workbookViewId="0" topLeftCell="A1">
      <pane xSplit="1" ySplit="12" topLeftCell="F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" sqref="P1"/>
    </sheetView>
  </sheetViews>
  <sheetFormatPr defaultColWidth="9.33203125" defaultRowHeight="12.75" customHeight="1"/>
  <cols>
    <col min="1" max="1" width="10.33203125" style="3" bestFit="1" customWidth="1"/>
    <col min="2" max="2" width="45.16015625" style="3" customWidth="1"/>
    <col min="3" max="3" width="16" style="3" customWidth="1"/>
    <col min="4" max="4" width="22.16015625" style="3" customWidth="1"/>
    <col min="5" max="5" width="20.16015625" style="3" customWidth="1"/>
    <col min="6" max="6" width="21.33203125" style="3" customWidth="1"/>
    <col min="7" max="7" width="7.16015625" style="3" bestFit="1" customWidth="1"/>
    <col min="8" max="8" width="82.33203125" style="3" bestFit="1" customWidth="1"/>
    <col min="9" max="9" width="11.5" style="3" customWidth="1"/>
    <col min="10" max="10" width="15.5" style="3" customWidth="1"/>
    <col min="11" max="11" width="15.33203125" style="3" customWidth="1"/>
    <col min="12" max="12" width="6.83203125" style="3" customWidth="1"/>
    <col min="13" max="13" width="66.5" style="3" customWidth="1"/>
    <col min="14" max="14" width="18.83203125" style="3" customWidth="1"/>
    <col min="15" max="15" width="17.83203125" style="3" customWidth="1"/>
    <col min="16" max="16" width="6.83203125" style="3" customWidth="1"/>
    <col min="17" max="19" width="23" style="3" customWidth="1"/>
    <col min="20" max="20" width="20" style="3" customWidth="1"/>
    <col min="21" max="21" width="6.83203125" style="3" customWidth="1"/>
    <col min="22" max="22" width="60" style="3" bestFit="1" customWidth="1"/>
    <col min="23" max="23" width="21.5" style="3" customWidth="1"/>
    <col min="24" max="24" width="22.16015625" style="3" customWidth="1"/>
    <col min="25" max="25" width="6.83203125" style="3" customWidth="1"/>
    <col min="26" max="26" width="72.66015625" style="3" bestFit="1" customWidth="1"/>
    <col min="27" max="27" width="18.16015625" style="3" customWidth="1"/>
    <col min="28" max="29" width="18.5" style="3" customWidth="1"/>
    <col min="30" max="30" width="7.33203125" style="3" customWidth="1"/>
    <col min="31" max="31" width="55.16015625" style="3" bestFit="1" customWidth="1"/>
    <col min="32" max="32" width="17.33203125" style="3" customWidth="1"/>
    <col min="33" max="34" width="18.33203125" style="3" customWidth="1"/>
    <col min="35" max="35" width="7.5" style="3" customWidth="1"/>
    <col min="36" max="36" width="66.33203125" style="3" bestFit="1" customWidth="1"/>
    <col min="37" max="39" width="17.83203125" style="3" customWidth="1"/>
    <col min="40" max="40" width="6.83203125" style="3" customWidth="1"/>
    <col min="41" max="41" width="51.16015625" style="3" customWidth="1"/>
    <col min="42" max="42" width="15.83203125" style="3" customWidth="1"/>
    <col min="43" max="43" width="17.16015625" style="3" customWidth="1"/>
    <col min="44" max="44" width="15.83203125" style="3" customWidth="1"/>
    <col min="45" max="45" width="17" style="3" customWidth="1"/>
    <col min="46" max="46" width="17.83203125" style="3" customWidth="1"/>
    <col min="47" max="47" width="7.33203125" style="3" customWidth="1"/>
    <col min="48" max="48" width="55.16015625" style="3" bestFit="1" customWidth="1"/>
    <col min="49" max="49" width="17.33203125" style="3" customWidth="1"/>
    <col min="50" max="51" width="18.33203125" style="3" customWidth="1"/>
    <col min="52" max="52" width="6.83203125" style="3" customWidth="1"/>
    <col min="53" max="53" width="45.5" style="3" customWidth="1"/>
    <col min="54" max="54" width="19.66015625" style="3" customWidth="1"/>
    <col min="55" max="55" width="7.33203125" style="3" customWidth="1"/>
    <col min="56" max="56" width="35.33203125" style="3" customWidth="1"/>
    <col min="57" max="57" width="6.83203125" style="3" customWidth="1"/>
    <col min="58" max="58" width="45.5" style="3" customWidth="1"/>
    <col min="59" max="59" width="7.33203125" style="3" customWidth="1"/>
    <col min="60" max="60" width="35.33203125" style="3" customWidth="1"/>
    <col min="61" max="61" width="7.33203125" style="3" customWidth="1"/>
    <col min="62" max="62" width="51.5" style="3" customWidth="1"/>
    <col min="63" max="63" width="15.83203125" style="3" customWidth="1"/>
    <col min="64" max="64" width="16.83203125" style="3" customWidth="1"/>
    <col min="65" max="65" width="20" style="3" customWidth="1"/>
    <col min="66" max="66" width="7.16015625" style="3" bestFit="1" customWidth="1"/>
    <col min="67" max="67" width="41.16015625" style="3" customWidth="1"/>
    <col min="68" max="70" width="18.33203125" style="3" customWidth="1"/>
    <col min="71" max="71" width="5.83203125" style="51" customWidth="1"/>
    <col min="72" max="72" width="69" style="51" customWidth="1"/>
    <col min="73" max="74" width="20.16015625" style="51" customWidth="1"/>
    <col min="75" max="75" width="5.83203125" style="3" customWidth="1"/>
    <col min="76" max="76" width="70.33203125" style="3" bestFit="1" customWidth="1"/>
    <col min="77" max="77" width="14.16015625" style="3" customWidth="1"/>
    <col min="78" max="78" width="16" style="3" customWidth="1"/>
    <col min="79" max="79" width="5.83203125" style="3" customWidth="1"/>
    <col min="80" max="80" width="43.83203125" style="3" customWidth="1"/>
    <col min="81" max="81" width="17.33203125" style="3" customWidth="1"/>
    <col min="82" max="82" width="18.83203125" style="3" customWidth="1"/>
    <col min="83" max="83" width="17.33203125" style="3" customWidth="1"/>
    <col min="84" max="84" width="5.83203125" style="3" customWidth="1"/>
    <col min="85" max="85" width="43.83203125" style="3" customWidth="1"/>
    <col min="86" max="87" width="17.33203125" style="3" customWidth="1"/>
    <col min="88" max="88" width="19.16015625" style="3" customWidth="1"/>
    <col min="89" max="89" width="6.83203125" style="3" customWidth="1"/>
    <col min="90" max="90" width="42.83203125" style="3" customWidth="1"/>
    <col min="91" max="91" width="4.83203125" style="3" customWidth="1"/>
    <col min="92" max="92" width="15.66015625" style="3" customWidth="1"/>
    <col min="93" max="95" width="18" style="3" customWidth="1"/>
    <col min="96" max="96" width="5.83203125" style="3" customWidth="1"/>
    <col min="97" max="97" width="65.16015625" style="3" bestFit="1" customWidth="1"/>
    <col min="98" max="100" width="18" style="3" customWidth="1"/>
    <col min="101" max="101" width="6.83203125" style="3" customWidth="1"/>
    <col min="102" max="102" width="51" style="3" bestFit="1" customWidth="1"/>
    <col min="103" max="103" width="13.66015625" style="3" customWidth="1"/>
    <col min="104" max="104" width="25.5" style="3" customWidth="1"/>
    <col min="105" max="105" width="6.5" style="714" bestFit="1" customWidth="1"/>
    <col min="106" max="106" width="44.66015625" style="714" bestFit="1" customWidth="1"/>
    <col min="107" max="107" width="16.66015625" style="714" customWidth="1"/>
    <col min="108" max="108" width="19.83203125" style="714" customWidth="1"/>
    <col min="109" max="109" width="22.16015625" style="714" customWidth="1"/>
    <col min="110" max="115" width="9.33203125" style="714" customWidth="1"/>
    <col min="116" max="116" width="6.83203125" style="3" customWidth="1"/>
    <col min="117" max="117" width="52.16015625" style="3" customWidth="1"/>
    <col min="118" max="118" width="17.66015625" style="3" customWidth="1"/>
    <col min="119" max="119" width="22.33203125" style="3" customWidth="1"/>
    <col min="120" max="120" width="19.16015625" style="3" customWidth="1"/>
    <col min="121" max="121" width="15.16015625" style="3" customWidth="1"/>
    <col min="122" max="122" width="7.16015625" style="3" bestFit="1" customWidth="1"/>
    <col min="123" max="123" width="48" style="3" customWidth="1"/>
    <col min="124" max="124" width="26.83203125" style="3" customWidth="1"/>
    <col min="125" max="126" width="26.33203125" style="3" customWidth="1"/>
    <col min="127" max="127" width="22.5" style="3" bestFit="1" customWidth="1"/>
    <col min="128" max="128" width="18.66015625" style="3" customWidth="1"/>
    <col min="129" max="129" width="32.33203125" style="3" customWidth="1"/>
    <col min="130" max="130" width="7.16015625" style="3" bestFit="1" customWidth="1"/>
    <col min="131" max="131" width="56.5" style="3" customWidth="1"/>
    <col min="132" max="132" width="23.83203125" style="3" customWidth="1"/>
    <col min="133" max="133" width="28" style="3" bestFit="1" customWidth="1"/>
    <col min="134" max="134" width="15.5" style="3" bestFit="1" customWidth="1"/>
    <col min="135" max="135" width="26.33203125" style="3" bestFit="1" customWidth="1"/>
    <col min="136" max="136" width="15.33203125" style="3" bestFit="1" customWidth="1"/>
    <col min="137" max="137" width="22.33203125" style="3" customWidth="1"/>
    <col min="138" max="138" width="16.66015625" style="3" customWidth="1"/>
    <col min="139" max="139" width="7.16015625" style="3" bestFit="1" customWidth="1"/>
    <col min="140" max="140" width="56.5" style="3" customWidth="1"/>
    <col min="141" max="141" width="27.5" style="3" customWidth="1"/>
    <col min="142" max="142" width="20.66015625" style="3" customWidth="1"/>
    <col min="143" max="143" width="26.5" style="3" bestFit="1" customWidth="1"/>
    <col min="144" max="144" width="24.83203125" style="3" customWidth="1"/>
    <col min="145" max="145" width="22.33203125" style="3" customWidth="1"/>
    <col min="146" max="146" width="23.66015625" style="3" customWidth="1"/>
    <col min="147" max="147" width="7.16015625" style="3" bestFit="1" customWidth="1"/>
    <col min="148" max="148" width="59.83203125" style="3" bestFit="1" customWidth="1"/>
    <col min="149" max="153" width="23.66015625" style="3" customWidth="1"/>
    <col min="154" max="154" width="24.83203125" style="3" bestFit="1" customWidth="1"/>
    <col min="155" max="155" width="20.5" style="3" bestFit="1" customWidth="1"/>
    <col min="156" max="156" width="10.83203125" style="3" customWidth="1"/>
    <col min="157" max="157" width="56.5" style="3" bestFit="1" customWidth="1"/>
    <col min="158" max="158" width="19.83203125" style="3" bestFit="1" customWidth="1"/>
    <col min="159" max="159" width="22" style="3" bestFit="1" customWidth="1"/>
    <col min="160" max="160" width="20.5" style="3" bestFit="1" customWidth="1"/>
    <col min="161" max="161" width="24.83203125" style="3" customWidth="1"/>
    <col min="162" max="162" width="23.33203125" style="3" customWidth="1"/>
    <col min="163" max="163" width="2.83203125" style="3" customWidth="1"/>
    <col min="164" max="164" width="17.33203125" style="3" bestFit="1" customWidth="1"/>
    <col min="165" max="165" width="21.16015625" style="3" customWidth="1"/>
    <col min="166" max="16384" width="9.33203125" style="3" customWidth="1"/>
  </cols>
  <sheetData>
    <row r="1" s="272" customFormat="1" ht="12.75" customHeight="1"/>
    <row r="2" spans="1:109" ht="14.25" customHeight="1">
      <c r="A2" s="36"/>
      <c r="F2" s="218" t="s">
        <v>559</v>
      </c>
      <c r="G2" s="216"/>
      <c r="H2" s="217"/>
      <c r="I2" s="217"/>
      <c r="K2" s="218" t="str">
        <f>WUTC_Docket_No._UG_11____</f>
        <v>WUTC Docket No. UG-111049</v>
      </c>
      <c r="L2" s="218"/>
      <c r="M2" s="218"/>
      <c r="N2" s="218"/>
      <c r="O2" s="218" t="str">
        <f>WUTC_Docket_No._UG_11____</f>
        <v>WUTC Docket No. UG-111049</v>
      </c>
      <c r="P2" s="36"/>
      <c r="T2" s="218" t="str">
        <f>WUTC_Docket_No._UG_11____</f>
        <v>WUTC Docket No. UG-111049</v>
      </c>
      <c r="U2" s="36"/>
      <c r="X2" s="218" t="str">
        <f>WUTC_Docket_No._UG_11____</f>
        <v>WUTC Docket No. UG-111049</v>
      </c>
      <c r="AC2" s="218" t="str">
        <f>WUTC_Docket_No._UG_11____</f>
        <v>WUTC Docket No. UG-111049</v>
      </c>
      <c r="AE2" s="36"/>
      <c r="AH2" s="218" t="str">
        <f>WUTC_Docket_No._UG_11____</f>
        <v>WUTC Docket No. UG-111049</v>
      </c>
      <c r="AM2" s="218" t="str">
        <f>WUTC_Docket_No._UG_11____</f>
        <v>WUTC Docket No. UG-111049</v>
      </c>
      <c r="AT2" s="218" t="str">
        <f>WUTC_Docket_No._UG_11____</f>
        <v>WUTC Docket No. UG-111049</v>
      </c>
      <c r="AV2" s="36"/>
      <c r="AY2" s="218" t="str">
        <f>WUTC_Docket_No._UG_11____</f>
        <v>WUTC Docket No. UG-111049</v>
      </c>
      <c r="BD2" s="218" t="str">
        <f>WUTC_Docket_No._UG_11____</f>
        <v>WUTC Docket No. UG-111049</v>
      </c>
      <c r="BH2" s="218" t="str">
        <f>WUTC_Docket_No._UG_11____</f>
        <v>WUTC Docket No. UG-111049</v>
      </c>
      <c r="BM2" s="218" t="str">
        <f>WUTC_Docket_No._UG_11____</f>
        <v>WUTC Docket No. UG-111049</v>
      </c>
      <c r="BR2" s="218" t="str">
        <f>WUTC_Docket_No._UG_11____</f>
        <v>WUTC Docket No. UG-111049</v>
      </c>
      <c r="BV2" s="218" t="str">
        <f>WUTC_Docket_No._UG_11____</f>
        <v>WUTC Docket No. UG-111049</v>
      </c>
      <c r="BZ2" s="218" t="str">
        <f>WUTC_Docket_No._UG_11____</f>
        <v>WUTC Docket No. UG-111049</v>
      </c>
      <c r="CE2" s="218" t="str">
        <f>WUTC_Docket_No._UG_11____</f>
        <v>WUTC Docket No. UG-111049</v>
      </c>
      <c r="CJ2" s="218" t="str">
        <f>WUTC_Docket_No._UG_11____</f>
        <v>WUTC Docket No. UG-111049</v>
      </c>
      <c r="CQ2" s="218" t="str">
        <f>WUTC_Docket_No._UG_11____</f>
        <v>WUTC Docket No. UG-111049</v>
      </c>
      <c r="CV2" s="218" t="str">
        <f>WUTC_Docket_No._UG_11____</f>
        <v>WUTC Docket No. UG-111049</v>
      </c>
      <c r="CZ2" s="218" t="str">
        <f>WUTC_Docket_No._UG_11____</f>
        <v>WUTC Docket No. UG-111049</v>
      </c>
      <c r="DA2" s="3"/>
      <c r="DB2" s="3"/>
      <c r="DC2" s="3"/>
      <c r="DD2" s="3"/>
      <c r="DE2" s="218" t="str">
        <f>WUTC_Docket_No._UG_11____</f>
        <v>WUTC Docket No. UG-111049</v>
      </c>
    </row>
    <row r="3" spans="1:115" ht="14.25" customHeight="1" thickBot="1">
      <c r="A3" s="36"/>
      <c r="F3" s="218" t="s">
        <v>549</v>
      </c>
      <c r="G3" s="217"/>
      <c r="H3" s="217"/>
      <c r="I3" s="217"/>
      <c r="K3" s="398" t="str">
        <f>Exhibit_No.______MJS_13</f>
        <v>Exhibit No. ___ (MJS-13)</v>
      </c>
      <c r="L3" s="223"/>
      <c r="M3" s="223"/>
      <c r="N3" s="223"/>
      <c r="O3" s="398" t="str">
        <f>Exhibit_No.______MJS_13</f>
        <v>Exhibit No. ___ (MJS-13)</v>
      </c>
      <c r="T3" s="398" t="str">
        <f>Exhibit_No.______MJS_13</f>
        <v>Exhibit No. ___ (MJS-13)</v>
      </c>
      <c r="X3" s="398" t="str">
        <f>Exhibit_No.______MJS_13</f>
        <v>Exhibit No. ___ (MJS-13)</v>
      </c>
      <c r="Y3" s="36"/>
      <c r="AA3" s="20"/>
      <c r="AC3" s="398" t="str">
        <f>Exhibit_No.______MJS_13</f>
        <v>Exhibit No. ___ (MJS-13)</v>
      </c>
      <c r="AD3" s="36"/>
      <c r="AE3" s="36"/>
      <c r="AH3" s="398" t="str">
        <f>Exhibit_No.______MJS_13</f>
        <v>Exhibit No. ___ (MJS-13)</v>
      </c>
      <c r="AI3" s="36"/>
      <c r="AJ3" s="1"/>
      <c r="AK3" s="718"/>
      <c r="AL3" s="718"/>
      <c r="AM3" s="398" t="str">
        <f>Exhibit_No.______MJS_13</f>
        <v>Exhibit No. ___ (MJS-13)</v>
      </c>
      <c r="AN3" s="36"/>
      <c r="AO3" s="82"/>
      <c r="AP3" s="82"/>
      <c r="AQ3" s="82"/>
      <c r="AR3" s="82"/>
      <c r="AS3" s="82"/>
      <c r="AT3" s="398" t="str">
        <f>Exhibit_No.______MJS_13</f>
        <v>Exhibit No. ___ (MJS-13)</v>
      </c>
      <c r="AU3" s="36"/>
      <c r="AV3" s="36"/>
      <c r="AY3" s="398" t="str">
        <f>Exhibit_No.______MJS_13</f>
        <v>Exhibit No. ___ (MJS-13)</v>
      </c>
      <c r="AZ3" s="36"/>
      <c r="BD3" s="398" t="str">
        <f>Exhibit_No.______MJS_13</f>
        <v>Exhibit No. ___ (MJS-13)</v>
      </c>
      <c r="BE3" s="36"/>
      <c r="BH3" s="398" t="str">
        <f>Exhibit_No.______MJS_13</f>
        <v>Exhibit No. ___ (MJS-13)</v>
      </c>
      <c r="BI3" s="36"/>
      <c r="BJ3" s="217"/>
      <c r="BK3" s="217"/>
      <c r="BL3" s="217"/>
      <c r="BM3" s="398" t="str">
        <f>Exhibit_No.______MJS_13</f>
        <v>Exhibit No. ___ (MJS-13)</v>
      </c>
      <c r="BN3" s="36"/>
      <c r="BO3" s="719"/>
      <c r="BP3" s="719"/>
      <c r="BQ3" s="719"/>
      <c r="BR3" s="398" t="str">
        <f>Exhibit_No.______MJS_13</f>
        <v>Exhibit No. ___ (MJS-13)</v>
      </c>
      <c r="BS3" s="36"/>
      <c r="BT3" s="277"/>
      <c r="BV3" s="398" t="str">
        <f>Exhibit_No.______MJS_13</f>
        <v>Exhibit No. ___ (MJS-13)</v>
      </c>
      <c r="BW3" s="36"/>
      <c r="BX3" s="1"/>
      <c r="BY3" s="1"/>
      <c r="BZ3" s="398" t="str">
        <f>Exhibit_No.______MJS_13</f>
        <v>Exhibit No. ___ (MJS-13)</v>
      </c>
      <c r="CA3" s="36"/>
      <c r="CE3" s="398" t="str">
        <f>Exhibit_No.______MJS_13</f>
        <v>Exhibit No. ___ (MJS-13)</v>
      </c>
      <c r="CF3" s="36"/>
      <c r="CG3" s="36"/>
      <c r="CJ3" s="398" t="str">
        <f>Exhibit_No.______MJS_13</f>
        <v>Exhibit No. ___ (MJS-13)</v>
      </c>
      <c r="CK3" s="36"/>
      <c r="CL3" s="36"/>
      <c r="CQ3" s="398" t="str">
        <f>Exhibit_No.______MJS_13</f>
        <v>Exhibit No. ___ (MJS-13)</v>
      </c>
      <c r="CR3" s="36"/>
      <c r="CS3" s="36"/>
      <c r="CV3" s="398" t="str">
        <f>Exhibit_No.______MJS_13</f>
        <v>Exhibit No. ___ (MJS-13)</v>
      </c>
      <c r="CW3" s="36"/>
      <c r="CX3" s="36"/>
      <c r="CZ3" s="398" t="str">
        <f>Exhibit_No.______MJS_13</f>
        <v>Exhibit No. ___ (MJS-13)</v>
      </c>
      <c r="DA3" s="36"/>
      <c r="DB3" s="36"/>
      <c r="DC3" s="3"/>
      <c r="DD3" s="3"/>
      <c r="DE3" s="398" t="str">
        <f>Exhibit_No.______MJS_13</f>
        <v>Exhibit No. ___ (MJS-13)</v>
      </c>
      <c r="DF3" s="3"/>
      <c r="DG3" s="3"/>
      <c r="DH3" s="3"/>
      <c r="DI3" s="3"/>
      <c r="DJ3" s="3"/>
      <c r="DK3" s="3"/>
    </row>
    <row r="4" spans="1:115" ht="14.25" customHeight="1" thickBot="1" thickTop="1">
      <c r="A4" s="36"/>
      <c r="F4" s="726">
        <v>13.01</v>
      </c>
      <c r="G4" s="669"/>
      <c r="H4" s="669"/>
      <c r="I4" s="669"/>
      <c r="K4" s="668">
        <f>F4+0.01</f>
        <v>13.02</v>
      </c>
      <c r="L4" s="363"/>
      <c r="M4" s="363"/>
      <c r="N4" s="363"/>
      <c r="O4" s="668">
        <f>K4+0.01</f>
        <v>13.03</v>
      </c>
      <c r="T4" s="668">
        <f>O4+0.01</f>
        <v>13.04</v>
      </c>
      <c r="V4" s="670" t="s">
        <v>17</v>
      </c>
      <c r="X4" s="668">
        <f>T4+0.01</f>
        <v>13.049999999999999</v>
      </c>
      <c r="AA4" s="20"/>
      <c r="AB4" s="36"/>
      <c r="AC4" s="668">
        <f>X4+0.01</f>
        <v>13.059999999999999</v>
      </c>
      <c r="AD4" s="56"/>
      <c r="AE4" s="671"/>
      <c r="AF4" s="56"/>
      <c r="AG4" s="56"/>
      <c r="AH4" s="668">
        <f>AC4+0.01</f>
        <v>13.069999999999999</v>
      </c>
      <c r="AM4" s="668">
        <f>AH4+0.01</f>
        <v>13.079999999999998</v>
      </c>
      <c r="AO4" s="82"/>
      <c r="AP4" s="82"/>
      <c r="AQ4" s="82"/>
      <c r="AR4" s="82"/>
      <c r="AS4" s="82"/>
      <c r="AT4" s="668">
        <f>AM4+0.01</f>
        <v>13.089999999999998</v>
      </c>
      <c r="AU4" s="56"/>
      <c r="AV4" s="671"/>
      <c r="AW4" s="56"/>
      <c r="AX4" s="56"/>
      <c r="AY4" s="668">
        <f>AT4+0.01</f>
        <v>13.099999999999998</v>
      </c>
      <c r="BD4" s="668">
        <f>AY4+0.01</f>
        <v>13.109999999999998</v>
      </c>
      <c r="BH4" s="668">
        <f>BD4+0.01</f>
        <v>13.119999999999997</v>
      </c>
      <c r="BI4" s="217"/>
      <c r="BJ4" s="210"/>
      <c r="BK4" s="210"/>
      <c r="BL4" s="210"/>
      <c r="BM4" s="668">
        <f>BH4+0.01</f>
        <v>13.129999999999997</v>
      </c>
      <c r="BO4" s="176"/>
      <c r="BP4" s="176"/>
      <c r="BQ4" s="176"/>
      <c r="BR4" s="668">
        <f>BM4+0.01</f>
        <v>13.139999999999997</v>
      </c>
      <c r="BT4" s="277"/>
      <c r="BV4" s="668">
        <f>BR4+0.01</f>
        <v>13.149999999999997</v>
      </c>
      <c r="BW4" s="1"/>
      <c r="BX4" s="1"/>
      <c r="BY4" s="1"/>
      <c r="BZ4" s="668">
        <f>BV4+0.01</f>
        <v>13.159999999999997</v>
      </c>
      <c r="CE4" s="668">
        <f>BZ4+0.01</f>
        <v>13.169999999999996</v>
      </c>
      <c r="CJ4" s="668">
        <f>CE4+0.01</f>
        <v>13.179999999999996</v>
      </c>
      <c r="CL4" s="36"/>
      <c r="CQ4" s="668">
        <f>CJ4+0.01</f>
        <v>13.189999999999996</v>
      </c>
      <c r="CS4" s="36"/>
      <c r="CV4" s="668">
        <f>CQ4+0.01</f>
        <v>13.199999999999996</v>
      </c>
      <c r="CZ4" s="668">
        <f>CV4+0.01</f>
        <v>13.209999999999996</v>
      </c>
      <c r="DA4" s="3"/>
      <c r="DB4" s="3"/>
      <c r="DC4" s="3"/>
      <c r="DD4" s="3"/>
      <c r="DE4" s="668">
        <f>CZ4+0.01</f>
        <v>13.219999999999995</v>
      </c>
      <c r="DF4" s="3"/>
      <c r="DG4" s="3"/>
      <c r="DH4" s="3"/>
      <c r="DI4" s="3"/>
      <c r="DJ4" s="3"/>
      <c r="DK4" s="3"/>
    </row>
    <row r="5" spans="1:121" s="36" customFormat="1" ht="9.75" customHeight="1">
      <c r="A5" s="36" t="s">
        <v>17</v>
      </c>
      <c r="G5" s="220"/>
      <c r="H5" s="221"/>
      <c r="I5" s="221"/>
      <c r="J5" s="221"/>
      <c r="K5" s="221"/>
      <c r="L5" s="223"/>
      <c r="M5" s="223"/>
      <c r="N5" s="223"/>
      <c r="O5" s="223"/>
      <c r="AA5" s="193"/>
      <c r="AJ5" s="101"/>
      <c r="AK5" s="102"/>
      <c r="AL5" s="102"/>
      <c r="AN5" s="103"/>
      <c r="BI5" s="216"/>
      <c r="BJ5" s="219"/>
      <c r="BK5" s="219"/>
      <c r="BL5" s="219"/>
      <c r="BO5" s="176"/>
      <c r="BT5" s="277"/>
      <c r="BW5" s="56"/>
      <c r="BX5" s="56"/>
      <c r="BY5" s="56"/>
      <c r="CA5" s="56"/>
      <c r="CB5" s="56"/>
      <c r="CC5" s="56"/>
      <c r="CD5" s="56"/>
      <c r="CF5" s="56"/>
      <c r="CG5" s="56"/>
      <c r="CH5" s="56"/>
      <c r="CI5" s="56"/>
      <c r="DQ5" s="56"/>
    </row>
    <row r="6" spans="1:109" s="36" customFormat="1" ht="14.25" customHeight="1">
      <c r="A6" s="35" t="s">
        <v>19</v>
      </c>
      <c r="B6" s="6"/>
      <c r="C6" s="6"/>
      <c r="D6" s="6"/>
      <c r="E6" s="6"/>
      <c r="F6" s="6"/>
      <c r="G6" s="35" t="str">
        <f>PSE</f>
        <v>PUGET SOUND ENERGY-GAS </v>
      </c>
      <c r="H6" s="6"/>
      <c r="I6" s="6"/>
      <c r="J6" s="6"/>
      <c r="K6" s="104"/>
      <c r="L6" s="220" t="s">
        <v>19</v>
      </c>
      <c r="M6" s="220"/>
      <c r="N6" s="220"/>
      <c r="O6" s="220"/>
      <c r="P6" s="35" t="str">
        <f>PSE</f>
        <v>PUGET SOUND ENERGY-GAS </v>
      </c>
      <c r="Q6" s="6"/>
      <c r="R6" s="6"/>
      <c r="S6" s="6"/>
      <c r="T6" s="104"/>
      <c r="U6" s="35" t="str">
        <f>PSE</f>
        <v>PUGET SOUND ENERGY-GAS </v>
      </c>
      <c r="V6" s="6"/>
      <c r="W6" s="6"/>
      <c r="X6" s="6"/>
      <c r="Y6" s="35" t="str">
        <f>PSE</f>
        <v>PUGET SOUND ENERGY-GAS </v>
      </c>
      <c r="Z6" s="6"/>
      <c r="AA6" s="194"/>
      <c r="AB6" s="6"/>
      <c r="AC6" s="6"/>
      <c r="AD6" s="35" t="str">
        <f>PSE</f>
        <v>PUGET SOUND ENERGY-GAS </v>
      </c>
      <c r="AE6" s="172"/>
      <c r="AF6" s="172"/>
      <c r="AG6" s="172"/>
      <c r="AH6" s="172"/>
      <c r="AI6" s="35" t="str">
        <f>PSE</f>
        <v>PUGET SOUND ENERGY-GAS </v>
      </c>
      <c r="AJ6" s="6"/>
      <c r="AK6" s="6"/>
      <c r="AL6" s="6"/>
      <c r="AM6" s="6"/>
      <c r="AN6" s="35" t="str">
        <f>PSE</f>
        <v>PUGET SOUND ENERGY-GAS </v>
      </c>
      <c r="AO6" s="6"/>
      <c r="AP6" s="6"/>
      <c r="AQ6" s="6"/>
      <c r="AR6" s="6"/>
      <c r="AS6" s="6"/>
      <c r="AT6" s="6"/>
      <c r="AU6" s="35" t="str">
        <f>PSE</f>
        <v>PUGET SOUND ENERGY-GAS </v>
      </c>
      <c r="AV6" s="172"/>
      <c r="AW6" s="172"/>
      <c r="AX6" s="172"/>
      <c r="AY6" s="172"/>
      <c r="AZ6" s="35" t="str">
        <f>PSE</f>
        <v>PUGET SOUND ENERGY-GAS </v>
      </c>
      <c r="BA6" s="6"/>
      <c r="BB6" s="6"/>
      <c r="BC6" s="6"/>
      <c r="BD6" s="6"/>
      <c r="BE6" s="35" t="str">
        <f>PSE</f>
        <v>PUGET SOUND ENERGY-GAS </v>
      </c>
      <c r="BF6" s="6"/>
      <c r="BG6" s="6"/>
      <c r="BH6" s="6"/>
      <c r="BI6" s="35" t="str">
        <f>PSE</f>
        <v>PUGET SOUND ENERGY-GAS </v>
      </c>
      <c r="BJ6" s="221"/>
      <c r="BK6" s="221"/>
      <c r="BL6" s="221"/>
      <c r="BM6" s="222"/>
      <c r="BN6" s="35" t="str">
        <f>PSE</f>
        <v>PUGET SOUND ENERGY-GAS </v>
      </c>
      <c r="BO6" s="172"/>
      <c r="BP6" s="172"/>
      <c r="BQ6" s="172"/>
      <c r="BR6" s="172"/>
      <c r="BS6" s="35" t="str">
        <f>PSE</f>
        <v>PUGET SOUND ENERGY-GAS </v>
      </c>
      <c r="BT6" s="6"/>
      <c r="BU6" s="6"/>
      <c r="BV6" s="6"/>
      <c r="BW6" s="35" t="str">
        <f>PSE</f>
        <v>PUGET SOUND ENERGY-GAS </v>
      </c>
      <c r="BX6" s="172"/>
      <c r="BY6" s="172"/>
      <c r="BZ6" s="172"/>
      <c r="CA6" s="35" t="str">
        <f>PSE</f>
        <v>PUGET SOUND ENERGY-GAS </v>
      </c>
      <c r="CB6" s="6"/>
      <c r="CC6" s="6"/>
      <c r="CD6" s="6"/>
      <c r="CE6" s="6"/>
      <c r="CF6" s="35" t="str">
        <f>PSE</f>
        <v>PUGET SOUND ENERGY-GAS </v>
      </c>
      <c r="CG6" s="6"/>
      <c r="CH6" s="6"/>
      <c r="CI6" s="6"/>
      <c r="CJ6" s="6"/>
      <c r="CK6" s="35" t="str">
        <f>PSE</f>
        <v>PUGET SOUND ENERGY-GAS </v>
      </c>
      <c r="CL6" s="6"/>
      <c r="CM6" s="6"/>
      <c r="CN6" s="6"/>
      <c r="CO6" s="6"/>
      <c r="CP6" s="6"/>
      <c r="CQ6" s="6"/>
      <c r="CR6" s="35" t="str">
        <f>PSE</f>
        <v>PUGET SOUND ENERGY-GAS </v>
      </c>
      <c r="CS6" s="35"/>
      <c r="CT6" s="35"/>
      <c r="CU6" s="35"/>
      <c r="CV6" s="6"/>
      <c r="CW6" s="35" t="str">
        <f>PSE</f>
        <v>PUGET SOUND ENERGY-GAS </v>
      </c>
      <c r="CX6" s="35"/>
      <c r="CY6" s="35"/>
      <c r="CZ6" s="35"/>
      <c r="DA6" s="35" t="str">
        <f>PSE</f>
        <v>PUGET SOUND ENERGY-GAS </v>
      </c>
      <c r="DB6" s="35"/>
      <c r="DC6" s="35"/>
      <c r="DD6" s="35"/>
      <c r="DE6" s="35"/>
    </row>
    <row r="7" spans="1:109" s="36" customFormat="1" ht="14.25" customHeight="1">
      <c r="A7" s="35" t="s">
        <v>216</v>
      </c>
      <c r="B7" s="35"/>
      <c r="C7" s="35"/>
      <c r="D7" s="35"/>
      <c r="E7" s="6"/>
      <c r="F7" s="195"/>
      <c r="G7" s="6" t="s">
        <v>252</v>
      </c>
      <c r="H7" s="6"/>
      <c r="I7" s="6"/>
      <c r="J7" s="6"/>
      <c r="K7" s="104"/>
      <c r="L7" s="220" t="s">
        <v>236</v>
      </c>
      <c r="M7" s="220"/>
      <c r="N7" s="220"/>
      <c r="O7" s="220"/>
      <c r="P7" s="6" t="s">
        <v>88</v>
      </c>
      <c r="Q7" s="6"/>
      <c r="R7" s="6"/>
      <c r="S7" s="6"/>
      <c r="T7" s="104"/>
      <c r="U7" s="6" t="s">
        <v>134</v>
      </c>
      <c r="V7" s="6"/>
      <c r="W7" s="6"/>
      <c r="X7" s="6"/>
      <c r="Y7" s="6" t="s">
        <v>136</v>
      </c>
      <c r="Z7" s="6"/>
      <c r="AA7" s="194"/>
      <c r="AB7" s="6"/>
      <c r="AC7" s="37"/>
      <c r="AD7" s="6" t="s">
        <v>401</v>
      </c>
      <c r="AE7" s="172"/>
      <c r="AF7" s="172"/>
      <c r="AG7" s="172"/>
      <c r="AH7" s="172"/>
      <c r="AI7" s="35" t="s">
        <v>411</v>
      </c>
      <c r="AJ7" s="6"/>
      <c r="AK7" s="35"/>
      <c r="AL7" s="35"/>
      <c r="AM7" s="6"/>
      <c r="AN7" s="35" t="s">
        <v>135</v>
      </c>
      <c r="AO7" s="6"/>
      <c r="AP7" s="6"/>
      <c r="AQ7" s="6"/>
      <c r="AR7" s="6"/>
      <c r="AS7" s="6"/>
      <c r="AT7" s="6"/>
      <c r="AU7" s="6" t="s">
        <v>160</v>
      </c>
      <c r="AV7" s="172"/>
      <c r="AW7" s="172"/>
      <c r="AX7" s="172"/>
      <c r="AY7" s="172"/>
      <c r="AZ7" s="6" t="s">
        <v>137</v>
      </c>
      <c r="BA7" s="6"/>
      <c r="BB7" s="6"/>
      <c r="BC7" s="6"/>
      <c r="BD7" s="37"/>
      <c r="BE7" s="6" t="s">
        <v>439</v>
      </c>
      <c r="BF7" s="6"/>
      <c r="BG7" s="6"/>
      <c r="BH7" s="37"/>
      <c r="BI7" s="220" t="s">
        <v>171</v>
      </c>
      <c r="BJ7" s="221"/>
      <c r="BK7" s="221"/>
      <c r="BL7" s="221"/>
      <c r="BM7" s="37"/>
      <c r="BN7" s="6" t="s">
        <v>180</v>
      </c>
      <c r="BO7" s="172"/>
      <c r="BP7" s="172"/>
      <c r="BQ7" s="172"/>
      <c r="BR7" s="172"/>
      <c r="BS7" s="6" t="s">
        <v>140</v>
      </c>
      <c r="BT7" s="6"/>
      <c r="BU7" s="6"/>
      <c r="BV7" s="37"/>
      <c r="BW7" s="220" t="s">
        <v>181</v>
      </c>
      <c r="BX7" s="172"/>
      <c r="BY7" s="172"/>
      <c r="BZ7" s="172"/>
      <c r="CA7" s="35" t="s">
        <v>141</v>
      </c>
      <c r="CB7" s="37"/>
      <c r="CC7" s="37"/>
      <c r="CD7" s="37"/>
      <c r="CE7" s="37"/>
      <c r="CF7" s="35" t="s">
        <v>144</v>
      </c>
      <c r="CG7" s="37"/>
      <c r="CH7" s="37"/>
      <c r="CI7" s="37"/>
      <c r="CJ7" s="37"/>
      <c r="CK7" s="6" t="s">
        <v>138</v>
      </c>
      <c r="CL7" s="6"/>
      <c r="CM7" s="6"/>
      <c r="CN7" s="6"/>
      <c r="CO7" s="6"/>
      <c r="CP7" s="6"/>
      <c r="CQ7" s="37"/>
      <c r="CR7" s="6" t="s">
        <v>106</v>
      </c>
      <c r="CS7" s="6"/>
      <c r="CT7" s="6"/>
      <c r="CU7" s="6"/>
      <c r="CV7" s="6"/>
      <c r="CW7" s="6" t="s">
        <v>139</v>
      </c>
      <c r="CX7" s="6"/>
      <c r="CY7" s="6"/>
      <c r="CZ7" s="6"/>
      <c r="DA7" s="6" t="s">
        <v>599</v>
      </c>
      <c r="DB7" s="6"/>
      <c r="DC7" s="6"/>
      <c r="DD7" s="6"/>
      <c r="DE7" s="6"/>
    </row>
    <row r="8" spans="1:109" s="36" customFormat="1" ht="14.25" customHeight="1">
      <c r="A8" s="6" t="s">
        <v>433</v>
      </c>
      <c r="B8" s="35"/>
      <c r="C8" s="35"/>
      <c r="D8" s="35"/>
      <c r="E8" s="6"/>
      <c r="F8" s="38"/>
      <c r="G8" s="6" t="str">
        <f>TESTYEAR</f>
        <v>FOR THE TWELVE MONTHS ENDED DECEMBER 31, 2010</v>
      </c>
      <c r="H8" s="6"/>
      <c r="I8" s="6"/>
      <c r="J8" s="6"/>
      <c r="K8" s="104"/>
      <c r="L8" s="6" t="str">
        <f>TESTYEAR</f>
        <v>FOR THE TWELVE MONTHS ENDED DECEMBER 31, 2010</v>
      </c>
      <c r="M8" s="6"/>
      <c r="N8" s="6"/>
      <c r="O8" s="6"/>
      <c r="P8" s="6" t="str">
        <f>TESTYEAR</f>
        <v>FOR THE TWELVE MONTHS ENDED DECEMBER 31, 2010</v>
      </c>
      <c r="Q8" s="6"/>
      <c r="R8" s="6"/>
      <c r="S8" s="6"/>
      <c r="T8" s="104"/>
      <c r="U8" s="6" t="str">
        <f>TESTYEAR</f>
        <v>FOR THE TWELVE MONTHS ENDED DECEMBER 31, 2010</v>
      </c>
      <c r="V8" s="6"/>
      <c r="W8" s="6"/>
      <c r="X8" s="38"/>
      <c r="Y8" s="6" t="str">
        <f>TESTYEAR</f>
        <v>FOR THE TWELVE MONTHS ENDED DECEMBER 31, 2010</v>
      </c>
      <c r="Z8" s="6"/>
      <c r="AA8" s="194"/>
      <c r="AB8" s="6"/>
      <c r="AC8" s="38"/>
      <c r="AD8" s="6" t="str">
        <f>TESTYEAR</f>
        <v>FOR THE TWELVE MONTHS ENDED DECEMBER 31, 2010</v>
      </c>
      <c r="AE8" s="172"/>
      <c r="AF8" s="172"/>
      <c r="AG8" s="172"/>
      <c r="AH8" s="172"/>
      <c r="AI8" s="6" t="str">
        <f>TESTYEAR</f>
        <v>FOR THE TWELVE MONTHS ENDED DECEMBER 31, 2010</v>
      </c>
      <c r="AJ8" s="6"/>
      <c r="AK8" s="35"/>
      <c r="AL8" s="35"/>
      <c r="AM8" s="6"/>
      <c r="AN8" s="35" t="str">
        <f>TESTYEAR</f>
        <v>FOR THE TWELVE MONTHS ENDED DECEMBER 31, 2010</v>
      </c>
      <c r="AO8" s="6"/>
      <c r="AP8" s="6"/>
      <c r="AQ8" s="6"/>
      <c r="AR8" s="6"/>
      <c r="AS8" s="6"/>
      <c r="AT8" s="6"/>
      <c r="AU8" s="6" t="str">
        <f>TESTYEAR</f>
        <v>FOR THE TWELVE MONTHS ENDED DECEMBER 31, 2010</v>
      </c>
      <c r="AV8" s="172"/>
      <c r="AW8" s="172"/>
      <c r="AX8" s="172"/>
      <c r="AY8" s="172"/>
      <c r="AZ8" s="6" t="str">
        <f>TESTYEAR</f>
        <v>FOR THE TWELVE MONTHS ENDED DECEMBER 31, 2010</v>
      </c>
      <c r="BA8" s="35"/>
      <c r="BB8" s="6"/>
      <c r="BC8" s="6"/>
      <c r="BD8" s="167"/>
      <c r="BE8" s="6" t="str">
        <f>TESTYEAR</f>
        <v>FOR THE TWELVE MONTHS ENDED DECEMBER 31, 2010</v>
      </c>
      <c r="BF8" s="35"/>
      <c r="BG8" s="6"/>
      <c r="BH8" s="167"/>
      <c r="BI8" s="6" t="str">
        <f>TESTYEAR</f>
        <v>FOR THE TWELVE MONTHS ENDED DECEMBER 31, 2010</v>
      </c>
      <c r="BJ8" s="221"/>
      <c r="BK8" s="221"/>
      <c r="BL8" s="221"/>
      <c r="BM8" s="38"/>
      <c r="BN8" s="6" t="str">
        <f>TESTYEAR</f>
        <v>FOR THE TWELVE MONTHS ENDED DECEMBER 31, 2010</v>
      </c>
      <c r="BO8" s="172"/>
      <c r="BP8" s="172"/>
      <c r="BQ8" s="172"/>
      <c r="BR8" s="172"/>
      <c r="BS8" s="6" t="str">
        <f>TESTYEAR</f>
        <v>FOR THE TWELVE MONTHS ENDED DECEMBER 31, 2010</v>
      </c>
      <c r="BT8" s="35"/>
      <c r="BU8" s="6"/>
      <c r="BV8" s="38"/>
      <c r="BW8" s="6" t="str">
        <f>TESTYEAR</f>
        <v>FOR THE TWELVE MONTHS ENDED DECEMBER 31, 2010</v>
      </c>
      <c r="BX8" s="172"/>
      <c r="BY8" s="172"/>
      <c r="BZ8" s="172"/>
      <c r="CA8" s="6" t="str">
        <f>TESTYEAR</f>
        <v>FOR THE TWELVE MONTHS ENDED DECEMBER 31, 2010</v>
      </c>
      <c r="CB8" s="38"/>
      <c r="CC8" s="38"/>
      <c r="CD8" s="38"/>
      <c r="CE8" s="38"/>
      <c r="CF8" s="6" t="str">
        <f>TESTYEAR</f>
        <v>FOR THE TWELVE MONTHS ENDED DECEMBER 31, 2010</v>
      </c>
      <c r="CG8" s="38"/>
      <c r="CH8" s="38"/>
      <c r="CI8" s="38"/>
      <c r="CJ8" s="38"/>
      <c r="CK8" s="6" t="str">
        <f>TESTYEAR</f>
        <v>FOR THE TWELVE MONTHS ENDED DECEMBER 31, 2010</v>
      </c>
      <c r="CL8" s="6"/>
      <c r="CM8" s="6"/>
      <c r="CN8" s="6"/>
      <c r="CO8" s="6"/>
      <c r="CP8" s="6"/>
      <c r="CQ8" s="38"/>
      <c r="CR8" s="6" t="str">
        <f>TESTYEAR</f>
        <v>FOR THE TWELVE MONTHS ENDED DECEMBER 31, 2010</v>
      </c>
      <c r="CS8" s="6"/>
      <c r="CT8" s="6"/>
      <c r="CU8" s="6"/>
      <c r="CV8" s="6"/>
      <c r="CW8" s="6" t="str">
        <f>TESTYEAR</f>
        <v>FOR THE TWELVE MONTHS ENDED DECEMBER 31, 2010</v>
      </c>
      <c r="CX8" s="6"/>
      <c r="CY8" s="6"/>
      <c r="CZ8" s="6"/>
      <c r="DA8" s="6" t="str">
        <f>TESTYEAR</f>
        <v>FOR THE TWELVE MONTHS ENDED DECEMBER 31, 2010</v>
      </c>
      <c r="DB8" s="6"/>
      <c r="DC8" s="6"/>
      <c r="DD8" s="6"/>
      <c r="DE8" s="6"/>
    </row>
    <row r="9" spans="1:109" s="36" customFormat="1" ht="14.25" customHeight="1">
      <c r="A9" s="35" t="s">
        <v>507</v>
      </c>
      <c r="B9" s="35"/>
      <c r="C9" s="35"/>
      <c r="D9" s="35"/>
      <c r="E9" s="6"/>
      <c r="F9" s="6"/>
      <c r="G9" s="6" t="str">
        <f>DOCKET</f>
        <v>GENERAL RATE INCREASE</v>
      </c>
      <c r="H9" s="35"/>
      <c r="I9" s="6"/>
      <c r="J9" s="35"/>
      <c r="K9" s="104"/>
      <c r="L9" s="35" t="str">
        <f>DOCKET</f>
        <v>GENERAL RATE INCREASE</v>
      </c>
      <c r="M9" s="35"/>
      <c r="N9" s="35"/>
      <c r="O9" s="35"/>
      <c r="P9" s="6" t="str">
        <f>DOCKET</f>
        <v>GENERAL RATE INCREASE</v>
      </c>
      <c r="Q9" s="35"/>
      <c r="R9" s="6"/>
      <c r="S9" s="35"/>
      <c r="T9" s="104"/>
      <c r="U9" s="35" t="str">
        <f>DOCKET</f>
        <v>GENERAL RATE INCREASE</v>
      </c>
      <c r="V9" s="35"/>
      <c r="W9" s="35"/>
      <c r="X9" s="35"/>
      <c r="Y9" s="6" t="str">
        <f>DOCKET</f>
        <v>GENERAL RATE INCREASE</v>
      </c>
      <c r="Z9" s="6"/>
      <c r="AA9" s="194"/>
      <c r="AB9" s="6"/>
      <c r="AC9" s="6"/>
      <c r="AD9" s="35" t="str">
        <f>DOCKET</f>
        <v>GENERAL RATE INCREASE</v>
      </c>
      <c r="AE9" s="172"/>
      <c r="AF9" s="172"/>
      <c r="AG9" s="172"/>
      <c r="AH9" s="172"/>
      <c r="AI9" s="35" t="str">
        <f>DOCKET</f>
        <v>GENERAL RATE INCREASE</v>
      </c>
      <c r="AJ9" s="6"/>
      <c r="AK9" s="35"/>
      <c r="AL9" s="35"/>
      <c r="AM9" s="35"/>
      <c r="AN9" s="35" t="str">
        <f>DOCKET</f>
        <v>GENERAL RATE INCREASE</v>
      </c>
      <c r="AO9" s="6"/>
      <c r="AP9" s="6"/>
      <c r="AQ9" s="6"/>
      <c r="AR9" s="6"/>
      <c r="AS9" s="6"/>
      <c r="AT9" s="6"/>
      <c r="AU9" s="35" t="str">
        <f>DOCKET</f>
        <v>GENERAL RATE INCREASE</v>
      </c>
      <c r="AV9" s="172"/>
      <c r="AW9" s="172"/>
      <c r="AX9" s="172"/>
      <c r="AY9" s="172"/>
      <c r="AZ9" s="6" t="str">
        <f>DOCKET</f>
        <v>GENERAL RATE INCREASE</v>
      </c>
      <c r="BA9" s="35"/>
      <c r="BB9" s="35"/>
      <c r="BC9" s="6"/>
      <c r="BD9" s="167"/>
      <c r="BE9" s="6" t="str">
        <f>DOCKET</f>
        <v>GENERAL RATE INCREASE</v>
      </c>
      <c r="BF9" s="35"/>
      <c r="BG9" s="6"/>
      <c r="BH9" s="167"/>
      <c r="BI9" s="35" t="str">
        <f>DOCKET</f>
        <v>GENERAL RATE INCREASE</v>
      </c>
      <c r="BJ9" s="221"/>
      <c r="BK9" s="221"/>
      <c r="BL9" s="220"/>
      <c r="BM9" s="38"/>
      <c r="BN9" s="35" t="str">
        <f>DOCKET</f>
        <v>GENERAL RATE INCREASE</v>
      </c>
      <c r="BO9" s="172"/>
      <c r="BP9" s="172"/>
      <c r="BQ9" s="172"/>
      <c r="BR9" s="172"/>
      <c r="BS9" s="35" t="str">
        <f>DOCKET</f>
        <v>GENERAL RATE INCREASE</v>
      </c>
      <c r="BT9" s="35"/>
      <c r="BU9" s="6"/>
      <c r="BV9" s="6"/>
      <c r="BW9" s="35" t="str">
        <f>DOCKET</f>
        <v>GENERAL RATE INCREASE</v>
      </c>
      <c r="BX9" s="172"/>
      <c r="BY9" s="172"/>
      <c r="BZ9" s="172"/>
      <c r="CA9" s="35" t="str">
        <f>DOCKET</f>
        <v>GENERAL RATE INCREASE</v>
      </c>
      <c r="CB9" s="6"/>
      <c r="CC9" s="6"/>
      <c r="CD9" s="6"/>
      <c r="CE9" s="6"/>
      <c r="CF9" s="35" t="str">
        <f>DOCKET</f>
        <v>GENERAL RATE INCREASE</v>
      </c>
      <c r="CG9" s="6"/>
      <c r="CH9" s="6"/>
      <c r="CI9" s="6"/>
      <c r="CJ9" s="6"/>
      <c r="CK9" s="35" t="str">
        <f>DOCKET</f>
        <v>GENERAL RATE INCREASE</v>
      </c>
      <c r="CL9" s="6"/>
      <c r="CM9" s="6"/>
      <c r="CN9" s="6"/>
      <c r="CO9" s="6"/>
      <c r="CP9" s="6"/>
      <c r="CQ9" s="38"/>
      <c r="CR9" s="6" t="str">
        <f>DOCKET</f>
        <v>GENERAL RATE INCREASE</v>
      </c>
      <c r="CS9" s="6"/>
      <c r="CT9" s="6"/>
      <c r="CU9" s="6"/>
      <c r="CV9" s="6"/>
      <c r="CW9" s="35" t="str">
        <f>DOCKET</f>
        <v>GENERAL RATE INCREASE</v>
      </c>
      <c r="CX9" s="35"/>
      <c r="CY9" s="35"/>
      <c r="CZ9" s="35"/>
      <c r="DA9" s="35" t="str">
        <f>DOCKET</f>
        <v>GENERAL RATE INCREASE</v>
      </c>
      <c r="DB9" s="35"/>
      <c r="DC9" s="35"/>
      <c r="DD9" s="35"/>
      <c r="DE9" s="35"/>
    </row>
    <row r="10" spans="7:106" s="36" customFormat="1" ht="12" customHeight="1">
      <c r="G10" s="363"/>
      <c r="H10" s="224"/>
      <c r="I10" s="224"/>
      <c r="J10" s="224"/>
      <c r="K10" s="224"/>
      <c r="L10" s="364"/>
      <c r="M10" s="365"/>
      <c r="N10" s="365"/>
      <c r="O10" s="277"/>
      <c r="Q10" s="39"/>
      <c r="R10" s="39"/>
      <c r="S10" s="39"/>
      <c r="T10" s="105"/>
      <c r="V10" s="39"/>
      <c r="W10" s="34"/>
      <c r="X10" s="34"/>
      <c r="Y10" s="196"/>
      <c r="AA10" s="193"/>
      <c r="AQ10" s="532"/>
      <c r="AR10" s="532" t="s">
        <v>407</v>
      </c>
      <c r="AS10" s="532"/>
      <c r="BA10" s="39"/>
      <c r="BB10" s="39"/>
      <c r="BF10" s="39"/>
      <c r="BI10" s="216"/>
      <c r="BJ10" s="223"/>
      <c r="BK10" s="223"/>
      <c r="BL10" s="219"/>
      <c r="BM10" s="219"/>
      <c r="CL10" s="39"/>
      <c r="CM10" s="39"/>
      <c r="CN10" s="39"/>
      <c r="CO10" s="39"/>
      <c r="CW10" s="95"/>
      <c r="CX10" s="39"/>
      <c r="DA10" s="95"/>
      <c r="DB10" s="39"/>
    </row>
    <row r="11" spans="1:109" s="36" customFormat="1" ht="14.25" customHeight="1">
      <c r="A11" s="48" t="s">
        <v>23</v>
      </c>
      <c r="B11" s="39"/>
      <c r="E11" s="48"/>
      <c r="F11" s="48"/>
      <c r="G11" s="48" t="s">
        <v>23</v>
      </c>
      <c r="H11" s="224"/>
      <c r="I11" s="224"/>
      <c r="J11" s="953" t="s">
        <v>598</v>
      </c>
      <c r="K11" s="953"/>
      <c r="L11" s="224" t="s">
        <v>23</v>
      </c>
      <c r="M11" s="277"/>
      <c r="N11" s="363"/>
      <c r="O11" s="363"/>
      <c r="P11" s="48" t="s">
        <v>23</v>
      </c>
      <c r="T11" s="105"/>
      <c r="U11" s="48" t="s">
        <v>23</v>
      </c>
      <c r="W11" s="446" t="s">
        <v>598</v>
      </c>
      <c r="X11" s="446" t="s">
        <v>598</v>
      </c>
      <c r="Y11" s="196" t="s">
        <v>25</v>
      </c>
      <c r="AA11" s="193"/>
      <c r="AB11" s="446" t="s">
        <v>598</v>
      </c>
      <c r="AC11" s="446" t="s">
        <v>598</v>
      </c>
      <c r="AD11" s="48" t="s">
        <v>23</v>
      </c>
      <c r="AF11" s="208"/>
      <c r="AG11" s="48" t="s">
        <v>34</v>
      </c>
      <c r="AH11" s="48"/>
      <c r="AI11" s="363" t="s">
        <v>23</v>
      </c>
      <c r="AJ11" s="216"/>
      <c r="AK11" s="216"/>
      <c r="AL11" s="224"/>
      <c r="AM11" s="216"/>
      <c r="AN11" s="48" t="s">
        <v>23</v>
      </c>
      <c r="AO11" s="39"/>
      <c r="AP11" s="48" t="s">
        <v>165</v>
      </c>
      <c r="AQ11" s="532" t="s">
        <v>166</v>
      </c>
      <c r="AR11" s="532" t="s">
        <v>408</v>
      </c>
      <c r="AS11" s="532" t="s">
        <v>165</v>
      </c>
      <c r="AU11" s="48" t="s">
        <v>23</v>
      </c>
      <c r="AW11" s="208"/>
      <c r="AX11" s="48" t="s">
        <v>34</v>
      </c>
      <c r="AY11" s="48"/>
      <c r="AZ11" s="11" t="s">
        <v>23</v>
      </c>
      <c r="BE11" s="11"/>
      <c r="BI11" s="224" t="s">
        <v>23</v>
      </c>
      <c r="BJ11" s="219"/>
      <c r="BK11" s="224"/>
      <c r="BL11" s="219"/>
      <c r="BM11" s="219"/>
      <c r="BN11" s="11" t="s">
        <v>23</v>
      </c>
      <c r="BO11" s="11"/>
      <c r="BP11" s="11"/>
      <c r="BQ11" s="11"/>
      <c r="BR11" s="11"/>
      <c r="BS11" s="11" t="s">
        <v>23</v>
      </c>
      <c r="BW11" s="11"/>
      <c r="BX11" s="11"/>
      <c r="BY11" s="11"/>
      <c r="BZ11" s="11"/>
      <c r="CA11" s="48" t="s">
        <v>23</v>
      </c>
      <c r="CF11" s="48" t="s">
        <v>23</v>
      </c>
      <c r="CK11" s="11" t="s">
        <v>23</v>
      </c>
      <c r="CO11" s="11"/>
      <c r="CP11" s="446" t="s">
        <v>598</v>
      </c>
      <c r="CQ11" s="446" t="s">
        <v>598</v>
      </c>
      <c r="CR11" s="11" t="s">
        <v>23</v>
      </c>
      <c r="CU11" s="446" t="s">
        <v>598</v>
      </c>
      <c r="CV11" s="446" t="s">
        <v>598</v>
      </c>
      <c r="CW11" s="11" t="s">
        <v>23</v>
      </c>
      <c r="CZ11" s="446" t="s">
        <v>598</v>
      </c>
      <c r="DA11" s="11" t="s">
        <v>23</v>
      </c>
      <c r="DB11" s="11"/>
      <c r="DC11" s="11"/>
      <c r="DD11" s="11"/>
      <c r="DE11" s="11"/>
    </row>
    <row r="12" spans="1:165" s="36" customFormat="1" ht="14.25" customHeight="1">
      <c r="A12" s="66" t="s">
        <v>38</v>
      </c>
      <c r="B12" s="40" t="s">
        <v>39</v>
      </c>
      <c r="C12" s="66" t="s">
        <v>36</v>
      </c>
      <c r="D12" s="66" t="s">
        <v>40</v>
      </c>
      <c r="E12" s="66" t="s">
        <v>42</v>
      </c>
      <c r="F12" s="66"/>
      <c r="G12" s="66" t="s">
        <v>38</v>
      </c>
      <c r="H12" s="233" t="s">
        <v>39</v>
      </c>
      <c r="I12" s="233"/>
      <c r="J12" s="715" t="s">
        <v>42</v>
      </c>
      <c r="K12" s="715"/>
      <c r="L12" s="225" t="s">
        <v>38</v>
      </c>
      <c r="M12" s="226" t="s">
        <v>39</v>
      </c>
      <c r="N12" s="366"/>
      <c r="O12" s="225" t="s">
        <v>42</v>
      </c>
      <c r="P12" s="66" t="s">
        <v>38</v>
      </c>
      <c r="Q12" s="43" t="s">
        <v>39</v>
      </c>
      <c r="R12" s="40"/>
      <c r="S12" s="40"/>
      <c r="T12" s="107" t="s">
        <v>41</v>
      </c>
      <c r="U12" s="66" t="s">
        <v>38</v>
      </c>
      <c r="V12" s="43" t="s">
        <v>39</v>
      </c>
      <c r="W12" s="23"/>
      <c r="X12" s="23" t="s">
        <v>41</v>
      </c>
      <c r="Y12" s="197" t="s">
        <v>38</v>
      </c>
      <c r="Z12" s="43" t="s">
        <v>39</v>
      </c>
      <c r="AA12" s="198" t="s">
        <v>36</v>
      </c>
      <c r="AB12" s="66" t="s">
        <v>34</v>
      </c>
      <c r="AC12" s="66" t="s">
        <v>42</v>
      </c>
      <c r="AD12" s="23" t="s">
        <v>38</v>
      </c>
      <c r="AE12" s="40" t="s">
        <v>39</v>
      </c>
      <c r="AF12" s="198" t="s">
        <v>36</v>
      </c>
      <c r="AG12" s="209" t="s">
        <v>40</v>
      </c>
      <c r="AH12" s="66" t="s">
        <v>42</v>
      </c>
      <c r="AI12" s="225" t="s">
        <v>38</v>
      </c>
      <c r="AJ12" s="226" t="s">
        <v>39</v>
      </c>
      <c r="AK12" s="366" t="s">
        <v>36</v>
      </c>
      <c r="AL12" s="366" t="s">
        <v>40</v>
      </c>
      <c r="AM12" s="366" t="s">
        <v>42</v>
      </c>
      <c r="AN12" s="66" t="s">
        <v>38</v>
      </c>
      <c r="AO12" s="42" t="s">
        <v>39</v>
      </c>
      <c r="AP12" s="23" t="s">
        <v>167</v>
      </c>
      <c r="AQ12" s="533" t="s">
        <v>168</v>
      </c>
      <c r="AR12" s="533" t="s">
        <v>125</v>
      </c>
      <c r="AS12" s="533" t="s">
        <v>168</v>
      </c>
      <c r="AT12" s="41" t="s">
        <v>41</v>
      </c>
      <c r="AU12" s="23" t="s">
        <v>38</v>
      </c>
      <c r="AV12" s="40" t="s">
        <v>39</v>
      </c>
      <c r="AW12" s="198" t="s">
        <v>36</v>
      </c>
      <c r="AX12" s="209" t="s">
        <v>40</v>
      </c>
      <c r="AY12" s="66" t="s">
        <v>42</v>
      </c>
      <c r="AZ12" s="23" t="s">
        <v>38</v>
      </c>
      <c r="BA12" s="43" t="s">
        <v>39</v>
      </c>
      <c r="BB12" s="41" t="s">
        <v>17</v>
      </c>
      <c r="BC12" s="41"/>
      <c r="BD12" s="23" t="s">
        <v>41</v>
      </c>
      <c r="BE12" s="23"/>
      <c r="BF12" s="43"/>
      <c r="BG12" s="41"/>
      <c r="BH12" s="23" t="s">
        <v>41</v>
      </c>
      <c r="BI12" s="225" t="s">
        <v>38</v>
      </c>
      <c r="BJ12" s="226" t="s">
        <v>39</v>
      </c>
      <c r="BK12" s="225" t="s">
        <v>43</v>
      </c>
      <c r="BL12" s="225" t="s">
        <v>40</v>
      </c>
      <c r="BM12" s="225" t="s">
        <v>42</v>
      </c>
      <c r="BN12" s="23" t="s">
        <v>38</v>
      </c>
      <c r="BO12" s="40" t="s">
        <v>39</v>
      </c>
      <c r="BP12" s="23"/>
      <c r="BQ12" s="23"/>
      <c r="BR12" s="23" t="s">
        <v>42</v>
      </c>
      <c r="BS12" s="23" t="s">
        <v>38</v>
      </c>
      <c r="BT12" s="42" t="s">
        <v>39</v>
      </c>
      <c r="BU12" s="43"/>
      <c r="BV12" s="23" t="s">
        <v>41</v>
      </c>
      <c r="BW12" s="23"/>
      <c r="BX12" s="23"/>
      <c r="BY12" s="23"/>
      <c r="BZ12" s="23" t="s">
        <v>41</v>
      </c>
      <c r="CA12" s="23" t="s">
        <v>38</v>
      </c>
      <c r="CB12" s="42" t="s">
        <v>39</v>
      </c>
      <c r="CC12" s="79" t="s">
        <v>36</v>
      </c>
      <c r="CD12" s="79" t="s">
        <v>40</v>
      </c>
      <c r="CE12" s="79" t="s">
        <v>42</v>
      </c>
      <c r="CF12" s="23" t="s">
        <v>38</v>
      </c>
      <c r="CG12" s="42" t="s">
        <v>39</v>
      </c>
      <c r="CH12" s="79" t="s">
        <v>36</v>
      </c>
      <c r="CI12" s="79" t="s">
        <v>40</v>
      </c>
      <c r="CJ12" s="79" t="s">
        <v>42</v>
      </c>
      <c r="CK12" s="66" t="s">
        <v>38</v>
      </c>
      <c r="CL12" s="40" t="s">
        <v>39</v>
      </c>
      <c r="CM12" s="40"/>
      <c r="CN12" s="40"/>
      <c r="CO12" s="23" t="s">
        <v>43</v>
      </c>
      <c r="CP12" s="23" t="s">
        <v>44</v>
      </c>
      <c r="CQ12" s="23" t="s">
        <v>42</v>
      </c>
      <c r="CR12" s="23" t="s">
        <v>38</v>
      </c>
      <c r="CS12" s="40" t="s">
        <v>39</v>
      </c>
      <c r="CT12" s="23"/>
      <c r="CU12" s="23"/>
      <c r="CV12" s="66" t="s">
        <v>41</v>
      </c>
      <c r="CW12" s="23" t="s">
        <v>38</v>
      </c>
      <c r="CX12" s="40" t="s">
        <v>39</v>
      </c>
      <c r="CY12" s="23"/>
      <c r="CZ12" s="79" t="s">
        <v>41</v>
      </c>
      <c r="DA12" s="23" t="s">
        <v>38</v>
      </c>
      <c r="DB12" s="23" t="s">
        <v>39</v>
      </c>
      <c r="DC12" s="23" t="s">
        <v>43</v>
      </c>
      <c r="DD12" s="23" t="s">
        <v>40</v>
      </c>
      <c r="DE12" s="66" t="s">
        <v>42</v>
      </c>
      <c r="DQ12" s="34"/>
      <c r="FI12" s="3"/>
    </row>
    <row r="13" spans="1:100" ht="14.25" customHeight="1">
      <c r="A13" s="12"/>
      <c r="B13" s="72"/>
      <c r="C13" s="72"/>
      <c r="D13" s="2"/>
      <c r="H13" s="377"/>
      <c r="I13" s="377"/>
      <c r="J13" s="275"/>
      <c r="K13" s="275"/>
      <c r="L13" s="262"/>
      <c r="M13" s="169"/>
      <c r="N13" s="169"/>
      <c r="O13" s="239"/>
      <c r="S13" s="36"/>
      <c r="T13" s="70"/>
      <c r="U13" s="12"/>
      <c r="V13" s="585"/>
      <c r="W13" s="586"/>
      <c r="X13" s="74"/>
      <c r="AI13" s="217"/>
      <c r="AJ13" s="217"/>
      <c r="AK13" s="217"/>
      <c r="AL13" s="217"/>
      <c r="AM13" s="217"/>
      <c r="BI13" s="227"/>
      <c r="BJ13" s="213"/>
      <c r="BK13" s="213"/>
      <c r="BL13" s="213"/>
      <c r="BM13" s="213"/>
      <c r="BR13" s="12"/>
      <c r="BS13" s="3"/>
      <c r="BT13" s="3"/>
      <c r="BU13" s="3"/>
      <c r="BV13" s="3"/>
      <c r="CK13" s="12"/>
      <c r="CL13" s="13"/>
      <c r="CM13" s="13"/>
      <c r="CN13" s="13"/>
      <c r="CR13" s="5"/>
      <c r="CS13" s="5"/>
      <c r="CT13" s="5"/>
      <c r="CU13" s="5"/>
      <c r="CV13" s="5"/>
    </row>
    <row r="14" spans="1:121" ht="14.25" customHeight="1" thickBot="1">
      <c r="A14" s="12">
        <v>1</v>
      </c>
      <c r="B14" s="361" t="s">
        <v>219</v>
      </c>
      <c r="C14" s="213"/>
      <c r="D14" s="213"/>
      <c r="E14" s="217"/>
      <c r="G14" s="12">
        <v>1</v>
      </c>
      <c r="H14" s="217" t="s">
        <v>240</v>
      </c>
      <c r="I14" s="217"/>
      <c r="J14" s="217"/>
      <c r="K14" s="217"/>
      <c r="L14" s="67">
        <v>1</v>
      </c>
      <c r="M14" s="384" t="s">
        <v>256</v>
      </c>
      <c r="N14" s="54"/>
      <c r="O14" s="54"/>
      <c r="P14" s="12">
        <v>1</v>
      </c>
      <c r="Q14" s="954" t="s">
        <v>455</v>
      </c>
      <c r="R14" s="110"/>
      <c r="S14" s="399"/>
      <c r="T14" s="8">
        <v>-4693113.005099982</v>
      </c>
      <c r="U14" s="12">
        <v>1</v>
      </c>
      <c r="V14" s="199" t="s">
        <v>103</v>
      </c>
      <c r="W14" s="730">
        <f>'MJS-11'!G49-W29</f>
        <v>1657792776.5082355</v>
      </c>
      <c r="X14" s="74">
        <f>IF(W14='MJS-11'!AI49,"","NEEDS UPDATING")</f>
      </c>
      <c r="Y14" s="67">
        <v>1</v>
      </c>
      <c r="Z14" s="438" t="s">
        <v>61</v>
      </c>
      <c r="AA14" s="437"/>
      <c r="AB14" s="189"/>
      <c r="AC14" s="189"/>
      <c r="AD14" s="12">
        <v>1</v>
      </c>
      <c r="AE14" s="422" t="s">
        <v>406</v>
      </c>
      <c r="AI14" s="12">
        <v>1</v>
      </c>
      <c r="AJ14" s="423" t="s">
        <v>512</v>
      </c>
      <c r="AK14" s="368">
        <v>111906.9486</v>
      </c>
      <c r="AL14" s="368">
        <v>70635.64953333333</v>
      </c>
      <c r="AM14" s="368">
        <f>AL14-AK14</f>
        <v>-41271.299066666674</v>
      </c>
      <c r="AN14" s="44" t="s">
        <v>58</v>
      </c>
      <c r="AO14" s="3" t="s">
        <v>274</v>
      </c>
      <c r="AP14" s="12" t="s">
        <v>485</v>
      </c>
      <c r="AQ14" s="12" t="s">
        <v>484</v>
      </c>
      <c r="AR14" s="12" t="s">
        <v>484</v>
      </c>
      <c r="AS14" s="12" t="s">
        <v>484</v>
      </c>
      <c r="AU14" s="12">
        <v>1</v>
      </c>
      <c r="AV14" s="97" t="s">
        <v>65</v>
      </c>
      <c r="AW14" s="387"/>
      <c r="AX14" s="387"/>
      <c r="AZ14" s="12">
        <v>1</v>
      </c>
      <c r="BA14" s="110" t="s">
        <v>20</v>
      </c>
      <c r="BC14" s="8"/>
      <c r="BD14" s="8">
        <v>16941715</v>
      </c>
      <c r="BE14" s="12">
        <v>1</v>
      </c>
      <c r="BF14" s="3" t="s">
        <v>475</v>
      </c>
      <c r="BH14" s="24">
        <v>38731992</v>
      </c>
      <c r="BI14" s="12">
        <v>1</v>
      </c>
      <c r="BJ14" s="213" t="s">
        <v>517</v>
      </c>
      <c r="BK14" s="556">
        <v>224469.67463476537</v>
      </c>
      <c r="BL14" s="556">
        <v>188505.835074288</v>
      </c>
      <c r="BM14" s="228">
        <f>+BL14-BK14</f>
        <v>-35963.839560477354</v>
      </c>
      <c r="BN14" s="12">
        <v>1</v>
      </c>
      <c r="BO14" s="2" t="s">
        <v>510</v>
      </c>
      <c r="BP14" s="173"/>
      <c r="BR14" s="173">
        <v>21705.010132</v>
      </c>
      <c r="BS14" s="44">
        <v>1</v>
      </c>
      <c r="BT14" s="13" t="s">
        <v>176</v>
      </c>
      <c r="BU14" s="235"/>
      <c r="BV14" s="117"/>
      <c r="BW14" s="215">
        <v>1</v>
      </c>
      <c r="BX14" s="217" t="s">
        <v>481</v>
      </c>
      <c r="BY14" s="217"/>
      <c r="BZ14" s="54">
        <v>-185547.28999999948</v>
      </c>
      <c r="CA14" s="12">
        <v>1</v>
      </c>
      <c r="CB14" s="3" t="s">
        <v>129</v>
      </c>
      <c r="CC14" s="8">
        <v>617988.794892</v>
      </c>
      <c r="CD14" s="8">
        <v>684758.8273359999</v>
      </c>
      <c r="CE14" s="8">
        <f>+CD14-CC14</f>
        <v>66770.0324439999</v>
      </c>
      <c r="CF14" s="12">
        <v>1</v>
      </c>
      <c r="CG14" s="33" t="s">
        <v>104</v>
      </c>
      <c r="CH14" s="8">
        <v>1592583.32621752</v>
      </c>
      <c r="CI14" s="8">
        <v>2717147.034</v>
      </c>
      <c r="CJ14" s="8">
        <f>+CI14-CH14</f>
        <v>1124563.70778248</v>
      </c>
      <c r="CK14" s="12">
        <v>1</v>
      </c>
      <c r="CL14" s="3" t="s">
        <v>108</v>
      </c>
      <c r="CO14" s="74"/>
      <c r="CP14" s="75"/>
      <c r="CQ14" s="74"/>
      <c r="CR14" s="12">
        <v>1</v>
      </c>
      <c r="CS14" s="448" t="s">
        <v>358</v>
      </c>
      <c r="CT14" s="263"/>
      <c r="CU14" s="263"/>
      <c r="CV14" s="264"/>
      <c r="CW14" s="12">
        <v>1</v>
      </c>
      <c r="CX14" s="69" t="s">
        <v>107</v>
      </c>
      <c r="CY14" s="21"/>
      <c r="CZ14" s="21"/>
      <c r="DA14" s="12">
        <v>1</v>
      </c>
      <c r="DB14" s="872" t="s">
        <v>555</v>
      </c>
      <c r="DC14" s="721">
        <v>78846955</v>
      </c>
      <c r="DD14" s="871">
        <v>78334207.04607841</v>
      </c>
      <c r="DE14" s="871">
        <f>DD14-DC14</f>
        <v>-512747.9539215863</v>
      </c>
      <c r="DQ14" s="373"/>
    </row>
    <row r="15" spans="1:121" ht="14.25" thickTop="1">
      <c r="A15" s="12">
        <f>+A14+1</f>
        <v>2</v>
      </c>
      <c r="B15" s="217"/>
      <c r="C15" s="351" t="s">
        <v>36</v>
      </c>
      <c r="D15" s="352" t="s">
        <v>220</v>
      </c>
      <c r="E15" s="353" t="s">
        <v>229</v>
      </c>
      <c r="G15" s="12">
        <f aca="true" t="shared" si="0" ref="G15:G68">G14+1</f>
        <v>2</v>
      </c>
      <c r="H15" s="378" t="s">
        <v>430</v>
      </c>
      <c r="I15" s="258"/>
      <c r="J15" s="728">
        <v>3271184.785153294</v>
      </c>
      <c r="K15" s="217"/>
      <c r="L15" s="383">
        <f>L14+1</f>
        <v>2</v>
      </c>
      <c r="M15" s="213" t="s">
        <v>261</v>
      </c>
      <c r="N15" s="18"/>
      <c r="O15" s="30">
        <v>3488171</v>
      </c>
      <c r="P15" s="12">
        <f>P14+1</f>
        <v>2</v>
      </c>
      <c r="Q15" s="13"/>
      <c r="R15" s="13"/>
      <c r="S15" s="13"/>
      <c r="T15" s="113"/>
      <c r="U15" s="12">
        <f>+U14+1</f>
        <v>2</v>
      </c>
      <c r="V15" s="199" t="s">
        <v>17</v>
      </c>
      <c r="W15" s="909" t="s">
        <v>17</v>
      </c>
      <c r="X15" s="74"/>
      <c r="Y15" s="67">
        <f>Y14+1</f>
        <v>2</v>
      </c>
      <c r="Z15" s="663" t="s">
        <v>500</v>
      </c>
      <c r="AA15" s="665"/>
      <c r="AB15" s="665"/>
      <c r="AC15" s="665"/>
      <c r="AD15" s="12">
        <v>2</v>
      </c>
      <c r="AE15" s="380" t="s">
        <v>276</v>
      </c>
      <c r="AF15" s="695">
        <v>6052437.762914</v>
      </c>
      <c r="AG15" s="695">
        <v>5460131.548188928</v>
      </c>
      <c r="AH15" s="696">
        <f>AG15-AF15</f>
        <v>-592306.2147250725</v>
      </c>
      <c r="AI15" s="12">
        <f aca="true" t="shared" si="1" ref="AI15:AI28">AI14+1</f>
        <v>2</v>
      </c>
      <c r="AJ15" s="423" t="s">
        <v>513</v>
      </c>
      <c r="AK15" s="368">
        <v>524688.345832</v>
      </c>
      <c r="AL15" s="368">
        <v>649512.4631780008</v>
      </c>
      <c r="AM15" s="368">
        <f>AL15-AK15</f>
        <v>124824.11734600074</v>
      </c>
      <c r="AN15" s="44">
        <f aca="true" t="shared" si="2" ref="AN15:AN29">1+AN14</f>
        <v>2</v>
      </c>
      <c r="AO15" s="415">
        <v>2007</v>
      </c>
      <c r="AP15" s="30">
        <v>3389028.06</v>
      </c>
      <c r="AQ15" s="30">
        <v>1224844682</v>
      </c>
      <c r="AR15" s="30">
        <v>17471949</v>
      </c>
      <c r="AS15" s="184">
        <f>AQ15-AR15</f>
        <v>1207372733</v>
      </c>
      <c r="AT15" s="420">
        <f>ROUND(AP15/AS15,6)</f>
        <v>0.002807</v>
      </c>
      <c r="AU15" s="12">
        <f aca="true" t="shared" si="3" ref="AU15:AU32">AU14+1</f>
        <v>2</v>
      </c>
      <c r="AV15" s="191" t="s">
        <v>110</v>
      </c>
      <c r="AW15" s="387">
        <v>8772.533937441272</v>
      </c>
      <c r="AX15" s="387">
        <v>7783.438299645051</v>
      </c>
      <c r="AY15" s="387">
        <f aca="true" t="shared" si="4" ref="AY15:AY22">AX15-AW15</f>
        <v>-989.0956377962211</v>
      </c>
      <c r="AZ15" s="12">
        <f>AZ14+1</f>
        <v>2</v>
      </c>
      <c r="BA15" s="13" t="s">
        <v>60</v>
      </c>
      <c r="BD15" s="701">
        <v>14375106.24</v>
      </c>
      <c r="BE15" s="12">
        <f aca="true" t="shared" si="5" ref="BE15:BE26">BE14+1</f>
        <v>2</v>
      </c>
      <c r="BF15" s="3" t="s">
        <v>476</v>
      </c>
      <c r="BH15" s="702">
        <v>38656212.872784995</v>
      </c>
      <c r="BI15" s="12">
        <f aca="true" t="shared" si="6" ref="BI15:BI21">BI14+1</f>
        <v>2</v>
      </c>
      <c r="BJ15" s="213"/>
      <c r="BK15" s="229"/>
      <c r="BL15" s="229"/>
      <c r="BM15" s="229"/>
      <c r="BN15" s="12">
        <f>BN14+1</f>
        <v>2</v>
      </c>
      <c r="BO15" s="2"/>
      <c r="BP15" s="174"/>
      <c r="BR15" s="212"/>
      <c r="BS15" s="44">
        <f aca="true" t="shared" si="7" ref="BS15:BS27">+BS14+1</f>
        <v>2</v>
      </c>
      <c r="BT15" s="13"/>
      <c r="BU15" s="235"/>
      <c r="BV15" s="117"/>
      <c r="BW15" s="215">
        <f>BW14+1</f>
        <v>2</v>
      </c>
      <c r="BX15" s="217" t="s">
        <v>482</v>
      </c>
      <c r="BY15" s="217"/>
      <c r="BZ15" s="691">
        <v>49436.47000000006</v>
      </c>
      <c r="CA15" s="12">
        <f aca="true" t="shared" si="8" ref="CA15:CA20">CA14+1</f>
        <v>2</v>
      </c>
      <c r="CB15" s="3" t="s">
        <v>130</v>
      </c>
      <c r="CC15" s="691">
        <v>1094950.725447226</v>
      </c>
      <c r="CD15" s="691">
        <v>973177.9664317003</v>
      </c>
      <c r="CE15" s="96">
        <f>+CD15-CC15</f>
        <v>-121772.75901552581</v>
      </c>
      <c r="CF15" s="12">
        <v>2</v>
      </c>
      <c r="CG15" s="13" t="s">
        <v>154</v>
      </c>
      <c r="CH15" s="8">
        <v>227966.488171156</v>
      </c>
      <c r="CI15" s="8">
        <v>0</v>
      </c>
      <c r="CJ15" s="8">
        <f>+CI15-CH15</f>
        <v>-227966.488171156</v>
      </c>
      <c r="CK15" s="12">
        <f aca="true" t="shared" si="9" ref="CK15:CK26">CK14+1</f>
        <v>2</v>
      </c>
      <c r="CL15" s="13" t="s">
        <v>110</v>
      </c>
      <c r="CM15" s="13"/>
      <c r="CN15" s="13"/>
      <c r="CO15" s="531">
        <v>136391</v>
      </c>
      <c r="CP15" s="915">
        <v>139942.0013819647</v>
      </c>
      <c r="CQ15" s="917">
        <f>CP15-CO15</f>
        <v>3551.001381964714</v>
      </c>
      <c r="CR15" s="12">
        <f aca="true" t="shared" si="10" ref="CR15:CR41">CR14+1</f>
        <v>2</v>
      </c>
      <c r="CS15" s="213" t="s">
        <v>113</v>
      </c>
      <c r="CT15" s="262"/>
      <c r="CU15" s="667">
        <v>2621976.368942</v>
      </c>
      <c r="CW15" s="12">
        <f>CW14+1</f>
        <v>2</v>
      </c>
      <c r="CX15" s="3" t="s">
        <v>486</v>
      </c>
      <c r="CY15" s="21"/>
      <c r="CZ15" s="737">
        <v>6138648.4992</v>
      </c>
      <c r="DA15" s="12"/>
      <c r="DC15" s="177"/>
      <c r="DD15" s="177"/>
      <c r="DE15" s="177"/>
      <c r="DQ15" s="372"/>
    </row>
    <row r="16" spans="1:121" ht="14.25" thickBot="1">
      <c r="A16" s="12">
        <f aca="true" t="shared" si="11" ref="A16:A56">+A15+1</f>
        <v>3</v>
      </c>
      <c r="B16" s="217"/>
      <c r="C16" s="360" t="s">
        <v>229</v>
      </c>
      <c r="D16" s="354" t="s">
        <v>229</v>
      </c>
      <c r="E16" s="355" t="s">
        <v>221</v>
      </c>
      <c r="G16" s="12">
        <f t="shared" si="0"/>
        <v>3</v>
      </c>
      <c r="H16" s="378" t="s">
        <v>505</v>
      </c>
      <c r="I16" s="258"/>
      <c r="J16" s="728">
        <v>17985993.13153869</v>
      </c>
      <c r="K16" s="217"/>
      <c r="L16" s="383">
        <f aca="true" t="shared" si="12" ref="L16:L38">L15+1</f>
        <v>3</v>
      </c>
      <c r="M16" s="213" t="s">
        <v>262</v>
      </c>
      <c r="N16" s="18"/>
      <c r="O16" s="24">
        <v>15438475</v>
      </c>
      <c r="P16" s="12">
        <f aca="true" t="shared" si="13" ref="P16:P21">P15+1</f>
        <v>3</v>
      </c>
      <c r="Q16" s="13" t="s">
        <v>64</v>
      </c>
      <c r="R16" s="16"/>
      <c r="S16" s="16"/>
      <c r="T16" s="687"/>
      <c r="U16" s="12">
        <f aca="true" t="shared" si="14" ref="U16:U24">+U15+1</f>
        <v>3</v>
      </c>
      <c r="V16" s="3" t="s">
        <v>192</v>
      </c>
      <c r="W16" s="730">
        <f>SUM(W14:W15)</f>
        <v>1657792776.5082355</v>
      </c>
      <c r="X16" s="74"/>
      <c r="Y16" s="67">
        <f>Y15+1</f>
        <v>3</v>
      </c>
      <c r="Z16" s="663" t="s">
        <v>501</v>
      </c>
      <c r="AA16" s="692">
        <v>72884.58478527999</v>
      </c>
      <c r="AB16" s="692">
        <v>0</v>
      </c>
      <c r="AC16" s="692">
        <f aca="true" t="shared" si="15" ref="AC16:AC22">AB16-AA16</f>
        <v>-72884.58478527999</v>
      </c>
      <c r="AD16" s="12">
        <v>3</v>
      </c>
      <c r="AE16" s="380" t="s">
        <v>62</v>
      </c>
      <c r="AF16" s="30">
        <f>AF15</f>
        <v>6052437.762914</v>
      </c>
      <c r="AG16" s="30">
        <f>AG15</f>
        <v>5460131.548188928</v>
      </c>
      <c r="AH16" s="697">
        <f>AG16-AF16</f>
        <v>-592306.2147250725</v>
      </c>
      <c r="AI16" s="12">
        <f t="shared" si="1"/>
        <v>3</v>
      </c>
      <c r="AJ16" s="217"/>
      <c r="AK16" s="699"/>
      <c r="AL16" s="699"/>
      <c r="AM16" s="699"/>
      <c r="AN16" s="44">
        <f t="shared" si="2"/>
        <v>3</v>
      </c>
      <c r="AO16" s="416">
        <v>2008</v>
      </c>
      <c r="AP16" s="30">
        <v>3664591.5999999996</v>
      </c>
      <c r="AQ16" s="30">
        <v>1193302341</v>
      </c>
      <c r="AR16" s="30">
        <v>17237406</v>
      </c>
      <c r="AS16" s="184">
        <f>AQ16-AR16</f>
        <v>1176064935</v>
      </c>
      <c r="AT16" s="420">
        <f>ROUND(AP16/AS16,6)</f>
        <v>0.003116</v>
      </c>
      <c r="AU16" s="12">
        <f t="shared" si="3"/>
        <v>3</v>
      </c>
      <c r="AV16" s="191" t="s">
        <v>111</v>
      </c>
      <c r="AW16" s="387">
        <v>29147.45146956294</v>
      </c>
      <c r="AX16" s="387">
        <v>25382.932544065392</v>
      </c>
      <c r="AY16" s="387">
        <f t="shared" si="4"/>
        <v>-3764.5189254975485</v>
      </c>
      <c r="AZ16" s="12">
        <f>AZ15+1</f>
        <v>3</v>
      </c>
      <c r="BA16" s="13" t="s">
        <v>63</v>
      </c>
      <c r="BD16" s="8">
        <f>-(BD15-BD14)</f>
        <v>2566608.76</v>
      </c>
      <c r="BE16" s="12">
        <f t="shared" si="5"/>
        <v>3</v>
      </c>
      <c r="BF16" s="3" t="s">
        <v>477</v>
      </c>
      <c r="BH16" s="24">
        <f>(BH14-BH15)</f>
        <v>75779.12721500546</v>
      </c>
      <c r="BI16" s="12">
        <f t="shared" si="6"/>
        <v>3</v>
      </c>
      <c r="BJ16" s="213" t="s">
        <v>172</v>
      </c>
      <c r="BK16" s="230"/>
      <c r="BL16" s="230"/>
      <c r="BM16" s="451">
        <f>SUM(BM14:BM15)</f>
        <v>-35963.839560477354</v>
      </c>
      <c r="BN16" s="12">
        <f>+BN15+1</f>
        <v>3</v>
      </c>
      <c r="BO16" s="2" t="s">
        <v>75</v>
      </c>
      <c r="BP16" s="2"/>
      <c r="BR16" s="676">
        <f>-BR14</f>
        <v>-21705.010132</v>
      </c>
      <c r="BS16" s="44">
        <f t="shared" si="7"/>
        <v>3</v>
      </c>
      <c r="BT16" s="13" t="s">
        <v>447</v>
      </c>
      <c r="BU16" s="278">
        <v>982000</v>
      </c>
      <c r="BV16" s="26"/>
      <c r="BW16" s="215">
        <f aca="true" t="shared" si="16" ref="BW16:BW23">BW15+1</f>
        <v>3</v>
      </c>
      <c r="BX16" s="217" t="s">
        <v>483</v>
      </c>
      <c r="BY16" s="217"/>
      <c r="BZ16" s="685">
        <f>SUM(BZ14:BZ15)</f>
        <v>-136110.81999999942</v>
      </c>
      <c r="CA16" s="12">
        <f t="shared" si="8"/>
        <v>3</v>
      </c>
      <c r="CB16" s="13" t="s">
        <v>63</v>
      </c>
      <c r="CC16" s="49">
        <f>SUM(CC14:CC15)</f>
        <v>1712939.5203392261</v>
      </c>
      <c r="CD16" s="49">
        <f>CC16+CE16</f>
        <v>1657936.7937677002</v>
      </c>
      <c r="CE16" s="49">
        <f>SUM(CE14:CE15)</f>
        <v>-55002.72657152591</v>
      </c>
      <c r="CF16" s="12">
        <v>3</v>
      </c>
      <c r="CH16" s="540"/>
      <c r="CI16" s="540"/>
      <c r="CJ16" s="541"/>
      <c r="CK16" s="12">
        <f t="shared" si="9"/>
        <v>3</v>
      </c>
      <c r="CL16" s="13" t="s">
        <v>111</v>
      </c>
      <c r="CM16" s="13"/>
      <c r="CN16" s="13"/>
      <c r="CO16" s="531">
        <v>446961</v>
      </c>
      <c r="CP16" s="915">
        <v>459248</v>
      </c>
      <c r="CQ16" s="917">
        <f aca="true" t="shared" si="17" ref="CQ16:CQ23">CP16-CO16</f>
        <v>12287</v>
      </c>
      <c r="CR16" s="12">
        <f t="shared" si="10"/>
        <v>3</v>
      </c>
      <c r="CS16" s="263" t="s">
        <v>72</v>
      </c>
      <c r="CT16" s="246">
        <v>0.0297</v>
      </c>
      <c r="CU16" s="704">
        <f>+CU15*CT16</f>
        <v>77872.6981575774</v>
      </c>
      <c r="CV16" s="667"/>
      <c r="CW16" s="12">
        <f aca="true" t="shared" si="18" ref="CW16:CW25">CW15+1</f>
        <v>3</v>
      </c>
      <c r="CX16" s="3" t="s">
        <v>487</v>
      </c>
      <c r="CY16" s="21"/>
      <c r="CZ16" s="927">
        <v>4713746.3184</v>
      </c>
      <c r="DA16" s="12"/>
      <c r="DC16" s="177"/>
      <c r="DD16" s="177"/>
      <c r="DE16" s="177"/>
      <c r="DQ16" s="372"/>
    </row>
    <row r="17" spans="1:121" ht="14.25" thickTop="1">
      <c r="A17" s="12">
        <f t="shared" si="11"/>
        <v>4</v>
      </c>
      <c r="B17" s="613">
        <v>40209</v>
      </c>
      <c r="C17" s="614">
        <v>128745037</v>
      </c>
      <c r="D17" s="614">
        <v>151950258</v>
      </c>
      <c r="E17" s="178">
        <f aca="true" t="shared" si="19" ref="E17:E28">+D17-C17</f>
        <v>23205221</v>
      </c>
      <c r="G17" s="12">
        <f t="shared" si="0"/>
        <v>4</v>
      </c>
      <c r="H17" s="367" t="s">
        <v>248</v>
      </c>
      <c r="I17" s="217"/>
      <c r="J17" s="173"/>
      <c r="K17" s="217"/>
      <c r="L17" s="383">
        <f t="shared" si="12"/>
        <v>4</v>
      </c>
      <c r="M17" s="213" t="s">
        <v>263</v>
      </c>
      <c r="N17" s="122"/>
      <c r="O17" s="686">
        <v>-61289793</v>
      </c>
      <c r="P17" s="12">
        <f t="shared" si="13"/>
        <v>4</v>
      </c>
      <c r="Q17" s="13" t="s">
        <v>66</v>
      </c>
      <c r="R17" s="120">
        <f>_FEDERAL_INCOME_TAX</f>
        <v>0.35</v>
      </c>
      <c r="S17" s="13"/>
      <c r="T17" s="688">
        <v>-1642589.5517849936</v>
      </c>
      <c r="U17" s="12">
        <f t="shared" si="14"/>
        <v>4</v>
      </c>
      <c r="X17" s="74">
        <f>IF(W17='MJS-11'!AI52,"","NEEDS UPDATING")</f>
      </c>
      <c r="Y17" s="67">
        <f aca="true" t="shared" si="20" ref="Y17:Y26">Y16+1</f>
        <v>4</v>
      </c>
      <c r="Z17" s="663" t="s">
        <v>502</v>
      </c>
      <c r="AA17" s="692">
        <v>17150.216675679996</v>
      </c>
      <c r="AB17" s="692">
        <v>0</v>
      </c>
      <c r="AC17" s="692">
        <f t="shared" si="15"/>
        <v>-17150.216675679996</v>
      </c>
      <c r="AD17" s="12">
        <v>4</v>
      </c>
      <c r="AE17" s="380"/>
      <c r="AI17" s="12">
        <f t="shared" si="1"/>
        <v>4</v>
      </c>
      <c r="AJ17" s="423" t="s">
        <v>425</v>
      </c>
      <c r="AK17" s="368">
        <f>SUM(AK14:AK16)</f>
        <v>636595.294432</v>
      </c>
      <c r="AL17" s="368">
        <f>SUM(AL14:AL16)</f>
        <v>720148.1127113341</v>
      </c>
      <c r="AM17" s="368">
        <f>SUM(AM14:AM16)</f>
        <v>83552.81827933407</v>
      </c>
      <c r="AN17" s="44">
        <f t="shared" si="2"/>
        <v>4</v>
      </c>
      <c r="AO17" s="191">
        <v>2009</v>
      </c>
      <c r="AP17" s="30">
        <v>5677035.86</v>
      </c>
      <c r="AQ17" s="30">
        <v>1279928250.71</v>
      </c>
      <c r="AR17" s="30">
        <v>19180942.88</v>
      </c>
      <c r="AS17" s="184">
        <f>AQ17-AR17</f>
        <v>1260747307.83</v>
      </c>
      <c r="AT17" s="421">
        <f>ROUND(AP17/AS17,6)</f>
        <v>0.004503</v>
      </c>
      <c r="AU17" s="12">
        <f t="shared" si="3"/>
        <v>4</v>
      </c>
      <c r="AV17" s="191" t="s">
        <v>112</v>
      </c>
      <c r="AW17" s="387">
        <v>40466.850098519426</v>
      </c>
      <c r="AX17" s="387">
        <v>35422.08066940375</v>
      </c>
      <c r="AY17" s="387">
        <f t="shared" si="4"/>
        <v>-5044.769429115673</v>
      </c>
      <c r="AZ17" s="12">
        <f>AZ16+1</f>
        <v>4</v>
      </c>
      <c r="BB17" s="25"/>
      <c r="BC17" s="25"/>
      <c r="BD17" s="25"/>
      <c r="BE17" s="12">
        <f t="shared" si="5"/>
        <v>4</v>
      </c>
      <c r="BI17" s="12">
        <f t="shared" si="6"/>
        <v>4</v>
      </c>
      <c r="BJ17" s="213"/>
      <c r="BK17" s="231"/>
      <c r="BL17" s="231"/>
      <c r="BM17" s="231"/>
      <c r="BN17" s="12"/>
      <c r="BO17" s="22"/>
      <c r="BP17" s="22"/>
      <c r="BQ17" s="2"/>
      <c r="BR17" s="22"/>
      <c r="BS17" s="44">
        <f t="shared" si="7"/>
        <v>4</v>
      </c>
      <c r="BT17" s="13"/>
      <c r="BU17" s="235"/>
      <c r="BV17" s="117"/>
      <c r="BW17" s="215">
        <f t="shared" si="16"/>
        <v>4</v>
      </c>
      <c r="BX17" s="217"/>
      <c r="BY17" s="217"/>
      <c r="BZ17" s="685"/>
      <c r="CA17" s="12">
        <f t="shared" si="8"/>
        <v>4</v>
      </c>
      <c r="CB17" s="13"/>
      <c r="CE17" s="51"/>
      <c r="CF17" s="12">
        <v>4</v>
      </c>
      <c r="CG17" s="13" t="s">
        <v>63</v>
      </c>
      <c r="CH17" s="57">
        <f>SUM(CH14:CH16)</f>
        <v>1820549.814388676</v>
      </c>
      <c r="CI17" s="57">
        <f>SUM(CI14:CI16)</f>
        <v>2717147.034</v>
      </c>
      <c r="CJ17" s="57">
        <f>SUM(CJ14:CJ16)</f>
        <v>896597.2196113239</v>
      </c>
      <c r="CK17" s="12">
        <f t="shared" si="9"/>
        <v>4</v>
      </c>
      <c r="CL17" s="13" t="s">
        <v>112</v>
      </c>
      <c r="CM17" s="13"/>
      <c r="CN17" s="13"/>
      <c r="CO17" s="531">
        <v>620564</v>
      </c>
      <c r="CP17" s="915">
        <v>636635</v>
      </c>
      <c r="CQ17" s="917">
        <f t="shared" si="17"/>
        <v>16071</v>
      </c>
      <c r="CR17" s="12">
        <f t="shared" si="10"/>
        <v>4</v>
      </c>
      <c r="CS17" s="238" t="s">
        <v>114</v>
      </c>
      <c r="CT17" s="262"/>
      <c r="CU17" s="667"/>
      <c r="CV17" s="667">
        <f>SUM(CU15:CU16)</f>
        <v>2699849.0670995773</v>
      </c>
      <c r="CW17" s="12">
        <f t="shared" si="18"/>
        <v>4</v>
      </c>
      <c r="CX17" s="3" t="s">
        <v>424</v>
      </c>
      <c r="CY17" s="15"/>
      <c r="CZ17" s="928">
        <f>SUM(CZ15:CZ16)</f>
        <v>10852394.8176</v>
      </c>
      <c r="DA17" s="12"/>
      <c r="DC17" s="177"/>
      <c r="DD17" s="177"/>
      <c r="DE17" s="177"/>
      <c r="DQ17" s="373"/>
    </row>
    <row r="18" spans="1:121" ht="14.25" customHeight="1">
      <c r="A18" s="12">
        <f t="shared" si="11"/>
        <v>5</v>
      </c>
      <c r="B18" s="613">
        <v>40237</v>
      </c>
      <c r="C18" s="614">
        <v>107438064</v>
      </c>
      <c r="D18" s="614">
        <v>123124539</v>
      </c>
      <c r="E18" s="362">
        <f t="shared" si="19"/>
        <v>15686475</v>
      </c>
      <c r="F18" s="15"/>
      <c r="G18" s="12">
        <f t="shared" si="0"/>
        <v>5</v>
      </c>
      <c r="H18" s="380" t="s">
        <v>249</v>
      </c>
      <c r="I18" s="217"/>
      <c r="J18" s="173">
        <v>-1206882.625</v>
      </c>
      <c r="K18" s="217"/>
      <c r="L18" s="383">
        <f t="shared" si="12"/>
        <v>5</v>
      </c>
      <c r="M18" s="213" t="s">
        <v>428</v>
      </c>
      <c r="N18" s="18"/>
      <c r="O18" s="24">
        <v>43761997</v>
      </c>
      <c r="P18" s="12">
        <f t="shared" si="13"/>
        <v>5</v>
      </c>
      <c r="Q18" s="13" t="s">
        <v>71</v>
      </c>
      <c r="R18" s="13"/>
      <c r="S18" s="399"/>
      <c r="T18" s="689">
        <v>45915085.96902499</v>
      </c>
      <c r="U18" s="12">
        <f t="shared" si="14"/>
        <v>5</v>
      </c>
      <c r="V18" s="199" t="s">
        <v>116</v>
      </c>
      <c r="W18" s="910">
        <f>'MJS-14'!J14+'MJS-14'!J15</f>
        <v>0.031</v>
      </c>
      <c r="X18" s="911" t="s">
        <v>17</v>
      </c>
      <c r="Y18" s="67">
        <f t="shared" si="20"/>
        <v>5</v>
      </c>
      <c r="Z18" s="663" t="s">
        <v>520</v>
      </c>
      <c r="AA18" s="692">
        <v>253235.59911012</v>
      </c>
      <c r="AB18" s="712">
        <v>59836.19694985226</v>
      </c>
      <c r="AC18" s="712">
        <f t="shared" si="15"/>
        <v>-193399.40216026775</v>
      </c>
      <c r="AD18" s="12">
        <v>5</v>
      </c>
      <c r="AE18" s="380" t="s">
        <v>62</v>
      </c>
      <c r="AF18" s="412"/>
      <c r="AG18" s="411"/>
      <c r="AH18" s="698">
        <f>AH16</f>
        <v>-592306.2147250725</v>
      </c>
      <c r="AI18" s="12">
        <f t="shared" si="1"/>
        <v>5</v>
      </c>
      <c r="AJ18" s="217"/>
      <c r="AN18" s="44">
        <f t="shared" si="2"/>
        <v>5</v>
      </c>
      <c r="AO18" s="185" t="s">
        <v>508</v>
      </c>
      <c r="AP18" s="356"/>
      <c r="AQ18" s="356"/>
      <c r="AR18" s="356"/>
      <c r="AS18" s="716"/>
      <c r="AT18" s="420">
        <f>ROUND(SUM(AT15:AT17)/3,6)</f>
        <v>0.003475</v>
      </c>
      <c r="AU18" s="12">
        <f t="shared" si="3"/>
        <v>5</v>
      </c>
      <c r="AV18" s="191" t="s">
        <v>77</v>
      </c>
      <c r="AW18" s="387">
        <v>6225.669245926066</v>
      </c>
      <c r="AX18" s="387">
        <v>5502.940453889177</v>
      </c>
      <c r="AY18" s="387">
        <f t="shared" si="4"/>
        <v>-722.728792036889</v>
      </c>
      <c r="AZ18" s="12">
        <f>AZ17+1</f>
        <v>5</v>
      </c>
      <c r="BA18" s="13" t="s">
        <v>70</v>
      </c>
      <c r="BB18" s="16">
        <f>_FEDERAL_INCOME_TAX</f>
        <v>0.35</v>
      </c>
      <c r="BD18" s="701">
        <f>-BD16*BB18</f>
        <v>-898313.0659999999</v>
      </c>
      <c r="BE18" s="12">
        <f t="shared" si="5"/>
        <v>5</v>
      </c>
      <c r="BF18" s="110" t="s">
        <v>478</v>
      </c>
      <c r="BH18" s="24">
        <v>2040813.7425</v>
      </c>
      <c r="BI18" s="12">
        <f>BI17+1</f>
        <v>5</v>
      </c>
      <c r="BJ18" s="213" t="s">
        <v>518</v>
      </c>
      <c r="BK18" s="231"/>
      <c r="BL18" s="231"/>
      <c r="BM18" s="87">
        <f>BM16</f>
        <v>-35963.839560477354</v>
      </c>
      <c r="BN18" s="12"/>
      <c r="BS18" s="44">
        <f t="shared" si="7"/>
        <v>5</v>
      </c>
      <c r="BT18" s="237" t="s">
        <v>556</v>
      </c>
      <c r="BU18" s="234">
        <f>BU16/2</f>
        <v>491000</v>
      </c>
      <c r="BW18" s="215">
        <f t="shared" si="16"/>
        <v>5</v>
      </c>
      <c r="BX18" s="217" t="s">
        <v>489</v>
      </c>
      <c r="BY18" s="257"/>
      <c r="BZ18" s="423">
        <f>BZ16/36*12</f>
        <v>-45370.27333333314</v>
      </c>
      <c r="CA18" s="12">
        <f t="shared" si="8"/>
        <v>5</v>
      </c>
      <c r="CE18" s="15"/>
      <c r="CF18" s="12">
        <v>5</v>
      </c>
      <c r="CG18" s="13"/>
      <c r="CJ18" s="51"/>
      <c r="CK18" s="12">
        <f t="shared" si="9"/>
        <v>5</v>
      </c>
      <c r="CL18" s="13" t="s">
        <v>77</v>
      </c>
      <c r="CM18" s="13"/>
      <c r="CN18" s="13"/>
      <c r="CO18" s="531">
        <v>95791</v>
      </c>
      <c r="CP18" s="915">
        <v>98098</v>
      </c>
      <c r="CQ18" s="917">
        <f t="shared" si="17"/>
        <v>2307</v>
      </c>
      <c r="CR18" s="12">
        <f t="shared" si="10"/>
        <v>5</v>
      </c>
      <c r="CS18" s="238"/>
      <c r="CT18" s="263"/>
      <c r="CU18" s="667"/>
      <c r="CV18" s="667"/>
      <c r="CW18" s="12">
        <f t="shared" si="18"/>
        <v>5</v>
      </c>
      <c r="CY18" s="15"/>
      <c r="CZ18" s="637"/>
      <c r="DA18" s="12"/>
      <c r="DC18" s="177"/>
      <c r="DD18" s="177"/>
      <c r="DE18" s="177"/>
      <c r="DQ18" s="372"/>
    </row>
    <row r="19" spans="1:121" ht="14.25" thickBot="1">
      <c r="A19" s="12">
        <f t="shared" si="11"/>
        <v>6</v>
      </c>
      <c r="B19" s="613">
        <v>40268</v>
      </c>
      <c r="C19" s="614">
        <v>111751311</v>
      </c>
      <c r="D19" s="614">
        <v>115718871</v>
      </c>
      <c r="E19" s="362">
        <f t="shared" si="19"/>
        <v>3967560</v>
      </c>
      <c r="G19" s="12">
        <f t="shared" si="0"/>
        <v>6</v>
      </c>
      <c r="H19" s="367" t="s">
        <v>453</v>
      </c>
      <c r="I19" s="376"/>
      <c r="J19" s="173"/>
      <c r="K19" s="217"/>
      <c r="L19" s="383">
        <f t="shared" si="12"/>
        <v>6</v>
      </c>
      <c r="M19" s="217"/>
      <c r="N19" s="18"/>
      <c r="O19" s="22"/>
      <c r="P19" s="12">
        <f t="shared" si="13"/>
        <v>6</v>
      </c>
      <c r="Q19" s="3" t="s">
        <v>74</v>
      </c>
      <c r="S19" s="399"/>
      <c r="T19" s="689">
        <v>-3097483.86724</v>
      </c>
      <c r="U19" s="12">
        <f t="shared" si="14"/>
        <v>6</v>
      </c>
      <c r="V19" s="199" t="s">
        <v>193</v>
      </c>
      <c r="W19" s="443"/>
      <c r="X19" s="912">
        <f>W16*W18</f>
        <v>51391576.0717553</v>
      </c>
      <c r="Y19" s="67">
        <f t="shared" si="20"/>
        <v>6</v>
      </c>
      <c r="Z19" s="663" t="s">
        <v>503</v>
      </c>
      <c r="AA19" s="692">
        <v>96555.55023296001</v>
      </c>
      <c r="AB19" s="692">
        <v>0</v>
      </c>
      <c r="AC19" s="692">
        <f t="shared" si="15"/>
        <v>-96555.55023296001</v>
      </c>
      <c r="AD19" s="12">
        <v>6</v>
      </c>
      <c r="AE19" s="380"/>
      <c r="AF19" s="406"/>
      <c r="AG19" s="411"/>
      <c r="AH19" s="410"/>
      <c r="AI19" s="12">
        <f t="shared" si="1"/>
        <v>6</v>
      </c>
      <c r="AJ19" s="217"/>
      <c r="AK19" s="542"/>
      <c r="AL19" s="542"/>
      <c r="AM19" s="542"/>
      <c r="AN19" s="44">
        <f t="shared" si="2"/>
        <v>6</v>
      </c>
      <c r="AP19" s="356"/>
      <c r="AQ19" s="356"/>
      <c r="AR19" s="356"/>
      <c r="AS19" s="716"/>
      <c r="AU19" s="12">
        <f t="shared" si="3"/>
        <v>6</v>
      </c>
      <c r="AV19" s="191" t="s">
        <v>80</v>
      </c>
      <c r="AW19" s="387">
        <v>1457655.5584438709</v>
      </c>
      <c r="AX19" s="387">
        <v>1282581.5220972416</v>
      </c>
      <c r="AY19" s="387">
        <f t="shared" si="4"/>
        <v>-175074.03634662926</v>
      </c>
      <c r="AZ19" s="12">
        <f>AZ18+1</f>
        <v>6</v>
      </c>
      <c r="BA19" s="13" t="s">
        <v>73</v>
      </c>
      <c r="BB19" s="27"/>
      <c r="BC19" s="25"/>
      <c r="BD19" s="276">
        <f>-BD16-BD18</f>
        <v>-1668295.694</v>
      </c>
      <c r="BE19" s="12">
        <f t="shared" si="5"/>
        <v>6</v>
      </c>
      <c r="BF19" s="13" t="s">
        <v>476</v>
      </c>
      <c r="BH19" s="702">
        <v>2040814</v>
      </c>
      <c r="BI19" s="12">
        <f t="shared" si="6"/>
        <v>6</v>
      </c>
      <c r="BJ19" s="213"/>
      <c r="BK19" s="231"/>
      <c r="BL19" s="231"/>
      <c r="BM19" s="87"/>
      <c r="BS19" s="44">
        <f t="shared" si="7"/>
        <v>6</v>
      </c>
      <c r="BT19" s="192" t="s">
        <v>448</v>
      </c>
      <c r="BU19" s="234">
        <v>271425</v>
      </c>
      <c r="BW19" s="215">
        <f t="shared" si="16"/>
        <v>6</v>
      </c>
      <c r="BX19" s="217"/>
      <c r="BY19" s="210"/>
      <c r="BZ19" s="54"/>
      <c r="CA19" s="12">
        <f t="shared" si="8"/>
        <v>6</v>
      </c>
      <c r="CB19" s="13" t="s">
        <v>68</v>
      </c>
      <c r="CC19" s="71">
        <f>_FEDERAL_INCOME_TAX</f>
        <v>0.35</v>
      </c>
      <c r="CD19" s="16"/>
      <c r="CE19" s="96">
        <f>CC19*-CE16</f>
        <v>19250.954300034067</v>
      </c>
      <c r="CF19" s="12">
        <v>6</v>
      </c>
      <c r="CJ19" s="15"/>
      <c r="CK19" s="12">
        <f t="shared" si="9"/>
        <v>6</v>
      </c>
      <c r="CL19" s="13" t="s">
        <v>80</v>
      </c>
      <c r="CM19" s="13"/>
      <c r="CN19" s="13"/>
      <c r="CO19" s="531">
        <v>22381164</v>
      </c>
      <c r="CP19" s="915">
        <v>22930708</v>
      </c>
      <c r="CQ19" s="917">
        <f t="shared" si="17"/>
        <v>549544</v>
      </c>
      <c r="CR19" s="12">
        <f t="shared" si="10"/>
        <v>6</v>
      </c>
      <c r="CS19" s="448" t="s">
        <v>359</v>
      </c>
      <c r="CT19" s="263"/>
      <c r="CU19" s="667"/>
      <c r="CV19" s="667"/>
      <c r="CW19" s="12">
        <f t="shared" si="18"/>
        <v>6</v>
      </c>
      <c r="CX19" s="3" t="s">
        <v>488</v>
      </c>
      <c r="CY19" s="706">
        <v>0.6056</v>
      </c>
      <c r="CZ19" s="927">
        <f>CZ17*CY19</f>
        <v>6572210.301538561</v>
      </c>
      <c r="DA19" s="12"/>
      <c r="DC19" s="177"/>
      <c r="DD19" s="177"/>
      <c r="DE19" s="177"/>
      <c r="DQ19" s="372"/>
    </row>
    <row r="20" spans="1:121" ht="14.25" customHeight="1" thickBot="1" thickTop="1">
      <c r="A20" s="12">
        <f t="shared" si="11"/>
        <v>7</v>
      </c>
      <c r="B20" s="613">
        <v>40298</v>
      </c>
      <c r="C20" s="614">
        <v>92608601</v>
      </c>
      <c r="D20" s="614">
        <v>89726214</v>
      </c>
      <c r="E20" s="362">
        <f t="shared" si="19"/>
        <v>-2882387</v>
      </c>
      <c r="G20" s="12">
        <f t="shared" si="0"/>
        <v>7</v>
      </c>
      <c r="H20" s="380" t="s">
        <v>525</v>
      </c>
      <c r="I20" s="376"/>
      <c r="J20" s="173">
        <v>-21345994.17597003</v>
      </c>
      <c r="K20" s="217"/>
      <c r="L20" s="383">
        <f t="shared" si="12"/>
        <v>7</v>
      </c>
      <c r="M20" s="18" t="s">
        <v>257</v>
      </c>
      <c r="N20" s="18"/>
      <c r="O20" s="404">
        <f>SUM(O15:O19)</f>
        <v>1398850</v>
      </c>
      <c r="P20" s="12">
        <f t="shared" si="13"/>
        <v>7</v>
      </c>
      <c r="Q20" s="3" t="s">
        <v>76</v>
      </c>
      <c r="S20" s="399"/>
      <c r="T20" s="690">
        <v>-204565</v>
      </c>
      <c r="U20" s="12">
        <f t="shared" si="14"/>
        <v>7</v>
      </c>
      <c r="V20" s="199"/>
      <c r="W20" s="200"/>
      <c r="X20" s="386" t="s">
        <v>17</v>
      </c>
      <c r="Y20" s="67">
        <f t="shared" si="20"/>
        <v>7</v>
      </c>
      <c r="Z20" s="663" t="s">
        <v>504</v>
      </c>
      <c r="AA20" s="692">
        <v>14948.581554753739</v>
      </c>
      <c r="AB20" s="692">
        <v>961.8687565385001</v>
      </c>
      <c r="AC20" s="692">
        <f t="shared" si="15"/>
        <v>-13986.712798215238</v>
      </c>
      <c r="AD20" s="12">
        <v>7</v>
      </c>
      <c r="AE20" s="192" t="s">
        <v>68</v>
      </c>
      <c r="AF20" s="406"/>
      <c r="AG20" s="394">
        <f>_FEDERAL_INCOME_TAX</f>
        <v>0.35</v>
      </c>
      <c r="AH20" s="410">
        <f>-AH18*0.35</f>
        <v>207307.17515377537</v>
      </c>
      <c r="AI20" s="12">
        <f t="shared" si="1"/>
        <v>7</v>
      </c>
      <c r="AJ20" s="217"/>
      <c r="AK20" s="370"/>
      <c r="AL20" s="370"/>
      <c r="AM20" s="369"/>
      <c r="AN20" s="44">
        <f>1+AN19</f>
        <v>7</v>
      </c>
      <c r="AO20" s="186" t="s">
        <v>509</v>
      </c>
      <c r="AQ20" s="184">
        <v>1011530516.25</v>
      </c>
      <c r="AR20" s="184">
        <v>14712939.040000001</v>
      </c>
      <c r="AS20" s="184">
        <f>AQ20-AR20</f>
        <v>996817577.21</v>
      </c>
      <c r="AU20" s="12">
        <f t="shared" si="3"/>
        <v>7</v>
      </c>
      <c r="AV20" s="191" t="s">
        <v>82</v>
      </c>
      <c r="AW20" s="387">
        <v>588042.7587742893</v>
      </c>
      <c r="AX20" s="387">
        <v>515442.08918095287</v>
      </c>
      <c r="AY20" s="387">
        <f t="shared" si="4"/>
        <v>-72600.66959333641</v>
      </c>
      <c r="AZ20" s="25"/>
      <c r="BA20" s="25"/>
      <c r="BB20" s="25"/>
      <c r="BC20" s="25"/>
      <c r="BD20" s="25"/>
      <c r="BE20" s="12">
        <f t="shared" si="5"/>
        <v>7</v>
      </c>
      <c r="BF20" s="13" t="s">
        <v>479</v>
      </c>
      <c r="BH20" s="24">
        <f>(BH18-BH19)</f>
        <v>-0.2575000000651926</v>
      </c>
      <c r="BI20" s="12">
        <f>BI19+1</f>
        <v>7</v>
      </c>
      <c r="BJ20" s="213" t="s">
        <v>68</v>
      </c>
      <c r="BK20" s="231"/>
      <c r="BL20" s="232">
        <f>_FEDERAL_INCOME_TAX</f>
        <v>0.35</v>
      </c>
      <c r="BM20" s="452">
        <f>-BM18*BL20</f>
        <v>12587.343846167074</v>
      </c>
      <c r="BS20" s="44">
        <f t="shared" si="7"/>
        <v>7</v>
      </c>
      <c r="BT20" s="192"/>
      <c r="BU20" s="269"/>
      <c r="BV20" s="117"/>
      <c r="BW20" s="215">
        <f t="shared" si="16"/>
        <v>7</v>
      </c>
      <c r="BX20" s="588" t="s">
        <v>427</v>
      </c>
      <c r="BZ20" s="695">
        <v>-187823.5</v>
      </c>
      <c r="CA20" s="12">
        <f t="shared" si="8"/>
        <v>7</v>
      </c>
      <c r="CB20" s="13" t="s">
        <v>75</v>
      </c>
      <c r="CE20" s="276">
        <f>-CE16-CE19</f>
        <v>35751.77227149185</v>
      </c>
      <c r="CF20" s="12">
        <v>7</v>
      </c>
      <c r="CG20" s="13" t="s">
        <v>68</v>
      </c>
      <c r="CH20" s="71">
        <f>_FEDERAL_INCOME_TAX</f>
        <v>0.35</v>
      </c>
      <c r="CI20" s="16"/>
      <c r="CJ20" s="8">
        <f>CH20*-CJ17</f>
        <v>-313809.02686396334</v>
      </c>
      <c r="CK20" s="12">
        <f>CK19+1</f>
        <v>7</v>
      </c>
      <c r="CL20" s="13" t="s">
        <v>82</v>
      </c>
      <c r="CM20" s="13"/>
      <c r="CN20" s="13"/>
      <c r="CO20" s="531">
        <v>9031036</v>
      </c>
      <c r="CP20" s="915">
        <v>9247000</v>
      </c>
      <c r="CQ20" s="917">
        <f t="shared" si="17"/>
        <v>215964</v>
      </c>
      <c r="CR20" s="12">
        <f t="shared" si="10"/>
        <v>7</v>
      </c>
      <c r="CS20" s="213" t="s">
        <v>184</v>
      </c>
      <c r="CT20" s="262"/>
      <c r="CU20" s="667">
        <v>64458.161614000004</v>
      </c>
      <c r="CV20" s="667"/>
      <c r="CW20" s="12">
        <f t="shared" si="18"/>
        <v>7</v>
      </c>
      <c r="CX20" s="33" t="s">
        <v>366</v>
      </c>
      <c r="CY20" s="16"/>
      <c r="CZ20" s="705">
        <v>6563785</v>
      </c>
      <c r="DA20" s="12"/>
      <c r="DC20" s="177"/>
      <c r="DD20" s="177"/>
      <c r="DE20" s="177"/>
      <c r="DQ20" s="372"/>
    </row>
    <row r="21" spans="1:121" ht="15.75" customHeight="1" thickBot="1" thickTop="1">
      <c r="A21" s="12">
        <f t="shared" si="11"/>
        <v>8</v>
      </c>
      <c r="B21" s="613">
        <v>40329</v>
      </c>
      <c r="C21" s="614">
        <v>74871802</v>
      </c>
      <c r="D21" s="614">
        <v>67935817</v>
      </c>
      <c r="E21" s="362">
        <f t="shared" si="19"/>
        <v>-6935985</v>
      </c>
      <c r="G21" s="12">
        <f t="shared" si="0"/>
        <v>8</v>
      </c>
      <c r="H21" s="367" t="s">
        <v>241</v>
      </c>
      <c r="I21" s="376"/>
      <c r="J21" s="173">
        <v>10634442.391596869</v>
      </c>
      <c r="K21" s="217"/>
      <c r="L21" s="383">
        <f t="shared" si="12"/>
        <v>8</v>
      </c>
      <c r="M21" s="18"/>
      <c r="N21" s="18"/>
      <c r="O21" s="18"/>
      <c r="P21" s="12">
        <f t="shared" si="13"/>
        <v>8</v>
      </c>
      <c r="Q21" s="3" t="s">
        <v>79</v>
      </c>
      <c r="T21" s="8">
        <f>SUM(T17:T20)</f>
        <v>40970447.550000004</v>
      </c>
      <c r="U21" s="12">
        <f t="shared" si="14"/>
        <v>8</v>
      </c>
      <c r="V21" s="3" t="s">
        <v>196</v>
      </c>
      <c r="X21" s="913">
        <f>-X19</f>
        <v>-51391576.0717553</v>
      </c>
      <c r="Y21" s="67">
        <f t="shared" si="20"/>
        <v>8</v>
      </c>
      <c r="Z21" s="3" t="s">
        <v>511</v>
      </c>
      <c r="AA21" s="693">
        <v>32220.739164000013</v>
      </c>
      <c r="AB21" s="693">
        <v>23721.278054261165</v>
      </c>
      <c r="AC21" s="694">
        <f t="shared" si="15"/>
        <v>-8499.461109738848</v>
      </c>
      <c r="AD21" s="12">
        <v>8</v>
      </c>
      <c r="AE21" s="380"/>
      <c r="AF21" s="425"/>
      <c r="AG21" s="413"/>
      <c r="AH21" s="545"/>
      <c r="AI21" s="12">
        <f t="shared" si="1"/>
        <v>8</v>
      </c>
      <c r="AK21" s="370"/>
      <c r="AL21" s="370"/>
      <c r="AN21" s="44">
        <f>1+AN20</f>
        <v>8</v>
      </c>
      <c r="AU21" s="12">
        <f t="shared" si="3"/>
        <v>8</v>
      </c>
      <c r="AV21" s="191" t="s">
        <v>84</v>
      </c>
      <c r="AW21" s="387">
        <v>54899.08335043894</v>
      </c>
      <c r="AX21" s="387">
        <v>47766.51466056055</v>
      </c>
      <c r="AY21" s="387">
        <f t="shared" si="4"/>
        <v>-7132.56868987839</v>
      </c>
      <c r="AZ21" s="274"/>
      <c r="BA21" s="20"/>
      <c r="BB21" s="20"/>
      <c r="BC21" s="20"/>
      <c r="BD21" s="20"/>
      <c r="BE21" s="12">
        <f>BE20+1</f>
        <v>8</v>
      </c>
      <c r="BG21" s="25"/>
      <c r="BH21" s="634"/>
      <c r="BI21" s="12">
        <f t="shared" si="6"/>
        <v>8</v>
      </c>
      <c r="BJ21" s="213" t="s">
        <v>75</v>
      </c>
      <c r="BK21" s="231"/>
      <c r="BL21" s="231"/>
      <c r="BM21" s="453">
        <f>-BM18-BM20</f>
        <v>23376.49571431028</v>
      </c>
      <c r="BS21" s="44">
        <f t="shared" si="7"/>
        <v>8</v>
      </c>
      <c r="BT21" s="13" t="s">
        <v>62</v>
      </c>
      <c r="BU21" s="278">
        <f>BU18-BU19</f>
        <v>219575</v>
      </c>
      <c r="BV21" s="234">
        <f>BU21</f>
        <v>219575</v>
      </c>
      <c r="BW21" s="215">
        <f t="shared" si="16"/>
        <v>8</v>
      </c>
      <c r="BZ21" s="30"/>
      <c r="CF21" s="12">
        <v>8</v>
      </c>
      <c r="CG21" s="13" t="s">
        <v>75</v>
      </c>
      <c r="CJ21" s="276">
        <f>-CJ17-CJ20</f>
        <v>-582788.1927473606</v>
      </c>
      <c r="CK21" s="12">
        <f t="shared" si="9"/>
        <v>8</v>
      </c>
      <c r="CL21" s="13" t="s">
        <v>84</v>
      </c>
      <c r="CM21" s="13"/>
      <c r="CN21" s="13"/>
      <c r="CO21" s="531">
        <v>843006</v>
      </c>
      <c r="CP21" s="915">
        <v>866204</v>
      </c>
      <c r="CQ21" s="917">
        <f t="shared" si="17"/>
        <v>23198</v>
      </c>
      <c r="CR21" s="12">
        <f t="shared" si="10"/>
        <v>8</v>
      </c>
      <c r="CS21" s="263" t="s">
        <v>185</v>
      </c>
      <c r="CT21" s="247">
        <v>0</v>
      </c>
      <c r="CU21" s="704">
        <f>+CU20*CT21</f>
        <v>0</v>
      </c>
      <c r="CV21" s="667"/>
      <c r="CW21" s="12">
        <f t="shared" si="18"/>
        <v>8</v>
      </c>
      <c r="CX21" s="13" t="s">
        <v>63</v>
      </c>
      <c r="CY21" s="12"/>
      <c r="CZ21" s="927">
        <f>CZ19-CZ20</f>
        <v>8425.30153856054</v>
      </c>
      <c r="DA21" s="12"/>
      <c r="DC21" s="177"/>
      <c r="DD21" s="177"/>
      <c r="DE21" s="177"/>
      <c r="DQ21" s="372"/>
    </row>
    <row r="22" spans="1:165" ht="15" thickBot="1" thickTop="1">
      <c r="A22" s="12">
        <f t="shared" si="11"/>
        <v>9</v>
      </c>
      <c r="B22" s="613">
        <v>40332</v>
      </c>
      <c r="C22" s="614">
        <v>56233149</v>
      </c>
      <c r="D22" s="614">
        <v>52834021</v>
      </c>
      <c r="E22" s="362">
        <f t="shared" si="19"/>
        <v>-3399128</v>
      </c>
      <c r="G22" s="12">
        <f t="shared" si="0"/>
        <v>9</v>
      </c>
      <c r="H22" s="367" t="s">
        <v>451</v>
      </c>
      <c r="I22" s="376"/>
      <c r="J22" s="173">
        <v>-1035101.1621047809</v>
      </c>
      <c r="K22" s="217"/>
      <c r="L22" s="383">
        <f t="shared" si="12"/>
        <v>9</v>
      </c>
      <c r="M22" s="385" t="s">
        <v>235</v>
      </c>
      <c r="N22" s="18"/>
      <c r="O22" s="18"/>
      <c r="P22" s="12">
        <f aca="true" t="shared" si="21" ref="P22:P32">P21+1</f>
        <v>9</v>
      </c>
      <c r="U22" s="12">
        <f t="shared" si="14"/>
        <v>9</v>
      </c>
      <c r="V22" s="3" t="s">
        <v>17</v>
      </c>
      <c r="X22" s="74" t="s">
        <v>17</v>
      </c>
      <c r="Y22" s="67">
        <f t="shared" si="20"/>
        <v>9</v>
      </c>
      <c r="Z22" s="13" t="s">
        <v>492</v>
      </c>
      <c r="AA22" s="653">
        <f>SUM(AA16:AA21)</f>
        <v>486995.2715227938</v>
      </c>
      <c r="AB22" s="711">
        <f>SUM(AB16:AB21)</f>
        <v>84519.34376065191</v>
      </c>
      <c r="AC22" s="711">
        <f t="shared" si="15"/>
        <v>-402475.9277621419</v>
      </c>
      <c r="AD22" s="12">
        <v>9</v>
      </c>
      <c r="AE22" s="380" t="s">
        <v>277</v>
      </c>
      <c r="AF22" s="413"/>
      <c r="AG22" s="410"/>
      <c r="AH22" s="414">
        <f>-AH18-AH20</f>
        <v>384999.0395712971</v>
      </c>
      <c r="AI22" s="12">
        <f t="shared" si="1"/>
        <v>9</v>
      </c>
      <c r="AJ22" s="423" t="s">
        <v>426</v>
      </c>
      <c r="AK22" s="402"/>
      <c r="AM22" s="542">
        <f>AM17</f>
        <v>83552.81827933407</v>
      </c>
      <c r="AN22" s="44">
        <f>1+AN21</f>
        <v>9</v>
      </c>
      <c r="AO22" s="3" t="s">
        <v>156</v>
      </c>
      <c r="AS22" s="672">
        <f>AT18</f>
        <v>0.003475</v>
      </c>
      <c r="AU22" s="12">
        <f t="shared" si="3"/>
        <v>9</v>
      </c>
      <c r="AV22" s="191" t="s">
        <v>51</v>
      </c>
      <c r="AW22" s="387">
        <v>9338.503868889098</v>
      </c>
      <c r="AX22" s="387">
        <v>8031.31850027069</v>
      </c>
      <c r="AY22" s="387">
        <f t="shared" si="4"/>
        <v>-1307.1853686184086</v>
      </c>
      <c r="BD22" s="30"/>
      <c r="BE22" s="12">
        <f t="shared" si="5"/>
        <v>9</v>
      </c>
      <c r="BF22" s="13" t="s">
        <v>63</v>
      </c>
      <c r="BG22" s="25"/>
      <c r="BH22" s="54">
        <f>BH20+BH16</f>
        <v>75778.86971500539</v>
      </c>
      <c r="BI22" s="51"/>
      <c r="BJ22" s="51"/>
      <c r="BK22" s="51"/>
      <c r="BL22" s="51"/>
      <c r="BM22" s="51"/>
      <c r="BS22" s="44">
        <f t="shared" si="7"/>
        <v>9</v>
      </c>
      <c r="BT22" s="13"/>
      <c r="BU22" s="240"/>
      <c r="BV22" s="270"/>
      <c r="BW22" s="215">
        <f t="shared" si="16"/>
        <v>9</v>
      </c>
      <c r="BX22" s="589" t="s">
        <v>62</v>
      </c>
      <c r="BZ22" s="54">
        <f>BZ18-BZ20</f>
        <v>142453.22666666686</v>
      </c>
      <c r="CA22" s="274"/>
      <c r="CF22" s="111"/>
      <c r="CG22" s="111"/>
      <c r="CH22" s="111"/>
      <c r="CI22" s="111"/>
      <c r="CJ22" s="111"/>
      <c r="CK22" s="12">
        <f t="shared" si="9"/>
        <v>9</v>
      </c>
      <c r="CL22" s="13" t="s">
        <v>51</v>
      </c>
      <c r="CM22" s="13"/>
      <c r="CN22" s="13"/>
      <c r="CO22" s="531">
        <v>142425</v>
      </c>
      <c r="CP22" s="915">
        <v>146650</v>
      </c>
      <c r="CQ22" s="917">
        <f t="shared" si="17"/>
        <v>4225</v>
      </c>
      <c r="CR22" s="12">
        <f t="shared" si="10"/>
        <v>9</v>
      </c>
      <c r="CS22" s="238" t="s">
        <v>186</v>
      </c>
      <c r="CT22" s="238"/>
      <c r="CU22" s="667"/>
      <c r="CV22" s="667">
        <f>SUM(CU20:CU21)</f>
        <v>64458.161614000004</v>
      </c>
      <c r="CW22" s="12">
        <f t="shared" si="18"/>
        <v>9</v>
      </c>
      <c r="CY22" s="12"/>
      <c r="CZ22" s="636"/>
      <c r="DA22" s="12"/>
      <c r="DC22" s="177"/>
      <c r="DD22" s="177"/>
      <c r="DE22" s="177"/>
      <c r="DQ22" s="372"/>
      <c r="FI22" s="390"/>
    </row>
    <row r="23" spans="1:165" ht="14.25" thickTop="1">
      <c r="A23" s="12">
        <f t="shared" si="11"/>
        <v>10</v>
      </c>
      <c r="B23" s="613">
        <v>40390</v>
      </c>
      <c r="C23" s="614">
        <v>45903282</v>
      </c>
      <c r="D23" s="614">
        <v>44771928</v>
      </c>
      <c r="E23" s="362">
        <f t="shared" si="19"/>
        <v>-1131354</v>
      </c>
      <c r="G23" s="12">
        <f t="shared" si="0"/>
        <v>10</v>
      </c>
      <c r="H23" s="367" t="s">
        <v>452</v>
      </c>
      <c r="I23" s="376"/>
      <c r="J23" s="173">
        <v>-415904.39575929753</v>
      </c>
      <c r="K23" s="217"/>
      <c r="L23" s="383">
        <f t="shared" si="12"/>
        <v>10</v>
      </c>
      <c r="M23" s="25" t="s">
        <v>135</v>
      </c>
      <c r="N23" s="534">
        <f>'MJS-14'!O14</f>
        <v>0.003475</v>
      </c>
      <c r="O23" s="24">
        <f>-$O$20*N23</f>
        <v>-4861.00375</v>
      </c>
      <c r="P23" s="12">
        <f t="shared" si="21"/>
        <v>10</v>
      </c>
      <c r="Q23" s="3" t="s">
        <v>83</v>
      </c>
      <c r="T23" s="113"/>
      <c r="U23" s="12">
        <f t="shared" si="14"/>
        <v>10</v>
      </c>
      <c r="V23" s="3" t="s">
        <v>117</v>
      </c>
      <c r="W23" s="71">
        <f>_FEDERAL_INCOME_TAX</f>
        <v>0.35</v>
      </c>
      <c r="X23" s="890">
        <f>X21*W23</f>
        <v>-17987051.62511435</v>
      </c>
      <c r="Y23" s="67">
        <f t="shared" si="20"/>
        <v>10</v>
      </c>
      <c r="Z23" s="714"/>
      <c r="AA23" s="714"/>
      <c r="AB23" s="714"/>
      <c r="AD23" s="12">
        <v>10</v>
      </c>
      <c r="AF23" s="35"/>
      <c r="AG23" s="35"/>
      <c r="AH23" s="35"/>
      <c r="AI23" s="12">
        <f t="shared" si="1"/>
        <v>10</v>
      </c>
      <c r="AJ23" s="423" t="s">
        <v>68</v>
      </c>
      <c r="AK23" s="542"/>
      <c r="AL23" s="394">
        <v>0.35</v>
      </c>
      <c r="AM23" s="542">
        <f>ROUND(-AM22*AL23,0)</f>
        <v>-29243</v>
      </c>
      <c r="AN23" s="44">
        <f t="shared" si="2"/>
        <v>10</v>
      </c>
      <c r="AO23" s="3" t="s">
        <v>157</v>
      </c>
      <c r="AS23" s="184">
        <f>AS20*AS22</f>
        <v>3463941.08080475</v>
      </c>
      <c r="AU23" s="12">
        <f t="shared" si="3"/>
        <v>10</v>
      </c>
      <c r="AV23" s="191" t="s">
        <v>86</v>
      </c>
      <c r="AW23" s="700">
        <v>635301.2480501826</v>
      </c>
      <c r="AX23" s="700">
        <v>550888.9578704191</v>
      </c>
      <c r="AY23" s="700">
        <f>AX23-AW23</f>
        <v>-84412.29017976345</v>
      </c>
      <c r="AZ23" s="25"/>
      <c r="BD23" s="391"/>
      <c r="BE23" s="12"/>
      <c r="BF23" s="13"/>
      <c r="BG23" s="25"/>
      <c r="BH23" s="64"/>
      <c r="BI23" s="274"/>
      <c r="BJ23" s="55"/>
      <c r="BK23" s="55"/>
      <c r="BL23" s="55"/>
      <c r="BM23" s="55"/>
      <c r="BS23" s="44">
        <f t="shared" si="7"/>
        <v>10</v>
      </c>
      <c r="BT23" s="13"/>
      <c r="BU23" s="214"/>
      <c r="BV23" s="239"/>
      <c r="BW23" s="215">
        <f t="shared" si="16"/>
        <v>10</v>
      </c>
      <c r="BX23" s="259"/>
      <c r="BY23" s="259"/>
      <c r="BZ23" s="54"/>
      <c r="CA23" s="26"/>
      <c r="CB23" s="26"/>
      <c r="CC23" s="26"/>
      <c r="CD23" s="26"/>
      <c r="CE23" s="171"/>
      <c r="CF23" s="274"/>
      <c r="CJ23" s="3" t="s">
        <v>17</v>
      </c>
      <c r="CK23" s="12">
        <f t="shared" si="9"/>
        <v>10</v>
      </c>
      <c r="CL23" s="13" t="s">
        <v>86</v>
      </c>
      <c r="CM23" s="13"/>
      <c r="CN23" s="13"/>
      <c r="CO23" s="703">
        <v>9752577</v>
      </c>
      <c r="CP23" s="916">
        <v>10036913</v>
      </c>
      <c r="CQ23" s="918">
        <f t="shared" si="17"/>
        <v>284336</v>
      </c>
      <c r="CR23" s="12">
        <f t="shared" si="10"/>
        <v>10</v>
      </c>
      <c r="CS23" s="263"/>
      <c r="CT23" s="263"/>
      <c r="CU23" s="667"/>
      <c r="CV23" s="667"/>
      <c r="CW23" s="12">
        <f t="shared" si="18"/>
        <v>10</v>
      </c>
      <c r="CX23" s="13" t="s">
        <v>70</v>
      </c>
      <c r="CY23" s="16">
        <f>_FEDERAL_INCOME_TAX</f>
        <v>0.35</v>
      </c>
      <c r="CZ23" s="737">
        <f>-CZ21*CY23</f>
        <v>-2948.8555384961887</v>
      </c>
      <c r="DA23" s="12"/>
      <c r="DC23" s="177"/>
      <c r="DD23" s="177"/>
      <c r="DE23" s="177"/>
      <c r="DQ23" s="372"/>
      <c r="FI23" s="174"/>
    </row>
    <row r="24" spans="1:165" ht="15.75" customHeight="1" thickBot="1">
      <c r="A24" s="12">
        <f t="shared" si="11"/>
        <v>11</v>
      </c>
      <c r="B24" s="613">
        <v>40421</v>
      </c>
      <c r="C24" s="614">
        <v>44931621</v>
      </c>
      <c r="D24" s="614">
        <v>43877935</v>
      </c>
      <c r="E24" s="362">
        <f t="shared" si="19"/>
        <v>-1053686</v>
      </c>
      <c r="G24" s="12">
        <f t="shared" si="0"/>
        <v>11</v>
      </c>
      <c r="H24" s="367" t="s">
        <v>454</v>
      </c>
      <c r="I24" s="376"/>
      <c r="J24" s="173">
        <v>3430012.8529400015</v>
      </c>
      <c r="K24" s="217"/>
      <c r="L24" s="383">
        <f t="shared" si="12"/>
        <v>11</v>
      </c>
      <c r="M24" s="18" t="s">
        <v>258</v>
      </c>
      <c r="N24" s="534">
        <f>'MJS-14'!O15</f>
        <v>0.002</v>
      </c>
      <c r="O24" s="24">
        <f>-$O$20*N24</f>
        <v>-2797.7000000000003</v>
      </c>
      <c r="P24" s="12">
        <f t="shared" si="21"/>
        <v>11</v>
      </c>
      <c r="Q24" s="13" t="s">
        <v>85</v>
      </c>
      <c r="R24" s="18"/>
      <c r="S24" s="74"/>
      <c r="T24" s="29">
        <v>15204117</v>
      </c>
      <c r="U24" s="12">
        <f t="shared" si="14"/>
        <v>11</v>
      </c>
      <c r="V24" s="3" t="s">
        <v>75</v>
      </c>
      <c r="X24" s="914">
        <f>-X23</f>
        <v>17987051.62511435</v>
      </c>
      <c r="Y24" s="67">
        <f t="shared" si="20"/>
        <v>11</v>
      </c>
      <c r="Z24" s="15" t="s">
        <v>494</v>
      </c>
      <c r="AA24" s="15"/>
      <c r="AB24" s="657">
        <v>0.35</v>
      </c>
      <c r="AC24" s="710">
        <f>AC22*-AB24</f>
        <v>140866.57471674966</v>
      </c>
      <c r="AD24" s="12">
        <v>11</v>
      </c>
      <c r="AE24" s="6"/>
      <c r="AF24" s="6"/>
      <c r="AG24" s="6"/>
      <c r="AH24" s="6"/>
      <c r="AI24" s="12">
        <f t="shared" si="1"/>
        <v>11</v>
      </c>
      <c r="AJ24" s="217"/>
      <c r="AK24" s="370"/>
      <c r="AL24" s="370"/>
      <c r="AM24" s="370"/>
      <c r="AN24" s="44">
        <f t="shared" si="2"/>
        <v>11</v>
      </c>
      <c r="AU24" s="12">
        <f t="shared" si="3"/>
        <v>11</v>
      </c>
      <c r="AV24" s="3" t="s">
        <v>191</v>
      </c>
      <c r="AW24" s="30">
        <f>SUM(AW15:AW23)</f>
        <v>2829849.6572391205</v>
      </c>
      <c r="AX24" s="30">
        <f>SUM(AX15:AX23)</f>
        <v>2478801.794276448</v>
      </c>
      <c r="AY24" s="387">
        <f>SUM(AY15:AY23)</f>
        <v>-351047.86296267225</v>
      </c>
      <c r="AZ24" s="20"/>
      <c r="BE24" s="12">
        <f>BE22+1</f>
        <v>10</v>
      </c>
      <c r="BG24" s="25"/>
      <c r="BH24" s="64"/>
      <c r="BI24" s="51"/>
      <c r="BJ24" s="51"/>
      <c r="BK24" s="51"/>
      <c r="BL24" s="51"/>
      <c r="BM24" s="51"/>
      <c r="BS24" s="44">
        <f t="shared" si="7"/>
        <v>11</v>
      </c>
      <c r="BT24" s="13" t="s">
        <v>177</v>
      </c>
      <c r="BU24" s="214"/>
      <c r="BV24" s="234">
        <f>+BV21</f>
        <v>219575</v>
      </c>
      <c r="BW24" s="215">
        <f>BW23+1</f>
        <v>11</v>
      </c>
      <c r="BX24" s="590" t="s">
        <v>182</v>
      </c>
      <c r="BY24" s="54"/>
      <c r="BZ24" s="695">
        <f>-BZ22*35%</f>
        <v>-49858.629333333396</v>
      </c>
      <c r="CA24" s="20"/>
      <c r="CB24" s="20"/>
      <c r="CC24" s="20"/>
      <c r="CD24" s="20"/>
      <c r="CE24" s="20"/>
      <c r="CF24" s="26"/>
      <c r="CG24" s="26"/>
      <c r="CH24" s="26"/>
      <c r="CI24" s="26"/>
      <c r="CJ24" s="171" t="s">
        <v>17</v>
      </c>
      <c r="CK24" s="12">
        <f t="shared" si="9"/>
        <v>11</v>
      </c>
      <c r="CL24" s="13" t="s">
        <v>87</v>
      </c>
      <c r="CM24" s="13"/>
      <c r="CN24" s="13"/>
      <c r="CO24" s="531">
        <f>SUM(CO14:CO23)</f>
        <v>43449915</v>
      </c>
      <c r="CP24" s="915">
        <f>SUM(CP14:CP23)</f>
        <v>44561398.00138196</v>
      </c>
      <c r="CQ24" s="917">
        <f>SUM(CQ14:CQ23)</f>
        <v>1111483.0013819647</v>
      </c>
      <c r="CR24" s="12">
        <f t="shared" si="10"/>
        <v>11</v>
      </c>
      <c r="CS24" s="448" t="s">
        <v>183</v>
      </c>
      <c r="CT24" s="80"/>
      <c r="CU24" s="667"/>
      <c r="CV24" s="667"/>
      <c r="CW24" s="12">
        <f t="shared" si="18"/>
        <v>11</v>
      </c>
      <c r="CZ24" s="927"/>
      <c r="DA24" s="12"/>
      <c r="DC24" s="177"/>
      <c r="DD24" s="177"/>
      <c r="DE24" s="177"/>
      <c r="DQ24" s="374"/>
      <c r="FI24" s="174"/>
    </row>
    <row r="25" spans="1:165" ht="14.25" customHeight="1" thickBot="1" thickTop="1">
      <c r="A25" s="12">
        <f t="shared" si="11"/>
        <v>12</v>
      </c>
      <c r="B25" s="613">
        <v>40451</v>
      </c>
      <c r="C25" s="614">
        <v>49140650</v>
      </c>
      <c r="D25" s="614">
        <v>49056667</v>
      </c>
      <c r="E25" s="362">
        <f t="shared" si="19"/>
        <v>-83983</v>
      </c>
      <c r="G25" s="12">
        <f t="shared" si="0"/>
        <v>12</v>
      </c>
      <c r="H25" s="727" t="s">
        <v>560</v>
      </c>
      <c r="I25" s="376"/>
      <c r="J25" s="728">
        <v>-616470.705163873</v>
      </c>
      <c r="K25" s="217"/>
      <c r="L25" s="383">
        <f t="shared" si="12"/>
        <v>12</v>
      </c>
      <c r="M25" s="18" t="s">
        <v>259</v>
      </c>
      <c r="N25" s="534">
        <f>'MJS-14'!O16</f>
        <v>0.038386</v>
      </c>
      <c r="O25" s="24">
        <f>-$O$20*N25</f>
        <v>-53696.256100000006</v>
      </c>
      <c r="P25" s="12">
        <f t="shared" si="21"/>
        <v>12</v>
      </c>
      <c r="Q25" s="13" t="s">
        <v>71</v>
      </c>
      <c r="R25" s="18"/>
      <c r="S25" s="74"/>
      <c r="T25" s="689">
        <v>59583058.2968999</v>
      </c>
      <c r="U25" s="77"/>
      <c r="V25" s="81"/>
      <c r="W25" s="81"/>
      <c r="X25" s="81"/>
      <c r="Y25" s="67">
        <f t="shared" si="20"/>
        <v>12</v>
      </c>
      <c r="Z25" s="714"/>
      <c r="AA25" s="714"/>
      <c r="AB25" s="714"/>
      <c r="AC25" s="717"/>
      <c r="AD25" s="12">
        <v>12</v>
      </c>
      <c r="AE25" s="422" t="s">
        <v>405</v>
      </c>
      <c r="AF25" s="387"/>
      <c r="AG25" s="387"/>
      <c r="AI25" s="12">
        <f t="shared" si="1"/>
        <v>12</v>
      </c>
      <c r="AJ25" s="217"/>
      <c r="AK25" s="542"/>
      <c r="AL25" s="542"/>
      <c r="AM25" s="542"/>
      <c r="AN25" s="44">
        <f t="shared" si="2"/>
        <v>12</v>
      </c>
      <c r="AO25" s="13" t="s">
        <v>158</v>
      </c>
      <c r="AS25" s="684">
        <v>5886142.15</v>
      </c>
      <c r="AU25" s="12">
        <f t="shared" si="3"/>
        <v>12</v>
      </c>
      <c r="AV25" s="51"/>
      <c r="AZ25" s="20"/>
      <c r="BE25" s="12">
        <f t="shared" si="5"/>
        <v>11</v>
      </c>
      <c r="BF25" s="13" t="s">
        <v>70</v>
      </c>
      <c r="BG25" s="16">
        <f>_FEDERAL_INCOME_TAX</f>
        <v>0.35</v>
      </c>
      <c r="BH25" s="702">
        <f>ROUND(-BH22*BG25,0)</f>
        <v>-26523</v>
      </c>
      <c r="BI25" s="54"/>
      <c r="BJ25" s="54"/>
      <c r="BK25" s="54"/>
      <c r="BL25" s="54"/>
      <c r="BM25" s="54"/>
      <c r="BS25" s="44">
        <f t="shared" si="7"/>
        <v>12</v>
      </c>
      <c r="BT25" s="236"/>
      <c r="BU25" s="214"/>
      <c r="BV25" s="241"/>
      <c r="BW25" s="215">
        <f>BW24+1</f>
        <v>12</v>
      </c>
      <c r="BX25" s="590"/>
      <c r="BZ25" s="591"/>
      <c r="CA25" s="111"/>
      <c r="CB25" s="111"/>
      <c r="CC25" s="111"/>
      <c r="CD25" s="111"/>
      <c r="CE25" s="111"/>
      <c r="CF25" s="20"/>
      <c r="CG25" s="20"/>
      <c r="CH25" s="26"/>
      <c r="CI25" s="26"/>
      <c r="CJ25" s="171" t="s">
        <v>17</v>
      </c>
      <c r="CK25" s="12">
        <f>CK24+1</f>
        <v>12</v>
      </c>
      <c r="CO25" s="55"/>
      <c r="CP25" s="55"/>
      <c r="CQ25" s="55"/>
      <c r="CR25" s="12">
        <f t="shared" si="10"/>
        <v>12</v>
      </c>
      <c r="CS25" s="213" t="s">
        <v>184</v>
      </c>
      <c r="CT25" s="262"/>
      <c r="CU25" s="667">
        <v>684365.4769</v>
      </c>
      <c r="CV25" s="667"/>
      <c r="CW25" s="12">
        <f t="shared" si="18"/>
        <v>12</v>
      </c>
      <c r="CX25" s="13" t="s">
        <v>73</v>
      </c>
      <c r="CZ25" s="922">
        <f>-CZ21-CZ23</f>
        <v>-5476.44600006435</v>
      </c>
      <c r="DA25" s="12"/>
      <c r="DC25" s="177"/>
      <c r="DD25" s="177"/>
      <c r="DE25" s="177"/>
      <c r="DL25" s="12"/>
      <c r="DP25" s="610"/>
      <c r="DQ25" s="372"/>
      <c r="FI25" s="2"/>
    </row>
    <row r="26" spans="1:121" ht="15" thickBot="1" thickTop="1">
      <c r="A26" s="12">
        <f t="shared" si="11"/>
        <v>13</v>
      </c>
      <c r="B26" s="613">
        <v>40482</v>
      </c>
      <c r="C26" s="614">
        <v>77063217</v>
      </c>
      <c r="D26" s="614">
        <v>79839487</v>
      </c>
      <c r="E26" s="362">
        <f t="shared" si="19"/>
        <v>2776270</v>
      </c>
      <c r="G26" s="12">
        <f t="shared" si="0"/>
        <v>13</v>
      </c>
      <c r="H26" s="367" t="s">
        <v>242</v>
      </c>
      <c r="I26" s="376"/>
      <c r="J26" s="173">
        <v>16858.173290000064</v>
      </c>
      <c r="K26" s="217"/>
      <c r="L26" s="383">
        <f t="shared" si="12"/>
        <v>13</v>
      </c>
      <c r="M26" s="18" t="s">
        <v>177</v>
      </c>
      <c r="N26" s="535">
        <f>SUM(N23:N25)</f>
        <v>0.043861000000000004</v>
      </c>
      <c r="O26" s="404">
        <f>SUM(O23:O25)</f>
        <v>-61354.95985000001</v>
      </c>
      <c r="P26" s="12">
        <f t="shared" si="21"/>
        <v>13</v>
      </c>
      <c r="Q26" s="3" t="s">
        <v>74</v>
      </c>
      <c r="R26" s="18"/>
      <c r="S26" s="74"/>
      <c r="T26" s="689">
        <v>-62446264.0058999</v>
      </c>
      <c r="U26" s="274"/>
      <c r="X26" s="51"/>
      <c r="Y26" s="67">
        <f t="shared" si="20"/>
        <v>13</v>
      </c>
      <c r="Z26" s="664" t="s">
        <v>75</v>
      </c>
      <c r="AA26" s="2"/>
      <c r="AB26" s="665"/>
      <c r="AC26" s="709">
        <f>-AC22-AC24</f>
        <v>261609.35304539226</v>
      </c>
      <c r="AD26" s="12">
        <v>13</v>
      </c>
      <c r="AE26" s="380" t="s">
        <v>403</v>
      </c>
      <c r="AF26" s="407"/>
      <c r="AG26" s="408"/>
      <c r="AH26" s="409"/>
      <c r="AI26" s="12">
        <f t="shared" si="1"/>
        <v>13</v>
      </c>
      <c r="AJ26" s="217"/>
      <c r="AK26" s="370"/>
      <c r="AM26" s="371"/>
      <c r="AN26" s="44">
        <f>1+AN25</f>
        <v>13</v>
      </c>
      <c r="AO26" s="114" t="s">
        <v>62</v>
      </c>
      <c r="AT26" s="30">
        <f>ROUND(AS23-AS25,0)</f>
        <v>-2422201</v>
      </c>
      <c r="AU26" s="12">
        <f t="shared" si="3"/>
        <v>13</v>
      </c>
      <c r="AV26" s="97" t="s">
        <v>69</v>
      </c>
      <c r="AW26" s="700">
        <v>228677.0167518423</v>
      </c>
      <c r="AX26" s="700">
        <f>(AX24/(AW24/AW26))</f>
        <v>200309.2277302398</v>
      </c>
      <c r="AY26" s="700">
        <f>AX26-AW26</f>
        <v>-28367.78902160251</v>
      </c>
      <c r="BD26" s="70"/>
      <c r="BE26" s="12">
        <f t="shared" si="5"/>
        <v>12</v>
      </c>
      <c r="BF26" s="13" t="s">
        <v>73</v>
      </c>
      <c r="BG26" s="27"/>
      <c r="BH26" s="273">
        <f>-BH22-BH25</f>
        <v>-49255.86971500539</v>
      </c>
      <c r="BN26" s="12"/>
      <c r="BO26" s="2"/>
      <c r="BP26" s="2"/>
      <c r="BQ26" s="173"/>
      <c r="BR26" s="2"/>
      <c r="BS26" s="44">
        <f t="shared" si="7"/>
        <v>13</v>
      </c>
      <c r="BT26" s="236" t="s">
        <v>70</v>
      </c>
      <c r="BU26" s="242">
        <f>_FEDERAL_INCOME_TAX</f>
        <v>0.35</v>
      </c>
      <c r="BV26" s="234">
        <f>-BV24*BU26</f>
        <v>-76851.25</v>
      </c>
      <c r="BW26" s="215">
        <f>BW25+1</f>
        <v>13</v>
      </c>
      <c r="BX26" s="590" t="s">
        <v>75</v>
      </c>
      <c r="BZ26" s="401">
        <f>-BZ22-BZ24</f>
        <v>-92594.59733333346</v>
      </c>
      <c r="CA26" s="15"/>
      <c r="CB26" s="15"/>
      <c r="CC26" s="15"/>
      <c r="CD26" s="15"/>
      <c r="CE26" s="15"/>
      <c r="CF26" s="111"/>
      <c r="CG26" s="111"/>
      <c r="CH26" s="26"/>
      <c r="CI26" s="26"/>
      <c r="CJ26" s="171" t="s">
        <v>17</v>
      </c>
      <c r="CK26" s="12">
        <f t="shared" si="9"/>
        <v>13</v>
      </c>
      <c r="CL26" s="13" t="s">
        <v>151</v>
      </c>
      <c r="CM26" s="13"/>
      <c r="CN26" s="13"/>
      <c r="CO26" s="703">
        <v>3533372.488444834</v>
      </c>
      <c r="CP26" s="916">
        <v>3605616.488444834</v>
      </c>
      <c r="CQ26" s="918">
        <f>CP26-CO26</f>
        <v>72244</v>
      </c>
      <c r="CR26" s="12">
        <f t="shared" si="10"/>
        <v>13</v>
      </c>
      <c r="CS26" s="263" t="s">
        <v>185</v>
      </c>
      <c r="CT26" s="925">
        <v>0.021938000000000013</v>
      </c>
      <c r="CU26" s="923">
        <f>+CU25*CT26</f>
        <v>15013.609832232209</v>
      </c>
      <c r="CV26" s="924"/>
      <c r="DC26" s="177"/>
      <c r="DD26" s="177"/>
      <c r="DE26" s="177"/>
      <c r="DL26" s="12"/>
      <c r="DQ26" s="372"/>
    </row>
    <row r="27" spans="1:121" ht="15" thickBot="1" thickTop="1">
      <c r="A27" s="12">
        <f>+A26+1</f>
        <v>14</v>
      </c>
      <c r="B27" s="613">
        <v>40512</v>
      </c>
      <c r="C27" s="614">
        <v>121261601</v>
      </c>
      <c r="D27" s="614">
        <v>111333789</v>
      </c>
      <c r="E27" s="362">
        <f t="shared" si="19"/>
        <v>-9927812</v>
      </c>
      <c r="G27" s="12">
        <f t="shared" si="0"/>
        <v>14</v>
      </c>
      <c r="H27" s="379" t="s">
        <v>243</v>
      </c>
      <c r="I27" s="217"/>
      <c r="J27" s="729">
        <f>SUM(J15:J26)</f>
        <v>10718138.27052087</v>
      </c>
      <c r="K27" s="217"/>
      <c r="L27" s="383">
        <f>L26+1</f>
        <v>14</v>
      </c>
      <c r="M27" s="18"/>
      <c r="N27" s="18"/>
      <c r="O27" s="18"/>
      <c r="P27" s="12">
        <f>P26+1</f>
        <v>14</v>
      </c>
      <c r="Q27" s="3" t="s">
        <v>76</v>
      </c>
      <c r="R27" s="18"/>
      <c r="S27" s="18"/>
      <c r="T27" s="691">
        <v>-204565</v>
      </c>
      <c r="U27" s="12" t="s">
        <v>17</v>
      </c>
      <c r="X27" s="429"/>
      <c r="Y27" s="67"/>
      <c r="AD27" s="12">
        <v>14</v>
      </c>
      <c r="AE27" s="380" t="s">
        <v>275</v>
      </c>
      <c r="AF27" s="697">
        <v>0</v>
      </c>
      <c r="AG27" s="697">
        <v>-173949.10623863013</v>
      </c>
      <c r="AH27" s="697">
        <f>AG27-AF27</f>
        <v>-173949.10623863013</v>
      </c>
      <c r="AI27" s="12">
        <f>AI26+1</f>
        <v>14</v>
      </c>
      <c r="AJ27" s="217"/>
      <c r="AK27" s="370"/>
      <c r="AL27" s="370"/>
      <c r="AM27" s="370"/>
      <c r="AN27" s="44">
        <f>1+AN26</f>
        <v>14</v>
      </c>
      <c r="AO27" s="187"/>
      <c r="AU27" s="12">
        <f t="shared" si="3"/>
        <v>14</v>
      </c>
      <c r="AV27" s="3" t="s">
        <v>63</v>
      </c>
      <c r="AW27" s="30">
        <f>SUM(AW24:AW26)</f>
        <v>3058526.6739909626</v>
      </c>
      <c r="AX27" s="30">
        <f>SUM(AX24:AX26)</f>
        <v>2679111.0220066877</v>
      </c>
      <c r="AY27" s="387">
        <f>SUM(AY24:AY26)</f>
        <v>-379415.65198427474</v>
      </c>
      <c r="BN27" s="12"/>
      <c r="BO27" s="2"/>
      <c r="BP27" s="2"/>
      <c r="BQ27" s="61"/>
      <c r="BR27" s="2"/>
      <c r="BS27" s="44">
        <f t="shared" si="7"/>
        <v>14</v>
      </c>
      <c r="BT27" s="236" t="s">
        <v>73</v>
      </c>
      <c r="BU27" s="214"/>
      <c r="BV27" s="279">
        <f>-BV24-BV26</f>
        <v>-142723.75</v>
      </c>
      <c r="BW27" s="215"/>
      <c r="BZ27" s="111"/>
      <c r="CA27" s="15"/>
      <c r="CB27" s="15"/>
      <c r="CC27" s="15"/>
      <c r="CD27" s="15"/>
      <c r="CE27" s="178"/>
      <c r="CF27" s="15"/>
      <c r="CG27" s="15"/>
      <c r="CH27" s="26"/>
      <c r="CI27" s="26"/>
      <c r="CJ27" s="171" t="s">
        <v>17</v>
      </c>
      <c r="CK27" s="12">
        <f>CK26+1</f>
        <v>14</v>
      </c>
      <c r="CL27" s="13" t="s">
        <v>109</v>
      </c>
      <c r="CM27" s="13"/>
      <c r="CN27" s="13"/>
      <c r="CO27" s="96">
        <f>+CO26+CO24</f>
        <v>46983287.488444835</v>
      </c>
      <c r="CP27" s="917">
        <f>+CP26+CP24</f>
        <v>48167014.4898268</v>
      </c>
      <c r="CQ27" s="917">
        <f>CP27-CO27</f>
        <v>1183727.0013819635</v>
      </c>
      <c r="CR27" s="12">
        <f t="shared" si="10"/>
        <v>14</v>
      </c>
      <c r="CS27" s="238" t="s">
        <v>186</v>
      </c>
      <c r="CT27" s="238"/>
      <c r="CU27" s="924"/>
      <c r="CV27" s="924">
        <f>SUM(CU25:CU26)</f>
        <v>699379.0867322322</v>
      </c>
      <c r="CW27" s="274"/>
      <c r="DL27" s="12"/>
      <c r="DM27" s="81"/>
      <c r="DN27" s="417"/>
      <c r="DO27" s="417"/>
      <c r="DP27" s="417"/>
      <c r="DQ27" s="372"/>
    </row>
    <row r="28" spans="1:165" ht="14.25" customHeight="1" thickBot="1" thickTop="1">
      <c r="A28" s="12">
        <f t="shared" si="11"/>
        <v>15</v>
      </c>
      <c r="B28" s="613">
        <v>40543</v>
      </c>
      <c r="C28" s="615">
        <v>146682208</v>
      </c>
      <c r="D28" s="615">
        <v>159387099</v>
      </c>
      <c r="E28" s="616">
        <f t="shared" si="19"/>
        <v>12704891</v>
      </c>
      <c r="G28" s="12">
        <f t="shared" si="0"/>
        <v>15</v>
      </c>
      <c r="H28" s="217"/>
      <c r="I28" s="217"/>
      <c r="J28" s="260"/>
      <c r="K28" s="730">
        <f>J27</f>
        <v>10718138.27052087</v>
      </c>
      <c r="L28" s="383">
        <f t="shared" si="12"/>
        <v>15</v>
      </c>
      <c r="M28" s="385" t="s">
        <v>260</v>
      </c>
      <c r="N28" s="18"/>
      <c r="O28" s="18"/>
      <c r="P28" s="12">
        <f t="shared" si="21"/>
        <v>15</v>
      </c>
      <c r="R28" s="18"/>
      <c r="S28" s="18"/>
      <c r="T28" s="117"/>
      <c r="U28" s="12"/>
      <c r="X28" s="18"/>
      <c r="Y28" s="67"/>
      <c r="AD28" s="12">
        <v>15</v>
      </c>
      <c r="AE28" s="380" t="s">
        <v>499</v>
      </c>
      <c r="AF28" s="696">
        <v>0</v>
      </c>
      <c r="AG28" s="696">
        <f>-AG27*0.35</f>
        <v>60882.187183520546</v>
      </c>
      <c r="AH28" s="697">
        <f>AG28-AF28</f>
        <v>60882.187183520546</v>
      </c>
      <c r="AI28" s="12">
        <f t="shared" si="1"/>
        <v>15</v>
      </c>
      <c r="AJ28" s="423" t="s">
        <v>75</v>
      </c>
      <c r="AK28" s="402"/>
      <c r="AL28" s="402"/>
      <c r="AM28" s="543">
        <f>-AM22-AM23</f>
        <v>-54309.81827933407</v>
      </c>
      <c r="AN28" s="44">
        <f t="shared" si="2"/>
        <v>15</v>
      </c>
      <c r="AO28" s="114" t="s">
        <v>133</v>
      </c>
      <c r="AS28" s="16">
        <v>0.35</v>
      </c>
      <c r="AT28" s="684">
        <f>ROUND(-AT26*AS28,0)</f>
        <v>847770</v>
      </c>
      <c r="AU28" s="12">
        <f t="shared" si="3"/>
        <v>15</v>
      </c>
      <c r="AW28" s="51"/>
      <c r="AX28" s="51"/>
      <c r="AY28" s="211"/>
      <c r="BF28" s="36"/>
      <c r="BG28" s="25"/>
      <c r="BH28" s="20"/>
      <c r="BN28" s="77"/>
      <c r="BO28" s="47"/>
      <c r="BP28" s="47"/>
      <c r="BQ28" s="243"/>
      <c r="BR28" s="201"/>
      <c r="BS28" s="44"/>
      <c r="CA28" s="111"/>
      <c r="CB28" s="111"/>
      <c r="CC28" s="111"/>
      <c r="CD28" s="111"/>
      <c r="CE28" s="111"/>
      <c r="CF28" s="15"/>
      <c r="CG28" s="15"/>
      <c r="CH28" s="26"/>
      <c r="CI28" s="26"/>
      <c r="CJ28" s="171" t="s">
        <v>17</v>
      </c>
      <c r="CK28" s="12">
        <f>CK27+1</f>
        <v>15</v>
      </c>
      <c r="CL28" s="13"/>
      <c r="CM28" s="13"/>
      <c r="CN28" s="13"/>
      <c r="CO28" s="74"/>
      <c r="CP28" s="919"/>
      <c r="CQ28" s="919"/>
      <c r="CR28" s="12">
        <f t="shared" si="10"/>
        <v>15</v>
      </c>
      <c r="CS28" s="263"/>
      <c r="CT28" s="263"/>
      <c r="CU28" s="667"/>
      <c r="CV28" s="667"/>
      <c r="DL28" s="77"/>
      <c r="DQ28" s="375"/>
      <c r="FI28" s="81"/>
    </row>
    <row r="29" spans="1:165" s="81" customFormat="1" ht="15" thickBot="1" thickTop="1">
      <c r="A29" s="12">
        <f t="shared" si="11"/>
        <v>16</v>
      </c>
      <c r="B29" s="217"/>
      <c r="C29" s="617">
        <f>ROUND(SUM(C17:C28),0)</f>
        <v>1056630543</v>
      </c>
      <c r="D29" s="617">
        <f>ROUND(SUM(D17:D28),0)</f>
        <v>1089556625</v>
      </c>
      <c r="E29" s="617">
        <f>ROUND(SUM(E17:E28),0)</f>
        <v>32926082</v>
      </c>
      <c r="F29" s="3"/>
      <c r="G29" s="12">
        <f t="shared" si="0"/>
        <v>16</v>
      </c>
      <c r="H29" s="217" t="s">
        <v>244</v>
      </c>
      <c r="I29" s="217"/>
      <c r="J29" s="217"/>
      <c r="K29" s="217"/>
      <c r="L29" s="383">
        <f t="shared" si="12"/>
        <v>16</v>
      </c>
      <c r="M29" s="213" t="s">
        <v>264</v>
      </c>
      <c r="N29" s="18"/>
      <c r="O29" s="24">
        <v>-3337444</v>
      </c>
      <c r="P29" s="12">
        <f t="shared" si="21"/>
        <v>16</v>
      </c>
      <c r="Q29" s="81" t="s">
        <v>89</v>
      </c>
      <c r="R29" s="118"/>
      <c r="S29" s="620"/>
      <c r="T29" s="119">
        <f>SUM(T24:T27)</f>
        <v>12136346.291000001</v>
      </c>
      <c r="U29" s="12"/>
      <c r="V29" s="3"/>
      <c r="W29" s="3"/>
      <c r="X29" s="430"/>
      <c r="Y29" s="67"/>
      <c r="AD29" s="12">
        <v>16</v>
      </c>
      <c r="AE29" s="378" t="s">
        <v>404</v>
      </c>
      <c r="AF29" s="708">
        <f>SUM(AF27:AF28)</f>
        <v>0</v>
      </c>
      <c r="AG29" s="708">
        <f>SUM(AG27:AG28)</f>
        <v>-113066.91905510958</v>
      </c>
      <c r="AH29" s="708">
        <f>SUM(AH27:AH28)</f>
        <v>-113066.91905510958</v>
      </c>
      <c r="AI29" s="12"/>
      <c r="AJ29" s="217"/>
      <c r="AK29" s="370"/>
      <c r="AL29" s="370"/>
      <c r="AM29" s="370"/>
      <c r="AN29" s="44">
        <f t="shared" si="2"/>
        <v>16</v>
      </c>
      <c r="AO29" s="114" t="s">
        <v>75</v>
      </c>
      <c r="AP29" s="3"/>
      <c r="AQ29" s="3"/>
      <c r="AR29" s="3"/>
      <c r="AS29" s="3"/>
      <c r="AT29" s="396">
        <f>-AT26-AT28</f>
        <v>1574431</v>
      </c>
      <c r="AU29" s="12">
        <f t="shared" si="3"/>
        <v>16</v>
      </c>
      <c r="AV29" s="3" t="s">
        <v>153</v>
      </c>
      <c r="AW29" s="51"/>
      <c r="AX29" s="51"/>
      <c r="AY29" s="387">
        <f>AY27</f>
        <v>-379415.65198427474</v>
      </c>
      <c r="BD29" s="84"/>
      <c r="BH29" s="84"/>
      <c r="BN29" s="12"/>
      <c r="BO29" s="47"/>
      <c r="BP29" s="47"/>
      <c r="BQ29" s="47"/>
      <c r="BR29" s="173"/>
      <c r="BS29" s="44"/>
      <c r="BT29" s="51"/>
      <c r="BU29" s="51"/>
      <c r="BV29" s="51"/>
      <c r="BW29" s="3"/>
      <c r="BX29" s="3"/>
      <c r="BY29" s="3"/>
      <c r="BZ29" s="3"/>
      <c r="CF29" s="111"/>
      <c r="CG29" s="111"/>
      <c r="CH29" s="111"/>
      <c r="CI29" s="111"/>
      <c r="CJ29" s="3"/>
      <c r="CK29" s="12">
        <f>CK28+1</f>
        <v>16</v>
      </c>
      <c r="CL29" s="78" t="s">
        <v>153</v>
      </c>
      <c r="CM29" s="78"/>
      <c r="CN29" s="78"/>
      <c r="CO29" s="76"/>
      <c r="CP29" s="920"/>
      <c r="CQ29" s="921">
        <f>CQ27</f>
        <v>1183727.0013819635</v>
      </c>
      <c r="CR29" s="12">
        <f t="shared" si="10"/>
        <v>16</v>
      </c>
      <c r="CS29" s="448" t="s">
        <v>187</v>
      </c>
      <c r="CT29" s="80"/>
      <c r="CU29" s="667"/>
      <c r="CV29" s="667"/>
      <c r="DL29" s="12"/>
      <c r="DQ29" s="373"/>
      <c r="FI29" s="3"/>
    </row>
    <row r="30" spans="1:121" ht="14.25" thickTop="1">
      <c r="A30" s="12">
        <f t="shared" si="11"/>
        <v>17</v>
      </c>
      <c r="B30" s="217"/>
      <c r="C30" s="210"/>
      <c r="D30" s="720"/>
      <c r="E30" s="217"/>
      <c r="G30" s="12">
        <f t="shared" si="0"/>
        <v>17</v>
      </c>
      <c r="H30" s="217"/>
      <c r="I30" s="217"/>
      <c r="J30" s="361"/>
      <c r="K30" s="217"/>
      <c r="L30" s="383">
        <f t="shared" si="12"/>
        <v>17</v>
      </c>
      <c r="M30" s="213" t="s">
        <v>265</v>
      </c>
      <c r="N30" s="18"/>
      <c r="O30" s="24">
        <v>-14771682</v>
      </c>
      <c r="P30" s="12">
        <f t="shared" si="21"/>
        <v>17</v>
      </c>
      <c r="S30" s="261"/>
      <c r="T30" s="100"/>
      <c r="U30" s="83"/>
      <c r="V30" s="26"/>
      <c r="W30" s="258"/>
      <c r="X30" s="210"/>
      <c r="Y30" s="67"/>
      <c r="AA30" s="202"/>
      <c r="AB30" s="47"/>
      <c r="AC30" s="51"/>
      <c r="AI30" s="12"/>
      <c r="AJ30" s="217"/>
      <c r="AK30" s="402"/>
      <c r="AL30" s="402"/>
      <c r="AM30" s="403"/>
      <c r="AN30" s="274"/>
      <c r="AU30" s="12">
        <f t="shared" si="3"/>
        <v>17</v>
      </c>
      <c r="AZ30" s="25"/>
      <c r="BE30" s="25"/>
      <c r="BN30" s="12"/>
      <c r="BO30" s="2"/>
      <c r="BP30" s="2"/>
      <c r="BQ30" s="2"/>
      <c r="BR30" s="2"/>
      <c r="BS30" s="44"/>
      <c r="CE30" s="15"/>
      <c r="CF30" s="81"/>
      <c r="CG30" s="81"/>
      <c r="CH30" s="81"/>
      <c r="CI30" s="81"/>
      <c r="CJ30" s="81"/>
      <c r="CK30" s="12">
        <f>CK29+1</f>
        <v>17</v>
      </c>
      <c r="CL30" s="13" t="s">
        <v>133</v>
      </c>
      <c r="CM30" s="13" t="s">
        <v>152</v>
      </c>
      <c r="CN30" s="168">
        <f>_FEDERAL_INCOME_TAX</f>
        <v>0.35</v>
      </c>
      <c r="CO30" s="74"/>
      <c r="CP30" s="919"/>
      <c r="CQ30" s="918">
        <f>-CQ29*CN30</f>
        <v>-414304.4504836872</v>
      </c>
      <c r="CR30" s="12">
        <f t="shared" si="10"/>
        <v>17</v>
      </c>
      <c r="CS30" s="213" t="s">
        <v>188</v>
      </c>
      <c r="CT30" s="262"/>
      <c r="CU30" s="667">
        <v>454648.27683800005</v>
      </c>
      <c r="CV30" s="667"/>
      <c r="CZ30" s="178"/>
      <c r="DL30" s="12"/>
      <c r="DP30" s="439"/>
      <c r="DQ30" s="374"/>
    </row>
    <row r="31" spans="1:121" ht="14.25" thickBot="1">
      <c r="A31" s="12">
        <f t="shared" si="11"/>
        <v>18</v>
      </c>
      <c r="B31" s="217" t="s">
        <v>222</v>
      </c>
      <c r="C31" s="435" t="s">
        <v>393</v>
      </c>
      <c r="D31" s="211"/>
      <c r="E31" s="554">
        <v>23283584.670949817</v>
      </c>
      <c r="F31" s="217"/>
      <c r="G31" s="12">
        <f t="shared" si="0"/>
        <v>18</v>
      </c>
      <c r="H31" s="213" t="s">
        <v>2</v>
      </c>
      <c r="I31" s="217"/>
      <c r="J31" s="258"/>
      <c r="K31" s="217"/>
      <c r="L31" s="383">
        <f t="shared" si="12"/>
        <v>18</v>
      </c>
      <c r="M31" s="213" t="s">
        <v>239</v>
      </c>
      <c r="N31" s="18"/>
      <c r="O31" s="24">
        <v>58642444</v>
      </c>
      <c r="P31" s="12">
        <f t="shared" si="21"/>
        <v>18</v>
      </c>
      <c r="Q31" s="13" t="s">
        <v>81</v>
      </c>
      <c r="R31" s="13"/>
      <c r="S31" s="13"/>
      <c r="T31" s="29">
        <f>T17-T24</f>
        <v>-16846706.551784992</v>
      </c>
      <c r="U31" s="12"/>
      <c r="W31" s="258"/>
      <c r="X31" s="429"/>
      <c r="AI31" s="12"/>
      <c r="AJ31" s="217"/>
      <c r="AK31" s="257"/>
      <c r="AL31" s="257"/>
      <c r="AM31" s="370"/>
      <c r="AS31" s="673"/>
      <c r="AU31" s="12">
        <f t="shared" si="3"/>
        <v>18</v>
      </c>
      <c r="AV31" s="13" t="s">
        <v>70</v>
      </c>
      <c r="AW31" s="51"/>
      <c r="AX31" s="388">
        <f>_FEDERAL_INCOME_TAX</f>
        <v>0.35</v>
      </c>
      <c r="AY31" s="700">
        <f>ROUND(-AY29*AX31,0)</f>
        <v>132795</v>
      </c>
      <c r="AZ31" s="20"/>
      <c r="BE31" s="20"/>
      <c r="BS31" s="44"/>
      <c r="CC31" s="8"/>
      <c r="CD31" s="133"/>
      <c r="CE31" s="15"/>
      <c r="CK31" s="12">
        <f>CK30+1</f>
        <v>18</v>
      </c>
      <c r="CL31" s="13" t="s">
        <v>75</v>
      </c>
      <c r="CM31" s="13"/>
      <c r="CN31" s="13"/>
      <c r="CP31" s="443"/>
      <c r="CQ31" s="922">
        <f>-CQ29-CQ30</f>
        <v>-769422.5508982763</v>
      </c>
      <c r="CR31" s="12">
        <f t="shared" si="10"/>
        <v>18</v>
      </c>
      <c r="CS31" s="263" t="s">
        <v>189</v>
      </c>
      <c r="CT31" s="925">
        <v>0.022624999999999895</v>
      </c>
      <c r="CU31" s="923">
        <f>+CU30*CT31</f>
        <v>10286.417263459703</v>
      </c>
      <c r="CV31" s="924"/>
      <c r="DQ31" s="133"/>
    </row>
    <row r="32" spans="1:120" ht="14.25" customHeight="1" thickBot="1" thickTop="1">
      <c r="A32" s="12">
        <f t="shared" si="11"/>
        <v>19</v>
      </c>
      <c r="B32" s="217"/>
      <c r="C32" s="618" t="s">
        <v>341</v>
      </c>
      <c r="D32" s="51"/>
      <c r="E32" s="682">
        <v>8285263.291077592</v>
      </c>
      <c r="F32" s="217"/>
      <c r="G32" s="12">
        <f t="shared" si="0"/>
        <v>19</v>
      </c>
      <c r="H32" s="367" t="s">
        <v>245</v>
      </c>
      <c r="I32" s="217"/>
      <c r="J32" s="258"/>
      <c r="K32" s="217"/>
      <c r="L32" s="383">
        <f t="shared" si="12"/>
        <v>19</v>
      </c>
      <c r="M32" s="213" t="s">
        <v>428</v>
      </c>
      <c r="N32" s="18"/>
      <c r="O32" s="24">
        <v>-42108850</v>
      </c>
      <c r="P32" s="12">
        <f t="shared" si="21"/>
        <v>19</v>
      </c>
      <c r="Q32" s="13" t="s">
        <v>90</v>
      </c>
      <c r="T32" s="688">
        <f>(T18+T19)-(T25+T26)</f>
        <v>45680807.810784996</v>
      </c>
      <c r="U32" s="12"/>
      <c r="W32" s="258"/>
      <c r="X32" s="429"/>
      <c r="AA32" s="26"/>
      <c r="AB32" s="26"/>
      <c r="AI32" s="12"/>
      <c r="AJ32" s="213"/>
      <c r="AK32" s="356"/>
      <c r="AL32" s="356"/>
      <c r="AM32" s="397"/>
      <c r="AU32" s="12">
        <f t="shared" si="3"/>
        <v>19</v>
      </c>
      <c r="AV32" s="13" t="s">
        <v>73</v>
      </c>
      <c r="AW32" s="13"/>
      <c r="AY32" s="273">
        <f>-AY29-AY31</f>
        <v>246620.65198427474</v>
      </c>
      <c r="BS32" s="44"/>
      <c r="CC32" s="14"/>
      <c r="CD32" s="133"/>
      <c r="CE32" s="15"/>
      <c r="CR32" s="12">
        <f>CR31+1</f>
        <v>19</v>
      </c>
      <c r="CS32" s="238" t="s">
        <v>190</v>
      </c>
      <c r="CT32" s="238"/>
      <c r="CU32" s="924"/>
      <c r="CV32" s="923">
        <f>SUM(CU30:CU31)</f>
        <v>464934.69410145975</v>
      </c>
      <c r="DL32" s="274"/>
      <c r="DP32" s="178"/>
    </row>
    <row r="33" spans="1:118" ht="14.25" thickTop="1">
      <c r="A33" s="12">
        <f t="shared" si="11"/>
        <v>20</v>
      </c>
      <c r="B33" s="217"/>
      <c r="C33" s="435" t="s">
        <v>232</v>
      </c>
      <c r="D33" s="51"/>
      <c r="E33" s="682">
        <v>759944.1894660043</v>
      </c>
      <c r="F33" s="217"/>
      <c r="G33" s="12">
        <f t="shared" si="0"/>
        <v>20</v>
      </c>
      <c r="H33" s="601" t="s">
        <v>431</v>
      </c>
      <c r="I33" s="217"/>
      <c r="J33" s="54">
        <v>51274.66000000015</v>
      </c>
      <c r="K33" s="217"/>
      <c r="L33" s="383">
        <f t="shared" si="12"/>
        <v>20</v>
      </c>
      <c r="M33" s="217"/>
      <c r="N33" s="18"/>
      <c r="O33" s="18"/>
      <c r="P33" s="12">
        <f aca="true" t="shared" si="22" ref="P33:P38">P32+1</f>
        <v>20</v>
      </c>
      <c r="Q33" s="3" t="s">
        <v>92</v>
      </c>
      <c r="T33" s="30">
        <f>T20-T27</f>
        <v>0</v>
      </c>
      <c r="U33" s="12"/>
      <c r="W33" s="431"/>
      <c r="X33" s="429"/>
      <c r="Y33" s="67"/>
      <c r="AI33" s="395"/>
      <c r="AJ33" s="213"/>
      <c r="AK33" s="356"/>
      <c r="AL33" s="356"/>
      <c r="AM33" s="257"/>
      <c r="BS33" s="44"/>
      <c r="CE33" s="15"/>
      <c r="CK33" s="274"/>
      <c r="CR33" s="12">
        <f t="shared" si="10"/>
        <v>20</v>
      </c>
      <c r="CS33" s="263"/>
      <c r="CT33" s="263"/>
      <c r="CU33" s="667"/>
      <c r="CV33" s="667"/>
      <c r="DN33" s="2"/>
    </row>
    <row r="34" spans="1:165" ht="14.25" thickBot="1">
      <c r="A34" s="12">
        <f t="shared" si="11"/>
        <v>21</v>
      </c>
      <c r="B34" s="217"/>
      <c r="C34" s="435" t="s">
        <v>449</v>
      </c>
      <c r="D34" s="51"/>
      <c r="E34" s="682">
        <v>2198.3353042562376</v>
      </c>
      <c r="F34" s="217"/>
      <c r="G34" s="12">
        <f t="shared" si="0"/>
        <v>21</v>
      </c>
      <c r="H34" s="601" t="s">
        <v>505</v>
      </c>
      <c r="I34" s="217"/>
      <c r="J34" s="54">
        <v>381349.9099999983</v>
      </c>
      <c r="K34" s="217"/>
      <c r="L34" s="383">
        <f t="shared" si="12"/>
        <v>21</v>
      </c>
      <c r="M34" s="18" t="s">
        <v>177</v>
      </c>
      <c r="N34" s="18"/>
      <c r="O34" s="404">
        <f>SUM(O29:O33)</f>
        <v>-1575532</v>
      </c>
      <c r="P34" s="12">
        <f t="shared" si="22"/>
        <v>21</v>
      </c>
      <c r="Q34" s="13" t="s">
        <v>93</v>
      </c>
      <c r="R34" s="13"/>
      <c r="S34" s="13"/>
      <c r="T34" s="276">
        <f>-SUM(T31:T33)</f>
        <v>-28834101.259000003</v>
      </c>
      <c r="U34" s="12"/>
      <c r="W34" s="121"/>
      <c r="X34" s="18"/>
      <c r="Y34" s="67"/>
      <c r="Z34" s="203"/>
      <c r="AA34" s="73"/>
      <c r="AB34" s="2"/>
      <c r="AI34" s="395"/>
      <c r="AJ34" s="213"/>
      <c r="AK34" s="356"/>
      <c r="AL34" s="356"/>
      <c r="AM34" s="257"/>
      <c r="AU34" s="274"/>
      <c r="AX34" s="64"/>
      <c r="BS34" s="44"/>
      <c r="BW34" s="36"/>
      <c r="BX34" s="36"/>
      <c r="BY34" s="36"/>
      <c r="BZ34" s="36"/>
      <c r="CE34" s="15"/>
      <c r="CR34" s="12">
        <f t="shared" si="10"/>
        <v>21</v>
      </c>
      <c r="CS34" s="449" t="s">
        <v>37</v>
      </c>
      <c r="CT34" s="265"/>
      <c r="CU34" s="667"/>
      <c r="CV34" s="667"/>
      <c r="DQ34" s="26"/>
      <c r="FI34" s="26"/>
    </row>
    <row r="35" spans="1:165" s="26" customFormat="1" ht="14.25" thickTop="1">
      <c r="A35" s="12">
        <f t="shared" si="11"/>
        <v>22</v>
      </c>
      <c r="B35" s="217"/>
      <c r="C35" s="435" t="s">
        <v>231</v>
      </c>
      <c r="D35" s="51"/>
      <c r="E35" s="682">
        <v>253251.46997000158</v>
      </c>
      <c r="F35" s="217"/>
      <c r="G35" s="12">
        <f t="shared" si="0"/>
        <v>22</v>
      </c>
      <c r="H35" s="380" t="s">
        <v>241</v>
      </c>
      <c r="I35" s="217"/>
      <c r="J35" s="54">
        <v>66948.07000000123</v>
      </c>
      <c r="K35" s="361"/>
      <c r="L35" s="383">
        <f t="shared" si="12"/>
        <v>22</v>
      </c>
      <c r="M35" s="18"/>
      <c r="N35" s="18"/>
      <c r="O35" s="386"/>
      <c r="P35" s="12">
        <f t="shared" si="22"/>
        <v>22</v>
      </c>
      <c r="Q35" s="13"/>
      <c r="R35" s="16"/>
      <c r="S35" s="70"/>
      <c r="T35" s="117"/>
      <c r="U35" s="12"/>
      <c r="V35" s="3"/>
      <c r="W35" s="121"/>
      <c r="X35" s="18"/>
      <c r="Y35" s="67"/>
      <c r="Z35" s="3"/>
      <c r="AA35" s="3"/>
      <c r="AB35" s="3"/>
      <c r="AC35" s="3"/>
      <c r="AI35" s="12"/>
      <c r="AJ35" s="213"/>
      <c r="AK35" s="356"/>
      <c r="AM35" s="257"/>
      <c r="AU35" s="3"/>
      <c r="AV35" s="3"/>
      <c r="AW35" s="3"/>
      <c r="AX35" s="2"/>
      <c r="AY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44"/>
      <c r="BT35" s="51"/>
      <c r="BU35" s="51"/>
      <c r="BV35" s="51"/>
      <c r="BW35" s="35"/>
      <c r="BX35" s="35"/>
      <c r="BY35" s="35"/>
      <c r="BZ35" s="35"/>
      <c r="CE35" s="188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12">
        <f t="shared" si="10"/>
        <v>22</v>
      </c>
      <c r="CS35" s="266" t="s">
        <v>360</v>
      </c>
      <c r="CT35" s="262"/>
      <c r="CU35" s="667"/>
      <c r="CV35" s="924">
        <f>+CV17+CV27+CV32+CV22</f>
        <v>3928621.0095472694</v>
      </c>
      <c r="CZ35" s="178"/>
      <c r="DQ35" s="3"/>
      <c r="FI35" s="3"/>
    </row>
    <row r="36" spans="1:100" ht="14.25" customHeight="1">
      <c r="A36" s="12">
        <f t="shared" si="11"/>
        <v>23</v>
      </c>
      <c r="B36" s="217"/>
      <c r="C36" s="435" t="s">
        <v>233</v>
      </c>
      <c r="D36" s="51"/>
      <c r="E36" s="682">
        <v>302794.3715500012</v>
      </c>
      <c r="F36" s="217"/>
      <c r="G36" s="12">
        <f t="shared" si="0"/>
        <v>23</v>
      </c>
      <c r="H36" s="367" t="s">
        <v>2</v>
      </c>
      <c r="I36" s="258"/>
      <c r="J36" s="30"/>
      <c r="K36" s="361"/>
      <c r="L36" s="383">
        <f t="shared" si="12"/>
        <v>23</v>
      </c>
      <c r="M36" s="18" t="s">
        <v>266</v>
      </c>
      <c r="N36" s="18"/>
      <c r="O36" s="24">
        <f>-O20-O26-O34</f>
        <v>238036.95984999998</v>
      </c>
      <c r="P36" s="12">
        <f t="shared" si="22"/>
        <v>23</v>
      </c>
      <c r="Q36" s="619" t="s">
        <v>456</v>
      </c>
      <c r="R36" s="70"/>
      <c r="S36" s="70"/>
      <c r="T36" s="117"/>
      <c r="U36" s="12"/>
      <c r="W36" s="121"/>
      <c r="X36" s="18"/>
      <c r="Y36" s="67"/>
      <c r="AD36" s="274"/>
      <c r="AI36" s="12"/>
      <c r="AJ36" s="213"/>
      <c r="AK36" s="356"/>
      <c r="AL36" s="356"/>
      <c r="AM36" s="397"/>
      <c r="AY36" s="30"/>
      <c r="BD36" s="178"/>
      <c r="BH36" s="178"/>
      <c r="BN36" s="36"/>
      <c r="BO36" s="36"/>
      <c r="BP36" s="36"/>
      <c r="BQ36" s="36"/>
      <c r="BR36" s="36"/>
      <c r="BS36" s="44"/>
      <c r="BT36" s="64"/>
      <c r="BU36" s="64"/>
      <c r="BV36" s="64"/>
      <c r="BW36" s="35"/>
      <c r="BX36" s="35"/>
      <c r="BY36" s="35"/>
      <c r="BZ36" s="35"/>
      <c r="CE36" s="15"/>
      <c r="CF36" s="26"/>
      <c r="CG36" s="26"/>
      <c r="CH36" s="26"/>
      <c r="CI36" s="26"/>
      <c r="CR36" s="12">
        <f t="shared" si="10"/>
        <v>23</v>
      </c>
      <c r="CS36" s="266" t="s">
        <v>115</v>
      </c>
      <c r="CT36" s="246">
        <v>0.6056</v>
      </c>
      <c r="CU36" s="667"/>
      <c r="CV36" s="924">
        <f>+CV35*CT36</f>
        <v>2379172.8833818263</v>
      </c>
    </row>
    <row r="37" spans="1:104" ht="14.25" customHeight="1">
      <c r="A37" s="12">
        <f t="shared" si="11"/>
        <v>24</v>
      </c>
      <c r="B37" s="217"/>
      <c r="C37" s="618" t="s">
        <v>234</v>
      </c>
      <c r="D37" s="51"/>
      <c r="E37" s="682">
        <v>353348.3100000024</v>
      </c>
      <c r="F37" s="217"/>
      <c r="G37" s="12">
        <f t="shared" si="0"/>
        <v>24</v>
      </c>
      <c r="H37" s="380" t="s">
        <v>250</v>
      </c>
      <c r="I37" s="258"/>
      <c r="J37" s="30"/>
      <c r="K37" s="361"/>
      <c r="L37" s="383">
        <f t="shared" si="12"/>
        <v>24</v>
      </c>
      <c r="M37" s="3" t="s">
        <v>133</v>
      </c>
      <c r="O37" s="24">
        <f>O36*0.35</f>
        <v>83312.9359475</v>
      </c>
      <c r="P37" s="12">
        <f t="shared" si="22"/>
        <v>24</v>
      </c>
      <c r="Q37" s="3" t="s">
        <v>519</v>
      </c>
      <c r="T37" s="30"/>
      <c r="U37" s="12"/>
      <c r="W37" s="121"/>
      <c r="X37" s="18"/>
      <c r="Y37" s="67"/>
      <c r="AI37" s="12"/>
      <c r="AJ37" s="213"/>
      <c r="AK37" s="356"/>
      <c r="AL37" s="356"/>
      <c r="AM37" s="257"/>
      <c r="AU37" s="36"/>
      <c r="BI37" s="36"/>
      <c r="BJ37" s="36"/>
      <c r="BK37" s="36"/>
      <c r="BL37" s="36"/>
      <c r="BM37" s="36"/>
      <c r="BN37" s="35"/>
      <c r="BO37" s="35"/>
      <c r="BP37" s="35"/>
      <c r="BQ37" s="35"/>
      <c r="BR37" s="35"/>
      <c r="BS37" s="44"/>
      <c r="BT37" s="64"/>
      <c r="BU37" s="64"/>
      <c r="BV37" s="64"/>
      <c r="BW37" s="6"/>
      <c r="BX37" s="6"/>
      <c r="BY37" s="6"/>
      <c r="BZ37" s="6"/>
      <c r="CE37" s="15"/>
      <c r="CR37" s="12">
        <f t="shared" si="10"/>
        <v>24</v>
      </c>
      <c r="CS37" s="213" t="s">
        <v>516</v>
      </c>
      <c r="CT37" s="16"/>
      <c r="CU37" s="667"/>
      <c r="CV37" s="704">
        <f>(CU15+CU20+CU25+CU30)*CT36</f>
        <v>2316691.4809684465</v>
      </c>
      <c r="CW37" s="72"/>
      <c r="CX37" s="2"/>
      <c r="CZ37" s="36"/>
    </row>
    <row r="38" spans="1:100" ht="14.25" customHeight="1" thickBot="1">
      <c r="A38" s="12">
        <f t="shared" si="11"/>
        <v>25</v>
      </c>
      <c r="B38" s="217"/>
      <c r="C38" s="618" t="s">
        <v>419</v>
      </c>
      <c r="D38" s="51"/>
      <c r="E38" s="682">
        <v>12177.270360000432</v>
      </c>
      <c r="F38" s="217"/>
      <c r="G38" s="12">
        <f t="shared" si="0"/>
        <v>25</v>
      </c>
      <c r="H38" s="379" t="s">
        <v>251</v>
      </c>
      <c r="I38" s="258"/>
      <c r="J38" s="54">
        <v>1206882.625</v>
      </c>
      <c r="K38" s="361"/>
      <c r="L38" s="383">
        <f t="shared" si="12"/>
        <v>25</v>
      </c>
      <c r="M38" s="3" t="s">
        <v>75</v>
      </c>
      <c r="O38" s="707">
        <f>O36-O37</f>
        <v>154724.0239025</v>
      </c>
      <c r="P38" s="12">
        <f t="shared" si="22"/>
        <v>25</v>
      </c>
      <c r="Q38" s="3" t="s">
        <v>528</v>
      </c>
      <c r="U38" s="12"/>
      <c r="W38" s="121"/>
      <c r="X38" s="18"/>
      <c r="Y38" s="67"/>
      <c r="AI38" s="12"/>
      <c r="AJ38" s="213"/>
      <c r="AK38" s="356"/>
      <c r="AL38" s="356"/>
      <c r="AM38" s="257"/>
      <c r="AN38" s="3" t="s">
        <v>98</v>
      </c>
      <c r="AU38" s="35"/>
      <c r="AV38" s="36"/>
      <c r="AW38" s="36"/>
      <c r="AX38" s="36"/>
      <c r="AY38" s="36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44"/>
      <c r="BT38" s="64"/>
      <c r="BU38" s="64"/>
      <c r="BV38" s="64"/>
      <c r="BW38" s="35"/>
      <c r="BX38" s="35"/>
      <c r="BY38" s="35"/>
      <c r="BZ38" s="35"/>
      <c r="CE38" s="15"/>
      <c r="CR38" s="12">
        <f t="shared" si="10"/>
        <v>25</v>
      </c>
      <c r="CS38" s="267" t="s">
        <v>62</v>
      </c>
      <c r="CT38" s="268"/>
      <c r="CU38" s="667"/>
      <c r="CV38" s="924">
        <f>CV36-CV37</f>
        <v>62481.40241337987</v>
      </c>
    </row>
    <row r="39" spans="1:100" ht="13.5" thickTop="1">
      <c r="A39" s="12">
        <f t="shared" si="11"/>
        <v>26</v>
      </c>
      <c r="B39" s="217"/>
      <c r="C39" s="618" t="s">
        <v>450</v>
      </c>
      <c r="D39" s="51"/>
      <c r="E39" s="683">
        <v>8880.413889999967</v>
      </c>
      <c r="F39" s="217"/>
      <c r="G39" s="12">
        <f t="shared" si="0"/>
        <v>26</v>
      </c>
      <c r="H39" s="380" t="s">
        <v>412</v>
      </c>
      <c r="I39" s="258"/>
      <c r="J39" s="54">
        <v>-1130625</v>
      </c>
      <c r="U39" s="12"/>
      <c r="W39" s="121"/>
      <c r="X39" s="18"/>
      <c r="Y39" s="67"/>
      <c r="AD39" s="36"/>
      <c r="AI39" s="12"/>
      <c r="AJ39" s="447"/>
      <c r="AK39" s="356"/>
      <c r="AL39" s="356"/>
      <c r="AM39" s="257"/>
      <c r="AU39" s="35"/>
      <c r="AV39" s="35"/>
      <c r="AW39" s="35"/>
      <c r="AX39" s="35"/>
      <c r="AY39" s="35"/>
      <c r="BI39" s="35"/>
      <c r="BJ39" s="35"/>
      <c r="BK39" s="35"/>
      <c r="BL39" s="35"/>
      <c r="BM39" s="35"/>
      <c r="BN39" s="6"/>
      <c r="BO39" s="6"/>
      <c r="BP39" s="6"/>
      <c r="BQ39" s="6"/>
      <c r="BR39" s="6"/>
      <c r="BS39" s="44"/>
      <c r="BT39" s="64"/>
      <c r="BU39" s="64"/>
      <c r="BV39" s="64"/>
      <c r="BW39" s="39"/>
      <c r="BX39" s="39"/>
      <c r="BY39" s="39"/>
      <c r="BZ39" s="39"/>
      <c r="CE39" s="15"/>
      <c r="CR39" s="12">
        <f t="shared" si="10"/>
        <v>26</v>
      </c>
      <c r="CS39" s="263"/>
      <c r="CT39" s="262"/>
      <c r="CU39" s="667"/>
      <c r="CV39" s="667"/>
    </row>
    <row r="40" spans="1:103" ht="13.5">
      <c r="A40" s="12">
        <f t="shared" si="11"/>
        <v>27</v>
      </c>
      <c r="B40" s="217" t="s">
        <v>223</v>
      </c>
      <c r="C40" s="217"/>
      <c r="D40" s="217"/>
      <c r="E40" s="30"/>
      <c r="F40" s="350">
        <f>SUM(E31:E39)</f>
        <v>33261442.322567675</v>
      </c>
      <c r="G40" s="12">
        <f t="shared" si="0"/>
        <v>27</v>
      </c>
      <c r="H40" s="454"/>
      <c r="J40" s="51"/>
      <c r="K40" s="30">
        <f>SUM(J33:J41)</f>
        <v>575830.2649999997</v>
      </c>
      <c r="O40" s="51"/>
      <c r="U40" s="12"/>
      <c r="W40" s="121"/>
      <c r="X40" s="18"/>
      <c r="Y40" s="67"/>
      <c r="AD40" s="35"/>
      <c r="AI40" s="12"/>
      <c r="AJ40" s="213"/>
      <c r="AK40" s="71"/>
      <c r="AL40" s="217"/>
      <c r="AM40" s="397"/>
      <c r="AU40" s="6"/>
      <c r="AV40" s="35"/>
      <c r="AW40" s="35"/>
      <c r="AX40" s="35"/>
      <c r="AY40" s="35"/>
      <c r="BI40" s="6"/>
      <c r="BJ40" s="6"/>
      <c r="BK40" s="6"/>
      <c r="BL40" s="6"/>
      <c r="BM40" s="6"/>
      <c r="BN40" s="35"/>
      <c r="BO40" s="35"/>
      <c r="BP40" s="35"/>
      <c r="BQ40" s="35"/>
      <c r="BR40" s="35"/>
      <c r="BS40" s="44"/>
      <c r="BT40" s="64"/>
      <c r="BU40" s="64"/>
      <c r="BV40" s="64"/>
      <c r="BW40" s="36"/>
      <c r="BX40" s="36"/>
      <c r="BY40" s="36"/>
      <c r="BZ40" s="36"/>
      <c r="CE40" s="15"/>
      <c r="CR40" s="12">
        <f t="shared" si="10"/>
        <v>27</v>
      </c>
      <c r="CS40" s="213" t="s">
        <v>68</v>
      </c>
      <c r="CT40" s="16">
        <f>_FEDERAL_INCOME_TAX</f>
        <v>0.35</v>
      </c>
      <c r="CU40" s="667"/>
      <c r="CV40" s="924">
        <f>ROUND(-CV38*CT40,0)</f>
        <v>-21868</v>
      </c>
      <c r="CX40" s="126"/>
      <c r="CY40" s="126"/>
    </row>
    <row r="41" spans="1:103" ht="14.25" customHeight="1" thickBot="1">
      <c r="A41" s="12">
        <f t="shared" si="11"/>
        <v>28</v>
      </c>
      <c r="B41" s="361"/>
      <c r="C41" s="210"/>
      <c r="D41" s="720"/>
      <c r="E41" s="217"/>
      <c r="F41" s="217"/>
      <c r="G41" s="12">
        <f t="shared" si="0"/>
        <v>28</v>
      </c>
      <c r="H41" s="217" t="s">
        <v>246</v>
      </c>
      <c r="I41" s="258"/>
      <c r="J41" s="381"/>
      <c r="K41" s="685"/>
      <c r="U41" s="12"/>
      <c r="W41" s="121"/>
      <c r="X41" s="18"/>
      <c r="Y41" s="67"/>
      <c r="AD41" s="35"/>
      <c r="AE41" s="35"/>
      <c r="AF41" s="35"/>
      <c r="AG41" s="35"/>
      <c r="AH41" s="35"/>
      <c r="AI41" s="12"/>
      <c r="AJ41" s="213"/>
      <c r="AK41" s="400"/>
      <c r="AL41" s="400"/>
      <c r="AM41" s="257"/>
      <c r="AU41" s="35"/>
      <c r="AV41" s="6"/>
      <c r="AW41" s="6"/>
      <c r="AX41" s="6"/>
      <c r="AY41" s="6"/>
      <c r="BI41" s="35"/>
      <c r="BJ41" s="35"/>
      <c r="BK41" s="35"/>
      <c r="BL41" s="35"/>
      <c r="BM41" s="35"/>
      <c r="BN41" s="39"/>
      <c r="BO41" s="39"/>
      <c r="BP41" s="39"/>
      <c r="BQ41" s="39"/>
      <c r="BR41" s="39"/>
      <c r="BS41" s="44"/>
      <c r="BW41" s="123"/>
      <c r="BX41" s="123"/>
      <c r="BY41" s="123"/>
      <c r="BZ41" s="123"/>
      <c r="CR41" s="12">
        <f t="shared" si="10"/>
        <v>28</v>
      </c>
      <c r="CS41" s="213" t="s">
        <v>75</v>
      </c>
      <c r="CT41" s="262"/>
      <c r="CU41" s="262"/>
      <c r="CV41" s="926">
        <f>-CV38-CV40</f>
        <v>-40613.40241337987</v>
      </c>
      <c r="CW41" s="128"/>
      <c r="CX41" s="123"/>
      <c r="CY41" s="123"/>
    </row>
    <row r="42" spans="1:104" ht="14.25" customHeight="1" thickTop="1">
      <c r="A42" s="12">
        <f t="shared" si="11"/>
        <v>29</v>
      </c>
      <c r="B42" s="432" t="s">
        <v>273</v>
      </c>
      <c r="C42" s="361"/>
      <c r="D42" s="358"/>
      <c r="E42" s="177"/>
      <c r="F42" s="217"/>
      <c r="G42" s="12">
        <f t="shared" si="0"/>
        <v>29</v>
      </c>
      <c r="H42" s="361"/>
      <c r="I42" s="361"/>
      <c r="J42" s="64"/>
      <c r="K42" s="730">
        <f>SUM(K15:K41)</f>
        <v>11293968.53552087</v>
      </c>
      <c r="U42" s="12"/>
      <c r="W42" s="121"/>
      <c r="X42" s="18"/>
      <c r="Y42" s="67"/>
      <c r="AD42" s="6"/>
      <c r="AE42" s="39"/>
      <c r="AF42" s="39"/>
      <c r="AG42" s="39"/>
      <c r="AH42" s="39"/>
      <c r="AI42" s="12"/>
      <c r="AJ42" s="213"/>
      <c r="AK42" s="10"/>
      <c r="AL42" s="10"/>
      <c r="AM42" s="397"/>
      <c r="AU42" s="39"/>
      <c r="AV42" s="35"/>
      <c r="AW42" s="35"/>
      <c r="AX42" s="35"/>
      <c r="AY42" s="35"/>
      <c r="BI42" s="39"/>
      <c r="BJ42" s="39"/>
      <c r="BK42" s="39"/>
      <c r="BL42" s="39"/>
      <c r="BM42" s="39"/>
      <c r="BN42" s="36"/>
      <c r="BO42" s="36"/>
      <c r="BP42" s="36"/>
      <c r="BQ42" s="36"/>
      <c r="BR42" s="36"/>
      <c r="BS42" s="44"/>
      <c r="BW42" s="123"/>
      <c r="BX42" s="123"/>
      <c r="BY42" s="123"/>
      <c r="BZ42" s="123"/>
      <c r="CW42" s="128"/>
      <c r="CX42" s="123"/>
      <c r="CY42" s="123"/>
      <c r="CZ42" s="39"/>
    </row>
    <row r="43" spans="1:121" ht="14.25" customHeight="1">
      <c r="A43" s="12">
        <f t="shared" si="11"/>
        <v>30</v>
      </c>
      <c r="B43" s="432" t="s">
        <v>254</v>
      </c>
      <c r="C43" s="361"/>
      <c r="D43" s="358"/>
      <c r="E43" s="555">
        <v>21569842.008104395</v>
      </c>
      <c r="F43" s="217"/>
      <c r="G43" s="12">
        <f t="shared" si="0"/>
        <v>30</v>
      </c>
      <c r="H43" s="217" t="s">
        <v>247</v>
      </c>
      <c r="I43" s="361"/>
      <c r="J43" s="177"/>
      <c r="K43" s="64"/>
      <c r="U43" s="12"/>
      <c r="W43" s="121"/>
      <c r="X43" s="18"/>
      <c r="AD43" s="35"/>
      <c r="AE43" s="36"/>
      <c r="AF43" s="36"/>
      <c r="AG43" s="36"/>
      <c r="AH43" s="36"/>
      <c r="AI43" s="39"/>
      <c r="AK43" s="400"/>
      <c r="AL43" s="400"/>
      <c r="AM43" s="400"/>
      <c r="AU43" s="36"/>
      <c r="AV43" s="39"/>
      <c r="AW43" s="39"/>
      <c r="AX43" s="39"/>
      <c r="AY43" s="39"/>
      <c r="BI43" s="36"/>
      <c r="BJ43" s="36"/>
      <c r="BK43" s="36"/>
      <c r="BL43" s="36"/>
      <c r="BM43" s="36"/>
      <c r="BN43" s="123"/>
      <c r="BO43" s="123"/>
      <c r="BP43" s="123"/>
      <c r="BQ43" s="123"/>
      <c r="BR43" s="123"/>
      <c r="BS43" s="44"/>
      <c r="BW43" s="123"/>
      <c r="BX43" s="123"/>
      <c r="BY43" s="123"/>
      <c r="BZ43" s="123"/>
      <c r="CR43" s="274"/>
      <c r="CW43" s="128"/>
      <c r="CX43" s="123"/>
      <c r="CY43" s="123"/>
      <c r="CZ43" s="36"/>
      <c r="DQ43" s="11"/>
    </row>
    <row r="44" spans="1:121" ht="14.25" customHeight="1">
      <c r="A44" s="12">
        <f t="shared" si="11"/>
        <v>31</v>
      </c>
      <c r="B44" s="361"/>
      <c r="C44" s="361"/>
      <c r="D44" s="358"/>
      <c r="E44" s="177"/>
      <c r="F44" s="30">
        <f>E43</f>
        <v>21569842.008104395</v>
      </c>
      <c r="G44" s="12">
        <f t="shared" si="0"/>
        <v>31</v>
      </c>
      <c r="H44" s="217"/>
      <c r="I44" s="361"/>
      <c r="J44" s="177"/>
      <c r="K44" s="64"/>
      <c r="U44" s="12"/>
      <c r="W44" s="121"/>
      <c r="X44" s="18"/>
      <c r="AD44" s="39"/>
      <c r="AE44" s="123"/>
      <c r="AF44" s="123"/>
      <c r="AG44" s="123"/>
      <c r="AH44" s="123"/>
      <c r="AI44" s="36"/>
      <c r="AJ44" s="39"/>
      <c r="AK44" s="39"/>
      <c r="AL44" s="427"/>
      <c r="AM44" s="39"/>
      <c r="AU44" s="123"/>
      <c r="AV44" s="36"/>
      <c r="AW44" s="36"/>
      <c r="AX44" s="36"/>
      <c r="AY44" s="36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44"/>
      <c r="BT44" s="64"/>
      <c r="BU44" s="64"/>
      <c r="BV44" s="64"/>
      <c r="BW44" s="123"/>
      <c r="BX44" s="123"/>
      <c r="BY44" s="123"/>
      <c r="BZ44" s="123"/>
      <c r="CX44" s="128"/>
      <c r="CY44" s="123"/>
      <c r="CZ44" s="123"/>
      <c r="DQ44" s="92"/>
    </row>
    <row r="45" spans="1:121" ht="14.25" customHeight="1">
      <c r="A45" s="12">
        <f t="shared" si="11"/>
        <v>32</v>
      </c>
      <c r="B45" s="361"/>
      <c r="C45" s="258"/>
      <c r="D45" s="358"/>
      <c r="E45" s="177"/>
      <c r="F45" s="217"/>
      <c r="G45" s="12">
        <f t="shared" si="0"/>
        <v>32</v>
      </c>
      <c r="H45" s="217" t="s">
        <v>253</v>
      </c>
      <c r="I45" s="361"/>
      <c r="J45" s="177"/>
      <c r="K45" s="217"/>
      <c r="U45" s="12"/>
      <c r="W45" s="121"/>
      <c r="X45" s="18"/>
      <c r="AD45" s="36"/>
      <c r="AE45" s="123"/>
      <c r="AF45" s="123"/>
      <c r="AG45" s="123"/>
      <c r="AH45" s="123"/>
      <c r="AI45" s="123"/>
      <c r="AJ45" s="36"/>
      <c r="AK45" s="36"/>
      <c r="AL45" s="428"/>
      <c r="AM45" s="36"/>
      <c r="AU45" s="123"/>
      <c r="AV45" s="123"/>
      <c r="AW45" s="123"/>
      <c r="AX45" s="123"/>
      <c r="AY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44"/>
      <c r="BW45" s="123"/>
      <c r="BX45" s="123"/>
      <c r="BY45" s="123"/>
      <c r="BZ45" s="123"/>
      <c r="CX45" s="128"/>
      <c r="CY45" s="123"/>
      <c r="CZ45" s="123"/>
      <c r="DQ45" s="5"/>
    </row>
    <row r="46" spans="1:121" ht="14.25" customHeight="1">
      <c r="A46" s="12">
        <f t="shared" si="11"/>
        <v>33</v>
      </c>
      <c r="B46" s="213" t="s">
        <v>224</v>
      </c>
      <c r="C46" s="213"/>
      <c r="D46" s="536">
        <f>'MJS-14'!O14</f>
        <v>0.003475</v>
      </c>
      <c r="E46" s="86">
        <f>ROUND(F40*D46,0)</f>
        <v>115584</v>
      </c>
      <c r="F46" s="51"/>
      <c r="G46" s="12">
        <f t="shared" si="0"/>
        <v>33</v>
      </c>
      <c r="H46" s="217" t="s">
        <v>254</v>
      </c>
      <c r="I46" s="217"/>
      <c r="J46" s="350"/>
      <c r="K46" s="217"/>
      <c r="U46" s="12"/>
      <c r="W46" s="121"/>
      <c r="X46" s="18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U46" s="123"/>
      <c r="AV46" s="123"/>
      <c r="AW46" s="123"/>
      <c r="AX46" s="123"/>
      <c r="AY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44"/>
      <c r="BW46" s="123"/>
      <c r="BX46" s="123"/>
      <c r="BY46" s="123"/>
      <c r="BZ46" s="123"/>
      <c r="CX46" s="128"/>
      <c r="CY46" s="123"/>
      <c r="CZ46" s="123"/>
      <c r="DQ46" s="63"/>
    </row>
    <row r="47" spans="1:121" ht="14.25" customHeight="1">
      <c r="A47" s="12">
        <f t="shared" si="11"/>
        <v>34</v>
      </c>
      <c r="B47" s="213" t="s">
        <v>225</v>
      </c>
      <c r="C47" s="213"/>
      <c r="D47" s="536">
        <f>'MJS-14'!$O$15</f>
        <v>0.002</v>
      </c>
      <c r="E47" s="684">
        <f>ROUND(F40*D47,0)</f>
        <v>66523</v>
      </c>
      <c r="F47" s="51"/>
      <c r="G47" s="12">
        <f t="shared" si="0"/>
        <v>34</v>
      </c>
      <c r="H47" s="433" t="s">
        <v>431</v>
      </c>
      <c r="I47" s="217"/>
      <c r="J47" s="350">
        <v>0</v>
      </c>
      <c r="K47" s="217"/>
      <c r="U47" s="12"/>
      <c r="W47" s="121"/>
      <c r="X47" s="18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U47" s="123"/>
      <c r="AV47" s="123"/>
      <c r="AW47" s="123"/>
      <c r="AX47" s="123"/>
      <c r="AY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64"/>
      <c r="BW47" s="123"/>
      <c r="BX47" s="123"/>
      <c r="BY47" s="123"/>
      <c r="BZ47" s="123"/>
      <c r="CV47" s="667"/>
      <c r="CX47" s="128"/>
      <c r="CY47" s="123"/>
      <c r="CZ47" s="123"/>
      <c r="DQ47" s="63"/>
    </row>
    <row r="48" spans="1:121" ht="14.25" customHeight="1">
      <c r="A48" s="12">
        <f t="shared" si="11"/>
        <v>35</v>
      </c>
      <c r="B48" s="359" t="s">
        <v>226</v>
      </c>
      <c r="C48" s="213"/>
      <c r="D48" s="537"/>
      <c r="E48" s="15"/>
      <c r="F48" s="357">
        <f>SUM(E46:E47)</f>
        <v>182107</v>
      </c>
      <c r="G48" s="12">
        <f t="shared" si="0"/>
        <v>35</v>
      </c>
      <c r="H48" s="433" t="s">
        <v>350</v>
      </c>
      <c r="I48" s="217"/>
      <c r="J48" s="350"/>
      <c r="K48" s="217"/>
      <c r="U48" s="12"/>
      <c r="W48" s="121"/>
      <c r="X48" s="18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U48" s="123"/>
      <c r="AV48" s="123"/>
      <c r="AW48" s="123"/>
      <c r="AX48" s="123"/>
      <c r="AY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274"/>
      <c r="BW48" s="123"/>
      <c r="BX48" s="123"/>
      <c r="BY48" s="123"/>
      <c r="BZ48" s="123"/>
      <c r="CV48" s="667"/>
      <c r="CX48" s="128"/>
      <c r="CY48" s="123"/>
      <c r="CZ48" s="123"/>
      <c r="DQ48" s="63"/>
    </row>
    <row r="49" spans="1:121" ht="15" customHeight="1">
      <c r="A49" s="12">
        <f t="shared" si="11"/>
        <v>36</v>
      </c>
      <c r="B49" s="213"/>
      <c r="C49" s="213"/>
      <c r="D49" s="538"/>
      <c r="E49" s="123"/>
      <c r="F49" s="51"/>
      <c r="G49" s="12">
        <f t="shared" si="0"/>
        <v>36</v>
      </c>
      <c r="H49" s="434" t="s">
        <v>249</v>
      </c>
      <c r="I49" s="217"/>
      <c r="J49" s="350">
        <v>0</v>
      </c>
      <c r="K49" s="217"/>
      <c r="U49" s="12"/>
      <c r="W49" s="121"/>
      <c r="X49" s="18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U49" s="123"/>
      <c r="AV49" s="123"/>
      <c r="AW49" s="123"/>
      <c r="AX49" s="123"/>
      <c r="AY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W49" s="123"/>
      <c r="BX49" s="123"/>
      <c r="BY49" s="123"/>
      <c r="BZ49" s="123"/>
      <c r="CV49" s="667"/>
      <c r="CX49" s="128"/>
      <c r="CY49" s="123"/>
      <c r="CZ49" s="123"/>
      <c r="DQ49" s="93"/>
    </row>
    <row r="50" spans="1:104" ht="12.75" customHeight="1">
      <c r="A50" s="12">
        <f t="shared" si="11"/>
        <v>37</v>
      </c>
      <c r="B50" s="213" t="s">
        <v>227</v>
      </c>
      <c r="C50" s="213"/>
      <c r="D50" s="536">
        <f>'MJS-14'!O16</f>
        <v>0.038386</v>
      </c>
      <c r="E50" s="393">
        <f>ROUND(F40*D50,0)</f>
        <v>1276774</v>
      </c>
      <c r="F50" s="51"/>
      <c r="G50" s="12">
        <f t="shared" si="0"/>
        <v>37</v>
      </c>
      <c r="H50" s="367" t="s">
        <v>480</v>
      </c>
      <c r="I50" s="217"/>
      <c r="J50" s="350"/>
      <c r="K50" s="217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U50" s="123"/>
      <c r="AV50" s="123"/>
      <c r="AW50" s="123"/>
      <c r="AX50" s="123"/>
      <c r="AY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W50" s="123"/>
      <c r="BX50" s="123"/>
      <c r="BY50" s="123"/>
      <c r="BZ50" s="123"/>
      <c r="CV50" s="667"/>
      <c r="CX50" s="128"/>
      <c r="CY50" s="123"/>
      <c r="CZ50" s="123"/>
    </row>
    <row r="51" spans="1:104" ht="12.75" customHeight="1">
      <c r="A51" s="12">
        <f t="shared" si="11"/>
        <v>38</v>
      </c>
      <c r="B51" s="359" t="s">
        <v>228</v>
      </c>
      <c r="C51" s="213"/>
      <c r="D51" s="217"/>
      <c r="E51" s="123"/>
      <c r="F51" s="393">
        <f>SUM(E50:E50)</f>
        <v>1276774</v>
      </c>
      <c r="G51" s="12">
        <f t="shared" si="0"/>
        <v>38</v>
      </c>
      <c r="H51" s="380" t="s">
        <v>526</v>
      </c>
      <c r="I51" s="217"/>
      <c r="J51" s="350">
        <v>-20443597.337499976</v>
      </c>
      <c r="K51" s="217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U51" s="123"/>
      <c r="AV51" s="123"/>
      <c r="AW51" s="123"/>
      <c r="AX51" s="123"/>
      <c r="AY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W51" s="123"/>
      <c r="BX51" s="123"/>
      <c r="BY51" s="123"/>
      <c r="BZ51" s="123"/>
      <c r="CV51" s="667"/>
      <c r="CX51" s="128"/>
      <c r="CY51" s="123"/>
      <c r="CZ51" s="123"/>
    </row>
    <row r="52" spans="1:121" ht="12.75" customHeight="1">
      <c r="A52" s="12">
        <f t="shared" si="11"/>
        <v>39</v>
      </c>
      <c r="B52" s="213"/>
      <c r="C52" s="213"/>
      <c r="D52" s="217"/>
      <c r="E52" s="217"/>
      <c r="F52" s="51"/>
      <c r="G52" s="12">
        <f t="shared" si="0"/>
        <v>39</v>
      </c>
      <c r="H52" s="433" t="s">
        <v>527</v>
      </c>
      <c r="I52" s="217"/>
      <c r="J52" s="350">
        <v>6264490.204859734</v>
      </c>
      <c r="K52" s="217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U52" s="123"/>
      <c r="AV52" s="123"/>
      <c r="AW52" s="123"/>
      <c r="AX52" s="123"/>
      <c r="AY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W52" s="123"/>
      <c r="BX52" s="123"/>
      <c r="BY52" s="123"/>
      <c r="BZ52" s="123"/>
      <c r="CV52" s="667"/>
      <c r="CX52" s="128"/>
      <c r="CY52" s="123"/>
      <c r="CZ52" s="123"/>
      <c r="DQ52" s="56"/>
    </row>
    <row r="53" spans="1:121" ht="12.75" customHeight="1">
      <c r="A53" s="12">
        <f t="shared" si="11"/>
        <v>40</v>
      </c>
      <c r="B53" s="213" t="s">
        <v>196</v>
      </c>
      <c r="C53" s="213"/>
      <c r="D53" s="217"/>
      <c r="E53" s="15"/>
      <c r="F53" s="177">
        <f>F40-F48-F51-F44</f>
        <v>10232719.31446328</v>
      </c>
      <c r="G53" s="12">
        <f t="shared" si="0"/>
        <v>40</v>
      </c>
      <c r="H53" s="367" t="s">
        <v>451</v>
      </c>
      <c r="I53" s="217"/>
      <c r="J53" s="54">
        <v>-991036.4111368877</v>
      </c>
      <c r="K53" s="217"/>
      <c r="U53" s="12"/>
      <c r="W53" s="121"/>
      <c r="X53" s="18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U53" s="123"/>
      <c r="AV53" s="123"/>
      <c r="AW53" s="123"/>
      <c r="AX53" s="123"/>
      <c r="AY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W53" s="123"/>
      <c r="BX53" s="123"/>
      <c r="BY53" s="123"/>
      <c r="BZ53" s="123"/>
      <c r="CV53" s="667"/>
      <c r="CX53" s="128"/>
      <c r="CY53" s="123"/>
      <c r="CZ53" s="123"/>
      <c r="DQ53" s="10"/>
    </row>
    <row r="54" spans="1:121" ht="12.75" customHeight="1">
      <c r="A54" s="12">
        <f t="shared" si="11"/>
        <v>41</v>
      </c>
      <c r="B54" s="213"/>
      <c r="C54" s="213"/>
      <c r="D54" s="217"/>
      <c r="E54" s="15"/>
      <c r="F54" s="15"/>
      <c r="G54" s="12">
        <f t="shared" si="0"/>
        <v>41</v>
      </c>
      <c r="H54" s="367" t="s">
        <v>452</v>
      </c>
      <c r="I54" s="217"/>
      <c r="J54" s="54">
        <v>-39558.55537765147</v>
      </c>
      <c r="K54" s="217"/>
      <c r="U54" s="12"/>
      <c r="W54" s="121"/>
      <c r="X54" s="18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U54" s="123"/>
      <c r="AV54" s="123"/>
      <c r="AW54" s="123"/>
      <c r="AX54" s="123"/>
      <c r="AY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64"/>
      <c r="BW54" s="2"/>
      <c r="BX54" s="2"/>
      <c r="BY54" s="2"/>
      <c r="BZ54" s="2"/>
      <c r="CV54" s="2"/>
      <c r="CX54" s="128"/>
      <c r="CY54" s="123"/>
      <c r="CZ54" s="123"/>
      <c r="DQ54" s="10"/>
    </row>
    <row r="55" spans="1:121" ht="14.25" customHeight="1">
      <c r="A55" s="12">
        <f t="shared" si="11"/>
        <v>42</v>
      </c>
      <c r="B55" s="213" t="s">
        <v>68</v>
      </c>
      <c r="C55" s="213"/>
      <c r="D55" s="170">
        <f>_FEDERAL_INCOME_TAX</f>
        <v>0.35</v>
      </c>
      <c r="E55" s="15"/>
      <c r="F55" s="54">
        <f>ROUND(F53*D55,0)</f>
        <v>3581452</v>
      </c>
      <c r="G55" s="12">
        <f t="shared" si="0"/>
        <v>42</v>
      </c>
      <c r="H55" s="731" t="s">
        <v>561</v>
      </c>
      <c r="I55" s="217"/>
      <c r="J55" s="730">
        <v>-11821.970153629998</v>
      </c>
      <c r="K55" s="217"/>
      <c r="U55" s="2"/>
      <c r="V55" s="2"/>
      <c r="W55" s="2"/>
      <c r="X55" s="2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U55" s="123"/>
      <c r="AV55" s="123"/>
      <c r="AW55" s="123"/>
      <c r="AX55" s="123"/>
      <c r="AY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64"/>
      <c r="BW55" s="2"/>
      <c r="BX55" s="2"/>
      <c r="BY55" s="2"/>
      <c r="BZ55" s="2"/>
      <c r="CV55" s="2"/>
      <c r="CY55" s="123"/>
      <c r="CZ55" s="123"/>
      <c r="DQ55" s="10"/>
    </row>
    <row r="56" spans="1:121" ht="14.25" customHeight="1" thickBot="1">
      <c r="A56" s="12">
        <f t="shared" si="11"/>
        <v>43</v>
      </c>
      <c r="B56" s="213" t="s">
        <v>75</v>
      </c>
      <c r="C56" s="213"/>
      <c r="D56" s="217"/>
      <c r="E56" s="15"/>
      <c r="F56" s="392">
        <f>F53-F55</f>
        <v>6651267.31446328</v>
      </c>
      <c r="G56" s="12">
        <f t="shared" si="0"/>
        <v>43</v>
      </c>
      <c r="H56" s="435" t="s">
        <v>351</v>
      </c>
      <c r="I56" s="217"/>
      <c r="J56" s="732">
        <f>SUM(J47:J55)</f>
        <v>-15221524.069308411</v>
      </c>
      <c r="K56" s="733"/>
      <c r="U56" s="2"/>
      <c r="V56" s="2"/>
      <c r="W56" s="2"/>
      <c r="X56" s="2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U56" s="123"/>
      <c r="AV56" s="123"/>
      <c r="AW56" s="123"/>
      <c r="AX56" s="123"/>
      <c r="AY56" s="123"/>
      <c r="BI56" s="123"/>
      <c r="BJ56" s="123"/>
      <c r="BK56" s="123"/>
      <c r="BL56" s="123"/>
      <c r="BM56" s="123"/>
      <c r="BN56" s="2"/>
      <c r="BO56" s="2"/>
      <c r="BP56" s="2"/>
      <c r="BQ56" s="2"/>
      <c r="BR56" s="2"/>
      <c r="BS56" s="64"/>
      <c r="BW56" s="2"/>
      <c r="BX56" s="2"/>
      <c r="BY56" s="2"/>
      <c r="BZ56" s="2"/>
      <c r="CV56" s="2"/>
      <c r="CY56" s="123"/>
      <c r="CZ56" s="123"/>
      <c r="DQ56" s="10"/>
    </row>
    <row r="57" spans="1:121" ht="15" customHeight="1" thickTop="1">
      <c r="A57" s="12"/>
      <c r="F57" s="12"/>
      <c r="G57" s="12">
        <f t="shared" si="0"/>
        <v>44</v>
      </c>
      <c r="H57" s="217"/>
      <c r="I57" s="217"/>
      <c r="J57" s="734"/>
      <c r="K57" s="735"/>
      <c r="P57" s="2"/>
      <c r="AD57" s="123"/>
      <c r="AE57" s="2"/>
      <c r="AF57" s="2"/>
      <c r="AG57" s="2"/>
      <c r="AH57" s="2"/>
      <c r="AI57" s="123"/>
      <c r="AJ57" s="123"/>
      <c r="AK57" s="123"/>
      <c r="AL57" s="123"/>
      <c r="AM57" s="123"/>
      <c r="AU57" s="2"/>
      <c r="AV57" s="123"/>
      <c r="AW57" s="123"/>
      <c r="AX57" s="123"/>
      <c r="AY57" s="123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64"/>
      <c r="BW57" s="15"/>
      <c r="BX57" s="15"/>
      <c r="BY57" s="15"/>
      <c r="BZ57" s="15"/>
      <c r="CV57" s="2"/>
      <c r="CY57" s="2"/>
      <c r="CZ57" s="2"/>
      <c r="DL57" s="274"/>
      <c r="DN57" s="93"/>
      <c r="DO57" s="63"/>
      <c r="DP57" s="93"/>
      <c r="DQ57" s="10"/>
    </row>
    <row r="58" spans="1:165" ht="15" customHeight="1">
      <c r="A58" s="12"/>
      <c r="G58" s="12">
        <f t="shared" si="0"/>
        <v>45</v>
      </c>
      <c r="H58" s="213" t="s">
        <v>224</v>
      </c>
      <c r="I58" s="539">
        <f>'MJS-14'!O14</f>
        <v>0.003475</v>
      </c>
      <c r="J58" s="734">
        <f>+K42*I58</f>
        <v>39246.540660935025</v>
      </c>
      <c r="K58" s="735"/>
      <c r="P58" s="2"/>
      <c r="AD58" s="123"/>
      <c r="AE58" s="2"/>
      <c r="AF58" s="2"/>
      <c r="AG58" s="2"/>
      <c r="AH58" s="2"/>
      <c r="AI58" s="2"/>
      <c r="AJ58" s="123"/>
      <c r="AK58" s="123"/>
      <c r="AL58" s="123"/>
      <c r="AM58" s="123"/>
      <c r="AU58" s="2"/>
      <c r="AV58" s="2"/>
      <c r="AW58" s="2"/>
      <c r="AX58" s="2"/>
      <c r="AY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64"/>
      <c r="BW58" s="15"/>
      <c r="BX58" s="15"/>
      <c r="BY58" s="15"/>
      <c r="BZ58" s="15"/>
      <c r="CY58" s="2"/>
      <c r="CZ58" s="2"/>
      <c r="FI58" s="391"/>
    </row>
    <row r="59" spans="1:165" ht="15" customHeight="1">
      <c r="A59" s="12"/>
      <c r="G59" s="12">
        <f t="shared" si="0"/>
        <v>46</v>
      </c>
      <c r="H59" s="213" t="s">
        <v>225</v>
      </c>
      <c r="I59" s="539">
        <f>WUTC_FILING_FEE</f>
        <v>0.002</v>
      </c>
      <c r="J59" s="736">
        <f>+K42*I59</f>
        <v>22587.937071041742</v>
      </c>
      <c r="K59" s="730">
        <f>SUM(J56:J60)</f>
        <v>-15159689.591576435</v>
      </c>
      <c r="P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U59" s="2"/>
      <c r="AV59" s="2"/>
      <c r="AW59" s="2"/>
      <c r="AX59" s="2"/>
      <c r="AY59" s="2"/>
      <c r="BI59" s="2"/>
      <c r="BJ59" s="2"/>
      <c r="BK59" s="2"/>
      <c r="BL59" s="2"/>
      <c r="BM59" s="2"/>
      <c r="BN59" s="15"/>
      <c r="BO59" s="15"/>
      <c r="BP59" s="15"/>
      <c r="BQ59" s="15"/>
      <c r="BR59" s="15"/>
      <c r="BS59" s="64"/>
      <c r="BW59" s="15"/>
      <c r="BX59" s="15"/>
      <c r="BY59" s="15"/>
      <c r="BZ59" s="15"/>
      <c r="CY59" s="2"/>
      <c r="CZ59" s="2"/>
      <c r="FI59" s="391"/>
    </row>
    <row r="60" spans="1:121" ht="13.5" customHeight="1">
      <c r="A60" s="12"/>
      <c r="G60" s="12">
        <f t="shared" si="0"/>
        <v>47</v>
      </c>
      <c r="H60" s="359" t="s">
        <v>226</v>
      </c>
      <c r="I60" s="539"/>
      <c r="J60" s="382"/>
      <c r="K60" s="51"/>
      <c r="L60" s="383"/>
      <c r="P60" s="2"/>
      <c r="AD60" s="2"/>
      <c r="AE60" s="15"/>
      <c r="AF60" s="15"/>
      <c r="AG60" s="15"/>
      <c r="AH60" s="15"/>
      <c r="AI60" s="2"/>
      <c r="AJ60" s="2"/>
      <c r="AK60" s="2"/>
      <c r="AL60" s="2"/>
      <c r="AM60" s="2"/>
      <c r="AU60" s="15"/>
      <c r="AV60" s="2"/>
      <c r="AW60" s="2"/>
      <c r="AX60" s="2"/>
      <c r="AY60" s="2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W60" s="15"/>
      <c r="BX60" s="15"/>
      <c r="BY60" s="15"/>
      <c r="BZ60" s="15"/>
      <c r="CQ60" s="30"/>
      <c r="CY60" s="15"/>
      <c r="CZ60" s="15"/>
      <c r="DQ60" s="47"/>
    </row>
    <row r="61" spans="1:104" ht="15.75" customHeight="1">
      <c r="A61" s="12"/>
      <c r="G61" s="12">
        <f t="shared" si="0"/>
        <v>48</v>
      </c>
      <c r="H61" s="213"/>
      <c r="I61" s="539"/>
      <c r="J61" s="123"/>
      <c r="K61" s="51"/>
      <c r="L61" s="383"/>
      <c r="M61" s="18"/>
      <c r="N61" s="18"/>
      <c r="O61" s="18"/>
      <c r="P61" s="2"/>
      <c r="AD61" s="2"/>
      <c r="AE61" s="15"/>
      <c r="AF61" s="15"/>
      <c r="AG61" s="15"/>
      <c r="AH61" s="15"/>
      <c r="AI61" s="15"/>
      <c r="AJ61" s="2"/>
      <c r="AK61" s="2"/>
      <c r="AL61" s="2"/>
      <c r="AM61" s="2"/>
      <c r="AU61" s="15"/>
      <c r="AV61" s="15"/>
      <c r="AW61" s="15"/>
      <c r="AX61" s="15"/>
      <c r="AY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W61" s="15"/>
      <c r="BX61" s="15"/>
      <c r="BY61" s="15"/>
      <c r="BZ61" s="15"/>
      <c r="CY61" s="15"/>
      <c r="CZ61" s="15"/>
    </row>
    <row r="62" spans="1:121" ht="15.75" customHeight="1">
      <c r="A62" s="19"/>
      <c r="G62" s="12">
        <f t="shared" si="0"/>
        <v>49</v>
      </c>
      <c r="H62" s="213" t="s">
        <v>227</v>
      </c>
      <c r="I62" s="539">
        <f>'MJS-14'!O16</f>
        <v>0.038386</v>
      </c>
      <c r="J62" s="737">
        <f>+K42*I62</f>
        <v>433530.2762045042</v>
      </c>
      <c r="K62" s="735"/>
      <c r="L62" s="383"/>
      <c r="M62" s="18"/>
      <c r="N62" s="18"/>
      <c r="O62" s="18"/>
      <c r="P62" s="2"/>
      <c r="U62" s="2"/>
      <c r="V62" s="2"/>
      <c r="W62" s="2"/>
      <c r="X62" s="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U62" s="15"/>
      <c r="AV62" s="15"/>
      <c r="AW62" s="15"/>
      <c r="AX62" s="15"/>
      <c r="AY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W62" s="15"/>
      <c r="BX62" s="15"/>
      <c r="BY62" s="15"/>
      <c r="BZ62" s="15"/>
      <c r="CY62" s="15"/>
      <c r="CZ62" s="15"/>
      <c r="DQ62" s="91"/>
    </row>
    <row r="63" spans="1:121" ht="15" customHeight="1">
      <c r="A63" s="19"/>
      <c r="G63" s="12">
        <f t="shared" si="0"/>
        <v>50</v>
      </c>
      <c r="H63" s="359"/>
      <c r="I63" s="217"/>
      <c r="J63" s="738"/>
      <c r="K63" s="737">
        <f>SUM(J62:J63)</f>
        <v>433530.2762045042</v>
      </c>
      <c r="L63" s="383"/>
      <c r="M63" s="18"/>
      <c r="N63" s="18"/>
      <c r="O63" s="18"/>
      <c r="P63" s="2"/>
      <c r="U63" s="2"/>
      <c r="V63" s="2"/>
      <c r="W63" s="2"/>
      <c r="X63" s="2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U63" s="15"/>
      <c r="AV63" s="15"/>
      <c r="AW63" s="15"/>
      <c r="AX63" s="15"/>
      <c r="AY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CY63" s="15"/>
      <c r="CZ63" s="15"/>
      <c r="DQ63" s="93"/>
    </row>
    <row r="64" spans="1:104" ht="13.5" customHeight="1">
      <c r="A64" s="19"/>
      <c r="G64" s="12">
        <f t="shared" si="0"/>
        <v>51</v>
      </c>
      <c r="H64" s="359" t="s">
        <v>228</v>
      </c>
      <c r="I64" s="217"/>
      <c r="J64" s="739"/>
      <c r="K64" s="740"/>
      <c r="L64" s="2"/>
      <c r="M64" s="18"/>
      <c r="N64" s="18"/>
      <c r="O64" s="18"/>
      <c r="P64" s="2"/>
      <c r="U64" s="2"/>
      <c r="V64" s="2"/>
      <c r="W64" s="2"/>
      <c r="X64" s="2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U64" s="15"/>
      <c r="AV64" s="15"/>
      <c r="AW64" s="15"/>
      <c r="AX64" s="15"/>
      <c r="AY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CY64" s="15"/>
      <c r="CZ64" s="15"/>
    </row>
    <row r="65" spans="1:121" ht="13.5" customHeight="1">
      <c r="A65" s="2"/>
      <c r="G65" s="12">
        <f t="shared" si="0"/>
        <v>52</v>
      </c>
      <c r="H65" s="213"/>
      <c r="I65" s="217"/>
      <c r="J65" s="733"/>
      <c r="K65" s="737">
        <f>K42-K59-K63</f>
        <v>26020127.8508928</v>
      </c>
      <c r="M65" s="18"/>
      <c r="N65" s="18"/>
      <c r="O65" s="18"/>
      <c r="P65" s="2"/>
      <c r="U65" s="2"/>
      <c r="V65" s="2"/>
      <c r="W65" s="2"/>
      <c r="X65" s="2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U65" s="15"/>
      <c r="AV65" s="15"/>
      <c r="AW65" s="15"/>
      <c r="AX65" s="15"/>
      <c r="AY65" s="15"/>
      <c r="BI65" s="15"/>
      <c r="BJ65" s="15"/>
      <c r="BK65" s="15"/>
      <c r="BL65" s="15"/>
      <c r="BM65" s="15"/>
      <c r="CY65" s="15"/>
      <c r="CZ65" s="15"/>
      <c r="DQ65" s="256"/>
    </row>
    <row r="66" spans="1:121" ht="14.25" customHeight="1">
      <c r="A66" s="19"/>
      <c r="G66" s="12">
        <f t="shared" si="0"/>
        <v>53</v>
      </c>
      <c r="H66" s="213" t="s">
        <v>196</v>
      </c>
      <c r="I66" s="217"/>
      <c r="J66" s="741"/>
      <c r="K66" s="730">
        <f>ROUND(K65*I67,0)</f>
        <v>9107045</v>
      </c>
      <c r="M66" s="18"/>
      <c r="N66" s="18"/>
      <c r="O66" s="18"/>
      <c r="U66" s="2"/>
      <c r="V66" s="2"/>
      <c r="W66" s="2"/>
      <c r="X66" s="2"/>
      <c r="AD66" s="15"/>
      <c r="AI66" s="15"/>
      <c r="AJ66" s="15"/>
      <c r="AK66" s="15"/>
      <c r="AL66" s="15"/>
      <c r="AM66" s="15"/>
      <c r="AV66" s="15"/>
      <c r="AW66" s="15"/>
      <c r="AX66" s="15"/>
      <c r="AY66" s="15"/>
      <c r="DQ66" s="256"/>
    </row>
    <row r="67" spans="1:121" ht="12.75" customHeight="1" thickBot="1">
      <c r="A67" s="19"/>
      <c r="G67" s="12">
        <f t="shared" si="0"/>
        <v>54</v>
      </c>
      <c r="H67" s="213" t="s">
        <v>68</v>
      </c>
      <c r="I67" s="232">
        <v>0.35</v>
      </c>
      <c r="J67" s="741"/>
      <c r="K67" s="742">
        <f>K65-K66</f>
        <v>16913082.8508928</v>
      </c>
      <c r="M67" s="18"/>
      <c r="N67" s="18"/>
      <c r="O67" s="18"/>
      <c r="U67" s="2"/>
      <c r="V67" s="2"/>
      <c r="W67" s="2"/>
      <c r="X67" s="2"/>
      <c r="AD67" s="15"/>
      <c r="AJ67" s="15"/>
      <c r="AK67" s="15"/>
      <c r="AL67" s="15"/>
      <c r="AM67" s="15"/>
      <c r="DQ67" s="256"/>
    </row>
    <row r="68" spans="1:121" ht="12.75" customHeight="1" thickTop="1">
      <c r="A68" s="2"/>
      <c r="G68" s="12">
        <f t="shared" si="0"/>
        <v>55</v>
      </c>
      <c r="H68" s="213" t="s">
        <v>75</v>
      </c>
      <c r="I68" s="217"/>
      <c r="J68" s="15"/>
      <c r="M68" s="18"/>
      <c r="N68" s="18"/>
      <c r="O68" s="18"/>
      <c r="U68" s="2"/>
      <c r="V68" s="2"/>
      <c r="W68" s="2"/>
      <c r="X68" s="2"/>
      <c r="DQ68" s="256"/>
    </row>
    <row r="69" spans="1:121" ht="12.75" customHeight="1">
      <c r="A69" s="2"/>
      <c r="G69" s="12"/>
      <c r="M69" s="18"/>
      <c r="N69" s="18"/>
      <c r="O69" s="18"/>
      <c r="U69" s="2"/>
      <c r="V69" s="2"/>
      <c r="W69" s="2"/>
      <c r="X69" s="2"/>
      <c r="DQ69" s="256"/>
    </row>
    <row r="70" spans="1:164" ht="12.75" customHeight="1">
      <c r="A70" s="2"/>
      <c r="G70" s="21"/>
      <c r="K70" s="2"/>
      <c r="L70" s="2"/>
      <c r="M70" s="18"/>
      <c r="N70" s="18"/>
      <c r="O70" s="18"/>
      <c r="U70" s="2"/>
      <c r="V70" s="2"/>
      <c r="W70" s="2"/>
      <c r="X70" s="2"/>
      <c r="DQ70" s="256"/>
      <c r="FH70" s="2"/>
    </row>
    <row r="71" spans="1:164" ht="12.75" customHeight="1">
      <c r="A71" s="2"/>
      <c r="G71" s="21"/>
      <c r="H71" s="103"/>
      <c r="I71" s="2"/>
      <c r="J71" s="2"/>
      <c r="L71" s="2"/>
      <c r="M71" s="18"/>
      <c r="N71" s="18"/>
      <c r="O71" s="18"/>
      <c r="U71" s="2"/>
      <c r="V71" s="2"/>
      <c r="W71" s="2"/>
      <c r="X71" s="2"/>
      <c r="CR71" s="132"/>
      <c r="CS71" s="132"/>
      <c r="CT71" s="132"/>
      <c r="CU71" s="132"/>
      <c r="CV71" s="132"/>
      <c r="DQ71" s="256"/>
      <c r="FH71" s="2"/>
    </row>
    <row r="72" spans="1:109" ht="14.25" customHeight="1">
      <c r="A72" s="36"/>
      <c r="F72" s="218"/>
      <c r="G72" s="216"/>
      <c r="H72" s="217"/>
      <c r="I72" s="217"/>
      <c r="K72" s="218"/>
      <c r="L72" s="218"/>
      <c r="M72" s="218"/>
      <c r="N72" s="218"/>
      <c r="O72" s="218"/>
      <c r="P72" s="36"/>
      <c r="T72" s="218"/>
      <c r="U72" s="36"/>
      <c r="X72" s="218"/>
      <c r="AC72" s="218"/>
      <c r="AE72" s="36"/>
      <c r="AH72" s="218"/>
      <c r="AM72" s="218"/>
      <c r="AT72" s="218"/>
      <c r="AV72" s="36"/>
      <c r="AY72" s="218"/>
      <c r="BD72" s="218"/>
      <c r="BH72" s="218"/>
      <c r="BM72" s="218"/>
      <c r="BR72" s="218"/>
      <c r="BV72" s="218"/>
      <c r="BZ72" s="218"/>
      <c r="CE72" s="218"/>
      <c r="CJ72" s="218"/>
      <c r="CQ72" s="218"/>
      <c r="CV72" s="218"/>
      <c r="CZ72" s="218"/>
      <c r="DA72" s="3"/>
      <c r="DB72" s="3"/>
      <c r="DC72" s="3"/>
      <c r="DD72" s="3"/>
      <c r="DE72" s="218"/>
    </row>
    <row r="73" spans="1:115" ht="14.25" customHeight="1" thickBot="1">
      <c r="A73" s="36"/>
      <c r="F73" s="218"/>
      <c r="G73" s="217"/>
      <c r="H73" s="217"/>
      <c r="I73" s="217"/>
      <c r="K73" s="398"/>
      <c r="L73" s="223"/>
      <c r="M73" s="223"/>
      <c r="N73" s="223"/>
      <c r="O73" s="398"/>
      <c r="T73" s="398"/>
      <c r="X73" s="398"/>
      <c r="Y73" s="36"/>
      <c r="AA73" s="20"/>
      <c r="AC73" s="398"/>
      <c r="AD73" s="36"/>
      <c r="AE73" s="36"/>
      <c r="AH73" s="398"/>
      <c r="AI73" s="36"/>
      <c r="AJ73" s="1"/>
      <c r="AK73" s="718"/>
      <c r="AL73" s="718"/>
      <c r="AM73" s="398"/>
      <c r="AN73" s="36"/>
      <c r="AO73" s="82"/>
      <c r="AP73" s="82"/>
      <c r="AQ73" s="82"/>
      <c r="AR73" s="82"/>
      <c r="AS73" s="82"/>
      <c r="AT73" s="398"/>
      <c r="AU73" s="36"/>
      <c r="AV73" s="36"/>
      <c r="AY73" s="398"/>
      <c r="AZ73" s="36"/>
      <c r="BD73" s="398"/>
      <c r="BE73" s="36"/>
      <c r="BH73" s="398"/>
      <c r="BI73" s="36"/>
      <c r="BJ73" s="217"/>
      <c r="BK73" s="217"/>
      <c r="BL73" s="217"/>
      <c r="BM73" s="398"/>
      <c r="BN73" s="36"/>
      <c r="BO73" s="719"/>
      <c r="BP73" s="719"/>
      <c r="BQ73" s="719"/>
      <c r="BR73" s="398"/>
      <c r="BS73" s="36"/>
      <c r="BT73" s="277"/>
      <c r="BV73" s="398"/>
      <c r="BW73" s="36"/>
      <c r="BX73" s="1"/>
      <c r="BY73" s="1"/>
      <c r="BZ73" s="398"/>
      <c r="CA73" s="36"/>
      <c r="CE73" s="398"/>
      <c r="CF73" s="36"/>
      <c r="CG73" s="36"/>
      <c r="CJ73" s="398"/>
      <c r="CK73" s="36"/>
      <c r="CL73" s="36"/>
      <c r="CQ73" s="398"/>
      <c r="CR73" s="36"/>
      <c r="CS73" s="36"/>
      <c r="CV73" s="398"/>
      <c r="CW73" s="36"/>
      <c r="CX73" s="36"/>
      <c r="CZ73" s="398"/>
      <c r="DA73" s="36"/>
      <c r="DB73" s="36"/>
      <c r="DC73" s="3"/>
      <c r="DD73" s="3"/>
      <c r="DE73" s="398"/>
      <c r="DF73" s="3"/>
      <c r="DG73" s="3"/>
      <c r="DH73" s="3"/>
      <c r="DI73" s="3"/>
      <c r="DJ73" s="3"/>
      <c r="DK73" s="3"/>
    </row>
    <row r="74" spans="1:115" ht="14.25" customHeight="1" thickBot="1" thickTop="1">
      <c r="A74" s="36"/>
      <c r="F74" s="726"/>
      <c r="G74" s="669"/>
      <c r="H74" s="669"/>
      <c r="I74" s="669"/>
      <c r="K74" s="668"/>
      <c r="L74" s="363"/>
      <c r="M74" s="363"/>
      <c r="N74" s="363"/>
      <c r="O74" s="668"/>
      <c r="T74" s="668"/>
      <c r="V74" s="670"/>
      <c r="X74" s="668"/>
      <c r="AA74" s="20"/>
      <c r="AB74" s="36"/>
      <c r="AC74" s="668"/>
      <c r="AD74" s="56"/>
      <c r="AE74" s="671"/>
      <c r="AF74" s="56"/>
      <c r="AG74" s="56"/>
      <c r="AH74" s="668"/>
      <c r="AM74" s="668"/>
      <c r="AO74" s="82"/>
      <c r="AP74" s="82"/>
      <c r="AQ74" s="82"/>
      <c r="AR74" s="82"/>
      <c r="AS74" s="82"/>
      <c r="AT74" s="668"/>
      <c r="AU74" s="56"/>
      <c r="AV74" s="671"/>
      <c r="AW74" s="56"/>
      <c r="AX74" s="56"/>
      <c r="AY74" s="668"/>
      <c r="BD74" s="668"/>
      <c r="BH74" s="668"/>
      <c r="BI74" s="217"/>
      <c r="BJ74" s="210"/>
      <c r="BK74" s="210"/>
      <c r="BL74" s="210"/>
      <c r="BM74" s="668"/>
      <c r="BO74" s="176"/>
      <c r="BP74" s="176"/>
      <c r="BQ74" s="176"/>
      <c r="BR74" s="668"/>
      <c r="BT74" s="277"/>
      <c r="BV74" s="668"/>
      <c r="BW74" s="1"/>
      <c r="BX74" s="1"/>
      <c r="BY74" s="1"/>
      <c r="BZ74" s="668"/>
      <c r="CE74" s="668"/>
      <c r="CJ74" s="668"/>
      <c r="CL74" s="36"/>
      <c r="CQ74" s="668"/>
      <c r="CS74" s="36"/>
      <c r="CV74" s="668"/>
      <c r="CZ74" s="668"/>
      <c r="DA74" s="3"/>
      <c r="DB74" s="3"/>
      <c r="DC74" s="3"/>
      <c r="DD74" s="3"/>
      <c r="DE74" s="668"/>
      <c r="DF74" s="3"/>
      <c r="DG74" s="3"/>
      <c r="DH74" s="3"/>
      <c r="DI74" s="3"/>
      <c r="DJ74" s="3"/>
      <c r="DK74" s="3"/>
    </row>
    <row r="75" spans="1:164" ht="12.75" customHeight="1">
      <c r="A75" s="2"/>
      <c r="L75" s="2"/>
      <c r="M75" s="18"/>
      <c r="N75" s="18"/>
      <c r="O75" s="18"/>
      <c r="U75" s="2"/>
      <c r="V75" s="2"/>
      <c r="W75" s="2"/>
      <c r="X75" s="2"/>
      <c r="DQ75" s="256"/>
      <c r="FH75" s="2"/>
    </row>
    <row r="76" spans="1:164" ht="12.75" customHeight="1">
      <c r="A76" s="2"/>
      <c r="L76" s="2"/>
      <c r="M76" s="18"/>
      <c r="N76" s="18"/>
      <c r="O76" s="18"/>
      <c r="U76" s="134"/>
      <c r="V76" s="2"/>
      <c r="W76" s="2"/>
      <c r="X76" s="2"/>
      <c r="DQ76" s="256"/>
      <c r="FG76" s="2"/>
      <c r="FH76" s="2"/>
    </row>
    <row r="77" spans="1:164" ht="13.5">
      <c r="A77" s="2"/>
      <c r="L77" s="2"/>
      <c r="M77" s="18"/>
      <c r="N77" s="18"/>
      <c r="O77" s="18"/>
      <c r="U77" s="134"/>
      <c r="V77" s="2"/>
      <c r="W77" s="2"/>
      <c r="X77" s="2"/>
      <c r="FG77" s="207"/>
      <c r="FH77" s="2"/>
    </row>
    <row r="78" spans="1:164" ht="12.75" customHeight="1">
      <c r="A78" s="2"/>
      <c r="G78" s="175"/>
      <c r="K78" s="175"/>
      <c r="L78" s="2"/>
      <c r="M78" s="18"/>
      <c r="N78" s="18"/>
      <c r="O78" s="18"/>
      <c r="U78" s="134"/>
      <c r="V78" s="2"/>
      <c r="W78" s="2"/>
      <c r="X78" s="2"/>
      <c r="FG78" s="2"/>
      <c r="FH78" s="2"/>
    </row>
    <row r="79" spans="1:164" ht="12.75" customHeight="1">
      <c r="A79" s="2"/>
      <c r="G79" s="61"/>
      <c r="H79" s="175"/>
      <c r="I79" s="175"/>
      <c r="J79" s="175"/>
      <c r="K79" s="61"/>
      <c r="L79" s="2"/>
      <c r="M79" s="18"/>
      <c r="N79" s="18"/>
      <c r="O79" s="18"/>
      <c r="U79" s="2"/>
      <c r="V79" s="2"/>
      <c r="W79" s="2"/>
      <c r="X79" s="2"/>
      <c r="FG79" s="2"/>
      <c r="FH79" s="2"/>
    </row>
    <row r="80" spans="1:164" ht="12.75" customHeight="1">
      <c r="A80" s="2"/>
      <c r="G80" s="61"/>
      <c r="H80" s="61"/>
      <c r="I80" s="61"/>
      <c r="J80" s="61"/>
      <c r="K80" s="61"/>
      <c r="L80" s="2"/>
      <c r="M80" s="18"/>
      <c r="N80" s="18"/>
      <c r="O80" s="18"/>
      <c r="U80" s="2"/>
      <c r="V80" s="2"/>
      <c r="W80" s="2"/>
      <c r="X80" s="2"/>
      <c r="FG80" s="2"/>
      <c r="FH80" s="2"/>
    </row>
    <row r="81" spans="1:164" ht="12.75" customHeight="1">
      <c r="A81" s="2"/>
      <c r="G81" s="61"/>
      <c r="H81" s="61"/>
      <c r="I81" s="61"/>
      <c r="J81" s="61"/>
      <c r="K81" s="61"/>
      <c r="L81" s="2"/>
      <c r="M81" s="18"/>
      <c r="N81" s="18"/>
      <c r="O81" s="18"/>
      <c r="U81" s="2"/>
      <c r="V81" s="2"/>
      <c r="W81" s="2"/>
      <c r="X81" s="2"/>
      <c r="FH81" s="2"/>
    </row>
    <row r="82" spans="1:164" ht="12.75" customHeight="1">
      <c r="A82" s="2"/>
      <c r="G82" s="61"/>
      <c r="H82" s="61"/>
      <c r="I82" s="61"/>
      <c r="J82" s="61"/>
      <c r="K82" s="61"/>
      <c r="L82" s="2"/>
      <c r="M82" s="2"/>
      <c r="N82" s="2"/>
      <c r="O82" s="2"/>
      <c r="U82" s="2"/>
      <c r="V82" s="2"/>
      <c r="W82" s="2"/>
      <c r="X82" s="2"/>
      <c r="DQ82" s="82"/>
      <c r="FH82" s="2"/>
    </row>
    <row r="83" spans="1:164" ht="12.75" customHeight="1">
      <c r="A83" s="2"/>
      <c r="G83" s="58"/>
      <c r="H83" s="61"/>
      <c r="I83" s="61"/>
      <c r="J83" s="61"/>
      <c r="K83" s="58"/>
      <c r="L83" s="2"/>
      <c r="M83" s="2"/>
      <c r="N83" s="2"/>
      <c r="O83" s="2"/>
      <c r="U83" s="2"/>
      <c r="V83" s="2"/>
      <c r="W83" s="2"/>
      <c r="X83" s="2"/>
      <c r="DQ83" s="170"/>
      <c r="FH83" s="207"/>
    </row>
    <row r="84" spans="1:164" ht="12.75" customHeight="1">
      <c r="A84" s="2"/>
      <c r="G84" s="58"/>
      <c r="H84" s="58"/>
      <c r="I84" s="58"/>
      <c r="J84" s="58"/>
      <c r="K84" s="58"/>
      <c r="L84" s="2"/>
      <c r="M84" s="2"/>
      <c r="N84" s="2"/>
      <c r="O84" s="2"/>
      <c r="U84" s="2"/>
      <c r="V84" s="2"/>
      <c r="W84" s="2"/>
      <c r="X84" s="2"/>
      <c r="FH84" s="2"/>
    </row>
    <row r="85" spans="1:164" ht="12.75" customHeight="1">
      <c r="A85" s="2"/>
      <c r="G85" s="166"/>
      <c r="H85" s="58"/>
      <c r="I85" s="58"/>
      <c r="J85" s="58"/>
      <c r="K85" s="166"/>
      <c r="L85" s="2"/>
      <c r="M85" s="2"/>
      <c r="N85" s="2"/>
      <c r="O85" s="2"/>
      <c r="U85" s="2"/>
      <c r="V85" s="2"/>
      <c r="W85" s="2"/>
      <c r="X85" s="2"/>
      <c r="DL85" s="94"/>
      <c r="DM85" s="63"/>
      <c r="DN85" s="170"/>
      <c r="DO85" s="170"/>
      <c r="DP85" s="170"/>
      <c r="FH85" s="2"/>
    </row>
    <row r="86" spans="1:164" ht="12.75" customHeight="1">
      <c r="A86" s="2"/>
      <c r="G86" s="2"/>
      <c r="H86" s="166"/>
      <c r="I86" s="166"/>
      <c r="J86" s="166"/>
      <c r="K86" s="2"/>
      <c r="L86" s="2"/>
      <c r="M86" s="2"/>
      <c r="N86" s="2"/>
      <c r="O86" s="2"/>
      <c r="U86" s="2"/>
      <c r="V86" s="2"/>
      <c r="W86" s="2"/>
      <c r="X86" s="2"/>
      <c r="DL86" s="443"/>
      <c r="DM86" s="7"/>
      <c r="FH86" s="2"/>
    </row>
    <row r="87" spans="1:164" ht="12.75" customHeight="1">
      <c r="A87" s="2"/>
      <c r="G87" s="64"/>
      <c r="H87" s="2"/>
      <c r="I87" s="2"/>
      <c r="J87" s="2"/>
      <c r="K87" s="64"/>
      <c r="L87" s="2"/>
      <c r="M87" s="2"/>
      <c r="N87" s="2"/>
      <c r="O87" s="2"/>
      <c r="U87" s="2"/>
      <c r="V87" s="2"/>
      <c r="W87" s="2"/>
      <c r="X87" s="2"/>
      <c r="DM87" s="7"/>
      <c r="FH87" s="2"/>
    </row>
    <row r="88" spans="1:164" ht="12.75" customHeight="1">
      <c r="A88" s="2"/>
      <c r="G88" s="123"/>
      <c r="H88" s="64"/>
      <c r="I88" s="64"/>
      <c r="J88" s="64"/>
      <c r="K88" s="123"/>
      <c r="L88" s="2"/>
      <c r="M88" s="2"/>
      <c r="N88" s="2"/>
      <c r="O88" s="2"/>
      <c r="U88" s="2"/>
      <c r="V88" s="2"/>
      <c r="W88" s="2"/>
      <c r="X88" s="2"/>
      <c r="DM88" s="7"/>
      <c r="DP88" s="208"/>
      <c r="FH88" s="2"/>
    </row>
    <row r="89" spans="1:164" ht="12.75" customHeight="1">
      <c r="A89" s="2"/>
      <c r="G89" s="124"/>
      <c r="H89" s="123"/>
      <c r="I89" s="123"/>
      <c r="J89" s="123"/>
      <c r="K89" s="124"/>
      <c r="L89" s="2"/>
      <c r="M89" s="2"/>
      <c r="N89" s="2"/>
      <c r="O89" s="2"/>
      <c r="U89" s="2"/>
      <c r="V89" s="2"/>
      <c r="W89" s="2"/>
      <c r="X89" s="2"/>
      <c r="DM89" s="7"/>
      <c r="FH89" s="2"/>
    </row>
    <row r="90" spans="1:164" ht="12.75" customHeight="1">
      <c r="A90" s="2"/>
      <c r="G90" s="124"/>
      <c r="H90" s="124"/>
      <c r="I90" s="124"/>
      <c r="J90" s="124"/>
      <c r="K90" s="124"/>
      <c r="L90" s="2"/>
      <c r="M90" s="2"/>
      <c r="N90" s="2"/>
      <c r="O90" s="2"/>
      <c r="U90" s="2"/>
      <c r="V90" s="2"/>
      <c r="W90" s="2"/>
      <c r="X90" s="2"/>
      <c r="DM90" s="7"/>
      <c r="FH90" s="2"/>
    </row>
    <row r="91" spans="1:164" ht="12.75" customHeight="1">
      <c r="A91" s="2"/>
      <c r="G91" s="127"/>
      <c r="H91" s="124"/>
      <c r="I91" s="124"/>
      <c r="J91" s="124"/>
      <c r="K91" s="127"/>
      <c r="L91" s="2"/>
      <c r="M91" s="2"/>
      <c r="N91" s="2"/>
      <c r="O91" s="2"/>
      <c r="U91" s="2"/>
      <c r="V91" s="2"/>
      <c r="W91" s="2"/>
      <c r="X91" s="2"/>
      <c r="DM91" s="7"/>
      <c r="FH91" s="2"/>
    </row>
    <row r="92" spans="1:164" ht="12.75" customHeight="1">
      <c r="A92" s="2"/>
      <c r="G92" s="22"/>
      <c r="H92" s="127"/>
      <c r="I92" s="127"/>
      <c r="J92" s="127"/>
      <c r="K92" s="22"/>
      <c r="L92" s="2"/>
      <c r="M92" s="2"/>
      <c r="N92" s="2"/>
      <c r="O92" s="2"/>
      <c r="U92" s="2"/>
      <c r="V92" s="2"/>
      <c r="W92" s="2"/>
      <c r="X92" s="2"/>
      <c r="FH92" s="2"/>
    </row>
    <row r="93" spans="1:24" ht="12.75" customHeight="1">
      <c r="A93" s="2"/>
      <c r="G93" s="22"/>
      <c r="H93" s="22"/>
      <c r="I93" s="22"/>
      <c r="J93" s="22"/>
      <c r="K93" s="22"/>
      <c r="L93" s="2"/>
      <c r="M93" s="2"/>
      <c r="N93" s="2"/>
      <c r="O93" s="2"/>
      <c r="U93" s="2"/>
      <c r="V93" s="2"/>
      <c r="W93" s="2"/>
      <c r="X93" s="2"/>
    </row>
    <row r="94" spans="1:24" ht="12.75" customHeight="1">
      <c r="A94" s="2"/>
      <c r="G94" s="22"/>
      <c r="H94" s="22"/>
      <c r="I94" s="22"/>
      <c r="J94" s="22"/>
      <c r="K94" s="22"/>
      <c r="L94" s="2"/>
      <c r="M94" s="2"/>
      <c r="N94" s="2"/>
      <c r="O94" s="2"/>
      <c r="U94" s="2"/>
      <c r="V94" s="2"/>
      <c r="W94" s="2"/>
      <c r="X94" s="2"/>
    </row>
    <row r="95" spans="7:24" ht="12.75" customHeight="1">
      <c r="G95" s="32"/>
      <c r="H95" s="22"/>
      <c r="I95" s="22"/>
      <c r="J95" s="22"/>
      <c r="K95" s="32"/>
      <c r="L95" s="2"/>
      <c r="M95" s="2"/>
      <c r="N95" s="2"/>
      <c r="O95" s="2"/>
      <c r="U95" s="2"/>
      <c r="V95" s="2"/>
      <c r="W95" s="2"/>
      <c r="X95" s="2"/>
    </row>
    <row r="96" spans="7:24" ht="12.75" customHeight="1">
      <c r="G96" s="32"/>
      <c r="H96" s="32"/>
      <c r="I96" s="32"/>
      <c r="J96" s="32"/>
      <c r="K96" s="32"/>
      <c r="L96" s="2"/>
      <c r="M96" s="2"/>
      <c r="N96" s="2"/>
      <c r="O96" s="2"/>
      <c r="U96" s="2"/>
      <c r="V96" s="2"/>
      <c r="W96" s="2"/>
      <c r="X96" s="2"/>
    </row>
    <row r="97" spans="7:24" ht="12.75" customHeight="1">
      <c r="G97" s="32"/>
      <c r="H97" s="32"/>
      <c r="I97" s="32"/>
      <c r="J97" s="32"/>
      <c r="K97" s="32"/>
      <c r="L97" s="2"/>
      <c r="M97" s="2"/>
      <c r="N97" s="2"/>
      <c r="O97" s="2"/>
      <c r="U97" s="2"/>
      <c r="V97" s="2"/>
      <c r="W97" s="2"/>
      <c r="X97" s="2"/>
    </row>
    <row r="98" spans="7:24" ht="12.75" customHeight="1">
      <c r="G98" s="32"/>
      <c r="H98" s="32"/>
      <c r="I98" s="32"/>
      <c r="J98" s="32"/>
      <c r="K98" s="32"/>
      <c r="L98" s="2"/>
      <c r="M98" s="2"/>
      <c r="N98" s="2"/>
      <c r="O98" s="2"/>
      <c r="U98" s="2"/>
      <c r="V98" s="2"/>
      <c r="W98" s="2"/>
      <c r="X98" s="2"/>
    </row>
    <row r="99" spans="7:24" ht="12.75" customHeight="1">
      <c r="G99" s="32"/>
      <c r="H99" s="32"/>
      <c r="I99" s="32"/>
      <c r="J99" s="32"/>
      <c r="K99" s="32"/>
      <c r="L99" s="2"/>
      <c r="M99" s="2"/>
      <c r="N99" s="2"/>
      <c r="O99" s="2"/>
      <c r="U99" s="2"/>
      <c r="V99" s="2"/>
      <c r="W99" s="2"/>
      <c r="X99" s="2"/>
    </row>
    <row r="100" spans="7:24" ht="12.75" customHeight="1">
      <c r="G100" s="32"/>
      <c r="H100" s="32"/>
      <c r="I100" s="32"/>
      <c r="J100" s="32"/>
      <c r="K100" s="32"/>
      <c r="L100" s="2"/>
      <c r="M100" s="2"/>
      <c r="N100" s="2"/>
      <c r="O100" s="2"/>
      <c r="U100" s="2"/>
      <c r="V100" s="2"/>
      <c r="W100" s="2"/>
      <c r="X100" s="2"/>
    </row>
    <row r="101" spans="7:24" ht="12.75" customHeight="1">
      <c r="G101" s="32"/>
      <c r="H101" s="32"/>
      <c r="I101" s="32"/>
      <c r="J101" s="32"/>
      <c r="K101" s="32"/>
      <c r="L101" s="2"/>
      <c r="M101" s="2"/>
      <c r="N101" s="2"/>
      <c r="O101" s="2"/>
      <c r="U101" s="2"/>
      <c r="V101" s="2"/>
      <c r="W101" s="2"/>
      <c r="X101" s="2"/>
    </row>
    <row r="102" spans="7:24" ht="12.75" customHeight="1">
      <c r="G102" s="32"/>
      <c r="H102" s="32"/>
      <c r="I102" s="32"/>
      <c r="J102" s="32"/>
      <c r="K102" s="32"/>
      <c r="L102" s="2"/>
      <c r="M102" s="2"/>
      <c r="N102" s="2"/>
      <c r="O102" s="2"/>
      <c r="U102" s="2"/>
      <c r="V102" s="2"/>
      <c r="W102" s="2"/>
      <c r="X102" s="2"/>
    </row>
    <row r="103" spans="7:24" ht="12.75" customHeight="1">
      <c r="G103" s="32"/>
      <c r="H103" s="32"/>
      <c r="I103" s="32"/>
      <c r="J103" s="32"/>
      <c r="K103" s="32"/>
      <c r="L103" s="2"/>
      <c r="M103" s="2"/>
      <c r="N103" s="2"/>
      <c r="O103" s="2"/>
      <c r="U103" s="2"/>
      <c r="V103" s="2"/>
      <c r="W103" s="2"/>
      <c r="X103" s="2"/>
    </row>
    <row r="104" spans="7:24" ht="12.75" customHeight="1">
      <c r="G104" s="32"/>
      <c r="H104" s="32"/>
      <c r="I104" s="32"/>
      <c r="J104" s="32"/>
      <c r="K104" s="32"/>
      <c r="L104" s="2"/>
      <c r="M104" s="2"/>
      <c r="N104" s="2"/>
      <c r="O104" s="2"/>
      <c r="U104" s="2"/>
      <c r="V104" s="2"/>
      <c r="W104" s="2"/>
      <c r="X104" s="2"/>
    </row>
    <row r="105" spans="7:24" ht="12.75" customHeight="1">
      <c r="G105" s="32"/>
      <c r="H105" s="32"/>
      <c r="I105" s="32"/>
      <c r="J105" s="32"/>
      <c r="K105" s="32"/>
      <c r="L105" s="2"/>
      <c r="M105" s="2"/>
      <c r="N105" s="2"/>
      <c r="O105" s="2"/>
      <c r="U105" s="2"/>
      <c r="V105" s="2"/>
      <c r="W105" s="2"/>
      <c r="X105" s="2"/>
    </row>
    <row r="106" spans="7:24" ht="12.75" customHeight="1">
      <c r="G106" s="32"/>
      <c r="H106" s="32"/>
      <c r="I106" s="32"/>
      <c r="J106" s="32"/>
      <c r="K106" s="32"/>
      <c r="L106" s="2"/>
      <c r="M106" s="2"/>
      <c r="N106" s="2"/>
      <c r="O106" s="2"/>
      <c r="U106" s="2"/>
      <c r="V106" s="2"/>
      <c r="W106" s="2"/>
      <c r="X106" s="2"/>
    </row>
    <row r="107" spans="7:24" ht="12.75" customHeight="1">
      <c r="G107" s="2"/>
      <c r="H107" s="32"/>
      <c r="I107" s="32"/>
      <c r="J107" s="32"/>
      <c r="K107" s="2"/>
      <c r="L107" s="2"/>
      <c r="M107" s="2"/>
      <c r="N107" s="2"/>
      <c r="O107" s="2"/>
      <c r="U107" s="2"/>
      <c r="V107" s="2"/>
      <c r="W107" s="2"/>
      <c r="X107" s="2"/>
    </row>
    <row r="108" spans="7:24" ht="12.75" customHeight="1">
      <c r="G108" s="2"/>
      <c r="H108" s="2"/>
      <c r="I108" s="2"/>
      <c r="J108" s="2"/>
      <c r="K108" s="2"/>
      <c r="L108" s="2"/>
      <c r="M108" s="2"/>
      <c r="N108" s="2"/>
      <c r="O108" s="2"/>
      <c r="U108" s="2"/>
      <c r="V108" s="2"/>
      <c r="W108" s="2"/>
      <c r="X108" s="2"/>
    </row>
    <row r="109" spans="2:24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U109" s="2"/>
      <c r="V109" s="2"/>
      <c r="W109" s="2"/>
      <c r="X109" s="2"/>
    </row>
    <row r="110" spans="2:24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U110" s="2"/>
      <c r="V110" s="2"/>
      <c r="W110" s="2"/>
      <c r="X110" s="2"/>
    </row>
    <row r="111" spans="2:24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U111" s="2"/>
      <c r="V111" s="2"/>
      <c r="W111" s="2"/>
      <c r="X111" s="2"/>
    </row>
    <row r="112" spans="2:24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U112" s="2"/>
      <c r="V112" s="2"/>
      <c r="W112" s="2"/>
      <c r="X112" s="2"/>
    </row>
    <row r="113" spans="2:24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U113" s="2"/>
      <c r="V113" s="2"/>
      <c r="W113" s="2"/>
      <c r="X113" s="2"/>
    </row>
    <row r="114" spans="2:24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U114" s="2"/>
      <c r="V114" s="2"/>
      <c r="W114" s="2"/>
      <c r="X114" s="2"/>
    </row>
    <row r="115" spans="2:24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U115" s="2"/>
      <c r="V115" s="2"/>
      <c r="W115" s="2"/>
      <c r="X115" s="2"/>
    </row>
    <row r="116" spans="2:24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U116" s="2"/>
      <c r="V116" s="2"/>
      <c r="W116" s="2"/>
      <c r="X116" s="2"/>
    </row>
    <row r="117" spans="2:24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U117" s="2"/>
      <c r="V117" s="2"/>
      <c r="W117" s="2"/>
      <c r="X117" s="2"/>
    </row>
    <row r="118" spans="7:24" ht="12.75" customHeight="1">
      <c r="G118" s="2"/>
      <c r="H118" s="2"/>
      <c r="I118" s="2"/>
      <c r="J118" s="2"/>
      <c r="K118" s="2"/>
      <c r="L118" s="2"/>
      <c r="M118" s="2"/>
      <c r="N118" s="2"/>
      <c r="O118" s="2"/>
      <c r="U118" s="2"/>
      <c r="V118" s="2"/>
      <c r="W118" s="2"/>
      <c r="X118" s="2"/>
    </row>
    <row r="119" spans="7:24" ht="12.75" customHeight="1">
      <c r="G119" s="2"/>
      <c r="H119" s="2"/>
      <c r="I119" s="2"/>
      <c r="J119" s="2"/>
      <c r="K119" s="2"/>
      <c r="L119" s="2"/>
      <c r="M119" s="2"/>
      <c r="N119" s="2"/>
      <c r="O119" s="2"/>
      <c r="U119" s="2"/>
      <c r="V119" s="2"/>
      <c r="W119" s="2"/>
      <c r="X119" s="2"/>
    </row>
    <row r="120" spans="7:24" ht="12.75" customHeight="1">
      <c r="G120" s="2"/>
      <c r="H120" s="2"/>
      <c r="I120" s="2"/>
      <c r="J120" s="2"/>
      <c r="K120" s="2"/>
      <c r="L120" s="2"/>
      <c r="M120" s="2"/>
      <c r="N120" s="2"/>
      <c r="O120" s="2"/>
      <c r="U120" s="2"/>
      <c r="V120" s="2"/>
      <c r="W120" s="2"/>
      <c r="X120" s="2"/>
    </row>
    <row r="121" spans="7:24" ht="12.75" customHeight="1">
      <c r="G121" s="2"/>
      <c r="H121" s="2"/>
      <c r="I121" s="2"/>
      <c r="J121" s="2"/>
      <c r="K121" s="2"/>
      <c r="L121" s="2"/>
      <c r="M121" s="2"/>
      <c r="N121" s="2"/>
      <c r="O121" s="2"/>
      <c r="U121" s="2"/>
      <c r="V121" s="2"/>
      <c r="W121" s="2"/>
      <c r="X121" s="2"/>
    </row>
    <row r="122" spans="7:24" ht="12.75" customHeight="1">
      <c r="G122" s="2"/>
      <c r="H122" s="2"/>
      <c r="I122" s="2"/>
      <c r="J122" s="2"/>
      <c r="K122" s="2"/>
      <c r="L122" s="2"/>
      <c r="M122" s="2"/>
      <c r="N122" s="2"/>
      <c r="O122" s="2"/>
      <c r="U122" s="2"/>
      <c r="V122" s="2"/>
      <c r="W122" s="2"/>
      <c r="X122" s="2"/>
    </row>
    <row r="123" spans="7:24" ht="12.75" customHeight="1">
      <c r="G123" s="2"/>
      <c r="H123" s="2"/>
      <c r="I123" s="2"/>
      <c r="J123" s="2"/>
      <c r="K123" s="2"/>
      <c r="L123" s="2"/>
      <c r="M123" s="2"/>
      <c r="N123" s="2"/>
      <c r="O123" s="2"/>
      <c r="U123" s="2"/>
      <c r="V123" s="2"/>
      <c r="W123" s="2"/>
      <c r="X123" s="2"/>
    </row>
    <row r="124" spans="7:24" ht="12.75" customHeight="1">
      <c r="G124" s="2"/>
      <c r="H124" s="2"/>
      <c r="I124" s="2"/>
      <c r="J124" s="2"/>
      <c r="K124" s="2"/>
      <c r="L124" s="2"/>
      <c r="M124" s="2"/>
      <c r="N124" s="2"/>
      <c r="O124" s="2"/>
      <c r="U124" s="2"/>
      <c r="V124" s="2"/>
      <c r="W124" s="2"/>
      <c r="X124" s="2"/>
    </row>
    <row r="125" spans="7:24" ht="12.75" customHeight="1">
      <c r="G125" s="2"/>
      <c r="H125" s="2"/>
      <c r="I125" s="2"/>
      <c r="J125" s="2"/>
      <c r="K125" s="2"/>
      <c r="L125" s="2"/>
      <c r="M125" s="2"/>
      <c r="N125" s="2"/>
      <c r="O125" s="2"/>
      <c r="U125" s="2"/>
      <c r="V125" s="2"/>
      <c r="W125" s="2"/>
      <c r="X125" s="2"/>
    </row>
    <row r="126" spans="7:24" ht="12.75" customHeight="1">
      <c r="G126" s="2"/>
      <c r="H126" s="2"/>
      <c r="I126" s="2"/>
      <c r="J126" s="2"/>
      <c r="K126" s="2"/>
      <c r="L126" s="2"/>
      <c r="M126" s="2"/>
      <c r="N126" s="2"/>
      <c r="O126" s="2"/>
      <c r="U126" s="2"/>
      <c r="V126" s="2"/>
      <c r="W126" s="2"/>
      <c r="X126" s="2"/>
    </row>
    <row r="127" spans="7:24" ht="12.75" customHeight="1">
      <c r="G127" s="2"/>
      <c r="H127" s="2"/>
      <c r="I127" s="2"/>
      <c r="J127" s="2"/>
      <c r="K127" s="2"/>
      <c r="L127" s="2"/>
      <c r="M127" s="2"/>
      <c r="N127" s="2"/>
      <c r="O127" s="2"/>
      <c r="U127" s="2"/>
      <c r="V127" s="2"/>
      <c r="W127" s="2"/>
      <c r="X127" s="2"/>
    </row>
    <row r="128" spans="7:24" ht="12.75" customHeight="1">
      <c r="G128" s="2"/>
      <c r="H128" s="2"/>
      <c r="I128" s="2"/>
      <c r="J128" s="2"/>
      <c r="K128" s="2"/>
      <c r="L128" s="2"/>
      <c r="M128" s="2"/>
      <c r="N128" s="2"/>
      <c r="O128" s="2"/>
      <c r="U128" s="2"/>
      <c r="V128" s="2"/>
      <c r="W128" s="2"/>
      <c r="X128" s="2"/>
    </row>
    <row r="129" spans="7:24" ht="12.75" customHeight="1">
      <c r="G129" s="2"/>
      <c r="H129" s="2"/>
      <c r="I129" s="2"/>
      <c r="J129" s="2"/>
      <c r="K129" s="2"/>
      <c r="L129" s="2"/>
      <c r="M129" s="2"/>
      <c r="N129" s="2"/>
      <c r="O129" s="2"/>
      <c r="U129" s="2"/>
      <c r="V129" s="2"/>
      <c r="W129" s="2"/>
      <c r="X129" s="2"/>
    </row>
    <row r="130" spans="7:24" ht="12.75" customHeight="1">
      <c r="G130" s="2"/>
      <c r="H130" s="2"/>
      <c r="I130" s="2"/>
      <c r="J130" s="2"/>
      <c r="K130" s="2"/>
      <c r="L130" s="2"/>
      <c r="M130" s="2"/>
      <c r="N130" s="2"/>
      <c r="O130" s="2"/>
      <c r="U130" s="2"/>
      <c r="V130" s="2"/>
      <c r="W130" s="2"/>
      <c r="X130" s="2"/>
    </row>
    <row r="131" spans="7:24" ht="12.75" customHeight="1">
      <c r="G131" s="2"/>
      <c r="H131" s="2"/>
      <c r="I131" s="2"/>
      <c r="J131" s="2"/>
      <c r="K131" s="2"/>
      <c r="L131" s="2"/>
      <c r="M131" s="2"/>
      <c r="N131" s="2"/>
      <c r="O131" s="2"/>
      <c r="U131" s="2"/>
      <c r="V131" s="2"/>
      <c r="W131" s="2"/>
      <c r="X131" s="2"/>
    </row>
    <row r="132" spans="7:24" ht="12.75" customHeight="1">
      <c r="G132" s="2"/>
      <c r="H132" s="2"/>
      <c r="I132" s="2"/>
      <c r="J132" s="2"/>
      <c r="K132" s="2"/>
      <c r="L132" s="2"/>
      <c r="M132" s="2"/>
      <c r="N132" s="2"/>
      <c r="O132" s="2"/>
      <c r="U132" s="2"/>
      <c r="V132" s="2"/>
      <c r="W132" s="2"/>
      <c r="X132" s="2"/>
    </row>
    <row r="133" spans="7:24" ht="12.75" customHeight="1">
      <c r="G133" s="2"/>
      <c r="H133" s="2"/>
      <c r="I133" s="2"/>
      <c r="J133" s="2"/>
      <c r="K133" s="2"/>
      <c r="L133" s="2"/>
      <c r="M133" s="2"/>
      <c r="N133" s="2"/>
      <c r="O133" s="2"/>
      <c r="U133" s="2"/>
      <c r="V133" s="2"/>
      <c r="W133" s="2"/>
      <c r="X133" s="2"/>
    </row>
    <row r="134" spans="7:24" ht="12.75" customHeight="1">
      <c r="G134" s="2"/>
      <c r="H134" s="2"/>
      <c r="I134" s="2"/>
      <c r="J134" s="2"/>
      <c r="K134" s="2"/>
      <c r="L134" s="2"/>
      <c r="M134" s="2"/>
      <c r="N134" s="2"/>
      <c r="O134" s="2"/>
      <c r="U134" s="2"/>
      <c r="V134" s="2"/>
      <c r="W134" s="2"/>
      <c r="X134" s="2"/>
    </row>
    <row r="135" spans="7:24" ht="12.75" customHeight="1">
      <c r="G135" s="2"/>
      <c r="H135" s="2"/>
      <c r="I135" s="2"/>
      <c r="J135" s="2"/>
      <c r="K135" s="2"/>
      <c r="L135" s="2"/>
      <c r="M135" s="2"/>
      <c r="N135" s="2"/>
      <c r="O135" s="2"/>
      <c r="U135" s="2"/>
      <c r="V135" s="2"/>
      <c r="W135" s="2"/>
      <c r="X135" s="2"/>
    </row>
    <row r="136" spans="7:24" ht="12.75" customHeight="1">
      <c r="G136" s="2"/>
      <c r="H136" s="2"/>
      <c r="I136" s="2"/>
      <c r="J136" s="2"/>
      <c r="K136" s="2"/>
      <c r="L136" s="2"/>
      <c r="M136" s="2"/>
      <c r="N136" s="2"/>
      <c r="O136" s="2"/>
      <c r="U136" s="2"/>
      <c r="V136" s="2"/>
      <c r="W136" s="2"/>
      <c r="X136" s="2"/>
    </row>
    <row r="137" spans="8:24" ht="12.75" customHeight="1">
      <c r="H137" s="2"/>
      <c r="I137" s="2"/>
      <c r="J137" s="2"/>
      <c r="L137" s="2"/>
      <c r="M137" s="2"/>
      <c r="N137" s="2"/>
      <c r="O137" s="2"/>
      <c r="U137" s="2"/>
      <c r="V137" s="2"/>
      <c r="W137" s="2"/>
      <c r="X137" s="2"/>
    </row>
    <row r="138" spans="1:24" ht="12.75" customHeight="1">
      <c r="A138" s="135"/>
      <c r="L138" s="2"/>
      <c r="M138" s="2"/>
      <c r="N138" s="2"/>
      <c r="O138" s="2"/>
      <c r="U138" s="2"/>
      <c r="V138" s="2"/>
      <c r="W138" s="2"/>
      <c r="X138" s="2"/>
    </row>
    <row r="139" spans="1:24" ht="12.75" customHeight="1">
      <c r="A139" s="135"/>
      <c r="L139" s="2"/>
      <c r="M139" s="2"/>
      <c r="N139" s="2"/>
      <c r="O139" s="2"/>
      <c r="U139" s="2"/>
      <c r="V139" s="2"/>
      <c r="W139" s="2"/>
      <c r="X139" s="2"/>
    </row>
    <row r="140" spans="1:24" ht="12.75" customHeight="1">
      <c r="A140" s="135"/>
      <c r="L140" s="2"/>
      <c r="M140" s="2"/>
      <c r="N140" s="2"/>
      <c r="O140" s="2"/>
      <c r="U140" s="2"/>
      <c r="V140" s="2"/>
      <c r="W140" s="2"/>
      <c r="X140" s="2"/>
    </row>
    <row r="141" spans="1:24" ht="12.75" customHeight="1">
      <c r="A141" s="135"/>
      <c r="L141" s="2"/>
      <c r="M141" s="2"/>
      <c r="N141" s="2"/>
      <c r="O141" s="2"/>
      <c r="U141" s="2"/>
      <c r="V141" s="2"/>
      <c r="W141" s="2"/>
      <c r="X141" s="2"/>
    </row>
    <row r="142" spans="1:24" ht="12.75" customHeight="1">
      <c r="A142" s="137"/>
      <c r="L142" s="2"/>
      <c r="M142" s="2"/>
      <c r="N142" s="2"/>
      <c r="O142" s="2"/>
      <c r="U142" s="2"/>
      <c r="V142" s="2"/>
      <c r="W142" s="2"/>
      <c r="X142" s="2"/>
    </row>
    <row r="143" spans="1:24" ht="12.75" customHeight="1">
      <c r="A143" s="137"/>
      <c r="L143" s="2"/>
      <c r="M143" s="2"/>
      <c r="N143" s="2"/>
      <c r="O143" s="2"/>
      <c r="U143" s="2"/>
      <c r="V143" s="2"/>
      <c r="W143" s="2"/>
      <c r="X143" s="2"/>
    </row>
    <row r="144" spans="1:24" ht="12.75" customHeight="1">
      <c r="A144" s="140"/>
      <c r="L144" s="2"/>
      <c r="M144" s="2"/>
      <c r="N144" s="2"/>
      <c r="O144" s="2"/>
      <c r="U144" s="2"/>
      <c r="V144" s="2"/>
      <c r="W144" s="2"/>
      <c r="X144" s="2"/>
    </row>
    <row r="145" spans="1:24" ht="12.75" customHeight="1">
      <c r="A145" s="143"/>
      <c r="L145" s="2"/>
      <c r="M145" s="2"/>
      <c r="N145" s="2"/>
      <c r="O145" s="2"/>
      <c r="U145" s="2"/>
      <c r="V145" s="2"/>
      <c r="W145" s="2"/>
      <c r="X145" s="2"/>
    </row>
    <row r="146" spans="1:24" ht="12.75" customHeight="1">
      <c r="A146" s="143"/>
      <c r="L146" s="2"/>
      <c r="M146" s="2"/>
      <c r="N146" s="2"/>
      <c r="O146" s="2"/>
      <c r="U146" s="2"/>
      <c r="V146" s="2"/>
      <c r="W146" s="2"/>
      <c r="X146" s="2"/>
    </row>
    <row r="147" spans="1:24" ht="12.75" customHeight="1">
      <c r="A147" s="143"/>
      <c r="L147" s="2"/>
      <c r="M147" s="2"/>
      <c r="N147" s="2"/>
      <c r="O147" s="2"/>
      <c r="U147" s="2"/>
      <c r="V147" s="2"/>
      <c r="W147" s="2"/>
      <c r="X147" s="2"/>
    </row>
    <row r="148" spans="1:24" ht="12.75" customHeight="1">
      <c r="A148" s="143"/>
      <c r="L148" s="2"/>
      <c r="M148" s="2"/>
      <c r="N148" s="2"/>
      <c r="O148" s="2"/>
      <c r="U148" s="2"/>
      <c r="V148" s="2"/>
      <c r="W148" s="2"/>
      <c r="X148" s="2"/>
    </row>
    <row r="149" spans="1:24" ht="12.75" customHeight="1">
      <c r="A149" s="143"/>
      <c r="L149" s="2"/>
      <c r="M149" s="2"/>
      <c r="N149" s="2"/>
      <c r="O149" s="2"/>
      <c r="U149" s="2"/>
      <c r="V149" s="2"/>
      <c r="W149" s="2"/>
      <c r="X149" s="2"/>
    </row>
    <row r="150" spans="1:24" ht="12.75" customHeight="1">
      <c r="A150" s="143"/>
      <c r="L150" s="2"/>
      <c r="M150" s="2"/>
      <c r="N150" s="2"/>
      <c r="O150" s="2"/>
      <c r="U150" s="2"/>
      <c r="V150" s="2"/>
      <c r="W150" s="2"/>
      <c r="X150" s="2"/>
    </row>
    <row r="151" spans="1:24" ht="12.75" customHeight="1">
      <c r="A151" s="143"/>
      <c r="L151" s="2"/>
      <c r="M151" s="2"/>
      <c r="N151" s="2"/>
      <c r="O151" s="2"/>
      <c r="U151" s="2"/>
      <c r="V151" s="2"/>
      <c r="W151" s="2"/>
      <c r="X151" s="2"/>
    </row>
    <row r="152" spans="1:24" ht="12.75" customHeight="1">
      <c r="A152" s="143"/>
      <c r="L152" s="2"/>
      <c r="M152" s="2"/>
      <c r="N152" s="2"/>
      <c r="O152" s="2"/>
      <c r="U152" s="2"/>
      <c r="V152" s="2"/>
      <c r="W152" s="2"/>
      <c r="X152" s="2"/>
    </row>
    <row r="153" spans="1:24" ht="12.75" customHeight="1">
      <c r="A153" s="143"/>
      <c r="L153" s="2"/>
      <c r="M153" s="2"/>
      <c r="N153" s="2"/>
      <c r="O153" s="2"/>
      <c r="U153" s="2"/>
      <c r="V153" s="2"/>
      <c r="W153" s="2"/>
      <c r="X153" s="2"/>
    </row>
    <row r="154" spans="1:24" ht="12.75" customHeight="1">
      <c r="A154" s="143"/>
      <c r="L154" s="2"/>
      <c r="M154" s="2"/>
      <c r="N154" s="2"/>
      <c r="O154" s="2"/>
      <c r="U154" s="2"/>
      <c r="V154" s="2"/>
      <c r="W154" s="2"/>
      <c r="X154" s="2"/>
    </row>
    <row r="155" spans="1:24" ht="12.75" customHeight="1">
      <c r="A155" s="143"/>
      <c r="L155" s="2"/>
      <c r="M155" s="2"/>
      <c r="N155" s="2"/>
      <c r="O155" s="2"/>
      <c r="U155" s="2"/>
      <c r="V155" s="2"/>
      <c r="W155" s="2"/>
      <c r="X155" s="2"/>
    </row>
    <row r="156" spans="1:24" ht="12.75" customHeight="1">
      <c r="A156" s="143"/>
      <c r="L156" s="2"/>
      <c r="M156" s="2"/>
      <c r="N156" s="2"/>
      <c r="O156" s="2"/>
      <c r="U156" s="2"/>
      <c r="V156" s="2"/>
      <c r="W156" s="2"/>
      <c r="X156" s="2"/>
    </row>
    <row r="157" spans="1:24" ht="12.75" customHeight="1">
      <c r="A157" s="143"/>
      <c r="L157" s="2"/>
      <c r="M157" s="2"/>
      <c r="N157" s="2"/>
      <c r="O157" s="2"/>
      <c r="U157" s="2"/>
      <c r="V157" s="2"/>
      <c r="W157" s="2"/>
      <c r="X157" s="2"/>
    </row>
    <row r="158" spans="1:24" ht="12.75" customHeight="1">
      <c r="A158" s="140"/>
      <c r="L158" s="2"/>
      <c r="M158" s="2"/>
      <c r="N158" s="2"/>
      <c r="O158" s="2"/>
      <c r="U158" s="2"/>
      <c r="V158" s="2"/>
      <c r="W158" s="2"/>
      <c r="X158" s="2"/>
    </row>
    <row r="159" spans="1:24" ht="12.75" customHeight="1">
      <c r="A159" s="143"/>
      <c r="L159" s="2"/>
      <c r="M159" s="2"/>
      <c r="N159" s="2"/>
      <c r="O159" s="2"/>
      <c r="U159" s="2"/>
      <c r="V159" s="2"/>
      <c r="W159" s="2"/>
      <c r="X159" s="2"/>
    </row>
    <row r="160" spans="1:24" ht="12.75" customHeight="1">
      <c r="A160" s="143"/>
      <c r="L160" s="2"/>
      <c r="M160" s="2"/>
      <c r="N160" s="2"/>
      <c r="O160" s="2"/>
      <c r="U160" s="2"/>
      <c r="V160" s="2"/>
      <c r="W160" s="2"/>
      <c r="X160" s="2"/>
    </row>
    <row r="161" spans="1:24" ht="12.75" customHeight="1">
      <c r="A161" s="140"/>
      <c r="E161" s="136"/>
      <c r="F161" s="135"/>
      <c r="L161" s="2"/>
      <c r="M161" s="2"/>
      <c r="N161" s="2"/>
      <c r="O161" s="2"/>
      <c r="U161" s="2"/>
      <c r="V161" s="2"/>
      <c r="W161" s="2"/>
      <c r="X161" s="2"/>
    </row>
    <row r="162" spans="1:24" ht="12.75" customHeight="1">
      <c r="A162" s="140"/>
      <c r="E162" s="136"/>
      <c r="F162" s="135"/>
      <c r="L162" s="2"/>
      <c r="M162" s="2"/>
      <c r="N162" s="2"/>
      <c r="O162" s="2"/>
      <c r="U162" s="2"/>
      <c r="V162" s="2"/>
      <c r="W162" s="2"/>
      <c r="X162" s="2"/>
    </row>
    <row r="163" spans="1:24" ht="12.75" customHeight="1">
      <c r="A163" s="143"/>
      <c r="E163" s="136"/>
      <c r="F163" s="135"/>
      <c r="L163" s="2"/>
      <c r="M163" s="2"/>
      <c r="N163" s="2"/>
      <c r="O163" s="2"/>
      <c r="U163" s="2"/>
      <c r="V163" s="2"/>
      <c r="W163" s="2"/>
      <c r="X163" s="2"/>
    </row>
    <row r="164" spans="1:24" ht="12.75" customHeight="1">
      <c r="A164" s="143"/>
      <c r="E164" s="136"/>
      <c r="F164" s="135"/>
      <c r="L164" s="2"/>
      <c r="M164" s="2"/>
      <c r="N164" s="2"/>
      <c r="O164" s="2"/>
      <c r="U164" s="2"/>
      <c r="V164" s="2"/>
      <c r="W164" s="2"/>
      <c r="X164" s="2"/>
    </row>
    <row r="165" spans="1:24" ht="12.75" customHeight="1">
      <c r="A165" s="143"/>
      <c r="B165" s="135"/>
      <c r="C165" s="135"/>
      <c r="D165" s="135"/>
      <c r="E165" s="135"/>
      <c r="F165" s="138"/>
      <c r="L165" s="2"/>
      <c r="M165" s="2"/>
      <c r="N165" s="2"/>
      <c r="O165" s="2"/>
      <c r="U165" s="2"/>
      <c r="V165" s="2"/>
      <c r="W165" s="2"/>
      <c r="X165" s="2"/>
    </row>
    <row r="166" spans="1:24" ht="12.75" customHeight="1">
      <c r="A166" s="143"/>
      <c r="B166" s="139"/>
      <c r="C166" s="139"/>
      <c r="D166" s="139"/>
      <c r="E166" s="139"/>
      <c r="F166" s="138"/>
      <c r="L166" s="2"/>
      <c r="M166" s="2"/>
      <c r="N166" s="2"/>
      <c r="O166" s="2"/>
      <c r="U166" s="2"/>
      <c r="V166" s="2"/>
      <c r="W166" s="2"/>
      <c r="X166" s="2"/>
    </row>
    <row r="167" spans="1:24" ht="12.75" customHeight="1">
      <c r="A167" s="143"/>
      <c r="B167" s="141"/>
      <c r="C167" s="141"/>
      <c r="D167" s="141"/>
      <c r="E167" s="141"/>
      <c r="F167" s="142"/>
      <c r="L167" s="2"/>
      <c r="M167" s="2"/>
      <c r="N167" s="2"/>
      <c r="O167" s="2"/>
      <c r="U167" s="2"/>
      <c r="V167" s="2"/>
      <c r="W167" s="2"/>
      <c r="X167" s="2"/>
    </row>
    <row r="168" spans="1:24" ht="12.75" customHeight="1">
      <c r="A168" s="143"/>
      <c r="B168" s="142"/>
      <c r="C168" s="142"/>
      <c r="D168" s="142"/>
      <c r="E168" s="142"/>
      <c r="F168" s="144"/>
      <c r="L168" s="2"/>
      <c r="M168" s="2"/>
      <c r="N168" s="2"/>
      <c r="O168" s="2"/>
      <c r="U168" s="2"/>
      <c r="V168" s="2"/>
      <c r="W168" s="2"/>
      <c r="X168" s="2"/>
    </row>
    <row r="169" spans="1:24" ht="12.75" customHeight="1">
      <c r="A169" s="143"/>
      <c r="B169" s="142"/>
      <c r="C169" s="142"/>
      <c r="D169" s="142"/>
      <c r="E169" s="142"/>
      <c r="F169" s="142"/>
      <c r="L169" s="2"/>
      <c r="M169" s="2"/>
      <c r="N169" s="2"/>
      <c r="O169" s="2"/>
      <c r="U169" s="2"/>
      <c r="V169" s="2"/>
      <c r="W169" s="2"/>
      <c r="X169" s="2"/>
    </row>
    <row r="170" spans="1:24" ht="12.75" customHeight="1">
      <c r="A170" s="143"/>
      <c r="B170" s="142"/>
      <c r="C170" s="142"/>
      <c r="D170" s="142"/>
      <c r="E170" s="142"/>
      <c r="F170" s="145"/>
      <c r="L170" s="2"/>
      <c r="M170" s="2"/>
      <c r="N170" s="2"/>
      <c r="O170" s="2"/>
      <c r="U170" s="2"/>
      <c r="V170" s="2"/>
      <c r="W170" s="2"/>
      <c r="X170" s="2"/>
    </row>
    <row r="171" spans="1:24" ht="12.75" customHeight="1">
      <c r="A171" s="143"/>
      <c r="B171" s="142"/>
      <c r="C171" s="142"/>
      <c r="D171" s="142"/>
      <c r="E171" s="142"/>
      <c r="F171" s="142"/>
      <c r="L171" s="2"/>
      <c r="M171" s="2"/>
      <c r="N171" s="2"/>
      <c r="O171" s="2"/>
      <c r="U171" s="2"/>
      <c r="V171" s="2"/>
      <c r="W171" s="2"/>
      <c r="X171" s="2"/>
    </row>
    <row r="172" spans="1:24" ht="12.75" customHeight="1">
      <c r="A172" s="143"/>
      <c r="B172" s="142"/>
      <c r="C172" s="142"/>
      <c r="D172" s="142"/>
      <c r="E172" s="142"/>
      <c r="F172" s="146"/>
      <c r="L172" s="2"/>
      <c r="M172" s="2"/>
      <c r="N172" s="2"/>
      <c r="O172" s="2"/>
      <c r="U172" s="2"/>
      <c r="V172" s="2"/>
      <c r="W172" s="2"/>
      <c r="X172" s="2"/>
    </row>
    <row r="173" spans="1:24" ht="12.75" customHeight="1">
      <c r="A173" s="143"/>
      <c r="B173" s="142"/>
      <c r="C173" s="142"/>
      <c r="D173" s="142"/>
      <c r="E173" s="142"/>
      <c r="F173" s="142"/>
      <c r="L173" s="2"/>
      <c r="M173" s="2"/>
      <c r="N173" s="2"/>
      <c r="O173" s="2"/>
      <c r="U173" s="2"/>
      <c r="V173" s="2"/>
      <c r="W173" s="2"/>
      <c r="X173" s="2"/>
    </row>
    <row r="174" spans="1:24" ht="12.75" customHeight="1">
      <c r="A174" s="143"/>
      <c r="B174" s="142"/>
      <c r="C174" s="142"/>
      <c r="D174" s="142"/>
      <c r="E174" s="142"/>
      <c r="F174" s="147"/>
      <c r="L174" s="2"/>
      <c r="M174" s="2"/>
      <c r="N174" s="2"/>
      <c r="O174" s="2"/>
      <c r="U174" s="2"/>
      <c r="V174" s="2"/>
      <c r="W174" s="2"/>
      <c r="X174" s="2"/>
    </row>
    <row r="175" spans="1:24" ht="12.75" customHeight="1">
      <c r="A175" s="143"/>
      <c r="B175" s="142"/>
      <c r="C175" s="142"/>
      <c r="D175" s="142"/>
      <c r="E175" s="142"/>
      <c r="F175" s="142"/>
      <c r="L175" s="2"/>
      <c r="M175" s="2"/>
      <c r="N175" s="2"/>
      <c r="O175" s="2"/>
      <c r="U175" s="2"/>
      <c r="V175" s="2"/>
      <c r="W175" s="2"/>
      <c r="X175" s="2"/>
    </row>
    <row r="176" spans="1:24" ht="12.75" customHeight="1">
      <c r="A176" s="143"/>
      <c r="B176" s="142"/>
      <c r="C176" s="142"/>
      <c r="D176" s="142"/>
      <c r="E176" s="142"/>
      <c r="F176" s="142"/>
      <c r="L176" s="2"/>
      <c r="M176" s="2"/>
      <c r="N176" s="2"/>
      <c r="O176" s="2"/>
      <c r="U176" s="2"/>
      <c r="V176" s="2"/>
      <c r="W176" s="2"/>
      <c r="X176" s="2"/>
    </row>
    <row r="177" spans="1:24" ht="12.75" customHeight="1">
      <c r="A177" s="143"/>
      <c r="B177" s="142"/>
      <c r="C177" s="142"/>
      <c r="D177" s="142"/>
      <c r="E177" s="142"/>
      <c r="F177" s="145"/>
      <c r="L177" s="2"/>
      <c r="M177" s="2"/>
      <c r="N177" s="2"/>
      <c r="O177" s="2"/>
      <c r="U177" s="2"/>
      <c r="V177" s="2"/>
      <c r="W177" s="2"/>
      <c r="X177" s="2"/>
    </row>
    <row r="178" spans="1:24" ht="12.75" customHeight="1">
      <c r="A178" s="143"/>
      <c r="B178" s="148"/>
      <c r="C178" s="148"/>
      <c r="D178" s="148"/>
      <c r="E178" s="149"/>
      <c r="F178" s="149"/>
      <c r="L178" s="2"/>
      <c r="M178" s="2"/>
      <c r="N178" s="2"/>
      <c r="O178" s="2"/>
      <c r="U178" s="2"/>
      <c r="V178" s="2"/>
      <c r="W178" s="2"/>
      <c r="X178" s="2"/>
    </row>
    <row r="179" spans="1:24" ht="12.75" customHeight="1">
      <c r="A179" s="143"/>
      <c r="B179" s="148"/>
      <c r="C179" s="148"/>
      <c r="D179" s="148"/>
      <c r="E179" s="149"/>
      <c r="F179" s="150"/>
      <c r="L179" s="2"/>
      <c r="M179" s="2"/>
      <c r="N179" s="2"/>
      <c r="O179" s="2"/>
      <c r="U179" s="2"/>
      <c r="V179" s="2"/>
      <c r="W179" s="2"/>
      <c r="X179" s="2"/>
    </row>
    <row r="180" spans="1:24" ht="12.75" customHeight="1">
      <c r="A180" s="140"/>
      <c r="B180" s="148"/>
      <c r="C180" s="148"/>
      <c r="D180" s="148"/>
      <c r="E180" s="149"/>
      <c r="F180" s="149"/>
      <c r="G180" s="135"/>
      <c r="K180" s="135"/>
      <c r="L180" s="2"/>
      <c r="M180" s="2"/>
      <c r="N180" s="2"/>
      <c r="O180" s="2"/>
      <c r="U180" s="2"/>
      <c r="V180" s="2"/>
      <c r="W180" s="2"/>
      <c r="X180" s="2"/>
    </row>
    <row r="181" spans="1:24" ht="12.75" customHeight="1">
      <c r="A181" s="140"/>
      <c r="B181" s="148"/>
      <c r="C181" s="148"/>
      <c r="D181" s="148"/>
      <c r="E181" s="149"/>
      <c r="F181" s="149"/>
      <c r="G181" s="135"/>
      <c r="H181" s="135"/>
      <c r="I181" s="135"/>
      <c r="J181" s="135"/>
      <c r="K181" s="135"/>
      <c r="L181" s="2"/>
      <c r="M181" s="2"/>
      <c r="N181" s="2"/>
      <c r="O181" s="2"/>
      <c r="U181" s="2"/>
      <c r="V181" s="2"/>
      <c r="W181" s="2"/>
      <c r="X181" s="2"/>
    </row>
    <row r="182" spans="1:24" ht="12.75" customHeight="1">
      <c r="A182" s="2"/>
      <c r="B182" s="149"/>
      <c r="C182" s="149"/>
      <c r="D182" s="149"/>
      <c r="E182" s="149"/>
      <c r="F182" s="151"/>
      <c r="G182" s="135"/>
      <c r="H182" s="135"/>
      <c r="I182" s="135"/>
      <c r="J182" s="135"/>
      <c r="K182" s="135"/>
      <c r="L182" s="2"/>
      <c r="M182" s="2"/>
      <c r="N182" s="2"/>
      <c r="O182" s="2"/>
      <c r="U182" s="2"/>
      <c r="V182" s="2"/>
      <c r="W182" s="2"/>
      <c r="X182" s="2"/>
    </row>
    <row r="183" spans="1:24" ht="12.75" customHeight="1">
      <c r="A183" s="2"/>
      <c r="B183" s="142"/>
      <c r="C183" s="142"/>
      <c r="D183" s="142"/>
      <c r="E183" s="142"/>
      <c r="F183" s="152"/>
      <c r="G183" s="135"/>
      <c r="H183" s="135"/>
      <c r="I183" s="135"/>
      <c r="J183" s="135"/>
      <c r="K183" s="135"/>
      <c r="L183" s="2"/>
      <c r="M183" s="2"/>
      <c r="N183" s="2"/>
      <c r="O183" s="2"/>
      <c r="U183" s="2"/>
      <c r="V183" s="2"/>
      <c r="W183" s="2"/>
      <c r="X183" s="2"/>
    </row>
    <row r="184" spans="1:24" ht="12.75" customHeight="1">
      <c r="A184" s="2"/>
      <c r="B184" s="141"/>
      <c r="C184" s="141"/>
      <c r="D184" s="141"/>
      <c r="E184" s="141"/>
      <c r="F184" s="142"/>
      <c r="G184" s="138"/>
      <c r="H184" s="135"/>
      <c r="I184" s="135"/>
      <c r="J184" s="135"/>
      <c r="K184" s="138"/>
      <c r="L184" s="2"/>
      <c r="M184" s="2"/>
      <c r="N184" s="2"/>
      <c r="O184" s="2"/>
      <c r="U184" s="2"/>
      <c r="V184" s="2"/>
      <c r="W184" s="2"/>
      <c r="X184" s="2"/>
    </row>
    <row r="185" spans="1:24" ht="12.75" customHeight="1">
      <c r="A185" s="2"/>
      <c r="B185" s="141"/>
      <c r="C185" s="141"/>
      <c r="D185" s="141"/>
      <c r="E185" s="141"/>
      <c r="F185" s="142"/>
      <c r="G185" s="138"/>
      <c r="H185" s="138"/>
      <c r="I185" s="138"/>
      <c r="J185" s="138"/>
      <c r="K185" s="138"/>
      <c r="L185" s="2"/>
      <c r="M185" s="2"/>
      <c r="N185" s="2"/>
      <c r="O185" s="2"/>
      <c r="U185" s="2"/>
      <c r="V185" s="2"/>
      <c r="W185" s="2"/>
      <c r="X185" s="2"/>
    </row>
    <row r="186" spans="1:24" ht="12.75" customHeight="1">
      <c r="A186" s="2"/>
      <c r="B186" s="142"/>
      <c r="C186" s="142"/>
      <c r="D186" s="142"/>
      <c r="E186" s="142"/>
      <c r="F186" s="144"/>
      <c r="G186" s="142"/>
      <c r="H186" s="138"/>
      <c r="I186" s="138"/>
      <c r="J186" s="138"/>
      <c r="K186" s="142"/>
      <c r="L186" s="2"/>
      <c r="M186" s="2"/>
      <c r="N186" s="2"/>
      <c r="O186" s="2"/>
      <c r="U186" s="2"/>
      <c r="V186" s="2"/>
      <c r="W186" s="2"/>
      <c r="X186" s="2"/>
    </row>
    <row r="187" spans="1:24" ht="12.75" customHeight="1">
      <c r="A187" s="2"/>
      <c r="B187" s="142"/>
      <c r="C187" s="142"/>
      <c r="D187" s="142"/>
      <c r="E187" s="142"/>
      <c r="F187" s="142"/>
      <c r="G187" s="144"/>
      <c r="H187" s="142"/>
      <c r="I187" s="142"/>
      <c r="J187" s="142"/>
      <c r="K187" s="144"/>
      <c r="L187" s="2"/>
      <c r="M187" s="2"/>
      <c r="N187" s="2"/>
      <c r="O187" s="2"/>
      <c r="U187" s="2"/>
      <c r="V187" s="2"/>
      <c r="W187" s="2"/>
      <c r="X187" s="2"/>
    </row>
    <row r="188" spans="1:24" ht="12.75" customHeight="1">
      <c r="A188" s="154"/>
      <c r="B188" s="142"/>
      <c r="C188" s="142"/>
      <c r="D188" s="142"/>
      <c r="E188" s="142"/>
      <c r="F188" s="145"/>
      <c r="G188" s="142"/>
      <c r="H188" s="144"/>
      <c r="I188" s="144"/>
      <c r="J188" s="144"/>
      <c r="K188" s="142"/>
      <c r="L188" s="2"/>
      <c r="M188" s="2"/>
      <c r="N188" s="2"/>
      <c r="O188" s="2"/>
      <c r="U188" s="2"/>
      <c r="V188" s="2"/>
      <c r="W188" s="2"/>
      <c r="X188" s="2"/>
    </row>
    <row r="189" spans="1:24" ht="12.75" customHeight="1">
      <c r="A189" s="154"/>
      <c r="B189" s="142"/>
      <c r="C189" s="142"/>
      <c r="D189" s="142"/>
      <c r="E189" s="142"/>
      <c r="F189" s="142"/>
      <c r="G189" s="145"/>
      <c r="H189" s="142"/>
      <c r="I189" s="142"/>
      <c r="J189" s="142"/>
      <c r="K189" s="145"/>
      <c r="L189" s="2"/>
      <c r="M189" s="2"/>
      <c r="N189" s="2"/>
      <c r="O189" s="2"/>
      <c r="U189" s="2"/>
      <c r="V189" s="2"/>
      <c r="W189" s="2"/>
      <c r="X189" s="2"/>
    </row>
    <row r="190" spans="1:24" ht="12.75" customHeight="1">
      <c r="A190" s="154"/>
      <c r="B190" s="142"/>
      <c r="C190" s="142"/>
      <c r="D190" s="142"/>
      <c r="E190" s="142"/>
      <c r="F190" s="146"/>
      <c r="G190" s="142"/>
      <c r="H190" s="145"/>
      <c r="I190" s="145"/>
      <c r="J190" s="145"/>
      <c r="K190" s="142"/>
      <c r="L190" s="2"/>
      <c r="M190" s="2"/>
      <c r="N190" s="2"/>
      <c r="O190" s="2"/>
      <c r="U190" s="2"/>
      <c r="V190" s="2"/>
      <c r="W190" s="2"/>
      <c r="X190" s="2"/>
    </row>
    <row r="191" spans="1:24" ht="12.75" customHeight="1">
      <c r="A191" s="154"/>
      <c r="B191" s="142"/>
      <c r="C191" s="142"/>
      <c r="D191" s="142"/>
      <c r="E191" s="142"/>
      <c r="F191" s="142"/>
      <c r="G191" s="146"/>
      <c r="H191" s="142"/>
      <c r="I191" s="142"/>
      <c r="J191" s="142"/>
      <c r="K191" s="146"/>
      <c r="L191" s="2"/>
      <c r="M191" s="2"/>
      <c r="N191" s="2"/>
      <c r="O191" s="2"/>
      <c r="U191" s="2"/>
      <c r="V191" s="2"/>
      <c r="W191" s="2"/>
      <c r="X191" s="2"/>
    </row>
    <row r="192" spans="1:24" ht="12.75" customHeight="1">
      <c r="A192" s="158"/>
      <c r="B192" s="142"/>
      <c r="C192" s="142"/>
      <c r="D192" s="142"/>
      <c r="E192" s="142"/>
      <c r="F192" s="147"/>
      <c r="G192" s="142"/>
      <c r="H192" s="146"/>
      <c r="I192" s="146"/>
      <c r="J192" s="146"/>
      <c r="K192" s="142"/>
      <c r="L192" s="2"/>
      <c r="M192" s="2"/>
      <c r="N192" s="2"/>
      <c r="O192" s="2"/>
      <c r="U192" s="2"/>
      <c r="V192" s="2"/>
      <c r="W192" s="2"/>
      <c r="X192" s="2"/>
    </row>
    <row r="193" spans="1:24" ht="12.75" customHeight="1">
      <c r="A193" s="158"/>
      <c r="B193" s="142"/>
      <c r="C193" s="142"/>
      <c r="D193" s="142"/>
      <c r="E193" s="142"/>
      <c r="F193" s="142"/>
      <c r="G193" s="147"/>
      <c r="H193" s="142"/>
      <c r="I193" s="142"/>
      <c r="J193" s="142"/>
      <c r="K193" s="147"/>
      <c r="L193" s="2"/>
      <c r="M193" s="2"/>
      <c r="N193" s="2"/>
      <c r="O193" s="2"/>
      <c r="U193" s="2"/>
      <c r="V193" s="2"/>
      <c r="W193" s="2"/>
      <c r="X193" s="2"/>
    </row>
    <row r="194" spans="1:24" ht="12.75" customHeight="1">
      <c r="A194" s="140"/>
      <c r="B194" s="142"/>
      <c r="C194" s="142"/>
      <c r="D194" s="142"/>
      <c r="E194" s="142"/>
      <c r="F194" s="142"/>
      <c r="G194" s="142"/>
      <c r="H194" s="147"/>
      <c r="I194" s="147"/>
      <c r="J194" s="147"/>
      <c r="K194" s="142"/>
      <c r="L194" s="2"/>
      <c r="M194" s="2"/>
      <c r="N194" s="2"/>
      <c r="O194" s="2"/>
      <c r="U194" s="2"/>
      <c r="V194" s="2"/>
      <c r="W194" s="2"/>
      <c r="X194" s="2"/>
    </row>
    <row r="195" spans="1:24" ht="12.75" customHeight="1">
      <c r="A195" s="160"/>
      <c r="B195" s="142"/>
      <c r="C195" s="142"/>
      <c r="D195" s="142"/>
      <c r="E195" s="142"/>
      <c r="F195" s="145"/>
      <c r="G195" s="142"/>
      <c r="H195" s="142"/>
      <c r="I195" s="142"/>
      <c r="J195" s="142"/>
      <c r="K195" s="142"/>
      <c r="L195" s="2"/>
      <c r="M195" s="2"/>
      <c r="N195" s="2"/>
      <c r="O195" s="2"/>
      <c r="U195" s="2"/>
      <c r="V195" s="2"/>
      <c r="W195" s="2"/>
      <c r="X195" s="2"/>
    </row>
    <row r="196" spans="1:24" ht="12.75" customHeight="1">
      <c r="A196" s="160"/>
      <c r="B196" s="142"/>
      <c r="C196" s="142"/>
      <c r="D196" s="142"/>
      <c r="E196" s="142"/>
      <c r="F196" s="142"/>
      <c r="G196" s="145"/>
      <c r="H196" s="142"/>
      <c r="I196" s="142"/>
      <c r="J196" s="142"/>
      <c r="K196" s="145"/>
      <c r="L196" s="2"/>
      <c r="M196" s="2"/>
      <c r="N196" s="2"/>
      <c r="O196" s="2"/>
      <c r="U196" s="2"/>
      <c r="V196" s="2"/>
      <c r="W196" s="2"/>
      <c r="X196" s="2"/>
    </row>
    <row r="197" spans="1:24" ht="12.75" customHeight="1">
      <c r="A197" s="160"/>
      <c r="B197" s="142"/>
      <c r="C197" s="142"/>
      <c r="D197" s="142"/>
      <c r="E197" s="142"/>
      <c r="F197" s="144"/>
      <c r="G197" s="149"/>
      <c r="H197" s="145"/>
      <c r="I197" s="145"/>
      <c r="J197" s="145"/>
      <c r="K197" s="149"/>
      <c r="L197" s="2"/>
      <c r="M197" s="2"/>
      <c r="N197" s="2"/>
      <c r="O197" s="2"/>
      <c r="U197" s="2"/>
      <c r="V197" s="2"/>
      <c r="W197" s="2"/>
      <c r="X197" s="2"/>
    </row>
    <row r="198" spans="1:24" ht="12.75" customHeight="1">
      <c r="A198" s="2"/>
      <c r="B198" s="142"/>
      <c r="C198" s="142"/>
      <c r="D198" s="142"/>
      <c r="E198" s="142"/>
      <c r="F198" s="142"/>
      <c r="G198" s="150"/>
      <c r="H198" s="149"/>
      <c r="I198" s="149"/>
      <c r="J198" s="149"/>
      <c r="K198" s="150"/>
      <c r="L198" s="2"/>
      <c r="M198" s="2"/>
      <c r="N198" s="2"/>
      <c r="O198" s="2"/>
      <c r="U198" s="2"/>
      <c r="V198" s="2"/>
      <c r="W198" s="2"/>
      <c r="X198" s="2"/>
    </row>
    <row r="199" spans="1:24" ht="12.75" customHeight="1">
      <c r="A199" s="160"/>
      <c r="B199" s="142"/>
      <c r="C199" s="142"/>
      <c r="D199" s="142"/>
      <c r="E199" s="142"/>
      <c r="F199" s="142"/>
      <c r="G199" s="149"/>
      <c r="H199" s="150"/>
      <c r="I199" s="150"/>
      <c r="J199" s="150"/>
      <c r="K199" s="149"/>
      <c r="L199" s="2"/>
      <c r="M199" s="2"/>
      <c r="N199" s="2"/>
      <c r="O199" s="2"/>
      <c r="U199" s="2"/>
      <c r="V199" s="2"/>
      <c r="W199" s="2"/>
      <c r="X199" s="2"/>
    </row>
    <row r="200" spans="1:24" ht="12.75" customHeight="1">
      <c r="A200" s="160"/>
      <c r="B200" s="142"/>
      <c r="C200" s="142"/>
      <c r="D200" s="142"/>
      <c r="E200" s="153"/>
      <c r="F200" s="152"/>
      <c r="G200" s="149"/>
      <c r="H200" s="149"/>
      <c r="I200" s="149"/>
      <c r="J200" s="149"/>
      <c r="K200" s="149"/>
      <c r="L200" s="2"/>
      <c r="M200" s="2"/>
      <c r="N200" s="2"/>
      <c r="O200" s="2"/>
      <c r="U200" s="2"/>
      <c r="V200" s="2"/>
      <c r="W200" s="2"/>
      <c r="X200" s="2"/>
    </row>
    <row r="201" spans="1:24" ht="12.75" customHeight="1">
      <c r="A201" s="160"/>
      <c r="B201" s="142"/>
      <c r="C201" s="142"/>
      <c r="D201" s="142"/>
      <c r="E201" s="142"/>
      <c r="F201" s="142"/>
      <c r="G201" s="151"/>
      <c r="H201" s="149"/>
      <c r="I201" s="149"/>
      <c r="J201" s="149"/>
      <c r="K201" s="151"/>
      <c r="L201" s="2"/>
      <c r="M201" s="2"/>
      <c r="N201" s="2"/>
      <c r="O201" s="2"/>
      <c r="U201" s="2"/>
      <c r="V201" s="2"/>
      <c r="W201" s="2"/>
      <c r="X201" s="2"/>
    </row>
    <row r="202" spans="1:24" ht="12.75" customHeight="1">
      <c r="A202" s="160"/>
      <c r="B202" s="142"/>
      <c r="C202" s="142"/>
      <c r="D202" s="142"/>
      <c r="E202" s="142"/>
      <c r="F202" s="152"/>
      <c r="G202" s="152"/>
      <c r="H202" s="151"/>
      <c r="I202" s="151"/>
      <c r="J202" s="151"/>
      <c r="K202" s="152"/>
      <c r="L202" s="2"/>
      <c r="M202" s="2"/>
      <c r="N202" s="2"/>
      <c r="O202" s="2"/>
      <c r="U202" s="2"/>
      <c r="V202" s="2"/>
      <c r="W202" s="2"/>
      <c r="X202" s="2"/>
    </row>
    <row r="203" spans="1:24" ht="12.75" customHeight="1">
      <c r="A203" s="160"/>
      <c r="B203" s="142"/>
      <c r="C203" s="142"/>
      <c r="D203" s="142"/>
      <c r="E203" s="142"/>
      <c r="F203" s="142"/>
      <c r="G203" s="142"/>
      <c r="H203" s="152"/>
      <c r="I203" s="152"/>
      <c r="J203" s="152"/>
      <c r="K203" s="142"/>
      <c r="L203" s="2"/>
      <c r="M203" s="2"/>
      <c r="N203" s="2"/>
      <c r="O203" s="2"/>
      <c r="U203" s="2"/>
      <c r="V203" s="2"/>
      <c r="W203" s="2"/>
      <c r="X203" s="2"/>
    </row>
    <row r="204" spans="1:24" ht="12.75" customHeight="1">
      <c r="A204" s="160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2"/>
      <c r="M204" s="2"/>
      <c r="N204" s="2"/>
      <c r="O204" s="2"/>
      <c r="U204" s="2"/>
      <c r="V204" s="2"/>
      <c r="W204" s="2"/>
      <c r="X204" s="2"/>
    </row>
    <row r="205" spans="1:24" ht="12.75" customHeight="1">
      <c r="A205" s="160"/>
      <c r="B205" s="2"/>
      <c r="C205" s="2"/>
      <c r="D205" s="2"/>
      <c r="E205" s="2"/>
      <c r="F205" s="2"/>
      <c r="G205" s="144"/>
      <c r="H205" s="142"/>
      <c r="I205" s="142"/>
      <c r="J205" s="142"/>
      <c r="K205" s="144"/>
      <c r="L205" s="2"/>
      <c r="M205" s="2"/>
      <c r="N205" s="2"/>
      <c r="O205" s="2"/>
      <c r="U205" s="2"/>
      <c r="V205" s="2"/>
      <c r="W205" s="2"/>
      <c r="X205" s="2"/>
    </row>
    <row r="206" spans="1:24" ht="12.75" customHeight="1">
      <c r="A206" s="160"/>
      <c r="B206" s="2"/>
      <c r="C206" s="2"/>
      <c r="D206" s="2"/>
      <c r="E206" s="2"/>
      <c r="F206" s="2"/>
      <c r="G206" s="142"/>
      <c r="H206" s="144"/>
      <c r="I206" s="144"/>
      <c r="J206" s="144"/>
      <c r="K206" s="142"/>
      <c r="L206" s="2"/>
      <c r="M206" s="2"/>
      <c r="N206" s="2"/>
      <c r="O206" s="2"/>
      <c r="U206" s="2"/>
      <c r="V206" s="2"/>
      <c r="W206" s="2"/>
      <c r="X206" s="2"/>
    </row>
    <row r="207" spans="1:24" ht="12.75" customHeight="1">
      <c r="A207" s="160"/>
      <c r="B207" s="2"/>
      <c r="C207" s="2"/>
      <c r="D207" s="2"/>
      <c r="E207" s="2"/>
      <c r="F207" s="2"/>
      <c r="G207" s="145"/>
      <c r="H207" s="142"/>
      <c r="I207" s="142"/>
      <c r="J207" s="142"/>
      <c r="K207" s="145"/>
      <c r="L207" s="2"/>
      <c r="M207" s="2"/>
      <c r="N207" s="2"/>
      <c r="O207" s="2"/>
      <c r="U207" s="2"/>
      <c r="V207" s="2"/>
      <c r="W207" s="2"/>
      <c r="X207" s="2"/>
    </row>
    <row r="208" spans="1:24" ht="12.75" customHeight="1">
      <c r="A208" s="160"/>
      <c r="B208" s="2"/>
      <c r="C208" s="2"/>
      <c r="D208" s="2"/>
      <c r="E208" s="2"/>
      <c r="F208" s="2"/>
      <c r="G208" s="142"/>
      <c r="H208" s="145"/>
      <c r="I208" s="145"/>
      <c r="J208" s="145"/>
      <c r="K208" s="142"/>
      <c r="L208" s="2"/>
      <c r="M208" s="2"/>
      <c r="N208" s="2"/>
      <c r="O208" s="2"/>
      <c r="U208" s="2"/>
      <c r="V208" s="2"/>
      <c r="W208" s="2"/>
      <c r="X208" s="2"/>
    </row>
    <row r="209" spans="1:24" ht="12.75" customHeight="1">
      <c r="A209" s="160"/>
      <c r="B209" s="2"/>
      <c r="C209" s="2"/>
      <c r="D209" s="2"/>
      <c r="E209" s="2"/>
      <c r="F209" s="2"/>
      <c r="G209" s="146"/>
      <c r="H209" s="142"/>
      <c r="I209" s="142"/>
      <c r="J209" s="142"/>
      <c r="K209" s="146"/>
      <c r="L209" s="2"/>
      <c r="M209" s="2"/>
      <c r="N209" s="2"/>
      <c r="O209" s="2"/>
      <c r="U209" s="2"/>
      <c r="V209" s="2"/>
      <c r="W209" s="2"/>
      <c r="X209" s="2"/>
    </row>
    <row r="210" spans="1:24" ht="12.75" customHeight="1">
      <c r="A210" s="158"/>
      <c r="B210" s="2"/>
      <c r="C210" s="2"/>
      <c r="D210" s="2"/>
      <c r="E210" s="2"/>
      <c r="F210" s="2"/>
      <c r="G210" s="142"/>
      <c r="H210" s="146"/>
      <c r="I210" s="146"/>
      <c r="J210" s="146"/>
      <c r="K210" s="142"/>
      <c r="L210" s="2"/>
      <c r="M210" s="2"/>
      <c r="N210" s="2"/>
      <c r="O210" s="2"/>
      <c r="U210" s="2"/>
      <c r="V210" s="2"/>
      <c r="W210" s="2"/>
      <c r="X210" s="2"/>
    </row>
    <row r="211" spans="1:24" ht="12.75" customHeight="1">
      <c r="A211" s="2"/>
      <c r="B211" s="155"/>
      <c r="C211" s="155"/>
      <c r="D211" s="155"/>
      <c r="E211" s="154"/>
      <c r="F211" s="156"/>
      <c r="G211" s="147"/>
      <c r="H211" s="142"/>
      <c r="I211" s="142"/>
      <c r="J211" s="142"/>
      <c r="K211" s="147"/>
      <c r="L211" s="2"/>
      <c r="M211" s="2"/>
      <c r="N211" s="2"/>
      <c r="O211" s="2"/>
      <c r="U211" s="2"/>
      <c r="V211" s="2"/>
      <c r="W211" s="2"/>
      <c r="X211" s="2"/>
    </row>
    <row r="212" spans="1:24" ht="12.75" customHeight="1">
      <c r="A212" s="2"/>
      <c r="B212" s="155"/>
      <c r="C212" s="155"/>
      <c r="D212" s="155"/>
      <c r="E212" s="154"/>
      <c r="F212" s="156"/>
      <c r="G212" s="142"/>
      <c r="H212" s="147"/>
      <c r="I212" s="147"/>
      <c r="J212" s="147"/>
      <c r="K212" s="142"/>
      <c r="L212" s="2"/>
      <c r="M212" s="2"/>
      <c r="N212" s="2"/>
      <c r="O212" s="2"/>
      <c r="U212" s="2"/>
      <c r="V212" s="2"/>
      <c r="W212" s="2"/>
      <c r="X212" s="2"/>
    </row>
    <row r="213" spans="1:24" ht="12.75" customHeight="1">
      <c r="A213" s="2"/>
      <c r="B213" s="157"/>
      <c r="C213" s="157"/>
      <c r="D213" s="157"/>
      <c r="E213" s="154"/>
      <c r="F213" s="156"/>
      <c r="G213" s="142"/>
      <c r="H213" s="142"/>
      <c r="I213" s="142"/>
      <c r="J213" s="142"/>
      <c r="K213" s="142"/>
      <c r="L213" s="2"/>
      <c r="M213" s="2"/>
      <c r="N213" s="2"/>
      <c r="O213" s="2"/>
      <c r="U213" s="2"/>
      <c r="V213" s="2"/>
      <c r="W213" s="2"/>
      <c r="X213" s="2"/>
    </row>
    <row r="214" spans="1:24" ht="12.75" customHeight="1">
      <c r="A214" s="2"/>
      <c r="B214" s="157"/>
      <c r="C214" s="157"/>
      <c r="D214" s="157"/>
      <c r="E214" s="154"/>
      <c r="F214" s="156"/>
      <c r="G214" s="145"/>
      <c r="H214" s="142"/>
      <c r="I214" s="142"/>
      <c r="J214" s="142"/>
      <c r="K214" s="145"/>
      <c r="L214" s="2"/>
      <c r="M214" s="2"/>
      <c r="N214" s="2"/>
      <c r="O214" s="2"/>
      <c r="U214" s="2"/>
      <c r="V214" s="2"/>
      <c r="W214" s="2"/>
      <c r="X214" s="2"/>
    </row>
    <row r="215" spans="1:24" ht="12.75" customHeight="1">
      <c r="A215" s="2"/>
      <c r="B215" s="159"/>
      <c r="C215" s="159"/>
      <c r="D215" s="159"/>
      <c r="E215" s="159"/>
      <c r="F215" s="2"/>
      <c r="G215" s="142"/>
      <c r="H215" s="145"/>
      <c r="I215" s="145"/>
      <c r="J215" s="145"/>
      <c r="K215" s="142"/>
      <c r="L215" s="2"/>
      <c r="M215" s="2"/>
      <c r="N215" s="2"/>
      <c r="O215" s="2"/>
      <c r="U215" s="2"/>
      <c r="V215" s="2"/>
      <c r="W215" s="2"/>
      <c r="X215" s="2"/>
    </row>
    <row r="216" spans="1:24" ht="12.75" customHeight="1">
      <c r="A216" s="2"/>
      <c r="B216" s="141"/>
      <c r="C216" s="141"/>
      <c r="D216" s="141"/>
      <c r="E216" s="159"/>
      <c r="F216" s="2"/>
      <c r="G216" s="144"/>
      <c r="H216" s="142"/>
      <c r="I216" s="142"/>
      <c r="J216" s="142"/>
      <c r="K216" s="144"/>
      <c r="L216" s="2"/>
      <c r="M216" s="2"/>
      <c r="N216" s="2"/>
      <c r="O216" s="2"/>
      <c r="U216" s="2"/>
      <c r="V216" s="2"/>
      <c r="W216" s="2"/>
      <c r="X216" s="2"/>
    </row>
    <row r="217" spans="1:24" ht="12.75" customHeight="1">
      <c r="A217" s="2"/>
      <c r="B217" s="141"/>
      <c r="C217" s="141"/>
      <c r="D217" s="141"/>
      <c r="E217" s="141"/>
      <c r="F217" s="2"/>
      <c r="G217" s="142"/>
      <c r="H217" s="144"/>
      <c r="I217" s="144"/>
      <c r="J217" s="144"/>
      <c r="K217" s="142"/>
      <c r="L217" s="2"/>
      <c r="M217" s="2"/>
      <c r="N217" s="2"/>
      <c r="O217" s="2"/>
      <c r="U217" s="2"/>
      <c r="V217" s="2"/>
      <c r="W217" s="2"/>
      <c r="X217" s="2"/>
    </row>
    <row r="218" spans="1:24" ht="12.75" customHeight="1">
      <c r="A218" s="2"/>
      <c r="B218" s="159"/>
      <c r="C218" s="159"/>
      <c r="D218" s="159"/>
      <c r="E218" s="161"/>
      <c r="F218" s="2"/>
      <c r="G218" s="142"/>
      <c r="H218" s="142"/>
      <c r="I218" s="142"/>
      <c r="J218" s="142"/>
      <c r="K218" s="142"/>
      <c r="L218" s="2"/>
      <c r="M218" s="2"/>
      <c r="N218" s="2"/>
      <c r="O218" s="2"/>
      <c r="U218" s="2"/>
      <c r="V218" s="2"/>
      <c r="W218" s="2"/>
      <c r="X218" s="2"/>
    </row>
    <row r="219" spans="1:24" ht="12.75" customHeight="1">
      <c r="A219" s="2"/>
      <c r="B219" s="159"/>
      <c r="C219" s="159"/>
      <c r="D219" s="159"/>
      <c r="E219" s="159"/>
      <c r="F219" s="2"/>
      <c r="G219" s="152"/>
      <c r="H219" s="142"/>
      <c r="I219" s="142"/>
      <c r="J219" s="142"/>
      <c r="K219" s="152"/>
      <c r="L219" s="2"/>
      <c r="M219" s="2"/>
      <c r="N219" s="2"/>
      <c r="O219" s="2"/>
      <c r="U219" s="2"/>
      <c r="V219" s="2"/>
      <c r="W219" s="2"/>
      <c r="X219" s="2"/>
    </row>
    <row r="220" spans="1:24" ht="12.75" customHeight="1">
      <c r="A220" s="2"/>
      <c r="B220" s="159"/>
      <c r="C220" s="159"/>
      <c r="D220" s="159"/>
      <c r="E220" s="162"/>
      <c r="F220" s="2"/>
      <c r="G220" s="142"/>
      <c r="H220" s="152"/>
      <c r="I220" s="152"/>
      <c r="J220" s="152"/>
      <c r="K220" s="142"/>
      <c r="L220" s="2"/>
      <c r="M220" s="2"/>
      <c r="N220" s="2"/>
      <c r="O220" s="2"/>
      <c r="U220" s="2"/>
      <c r="V220" s="2"/>
      <c r="W220" s="2"/>
      <c r="X220" s="2"/>
    </row>
    <row r="221" spans="1:24" ht="12.75" customHeight="1">
      <c r="A221" s="2"/>
      <c r="B221" s="159"/>
      <c r="C221" s="159"/>
      <c r="D221" s="159"/>
      <c r="E221" s="159"/>
      <c r="F221" s="2"/>
      <c r="G221" s="152"/>
      <c r="H221" s="142"/>
      <c r="I221" s="142"/>
      <c r="J221" s="142"/>
      <c r="K221" s="152"/>
      <c r="L221" s="2"/>
      <c r="M221" s="2"/>
      <c r="N221" s="2"/>
      <c r="O221" s="2"/>
      <c r="U221" s="2"/>
      <c r="V221" s="2"/>
      <c r="W221" s="2"/>
      <c r="X221" s="2"/>
    </row>
    <row r="222" spans="1:24" ht="12.75" customHeight="1">
      <c r="A222" s="2"/>
      <c r="B222" s="159"/>
      <c r="C222" s="159"/>
      <c r="D222" s="159"/>
      <c r="E222" s="162"/>
      <c r="F222" s="2"/>
      <c r="G222" s="142"/>
      <c r="H222" s="152"/>
      <c r="I222" s="152"/>
      <c r="J222" s="152"/>
      <c r="K222" s="142"/>
      <c r="L222" s="2"/>
      <c r="M222" s="2"/>
      <c r="N222" s="2"/>
      <c r="O222" s="2"/>
      <c r="U222" s="2"/>
      <c r="V222" s="2"/>
      <c r="W222" s="2"/>
      <c r="X222" s="2"/>
    </row>
    <row r="223" spans="1:24" ht="12.75" customHeight="1">
      <c r="A223" s="2"/>
      <c r="B223" s="159"/>
      <c r="C223" s="159"/>
      <c r="D223" s="159"/>
      <c r="E223" s="162"/>
      <c r="F223" s="2"/>
      <c r="G223" s="142"/>
      <c r="H223" s="142"/>
      <c r="I223" s="142"/>
      <c r="J223" s="142"/>
      <c r="K223" s="142"/>
      <c r="L223" s="2"/>
      <c r="M223" s="2"/>
      <c r="N223" s="2"/>
      <c r="O223" s="2"/>
      <c r="U223" s="2"/>
      <c r="V223" s="2"/>
      <c r="W223" s="2"/>
      <c r="X223" s="2"/>
    </row>
    <row r="224" spans="1:24" ht="12.75" customHeight="1">
      <c r="A224" s="2"/>
      <c r="B224" s="159"/>
      <c r="C224" s="159"/>
      <c r="D224" s="159"/>
      <c r="E224" s="162"/>
      <c r="F224" s="2"/>
      <c r="G224" s="2"/>
      <c r="H224" s="142"/>
      <c r="I224" s="142"/>
      <c r="J224" s="142"/>
      <c r="K224" s="2"/>
      <c r="L224" s="2"/>
      <c r="M224" s="2"/>
      <c r="N224" s="2"/>
      <c r="O224" s="2"/>
      <c r="U224" s="2"/>
      <c r="V224" s="2"/>
      <c r="W224" s="2"/>
      <c r="X224" s="2"/>
    </row>
    <row r="225" spans="1:24" ht="12.75" customHeight="1">
      <c r="A225" s="2"/>
      <c r="B225" s="159"/>
      <c r="C225" s="159"/>
      <c r="D225" s="159"/>
      <c r="E225" s="159"/>
      <c r="F225" s="2"/>
      <c r="G225" s="2"/>
      <c r="H225" s="2"/>
      <c r="I225" s="2"/>
      <c r="J225" s="2"/>
      <c r="K225" s="2"/>
      <c r="L225" s="2"/>
      <c r="M225" s="2"/>
      <c r="N225" s="2"/>
      <c r="O225" s="2"/>
      <c r="U225" s="2"/>
      <c r="V225" s="2"/>
      <c r="W225" s="2"/>
      <c r="X225" s="2"/>
    </row>
    <row r="226" spans="1:24" ht="12.75" customHeight="1">
      <c r="A226" s="2"/>
      <c r="B226" s="159"/>
      <c r="C226" s="159"/>
      <c r="D226" s="159"/>
      <c r="E226" s="161"/>
      <c r="F226" s="2"/>
      <c r="G226" s="2"/>
      <c r="H226" s="2"/>
      <c r="I226" s="2"/>
      <c r="J226" s="2"/>
      <c r="K226" s="2"/>
      <c r="L226" s="2"/>
      <c r="M226" s="2"/>
      <c r="N226" s="2"/>
      <c r="O226" s="2"/>
      <c r="U226" s="2"/>
      <c r="V226" s="2"/>
      <c r="W226" s="2"/>
      <c r="X226" s="2"/>
    </row>
    <row r="227" spans="1:24" ht="12.75" customHeight="1">
      <c r="A227" s="2"/>
      <c r="B227" s="159"/>
      <c r="C227" s="159"/>
      <c r="D227" s="159"/>
      <c r="E227" s="159"/>
      <c r="F227" s="2"/>
      <c r="G227" s="2"/>
      <c r="H227" s="2"/>
      <c r="I227" s="2"/>
      <c r="J227" s="2"/>
      <c r="K227" s="2"/>
      <c r="L227" s="2"/>
      <c r="M227" s="2"/>
      <c r="N227" s="2"/>
      <c r="O227" s="2"/>
      <c r="U227" s="2"/>
      <c r="V227" s="2"/>
      <c r="W227" s="2"/>
      <c r="X227" s="2"/>
    </row>
    <row r="228" spans="1:24" ht="12.75" customHeight="1">
      <c r="A228" s="2"/>
      <c r="B228" s="159"/>
      <c r="C228" s="159"/>
      <c r="D228" s="159"/>
      <c r="E228" s="163"/>
      <c r="F228" s="2"/>
      <c r="G228" s="2"/>
      <c r="H228" s="2"/>
      <c r="I228" s="2"/>
      <c r="J228" s="2"/>
      <c r="K228" s="2"/>
      <c r="L228" s="2"/>
      <c r="M228" s="2"/>
      <c r="N228" s="2"/>
      <c r="O228" s="2"/>
      <c r="U228" s="2"/>
      <c r="V228" s="2"/>
      <c r="W228" s="2"/>
      <c r="X228" s="2"/>
    </row>
    <row r="229" spans="1:24" ht="12.75" customHeight="1">
      <c r="A229" s="2"/>
      <c r="B229" s="159"/>
      <c r="C229" s="159"/>
      <c r="D229" s="159"/>
      <c r="E229" s="159"/>
      <c r="F229" s="2"/>
      <c r="G229" s="2"/>
      <c r="H229" s="2"/>
      <c r="I229" s="2"/>
      <c r="J229" s="2"/>
      <c r="K229" s="2"/>
      <c r="L229" s="2"/>
      <c r="M229" s="2"/>
      <c r="N229" s="2"/>
      <c r="O229" s="2"/>
      <c r="U229" s="2"/>
      <c r="V229" s="2"/>
      <c r="W229" s="2"/>
      <c r="X229" s="2"/>
    </row>
    <row r="230" spans="1:24" ht="12.75" customHeight="1">
      <c r="A230" s="2"/>
      <c r="B230" s="159"/>
      <c r="C230" s="159"/>
      <c r="D230" s="159"/>
      <c r="E230" s="161"/>
      <c r="F230" s="2"/>
      <c r="G230" s="156"/>
      <c r="H230" s="2"/>
      <c r="I230" s="2"/>
      <c r="J230" s="2"/>
      <c r="K230" s="156"/>
      <c r="L230" s="2"/>
      <c r="M230" s="2"/>
      <c r="N230" s="2"/>
      <c r="O230" s="2"/>
      <c r="U230" s="2"/>
      <c r="V230" s="2"/>
      <c r="W230" s="2"/>
      <c r="X230" s="2"/>
    </row>
    <row r="231" spans="1:24" ht="12.75" customHeight="1">
      <c r="A231" s="2"/>
      <c r="B231" s="159"/>
      <c r="C231" s="159"/>
      <c r="D231" s="159"/>
      <c r="E231" s="159"/>
      <c r="F231" s="2"/>
      <c r="G231" s="156"/>
      <c r="H231" s="156"/>
      <c r="I231" s="156"/>
      <c r="J231" s="156"/>
      <c r="K231" s="156"/>
      <c r="L231" s="2"/>
      <c r="M231" s="2"/>
      <c r="N231" s="2"/>
      <c r="O231" s="2"/>
      <c r="U231" s="2"/>
      <c r="V231" s="2"/>
      <c r="W231" s="2"/>
      <c r="X231" s="2"/>
    </row>
    <row r="232" spans="1:24" ht="12.75" customHeight="1">
      <c r="A232" s="2"/>
      <c r="B232" s="159"/>
      <c r="C232" s="159"/>
      <c r="D232" s="159"/>
      <c r="E232" s="164"/>
      <c r="F232" s="2"/>
      <c r="G232" s="156"/>
      <c r="H232" s="156"/>
      <c r="I232" s="156"/>
      <c r="J232" s="156"/>
      <c r="K232" s="156"/>
      <c r="L232" s="2"/>
      <c r="M232" s="2"/>
      <c r="N232" s="2"/>
      <c r="O232" s="2"/>
      <c r="U232" s="2"/>
      <c r="V232" s="2"/>
      <c r="W232" s="2"/>
      <c r="X232" s="2"/>
    </row>
    <row r="233" spans="1:24" ht="12.75" customHeight="1">
      <c r="A233" s="2"/>
      <c r="B233" s="159"/>
      <c r="C233" s="159"/>
      <c r="D233" s="159"/>
      <c r="E233" s="159"/>
      <c r="F233" s="2"/>
      <c r="G233" s="156"/>
      <c r="H233" s="156"/>
      <c r="I233" s="156"/>
      <c r="J233" s="156"/>
      <c r="K233" s="156"/>
      <c r="L233" s="2"/>
      <c r="M233" s="2"/>
      <c r="N233" s="2"/>
      <c r="O233" s="2"/>
      <c r="U233" s="2"/>
      <c r="V233" s="2"/>
      <c r="W233" s="2"/>
      <c r="X233" s="2"/>
    </row>
    <row r="234" spans="1:24" ht="12.75" customHeight="1">
      <c r="A234" s="2"/>
      <c r="B234" s="2"/>
      <c r="C234" s="2"/>
      <c r="D234" s="2"/>
      <c r="E234" s="2"/>
      <c r="F234" s="2"/>
      <c r="G234" s="2"/>
      <c r="H234" s="156"/>
      <c r="I234" s="156"/>
      <c r="J234" s="156"/>
      <c r="K234" s="2"/>
      <c r="L234" s="2"/>
      <c r="M234" s="2"/>
      <c r="N234" s="2"/>
      <c r="O234" s="2"/>
      <c r="U234" s="2"/>
      <c r="V234" s="2"/>
      <c r="W234" s="2"/>
      <c r="X234" s="2"/>
    </row>
    <row r="235" spans="1:2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U235" s="2"/>
      <c r="V235" s="2"/>
      <c r="W235" s="2"/>
      <c r="X235" s="2"/>
    </row>
    <row r="236" spans="1:2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U236" s="2"/>
      <c r="V236" s="2"/>
      <c r="W236" s="2"/>
      <c r="X236" s="2"/>
    </row>
    <row r="237" spans="1:2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U237" s="2"/>
      <c r="V237" s="2"/>
      <c r="W237" s="2"/>
      <c r="X237" s="2"/>
    </row>
    <row r="238" spans="1:2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U238" s="2"/>
      <c r="V238" s="2"/>
      <c r="W238" s="2"/>
      <c r="X238" s="2"/>
    </row>
    <row r="239" spans="1:2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U239" s="2"/>
      <c r="V239" s="2"/>
      <c r="W239" s="2"/>
      <c r="X239" s="2"/>
    </row>
    <row r="240" spans="1:2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U240" s="2"/>
      <c r="V240" s="2"/>
      <c r="W240" s="2"/>
      <c r="X240" s="2"/>
    </row>
    <row r="241" spans="1:2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U241" s="2"/>
      <c r="V241" s="2"/>
      <c r="W241" s="2"/>
      <c r="X241" s="2"/>
    </row>
    <row r="242" spans="1:2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U242" s="2"/>
      <c r="V242" s="2"/>
      <c r="W242" s="2"/>
      <c r="X242" s="2"/>
    </row>
    <row r="243" spans="1:2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U243" s="2"/>
      <c r="V243" s="2"/>
      <c r="W243" s="2"/>
      <c r="X243" s="2"/>
    </row>
    <row r="244" spans="1:2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U244" s="2"/>
      <c r="V244" s="2"/>
      <c r="W244" s="2"/>
      <c r="X244" s="2"/>
    </row>
    <row r="245" spans="2:24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U245" s="2"/>
      <c r="V245" s="2"/>
      <c r="W245" s="2"/>
      <c r="X245" s="2"/>
    </row>
    <row r="246" spans="2:24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U246" s="2"/>
      <c r="V246" s="2"/>
      <c r="W246" s="2"/>
      <c r="X246" s="2"/>
    </row>
    <row r="247" spans="2:24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U247" s="2"/>
      <c r="V247" s="2"/>
      <c r="W247" s="2"/>
      <c r="X247" s="2"/>
    </row>
    <row r="248" spans="2:24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U248" s="2"/>
      <c r="V248" s="2"/>
      <c r="W248" s="2"/>
      <c r="X248" s="2"/>
    </row>
    <row r="249" spans="2:24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U249" s="2"/>
      <c r="V249" s="2"/>
      <c r="W249" s="2"/>
      <c r="X249" s="2"/>
    </row>
    <row r="250" spans="2:24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U250" s="2"/>
      <c r="V250" s="2"/>
      <c r="W250" s="2"/>
      <c r="X250" s="2"/>
    </row>
    <row r="251" spans="2:24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U251" s="2"/>
      <c r="V251" s="2"/>
      <c r="W251" s="2"/>
      <c r="X251" s="2"/>
    </row>
    <row r="252" spans="2:24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U252" s="2"/>
      <c r="V252" s="2"/>
      <c r="W252" s="2"/>
      <c r="X252" s="2"/>
    </row>
    <row r="253" spans="2:24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U253" s="2"/>
      <c r="V253" s="2"/>
      <c r="W253" s="2"/>
      <c r="X253" s="2"/>
    </row>
    <row r="254" spans="2:24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U254" s="2"/>
      <c r="V254" s="2"/>
      <c r="W254" s="2"/>
      <c r="X254" s="2"/>
    </row>
    <row r="255" spans="2:24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U255" s="2"/>
      <c r="V255" s="2"/>
      <c r="W255" s="2"/>
      <c r="X255" s="2"/>
    </row>
    <row r="256" spans="2:24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U256" s="2"/>
      <c r="V256" s="2"/>
      <c r="W256" s="2"/>
      <c r="X256" s="2"/>
    </row>
    <row r="257" spans="2:24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U257" s="2"/>
      <c r="V257" s="2"/>
      <c r="W257" s="2"/>
      <c r="X257" s="2"/>
    </row>
    <row r="258" spans="2:24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U258" s="2"/>
      <c r="V258" s="2"/>
      <c r="W258" s="2"/>
      <c r="X258" s="2"/>
    </row>
    <row r="259" spans="2:24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U259" s="2"/>
      <c r="V259" s="2"/>
      <c r="W259" s="2"/>
      <c r="X259" s="2"/>
    </row>
    <row r="260" spans="2:24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U260" s="2"/>
      <c r="V260" s="2"/>
      <c r="W260" s="2"/>
      <c r="X260" s="2"/>
    </row>
    <row r="261" spans="2:24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U261" s="2"/>
      <c r="V261" s="2"/>
      <c r="W261" s="2"/>
      <c r="X261" s="2"/>
    </row>
    <row r="262" spans="2:24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U262" s="2"/>
      <c r="V262" s="2"/>
      <c r="W262" s="2"/>
      <c r="X262" s="2"/>
    </row>
    <row r="263" spans="2:24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U263" s="2"/>
      <c r="V263" s="2"/>
      <c r="W263" s="2"/>
      <c r="X263" s="2"/>
    </row>
    <row r="264" spans="2:24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U264" s="2"/>
      <c r="V264" s="2"/>
      <c r="W264" s="2"/>
      <c r="X264" s="2"/>
    </row>
    <row r="265" spans="2:24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U265" s="2"/>
      <c r="V265" s="2"/>
      <c r="W265" s="2"/>
      <c r="X265" s="2"/>
    </row>
    <row r="266" spans="2:24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U266" s="2"/>
      <c r="V266" s="2"/>
      <c r="W266" s="2"/>
      <c r="X266" s="2"/>
    </row>
    <row r="267" spans="2:24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U267" s="2"/>
      <c r="V267" s="2"/>
      <c r="W267" s="2"/>
      <c r="X267" s="2"/>
    </row>
    <row r="268" spans="7:24" ht="12.75" customHeight="1">
      <c r="G268" s="2"/>
      <c r="H268" s="2"/>
      <c r="I268" s="2"/>
      <c r="J268" s="2"/>
      <c r="K268" s="2"/>
      <c r="L268" s="2"/>
      <c r="M268" s="2"/>
      <c r="N268" s="2"/>
      <c r="O268" s="2"/>
      <c r="U268" s="2"/>
      <c r="V268" s="2"/>
      <c r="W268" s="2"/>
      <c r="X268" s="2"/>
    </row>
    <row r="269" spans="7:24" ht="12.75" customHeight="1">
      <c r="G269" s="2"/>
      <c r="H269" s="2"/>
      <c r="I269" s="2"/>
      <c r="J269" s="2"/>
      <c r="K269" s="2"/>
      <c r="L269" s="2"/>
      <c r="M269" s="2"/>
      <c r="N269" s="2"/>
      <c r="O269" s="2"/>
      <c r="U269" s="2"/>
      <c r="V269" s="2"/>
      <c r="W269" s="2"/>
      <c r="X269" s="2"/>
    </row>
    <row r="270" spans="7:24" ht="12.75" customHeight="1">
      <c r="G270" s="2"/>
      <c r="H270" s="2"/>
      <c r="I270" s="2"/>
      <c r="J270" s="2"/>
      <c r="K270" s="2"/>
      <c r="L270" s="2"/>
      <c r="M270" s="2"/>
      <c r="N270" s="2"/>
      <c r="O270" s="2"/>
      <c r="U270" s="2"/>
      <c r="V270" s="2"/>
      <c r="W270" s="2"/>
      <c r="X270" s="2"/>
    </row>
    <row r="271" spans="7:24" ht="12.75" customHeight="1">
      <c r="G271" s="2"/>
      <c r="H271" s="2"/>
      <c r="I271" s="2"/>
      <c r="J271" s="2"/>
      <c r="K271" s="2"/>
      <c r="L271" s="2"/>
      <c r="M271" s="2"/>
      <c r="N271" s="2"/>
      <c r="O271" s="2"/>
      <c r="U271" s="2"/>
      <c r="V271" s="2"/>
      <c r="W271" s="2"/>
      <c r="X271" s="2"/>
    </row>
    <row r="272" spans="7:24" ht="12.75" customHeight="1">
      <c r="G272" s="2"/>
      <c r="H272" s="2"/>
      <c r="I272" s="2"/>
      <c r="J272" s="2"/>
      <c r="K272" s="2"/>
      <c r="L272" s="2"/>
      <c r="M272" s="2"/>
      <c r="N272" s="2"/>
      <c r="O272" s="2"/>
      <c r="U272" s="2"/>
      <c r="V272" s="2"/>
      <c r="W272" s="2"/>
      <c r="X272" s="2"/>
    </row>
    <row r="273" spans="7:24" ht="12.75" customHeight="1">
      <c r="G273" s="2"/>
      <c r="H273" s="2"/>
      <c r="I273" s="2"/>
      <c r="J273" s="2"/>
      <c r="K273" s="2"/>
      <c r="L273" s="2"/>
      <c r="M273" s="2"/>
      <c r="N273" s="2"/>
      <c r="O273" s="2"/>
      <c r="U273" s="2"/>
      <c r="V273" s="2"/>
      <c r="W273" s="2"/>
      <c r="X273" s="2"/>
    </row>
    <row r="274" spans="7:24" ht="12.75" customHeight="1">
      <c r="G274" s="2"/>
      <c r="H274" s="2"/>
      <c r="I274" s="2"/>
      <c r="J274" s="2"/>
      <c r="K274" s="2"/>
      <c r="L274" s="2"/>
      <c r="M274" s="2"/>
      <c r="N274" s="2"/>
      <c r="O274" s="2"/>
      <c r="U274" s="2"/>
      <c r="V274" s="2"/>
      <c r="W274" s="2"/>
      <c r="X274" s="2"/>
    </row>
    <row r="275" spans="7:24" ht="12.75" customHeight="1">
      <c r="G275" s="2"/>
      <c r="H275" s="2"/>
      <c r="I275" s="2"/>
      <c r="J275" s="2"/>
      <c r="K275" s="2"/>
      <c r="L275" s="2"/>
      <c r="M275" s="2"/>
      <c r="N275" s="2"/>
      <c r="O275" s="2"/>
      <c r="U275" s="2"/>
      <c r="V275" s="2"/>
      <c r="W275" s="2"/>
      <c r="X275" s="2"/>
    </row>
    <row r="276" spans="7:24" ht="12.75" customHeight="1">
      <c r="G276" s="2"/>
      <c r="H276" s="2"/>
      <c r="I276" s="2"/>
      <c r="J276" s="2"/>
      <c r="K276" s="2"/>
      <c r="L276" s="2"/>
      <c r="M276" s="2"/>
      <c r="N276" s="2"/>
      <c r="O276" s="2"/>
      <c r="U276" s="2"/>
      <c r="V276" s="2"/>
      <c r="W276" s="2"/>
      <c r="X276" s="2"/>
    </row>
    <row r="277" spans="7:24" ht="12.75" customHeight="1">
      <c r="G277" s="2"/>
      <c r="H277" s="2"/>
      <c r="I277" s="2"/>
      <c r="J277" s="2"/>
      <c r="K277" s="2"/>
      <c r="L277" s="2"/>
      <c r="M277" s="2"/>
      <c r="N277" s="2"/>
      <c r="O277" s="2"/>
      <c r="U277" s="2"/>
      <c r="V277" s="2"/>
      <c r="W277" s="2"/>
      <c r="X277" s="2"/>
    </row>
    <row r="278" spans="7:24" ht="12.75" customHeight="1">
      <c r="G278" s="2"/>
      <c r="H278" s="2"/>
      <c r="I278" s="2"/>
      <c r="J278" s="2"/>
      <c r="K278" s="2"/>
      <c r="L278" s="2"/>
      <c r="M278" s="2"/>
      <c r="N278" s="2"/>
      <c r="O278" s="2"/>
      <c r="U278" s="2"/>
      <c r="V278" s="2"/>
      <c r="W278" s="2"/>
      <c r="X278" s="2"/>
    </row>
    <row r="279" spans="7:24" ht="12.75" customHeight="1">
      <c r="G279" s="2"/>
      <c r="H279" s="2"/>
      <c r="I279" s="2"/>
      <c r="J279" s="2"/>
      <c r="K279" s="2"/>
      <c r="L279" s="2"/>
      <c r="M279" s="2"/>
      <c r="N279" s="2"/>
      <c r="O279" s="2"/>
      <c r="U279" s="2"/>
      <c r="V279" s="2"/>
      <c r="W279" s="2"/>
      <c r="X279" s="2"/>
    </row>
    <row r="280" spans="7:24" ht="12.75" customHeight="1">
      <c r="G280" s="2"/>
      <c r="H280" s="2"/>
      <c r="I280" s="2"/>
      <c r="J280" s="2"/>
      <c r="K280" s="2"/>
      <c r="L280" s="2"/>
      <c r="M280" s="2"/>
      <c r="N280" s="2"/>
      <c r="O280" s="2"/>
      <c r="U280" s="2"/>
      <c r="V280" s="2"/>
      <c r="W280" s="2"/>
      <c r="X280" s="2"/>
    </row>
    <row r="281" spans="7:24" ht="12.75" customHeight="1">
      <c r="G281" s="2"/>
      <c r="H281" s="2"/>
      <c r="I281" s="2"/>
      <c r="J281" s="2"/>
      <c r="K281" s="2"/>
      <c r="L281" s="2"/>
      <c r="M281" s="2"/>
      <c r="N281" s="2"/>
      <c r="O281" s="2"/>
      <c r="U281" s="2"/>
      <c r="V281" s="2"/>
      <c r="W281" s="2"/>
      <c r="X281" s="2"/>
    </row>
    <row r="282" spans="7:24" ht="12.75" customHeight="1">
      <c r="G282" s="2"/>
      <c r="H282" s="2"/>
      <c r="I282" s="2"/>
      <c r="J282" s="2"/>
      <c r="K282" s="2"/>
      <c r="L282" s="2"/>
      <c r="M282" s="2"/>
      <c r="N282" s="2"/>
      <c r="O282" s="2"/>
      <c r="U282" s="2"/>
      <c r="V282" s="2"/>
      <c r="W282" s="2"/>
      <c r="X282" s="2"/>
    </row>
    <row r="283" spans="7:24" ht="12.75" customHeight="1">
      <c r="G283" s="2"/>
      <c r="H283" s="2"/>
      <c r="I283" s="2"/>
      <c r="J283" s="2"/>
      <c r="K283" s="2"/>
      <c r="L283" s="2"/>
      <c r="M283" s="2"/>
      <c r="N283" s="2"/>
      <c r="O283" s="2"/>
      <c r="U283" s="2"/>
      <c r="V283" s="2"/>
      <c r="W283" s="2"/>
      <c r="X283" s="2"/>
    </row>
    <row r="284" spans="7:24" ht="12.75" customHeight="1">
      <c r="G284" s="2"/>
      <c r="H284" s="2"/>
      <c r="I284" s="2"/>
      <c r="J284" s="2"/>
      <c r="K284" s="2"/>
      <c r="L284" s="2"/>
      <c r="M284" s="2"/>
      <c r="N284" s="2"/>
      <c r="O284" s="2"/>
      <c r="U284" s="2"/>
      <c r="V284" s="2"/>
      <c r="W284" s="2"/>
      <c r="X284" s="2"/>
    </row>
    <row r="285" spans="7:24" ht="12.75" customHeight="1">
      <c r="G285" s="2"/>
      <c r="H285" s="2"/>
      <c r="I285" s="2"/>
      <c r="J285" s="2"/>
      <c r="K285" s="2"/>
      <c r="L285" s="2"/>
      <c r="M285" s="2"/>
      <c r="N285" s="2"/>
      <c r="O285" s="2"/>
      <c r="U285" s="2"/>
      <c r="V285" s="2"/>
      <c r="W285" s="2"/>
      <c r="X285" s="2"/>
    </row>
    <row r="286" spans="7:24" ht="12.75" customHeight="1">
      <c r="G286" s="2"/>
      <c r="H286" s="2"/>
      <c r="I286" s="2"/>
      <c r="J286" s="2"/>
      <c r="K286" s="2"/>
      <c r="L286" s="2"/>
      <c r="M286" s="2"/>
      <c r="N286" s="2"/>
      <c r="O286" s="2"/>
      <c r="U286" s="2"/>
      <c r="V286" s="2"/>
      <c r="W286" s="2"/>
      <c r="X286" s="2"/>
    </row>
    <row r="287" spans="8:24" ht="12.75" customHeight="1">
      <c r="H287" s="2"/>
      <c r="I287" s="2"/>
      <c r="J287" s="2"/>
      <c r="L287" s="2"/>
      <c r="M287" s="2"/>
      <c r="N287" s="2"/>
      <c r="O287" s="2"/>
      <c r="U287" s="2"/>
      <c r="V287" s="2"/>
      <c r="W287" s="2"/>
      <c r="X287" s="2"/>
    </row>
    <row r="288" spans="12:24" ht="12.75" customHeight="1">
      <c r="L288" s="2"/>
      <c r="M288" s="2"/>
      <c r="N288" s="2"/>
      <c r="O288" s="2"/>
      <c r="U288" s="2"/>
      <c r="V288" s="2"/>
      <c r="W288" s="2"/>
      <c r="X288" s="2"/>
    </row>
    <row r="289" spans="12:24" ht="12.75" customHeight="1">
      <c r="L289" s="2"/>
      <c r="M289" s="2"/>
      <c r="N289" s="2"/>
      <c r="O289" s="2"/>
      <c r="U289" s="2"/>
      <c r="V289" s="2"/>
      <c r="W289" s="2"/>
      <c r="X289" s="2"/>
    </row>
    <row r="290" spans="12:24" ht="12.75" customHeight="1">
      <c r="L290" s="2"/>
      <c r="M290" s="2"/>
      <c r="N290" s="2"/>
      <c r="O290" s="2"/>
      <c r="U290" s="2"/>
      <c r="V290" s="2"/>
      <c r="W290" s="2"/>
      <c r="X290" s="2"/>
    </row>
    <row r="291" spans="12:24" ht="12.75" customHeight="1">
      <c r="L291" s="2"/>
      <c r="M291" s="2"/>
      <c r="N291" s="2"/>
      <c r="O291" s="2"/>
      <c r="U291" s="2"/>
      <c r="V291" s="2"/>
      <c r="W291" s="2"/>
      <c r="X291" s="2"/>
    </row>
    <row r="292" spans="12:24" ht="12.75" customHeight="1">
      <c r="L292" s="2"/>
      <c r="M292" s="2"/>
      <c r="N292" s="2"/>
      <c r="O292" s="2"/>
      <c r="U292" s="2"/>
      <c r="V292" s="2"/>
      <c r="W292" s="2"/>
      <c r="X292" s="2"/>
    </row>
    <row r="293" spans="12:24" ht="12.75" customHeight="1">
      <c r="L293" s="2"/>
      <c r="M293" s="2"/>
      <c r="N293" s="2"/>
      <c r="O293" s="2"/>
      <c r="U293" s="2"/>
      <c r="V293" s="2"/>
      <c r="W293" s="2"/>
      <c r="X293" s="2"/>
    </row>
    <row r="294" spans="12:24" ht="12.75" customHeight="1">
      <c r="L294" s="2"/>
      <c r="M294" s="2"/>
      <c r="N294" s="2"/>
      <c r="O294" s="2"/>
      <c r="U294" s="2"/>
      <c r="V294" s="2"/>
      <c r="W294" s="2"/>
      <c r="X294" s="2"/>
    </row>
    <row r="295" spans="12:24" ht="12.75" customHeight="1">
      <c r="L295" s="2"/>
      <c r="M295" s="2"/>
      <c r="N295" s="2"/>
      <c r="O295" s="2"/>
      <c r="U295" s="2"/>
      <c r="V295" s="2"/>
      <c r="W295" s="2"/>
      <c r="X295" s="2"/>
    </row>
    <row r="296" spans="12:24" ht="12.75" customHeight="1">
      <c r="L296" s="2"/>
      <c r="M296" s="2"/>
      <c r="N296" s="2"/>
      <c r="O296" s="2"/>
      <c r="U296" s="2"/>
      <c r="V296" s="2"/>
      <c r="W296" s="2"/>
      <c r="X296" s="2"/>
    </row>
    <row r="297" spans="12:24" ht="12.75" customHeight="1">
      <c r="L297" s="2"/>
      <c r="M297" s="2"/>
      <c r="N297" s="2"/>
      <c r="O297" s="2"/>
      <c r="U297" s="2"/>
      <c r="V297" s="2"/>
      <c r="W297" s="2"/>
      <c r="X297" s="2"/>
    </row>
    <row r="298" spans="12:24" ht="12.75" customHeight="1">
      <c r="L298" s="2"/>
      <c r="M298" s="2"/>
      <c r="N298" s="2"/>
      <c r="O298" s="2"/>
      <c r="U298" s="2"/>
      <c r="V298" s="2"/>
      <c r="W298" s="2"/>
      <c r="X298" s="2"/>
    </row>
    <row r="299" spans="12:24" ht="12.75" customHeight="1">
      <c r="L299" s="2"/>
      <c r="M299" s="2"/>
      <c r="N299" s="2"/>
      <c r="O299" s="2"/>
      <c r="U299" s="2"/>
      <c r="V299" s="2"/>
      <c r="W299" s="2"/>
      <c r="X299" s="2"/>
    </row>
    <row r="300" spans="12:24" ht="12.75" customHeight="1">
      <c r="L300" s="2"/>
      <c r="M300" s="2"/>
      <c r="N300" s="2"/>
      <c r="O300" s="2"/>
      <c r="U300" s="2"/>
      <c r="V300" s="2"/>
      <c r="W300" s="2"/>
      <c r="X300" s="2"/>
    </row>
    <row r="301" spans="12:24" ht="12.75" customHeight="1">
      <c r="L301" s="2"/>
      <c r="M301" s="2"/>
      <c r="N301" s="2"/>
      <c r="O301" s="2"/>
      <c r="U301" s="2"/>
      <c r="V301" s="2"/>
      <c r="W301" s="2"/>
      <c r="X301" s="2"/>
    </row>
    <row r="302" spans="12:24" ht="12.75" customHeight="1">
      <c r="L302" s="2"/>
      <c r="M302" s="2"/>
      <c r="N302" s="2"/>
      <c r="O302" s="2"/>
      <c r="U302" s="2"/>
      <c r="V302" s="2"/>
      <c r="W302" s="2"/>
      <c r="X302" s="2"/>
    </row>
    <row r="303" spans="12:24" ht="12.75" customHeight="1">
      <c r="L303" s="2"/>
      <c r="M303" s="2"/>
      <c r="N303" s="2"/>
      <c r="O303" s="2"/>
      <c r="U303" s="2"/>
      <c r="V303" s="2"/>
      <c r="W303" s="2"/>
      <c r="X303" s="2"/>
    </row>
    <row r="304" spans="12:24" ht="12.75" customHeight="1">
      <c r="L304" s="2"/>
      <c r="M304" s="2"/>
      <c r="N304" s="2"/>
      <c r="O304" s="2"/>
      <c r="U304" s="2"/>
      <c r="V304" s="2"/>
      <c r="W304" s="2"/>
      <c r="X304" s="2"/>
    </row>
    <row r="305" spans="12:24" ht="12.75" customHeight="1">
      <c r="L305" s="2"/>
      <c r="M305" s="2"/>
      <c r="N305" s="2"/>
      <c r="O305" s="2"/>
      <c r="U305" s="2"/>
      <c r="V305" s="2"/>
      <c r="W305" s="2"/>
      <c r="X305" s="2"/>
    </row>
    <row r="306" spans="12:24" ht="12.75" customHeight="1">
      <c r="L306" s="2"/>
      <c r="M306" s="2"/>
      <c r="N306" s="2"/>
      <c r="O306" s="2"/>
      <c r="U306" s="2"/>
      <c r="V306" s="2"/>
      <c r="W306" s="2"/>
      <c r="X306" s="2"/>
    </row>
    <row r="307" spans="12:24" ht="12.75" customHeight="1">
      <c r="L307" s="2"/>
      <c r="M307" s="2"/>
      <c r="N307" s="2"/>
      <c r="O307" s="2"/>
      <c r="U307" s="2"/>
      <c r="V307" s="2"/>
      <c r="W307" s="2"/>
      <c r="X307" s="2"/>
    </row>
    <row r="308" spans="12:24" ht="12.75" customHeight="1">
      <c r="L308" s="2"/>
      <c r="M308" s="2"/>
      <c r="N308" s="2"/>
      <c r="O308" s="2"/>
      <c r="U308" s="2"/>
      <c r="V308" s="2"/>
      <c r="W308" s="2"/>
      <c r="X308" s="2"/>
    </row>
    <row r="309" spans="12:24" ht="12.75" customHeight="1">
      <c r="L309" s="2"/>
      <c r="M309" s="2"/>
      <c r="N309" s="2"/>
      <c r="O309" s="2"/>
      <c r="U309" s="2"/>
      <c r="V309" s="2"/>
      <c r="W309" s="2"/>
      <c r="X309" s="2"/>
    </row>
    <row r="310" spans="12:24" ht="12.75" customHeight="1">
      <c r="L310" s="2"/>
      <c r="M310" s="2"/>
      <c r="N310" s="2"/>
      <c r="O310" s="2"/>
      <c r="U310" s="2"/>
      <c r="V310" s="2"/>
      <c r="W310" s="2"/>
      <c r="X310" s="2"/>
    </row>
    <row r="311" spans="12:24" ht="12.75" customHeight="1">
      <c r="L311" s="2"/>
      <c r="M311" s="2"/>
      <c r="N311" s="2"/>
      <c r="O311" s="2"/>
      <c r="U311" s="2"/>
      <c r="V311" s="2"/>
      <c r="W311" s="2"/>
      <c r="X311" s="2"/>
    </row>
    <row r="312" spans="12:24" ht="12.75" customHeight="1">
      <c r="L312" s="2"/>
      <c r="M312" s="2"/>
      <c r="N312" s="2"/>
      <c r="O312" s="2"/>
      <c r="U312" s="2"/>
      <c r="V312" s="2"/>
      <c r="W312" s="2"/>
      <c r="X312" s="2"/>
    </row>
    <row r="313" spans="12:24" ht="12.75" customHeight="1">
      <c r="L313" s="2"/>
      <c r="M313" s="2"/>
      <c r="N313" s="2"/>
      <c r="O313" s="2"/>
      <c r="U313" s="2"/>
      <c r="V313" s="2"/>
      <c r="W313" s="2"/>
      <c r="X313" s="2"/>
    </row>
    <row r="314" spans="12:24" ht="12.75" customHeight="1">
      <c r="L314" s="2"/>
      <c r="M314" s="2"/>
      <c r="N314" s="2"/>
      <c r="O314" s="2"/>
      <c r="U314" s="2"/>
      <c r="V314" s="2"/>
      <c r="W314" s="2"/>
      <c r="X314" s="2"/>
    </row>
    <row r="315" spans="12:24" ht="12.75" customHeight="1">
      <c r="L315" s="2"/>
      <c r="M315" s="2"/>
      <c r="N315" s="2"/>
      <c r="O315" s="2"/>
      <c r="U315" s="2"/>
      <c r="V315" s="2"/>
      <c r="W315" s="2"/>
      <c r="X315" s="2"/>
    </row>
    <row r="316" spans="12:24" ht="12.75" customHeight="1">
      <c r="L316" s="2"/>
      <c r="M316" s="2"/>
      <c r="N316" s="2"/>
      <c r="O316" s="2"/>
      <c r="U316" s="2"/>
      <c r="V316" s="2"/>
      <c r="W316" s="2"/>
      <c r="X316" s="2"/>
    </row>
    <row r="317" spans="12:24" ht="12.75" customHeight="1">
      <c r="L317" s="2"/>
      <c r="M317" s="2"/>
      <c r="N317" s="2"/>
      <c r="O317" s="2"/>
      <c r="U317" s="2"/>
      <c r="V317" s="2"/>
      <c r="W317" s="2"/>
      <c r="X317" s="2"/>
    </row>
    <row r="318" spans="12:24" ht="12.75" customHeight="1">
      <c r="L318" s="2"/>
      <c r="M318" s="2"/>
      <c r="N318" s="2"/>
      <c r="O318" s="2"/>
      <c r="U318" s="2"/>
      <c r="V318" s="2"/>
      <c r="W318" s="2"/>
      <c r="X318" s="2"/>
    </row>
    <row r="319" spans="12:24" ht="12.75" customHeight="1">
      <c r="L319" s="2"/>
      <c r="M319" s="2"/>
      <c r="N319" s="2"/>
      <c r="O319" s="2"/>
      <c r="U319" s="2"/>
      <c r="V319" s="2"/>
      <c r="W319" s="2"/>
      <c r="X319" s="2"/>
    </row>
    <row r="320" spans="12:15" ht="12.75" customHeight="1">
      <c r="L320" s="2"/>
      <c r="M320" s="2"/>
      <c r="N320" s="2"/>
      <c r="O320" s="2"/>
    </row>
    <row r="321" spans="12:15" ht="12.75" customHeight="1">
      <c r="L321" s="2"/>
      <c r="M321" s="2"/>
      <c r="N321" s="2"/>
      <c r="O321" s="2"/>
    </row>
    <row r="322" spans="12:15" ht="12.75" customHeight="1">
      <c r="L322" s="2"/>
      <c r="M322" s="2"/>
      <c r="N322" s="2"/>
      <c r="O322" s="2"/>
    </row>
    <row r="323" spans="12:15" ht="12.75" customHeight="1">
      <c r="L323" s="2"/>
      <c r="M323" s="2"/>
      <c r="N323" s="2"/>
      <c r="O323" s="2"/>
    </row>
    <row r="324" spans="12:15" ht="12.75" customHeight="1">
      <c r="L324" s="2"/>
      <c r="M324" s="2"/>
      <c r="N324" s="2"/>
      <c r="O324" s="2"/>
    </row>
    <row r="325" spans="12:15" ht="12.75" customHeight="1">
      <c r="L325" s="2"/>
      <c r="M325" s="2"/>
      <c r="N325" s="2"/>
      <c r="O325" s="2"/>
    </row>
    <row r="326" spans="12:15" ht="12.75" customHeight="1">
      <c r="L326" s="2"/>
      <c r="M326" s="2"/>
      <c r="N326" s="2"/>
      <c r="O326" s="2"/>
    </row>
    <row r="327" spans="12:15" ht="12.75" customHeight="1">
      <c r="L327" s="2"/>
      <c r="M327" s="2"/>
      <c r="N327" s="2"/>
      <c r="O327" s="2"/>
    </row>
  </sheetData>
  <sheetProtection/>
  <conditionalFormatting sqref="DQ1 A1:DE1">
    <cfRule type="cellIs" priority="5" dxfId="4" operator="notEqual" stopIfTrue="1">
      <formula>0</formula>
    </cfRule>
  </conditionalFormatting>
  <printOptions horizontalCentered="1"/>
  <pageMargins left="0.5" right="0.5" top="0.5" bottom="0.5" header="0.25" footer="0.25"/>
  <pageSetup fitToHeight="1" fitToWidth="1" horizontalDpi="1200" verticalDpi="1200" orientation="portrait" r:id="rId1"/>
  <headerFooter alignWithMargins="0">
    <oddFooter>&amp;L&amp;"Helv,Bold Italic"Note:  Amounts presented in bold italic have changed since the June 13, 2011 original filing.</oddFooter>
  </headerFooter>
  <colBreaks count="3" manualBreakCount="3">
    <brk id="129" min="1" max="82" man="1"/>
    <brk id="138" min="1" max="82" man="1"/>
    <brk id="155" max="2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36" sqref="G36"/>
    </sheetView>
  </sheetViews>
  <sheetFormatPr defaultColWidth="9.33203125" defaultRowHeight="10.5"/>
  <cols>
    <col min="1" max="1" width="5.83203125" style="3" bestFit="1" customWidth="1"/>
    <col min="2" max="2" width="52.16015625" style="3" customWidth="1"/>
    <col min="3" max="3" width="14.33203125" style="3" customWidth="1"/>
    <col min="4" max="4" width="3.16015625" style="3" customWidth="1"/>
    <col min="5" max="5" width="19.16015625" style="3" customWidth="1"/>
    <col min="6" max="6" width="6.83203125" style="3" customWidth="1"/>
    <col min="7" max="7" width="52.16015625" style="3" customWidth="1"/>
    <col min="8" max="8" width="17.66015625" style="3" customWidth="1"/>
    <col min="9" max="9" width="17.5" style="3" customWidth="1"/>
    <col min="10" max="10" width="17.16015625" style="3" customWidth="1"/>
    <col min="11" max="11" width="6.83203125" style="3" customWidth="1"/>
    <col min="12" max="12" width="52.16015625" style="3" customWidth="1"/>
    <col min="13" max="13" width="17.66015625" style="3" customWidth="1"/>
    <col min="14" max="14" width="22.33203125" style="3" customWidth="1"/>
    <col min="15" max="15" width="19.16015625" style="3" customWidth="1"/>
  </cols>
  <sheetData>
    <row r="1" s="272" customFormat="1" ht="12.75"/>
    <row r="2" spans="1:15" ht="12.75">
      <c r="A2" s="36"/>
      <c r="B2" s="1"/>
      <c r="C2" s="179"/>
      <c r="E2" s="218" t="str">
        <f>WUTC_Docket_No._UG_11____</f>
        <v>WUTC Docket No. UG-111049</v>
      </c>
      <c r="F2" s="36"/>
      <c r="H2" s="2"/>
      <c r="J2" s="218" t="str">
        <f>WUTC_Docket_No._UG_11____</f>
        <v>WUTC Docket No. UG-111049</v>
      </c>
      <c r="O2" s="218" t="str">
        <f>WUTC_Docket_No._UG_11____</f>
        <v>WUTC Docket No. UG-111049</v>
      </c>
    </row>
    <row r="3" spans="1:15" s="405" customFormat="1" ht="13.5" thickBot="1">
      <c r="A3" s="98"/>
      <c r="B3" s="3"/>
      <c r="C3" s="3"/>
      <c r="D3" s="3"/>
      <c r="E3" s="398" t="str">
        <f>'MJS-14'!$O$3</f>
        <v>Exhibit No. ___ (MJS-14)</v>
      </c>
      <c r="F3" s="98"/>
      <c r="G3" s="3"/>
      <c r="H3" s="2"/>
      <c r="I3" s="3"/>
      <c r="J3" s="398" t="str">
        <f>'MJS-14'!$O$3</f>
        <v>Exhibit No. ___ (MJS-14)</v>
      </c>
      <c r="K3" s="36"/>
      <c r="L3" s="1"/>
      <c r="M3" s="179"/>
      <c r="N3" s="3"/>
      <c r="O3" s="398" t="s">
        <v>550</v>
      </c>
    </row>
    <row r="4" spans="1:15" s="405" customFormat="1" ht="17.25" thickBot="1" thickTop="1">
      <c r="A4" s="36"/>
      <c r="B4" s="206"/>
      <c r="C4" s="3"/>
      <c r="D4" s="3"/>
      <c r="E4" s="952" t="s">
        <v>551</v>
      </c>
      <c r="F4" s="36"/>
      <c r="G4" s="36"/>
      <c r="H4" s="36"/>
      <c r="I4" s="3"/>
      <c r="J4" s="436" t="s">
        <v>552</v>
      </c>
      <c r="K4" s="3"/>
      <c r="L4" s="3"/>
      <c r="M4" s="3"/>
      <c r="N4" s="3"/>
      <c r="O4" s="952" t="s">
        <v>553</v>
      </c>
    </row>
    <row r="5" spans="2:15" ht="13.5" thickTop="1">
      <c r="B5" s="10"/>
      <c r="C5" s="6"/>
      <c r="D5" s="38"/>
      <c r="E5" s="10"/>
      <c r="F5" s="35" t="str">
        <f>PSE</f>
        <v>PUGET SOUND ENERGY-GAS </v>
      </c>
      <c r="G5" s="6"/>
      <c r="H5" s="6"/>
      <c r="I5" s="6"/>
      <c r="J5" s="6"/>
      <c r="K5" s="36"/>
      <c r="L5" s="6"/>
      <c r="M5" s="36"/>
      <c r="N5" s="36"/>
      <c r="O5" s="36"/>
    </row>
    <row r="6" spans="1:15" ht="12.75">
      <c r="A6" s="35" t="str">
        <f>PSE</f>
        <v>PUGET SOUND ENERGY-GAS </v>
      </c>
      <c r="B6" s="10"/>
      <c r="C6" s="6"/>
      <c r="D6" s="38"/>
      <c r="E6" s="10"/>
      <c r="F6" s="35" t="s">
        <v>149</v>
      </c>
      <c r="G6" s="6"/>
      <c r="H6" s="38"/>
      <c r="I6" s="6"/>
      <c r="J6" s="6"/>
      <c r="K6" s="35" t="str">
        <f>PSE</f>
        <v>PUGET SOUND ENERGY-GAS </v>
      </c>
      <c r="L6" s="6"/>
      <c r="M6" s="6"/>
      <c r="N6" s="6"/>
      <c r="O6" s="6"/>
    </row>
    <row r="7" spans="1:15" ht="12.75">
      <c r="A7" s="35" t="s">
        <v>507</v>
      </c>
      <c r="B7" s="10"/>
      <c r="C7" s="6"/>
      <c r="D7" s="6"/>
      <c r="E7" s="10"/>
      <c r="F7" s="6" t="str">
        <f>TESTYEAR</f>
        <v>FOR THE TWELVE MONTHS ENDED DECEMBER 31, 2010</v>
      </c>
      <c r="G7" s="6"/>
      <c r="H7" s="6"/>
      <c r="I7" s="6"/>
      <c r="J7" s="6"/>
      <c r="K7" s="6" t="s">
        <v>21</v>
      </c>
      <c r="L7" s="6"/>
      <c r="M7" s="6"/>
      <c r="N7" s="6"/>
      <c r="O7" s="6"/>
    </row>
    <row r="8" spans="1:15" ht="12.75">
      <c r="A8" s="6" t="str">
        <f>TESTYEAR</f>
        <v>FOR THE TWELVE MONTHS ENDED DECEMBER 31, 2010</v>
      </c>
      <c r="B8" s="10"/>
      <c r="C8" s="6"/>
      <c r="D8" s="6"/>
      <c r="E8" s="10"/>
      <c r="F8" s="35" t="str">
        <f>DOCKET</f>
        <v>GENERAL RATE INCREASE</v>
      </c>
      <c r="G8" s="6"/>
      <c r="H8" s="6"/>
      <c r="I8" s="6"/>
      <c r="J8" s="6"/>
      <c r="K8" s="6" t="str">
        <f>TESTYEAR</f>
        <v>FOR THE TWELVE MONTHS ENDED DECEMBER 31, 2010</v>
      </c>
      <c r="L8" s="6"/>
      <c r="M8" s="6"/>
      <c r="N8" s="6"/>
      <c r="O8" s="6"/>
    </row>
    <row r="9" spans="1:15" ht="12.75">
      <c r="A9" s="35" t="str">
        <f>DOCKET</f>
        <v>GENERAL RATE INCREASE</v>
      </c>
      <c r="B9" s="6"/>
      <c r="C9" s="6"/>
      <c r="D9" s="6"/>
      <c r="E9" s="10"/>
      <c r="F9" s="36"/>
      <c r="G9" s="36"/>
      <c r="H9" s="36"/>
      <c r="I9" s="36"/>
      <c r="J9" s="36"/>
      <c r="K9" s="35" t="str">
        <f>DOCKET</f>
        <v>GENERAL RATE INCREASE</v>
      </c>
      <c r="L9" s="6"/>
      <c r="M9" s="6"/>
      <c r="N9" s="6"/>
      <c r="O9" s="6"/>
    </row>
    <row r="10" spans="1:15" ht="13.5">
      <c r="A10" s="36"/>
      <c r="B10" s="36"/>
      <c r="C10" s="36"/>
      <c r="D10" s="36"/>
      <c r="E10" s="395" t="s">
        <v>598</v>
      </c>
      <c r="F10" s="36"/>
      <c r="G10" s="36"/>
      <c r="H10" s="36"/>
      <c r="I10" s="395" t="s">
        <v>598</v>
      </c>
      <c r="J10" s="395" t="s">
        <v>598</v>
      </c>
      <c r="K10" s="36"/>
      <c r="L10" s="36"/>
      <c r="M10" s="36"/>
      <c r="N10" s="36"/>
      <c r="O10" s="36"/>
    </row>
    <row r="11" spans="1:15" ht="12.75">
      <c r="A11" s="11" t="s">
        <v>23</v>
      </c>
      <c r="E11" s="12" t="s">
        <v>17</v>
      </c>
      <c r="F11" s="11" t="s">
        <v>23</v>
      </c>
      <c r="G11" s="36"/>
      <c r="H11" s="11" t="s">
        <v>148</v>
      </c>
      <c r="I11" s="11"/>
      <c r="J11" s="11" t="s">
        <v>94</v>
      </c>
      <c r="K11" s="11" t="s">
        <v>23</v>
      </c>
      <c r="L11" s="36"/>
      <c r="M11" s="36"/>
      <c r="N11" s="36"/>
      <c r="O11" s="36"/>
    </row>
    <row r="12" spans="1:15" ht="12.75">
      <c r="A12" s="23" t="s">
        <v>38</v>
      </c>
      <c r="B12" s="42" t="s">
        <v>39</v>
      </c>
      <c r="C12" s="109"/>
      <c r="D12" s="109"/>
      <c r="E12" s="442" t="s">
        <v>17</v>
      </c>
      <c r="F12" s="204" t="s">
        <v>38</v>
      </c>
      <c r="G12" s="205" t="s">
        <v>39</v>
      </c>
      <c r="H12" s="204" t="s">
        <v>100</v>
      </c>
      <c r="I12" s="204" t="s">
        <v>95</v>
      </c>
      <c r="J12" s="204" t="s">
        <v>96</v>
      </c>
      <c r="K12" s="23" t="s">
        <v>38</v>
      </c>
      <c r="L12" s="43" t="s">
        <v>39</v>
      </c>
      <c r="M12" s="23" t="s">
        <v>56</v>
      </c>
      <c r="N12" s="23" t="s">
        <v>57</v>
      </c>
      <c r="O12" s="23" t="s">
        <v>41</v>
      </c>
    </row>
    <row r="13" spans="5:10" ht="12.75">
      <c r="E13" s="36"/>
      <c r="F13" s="5"/>
      <c r="G13" s="5"/>
      <c r="H13" s="5"/>
      <c r="I13" s="5"/>
      <c r="J13" s="5"/>
    </row>
    <row r="14" spans="1:15" ht="13.5">
      <c r="A14" s="12">
        <v>1</v>
      </c>
      <c r="B14" s="3" t="s">
        <v>103</v>
      </c>
      <c r="E14" s="888">
        <f>'MJS-11'!E60</f>
        <v>1657792776.5082355</v>
      </c>
      <c r="F14" s="12">
        <v>1</v>
      </c>
      <c r="G14" s="3" t="s">
        <v>361</v>
      </c>
      <c r="H14" s="129">
        <v>0.04</v>
      </c>
      <c r="I14" s="893">
        <v>0.0268</v>
      </c>
      <c r="J14" s="894">
        <f>ROUND(H14*I14,4)</f>
        <v>0.0011</v>
      </c>
      <c r="K14" s="12">
        <v>1</v>
      </c>
      <c r="L14" s="13" t="s">
        <v>135</v>
      </c>
      <c r="M14" s="417"/>
      <c r="N14" s="417"/>
      <c r="O14" s="417">
        <f>ROUND('MJS-13'!AT18,6)</f>
        <v>0.003475</v>
      </c>
    </row>
    <row r="15" spans="1:15" ht="13.5">
      <c r="A15" s="12">
        <f aca="true" t="shared" si="0" ref="A15:A23">A14+1</f>
        <v>2</v>
      </c>
      <c r="B15" s="13" t="s">
        <v>16</v>
      </c>
      <c r="E15" s="889">
        <f>'MJS-14'!J18</f>
        <v>0.0826</v>
      </c>
      <c r="F15" s="12">
        <v>2</v>
      </c>
      <c r="G15" s="3" t="s">
        <v>362</v>
      </c>
      <c r="H15" s="63">
        <f>H18-H16-H17-H14</f>
        <v>0.48000000000000004</v>
      </c>
      <c r="I15" s="893">
        <v>0.0622</v>
      </c>
      <c r="J15" s="894">
        <f>ROUND(H15*I15,4)</f>
        <v>0.0299</v>
      </c>
      <c r="K15" s="12">
        <f aca="true" t="shared" si="1" ref="K15:K23">+K14+1</f>
        <v>2</v>
      </c>
      <c r="L15" s="3" t="s">
        <v>258</v>
      </c>
      <c r="M15" s="417"/>
      <c r="N15" s="417"/>
      <c r="O15" s="417">
        <v>0.002</v>
      </c>
    </row>
    <row r="16" spans="1:15" ht="12.75">
      <c r="A16" s="12">
        <f t="shared" si="0"/>
        <v>3</v>
      </c>
      <c r="B16" s="13"/>
      <c r="F16" s="12">
        <v>3</v>
      </c>
      <c r="G16" s="3" t="s">
        <v>159</v>
      </c>
      <c r="H16" s="63">
        <v>0</v>
      </c>
      <c r="I16" s="63">
        <v>0</v>
      </c>
      <c r="J16" s="63">
        <f>ROUND(H16*I16,4)</f>
        <v>0</v>
      </c>
      <c r="K16" s="12">
        <f t="shared" si="1"/>
        <v>3</v>
      </c>
      <c r="L16" s="213" t="str">
        <f>"STATE UTILITY TAX ( "&amp;N16*100&amp;"% - ( LINE 1 * "&amp;N16*100&amp;"% )  )"</f>
        <v>STATE UTILITY TAX ( 3.852% - ( LINE 1 * 3.852% )  )</v>
      </c>
      <c r="M16" s="217"/>
      <c r="N16" s="440">
        <v>0.03852</v>
      </c>
      <c r="O16" s="441">
        <f>ROUND(N16-(N16*O14),6)</f>
        <v>0.038386</v>
      </c>
    </row>
    <row r="17" spans="1:15" ht="13.5">
      <c r="A17" s="12">
        <f t="shared" si="0"/>
        <v>4</v>
      </c>
      <c r="B17" s="3" t="s">
        <v>161</v>
      </c>
      <c r="E17" s="890">
        <f>E14*E15</f>
        <v>136933683.33958027</v>
      </c>
      <c r="F17" s="12">
        <v>4</v>
      </c>
      <c r="G17" s="3" t="s">
        <v>102</v>
      </c>
      <c r="H17" s="93">
        <v>0.48</v>
      </c>
      <c r="I17" s="889">
        <v>0.1075</v>
      </c>
      <c r="J17" s="894">
        <f>ROUND(H17*I17,4)</f>
        <v>0.0516</v>
      </c>
      <c r="K17" s="12">
        <f t="shared" si="1"/>
        <v>4</v>
      </c>
      <c r="M17" s="417"/>
      <c r="N17" s="417"/>
      <c r="O17" s="417"/>
    </row>
    <row r="18" spans="1:15" ht="13.5">
      <c r="A18" s="12">
        <f t="shared" si="0"/>
        <v>5</v>
      </c>
      <c r="B18" s="13"/>
      <c r="E18" s="30"/>
      <c r="F18" s="12">
        <v>5</v>
      </c>
      <c r="G18" s="3" t="s">
        <v>37</v>
      </c>
      <c r="H18" s="271">
        <v>1</v>
      </c>
      <c r="I18" s="894"/>
      <c r="J18" s="895">
        <f>SUM(J14:J17)</f>
        <v>0.0826</v>
      </c>
      <c r="K18" s="12">
        <f t="shared" si="1"/>
        <v>5</v>
      </c>
      <c r="L18" s="213" t="s">
        <v>352</v>
      </c>
      <c r="M18" s="417"/>
      <c r="N18" s="417"/>
      <c r="O18" s="417">
        <f>SUM(O14:O17)</f>
        <v>0.043861000000000004</v>
      </c>
    </row>
    <row r="19" spans="1:11" ht="13.5">
      <c r="A19" s="12">
        <f t="shared" si="0"/>
        <v>6</v>
      </c>
      <c r="B19" s="13" t="s">
        <v>162</v>
      </c>
      <c r="E19" s="891">
        <f>'MJS-11'!E47</f>
        <v>119149110.05246824</v>
      </c>
      <c r="F19" s="12">
        <v>6</v>
      </c>
      <c r="H19" s="63"/>
      <c r="I19" s="63"/>
      <c r="J19" s="63"/>
      <c r="K19" s="12">
        <f t="shared" si="1"/>
        <v>6</v>
      </c>
    </row>
    <row r="20" spans="1:15" ht="13.5">
      <c r="A20" s="12">
        <f t="shared" si="0"/>
        <v>7</v>
      </c>
      <c r="B20" s="13" t="s">
        <v>163</v>
      </c>
      <c r="E20" s="890">
        <f>+E17-E19</f>
        <v>17784573.287112027</v>
      </c>
      <c r="F20" s="12">
        <v>7</v>
      </c>
      <c r="G20" s="3" t="s">
        <v>363</v>
      </c>
      <c r="H20" s="63">
        <f>H14</f>
        <v>0.04</v>
      </c>
      <c r="I20" s="894">
        <f>I14*0.65</f>
        <v>0.01742</v>
      </c>
      <c r="J20" s="894">
        <f>ROUND(J14*0.65,4)</f>
        <v>0.0007</v>
      </c>
      <c r="K20" s="12">
        <f t="shared" si="1"/>
        <v>7</v>
      </c>
      <c r="L20" s="217" t="s">
        <v>353</v>
      </c>
      <c r="M20" s="217"/>
      <c r="N20" s="217"/>
      <c r="O20" s="417">
        <f>ROUND(1-O18,6)</f>
        <v>0.956139</v>
      </c>
    </row>
    <row r="21" spans="1:15" ht="13.5">
      <c r="A21" s="12">
        <f t="shared" si="0"/>
        <v>8</v>
      </c>
      <c r="E21" s="30"/>
      <c r="F21" s="12">
        <v>8</v>
      </c>
      <c r="G21" s="3" t="s">
        <v>364</v>
      </c>
      <c r="H21" s="63">
        <f>H15</f>
        <v>0.48000000000000004</v>
      </c>
      <c r="I21" s="894">
        <f>I15*0.65</f>
        <v>0.04043</v>
      </c>
      <c r="J21" s="894">
        <f>ROUND(J15*0.65,4)</f>
        <v>0.0194</v>
      </c>
      <c r="K21" s="12">
        <f t="shared" si="1"/>
        <v>8</v>
      </c>
      <c r="L21" s="213" t="s">
        <v>354</v>
      </c>
      <c r="M21" s="417"/>
      <c r="N21" s="170">
        <v>0.35</v>
      </c>
      <c r="O21" s="417">
        <f>ROUND(O20*N21,6)</f>
        <v>0.334649</v>
      </c>
    </row>
    <row r="22" spans="1:15" ht="12.75">
      <c r="A22" s="12">
        <f t="shared" si="0"/>
        <v>9</v>
      </c>
      <c r="B22" s="3" t="s">
        <v>21</v>
      </c>
      <c r="E22" s="73">
        <f>'MJS-14'!O23</f>
        <v>0.62149</v>
      </c>
      <c r="F22" s="12">
        <v>9</v>
      </c>
      <c r="G22" s="3" t="s">
        <v>101</v>
      </c>
      <c r="H22" s="63">
        <f>H16</f>
        <v>0</v>
      </c>
      <c r="I22" s="63">
        <f>I16</f>
        <v>0</v>
      </c>
      <c r="J22" s="63">
        <f>ROUND(H22*I22,4)</f>
        <v>0</v>
      </c>
      <c r="K22" s="12">
        <f t="shared" si="1"/>
        <v>9</v>
      </c>
      <c r="L22" s="13"/>
      <c r="M22" s="417"/>
      <c r="N22" s="419"/>
      <c r="O22" s="418"/>
    </row>
    <row r="23" spans="1:15" ht="14.25" thickBot="1">
      <c r="A23" s="12">
        <f t="shared" si="0"/>
        <v>10</v>
      </c>
      <c r="C23" s="132"/>
      <c r="E23" s="54"/>
      <c r="F23" s="12">
        <v>10</v>
      </c>
      <c r="G23" s="3" t="s">
        <v>102</v>
      </c>
      <c r="H23" s="93">
        <f>H17</f>
        <v>0.48</v>
      </c>
      <c r="I23" s="889">
        <f>I17</f>
        <v>0.1075</v>
      </c>
      <c r="J23" s="894">
        <f>ROUND(H23*I23,4)</f>
        <v>0.0516</v>
      </c>
      <c r="K23" s="12">
        <f t="shared" si="1"/>
        <v>10</v>
      </c>
      <c r="L23" s="13" t="s">
        <v>21</v>
      </c>
      <c r="M23" s="417"/>
      <c r="N23" s="419"/>
      <c r="O23" s="553">
        <f>O20-O21</f>
        <v>0.62149</v>
      </c>
    </row>
    <row r="24" spans="1:11" ht="14.25" thickTop="1">
      <c r="A24" s="12">
        <v>11</v>
      </c>
      <c r="E24" s="423"/>
      <c r="F24" s="12">
        <v>11</v>
      </c>
      <c r="G24" s="3" t="s">
        <v>150</v>
      </c>
      <c r="H24" s="271">
        <f>SUM(H20:H23)</f>
        <v>1</v>
      </c>
      <c r="I24" s="894"/>
      <c r="J24" s="895">
        <f>SUM(J20:J23)</f>
        <v>0.0717</v>
      </c>
      <c r="K24" s="12"/>
    </row>
    <row r="25" spans="1:15" ht="13.5">
      <c r="A25" s="12">
        <v>12</v>
      </c>
      <c r="B25" s="81" t="s">
        <v>365</v>
      </c>
      <c r="C25" s="81"/>
      <c r="E25" s="890">
        <f>ROUND(+E20/E22,0)</f>
        <v>28616025</v>
      </c>
      <c r="F25" s="274"/>
      <c r="H25" s="93"/>
      <c r="I25" s="894"/>
      <c r="J25" s="896"/>
      <c r="K25" s="12"/>
      <c r="O25" s="610"/>
    </row>
    <row r="26" spans="1:11" ht="13.5">
      <c r="A26" s="12">
        <v>13</v>
      </c>
      <c r="B26" s="3" t="s">
        <v>2</v>
      </c>
      <c r="E26" s="890">
        <v>147865</v>
      </c>
      <c r="F26" s="36"/>
      <c r="G26" s="1"/>
      <c r="H26" s="179"/>
      <c r="J26" s="218"/>
      <c r="K26" s="12"/>
    </row>
    <row r="27" spans="1:5" ht="13.5">
      <c r="A27" s="12">
        <v>14</v>
      </c>
      <c r="E27" s="443"/>
    </row>
    <row r="28" spans="1:5" ht="14.25" thickBot="1">
      <c r="A28" s="12">
        <v>15</v>
      </c>
      <c r="B28" s="81" t="s">
        <v>365</v>
      </c>
      <c r="C28" s="82"/>
      <c r="D28" s="82"/>
      <c r="E28" s="892">
        <f>E25-E26</f>
        <v>28468160</v>
      </c>
    </row>
    <row r="29" spans="1:5" ht="14.25" thickTop="1">
      <c r="A29" s="443"/>
      <c r="B29" s="7"/>
      <c r="E29" s="443"/>
    </row>
    <row r="30" ht="12.75">
      <c r="B30" s="7"/>
    </row>
    <row r="31" spans="2:5" ht="12.75">
      <c r="B31" s="7"/>
      <c r="E31" s="208"/>
    </row>
    <row r="32" ht="12.75">
      <c r="B32" s="7"/>
    </row>
    <row r="33" ht="12.75">
      <c r="B33" s="7"/>
    </row>
    <row r="34" ht="12.75">
      <c r="B34" s="7"/>
    </row>
  </sheetData>
  <sheetProtection/>
  <conditionalFormatting sqref="K1:O1">
    <cfRule type="cellIs" priority="3" dxfId="4" operator="notEqual" stopIfTrue="1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95" r:id="rId1"/>
  <headerFooter>
    <oddFooter>&amp;L&amp;"Helv,Italic"Note:  Amounts presented in bold italtic type have changed since the June 13,  2011 original filing.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8" zoomScaleNormal="88" zoomScalePageLayoutView="0" workbookViewId="0" topLeftCell="A1">
      <selection activeCell="E20" sqref="E20"/>
    </sheetView>
  </sheetViews>
  <sheetFormatPr defaultColWidth="9.33203125" defaultRowHeight="10.5"/>
  <cols>
    <col min="1" max="1" width="10.5" style="0" bestFit="1" customWidth="1"/>
    <col min="2" max="2" width="40.16015625" style="0" bestFit="1" customWidth="1"/>
    <col min="3" max="3" width="11.83203125" style="0" bestFit="1" customWidth="1"/>
    <col min="4" max="4" width="18.33203125" style="0" bestFit="1" customWidth="1"/>
    <col min="5" max="5" width="21.83203125" style="0" bestFit="1" customWidth="1"/>
    <col min="6" max="6" width="17" style="0" bestFit="1" customWidth="1"/>
    <col min="7" max="7" width="18.16015625" style="0" bestFit="1" customWidth="1"/>
    <col min="8" max="8" width="20.5" style="0" bestFit="1" customWidth="1"/>
    <col min="9" max="9" width="16.83203125" style="0" bestFit="1" customWidth="1"/>
    <col min="10" max="10" width="17.33203125" style="0" bestFit="1" customWidth="1"/>
    <col min="11" max="11" width="18.83203125" style="0" bestFit="1" customWidth="1"/>
    <col min="12" max="12" width="18.83203125" style="0" customWidth="1"/>
    <col min="14" max="14" width="12.66015625" style="0" bestFit="1" customWidth="1"/>
  </cols>
  <sheetData>
    <row r="1" ht="15.75">
      <c r="A1" s="713"/>
    </row>
    <row r="2" ht="15.75">
      <c r="A2" s="713" t="s">
        <v>545</v>
      </c>
    </row>
    <row r="3" spans="2:12" ht="15.75">
      <c r="B3" s="455"/>
      <c r="C3" s="455"/>
      <c r="D3" s="455"/>
      <c r="E3" s="455"/>
      <c r="F3" s="464" t="s">
        <v>542</v>
      </c>
      <c r="G3" s="455"/>
      <c r="I3" s="464" t="s">
        <v>543</v>
      </c>
      <c r="L3" s="464"/>
    </row>
    <row r="4" spans="2:12" ht="15.75">
      <c r="B4" s="455"/>
      <c r="C4" s="455"/>
      <c r="D4" s="455"/>
      <c r="E4" s="561" t="s">
        <v>421</v>
      </c>
      <c r="F4" s="559">
        <f>'MJS-14'!J18</f>
        <v>0.0826</v>
      </c>
      <c r="G4" s="455"/>
      <c r="I4" s="559">
        <v>0.0759</v>
      </c>
      <c r="L4" s="559"/>
    </row>
    <row r="5" spans="1:12" ht="15.75">
      <c r="A5" s="455"/>
      <c r="B5" s="455"/>
      <c r="C5" s="455"/>
      <c r="D5" s="455"/>
      <c r="E5" s="561" t="s">
        <v>422</v>
      </c>
      <c r="F5" s="560">
        <f>'MJS-14'!E22</f>
        <v>0.62149</v>
      </c>
      <c r="G5" s="455"/>
      <c r="I5" s="560">
        <f>F5</f>
        <v>0.62149</v>
      </c>
      <c r="L5" s="560"/>
    </row>
    <row r="6" spans="1:12" ht="15.75">
      <c r="A6" s="455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12" ht="15.75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</row>
    <row r="8" spans="1:12" ht="15.75">
      <c r="A8" s="456"/>
      <c r="B8" s="456"/>
      <c r="C8" s="867"/>
      <c r="D8" s="955" t="s">
        <v>597</v>
      </c>
      <c r="E8" s="956"/>
      <c r="F8" s="957"/>
      <c r="G8" s="955" t="s">
        <v>544</v>
      </c>
      <c r="H8" s="956"/>
      <c r="I8" s="957"/>
      <c r="J8" s="955" t="s">
        <v>594</v>
      </c>
      <c r="K8" s="958"/>
      <c r="L8" s="959"/>
    </row>
    <row r="9" spans="1:12" ht="15.75">
      <c r="A9" s="457" t="s">
        <v>367</v>
      </c>
      <c r="B9" s="457" t="s">
        <v>212</v>
      </c>
      <c r="C9" s="457" t="s">
        <v>596</v>
      </c>
      <c r="D9" s="457" t="s">
        <v>214</v>
      </c>
      <c r="E9" s="457" t="s">
        <v>213</v>
      </c>
      <c r="F9" s="458" t="s">
        <v>368</v>
      </c>
      <c r="G9" s="457" t="s">
        <v>214</v>
      </c>
      <c r="H9" s="457" t="s">
        <v>213</v>
      </c>
      <c r="I9" s="458" t="s">
        <v>368</v>
      </c>
      <c r="J9" s="457" t="s">
        <v>214</v>
      </c>
      <c r="K9" s="457" t="s">
        <v>213</v>
      </c>
      <c r="L9" s="456" t="s">
        <v>368</v>
      </c>
    </row>
    <row r="10" spans="1:12" ht="15.75">
      <c r="A10" s="459" t="s">
        <v>369</v>
      </c>
      <c r="B10" s="459" t="s">
        <v>370</v>
      </c>
      <c r="C10" s="459" t="s">
        <v>546</v>
      </c>
      <c r="D10" s="459" t="s">
        <v>374</v>
      </c>
      <c r="E10" s="460" t="s">
        <v>375</v>
      </c>
      <c r="F10" s="459" t="s">
        <v>371</v>
      </c>
      <c r="G10" s="459" t="s">
        <v>372</v>
      </c>
      <c r="H10" s="459" t="s">
        <v>373</v>
      </c>
      <c r="I10" s="459" t="s">
        <v>376</v>
      </c>
      <c r="J10" s="459" t="s">
        <v>377</v>
      </c>
      <c r="K10" s="459" t="s">
        <v>378</v>
      </c>
      <c r="L10" s="459" t="s">
        <v>595</v>
      </c>
    </row>
    <row r="11" spans="1:12" ht="15.75">
      <c r="A11" s="562"/>
      <c r="B11" s="563"/>
      <c r="C11" s="571"/>
      <c r="D11" s="562"/>
      <c r="E11" s="571"/>
      <c r="F11" s="563"/>
      <c r="G11" s="562"/>
      <c r="H11" s="571"/>
      <c r="I11" s="563"/>
      <c r="J11" s="562"/>
      <c r="K11" s="571"/>
      <c r="L11" s="563"/>
    </row>
    <row r="12" spans="1:14" ht="15.75">
      <c r="A12" s="564"/>
      <c r="B12" s="565" t="s">
        <v>379</v>
      </c>
      <c r="C12" s="868"/>
      <c r="D12" s="580">
        <f>'MJS-11'!H47</f>
        <v>102661459.51950526</v>
      </c>
      <c r="E12" s="461">
        <f>'MJS-11'!H49</f>
        <v>1660735111.288854</v>
      </c>
      <c r="F12" s="573">
        <f>((E12*$F$4)-D12)/$F$5</f>
        <v>55536308.98800316</v>
      </c>
      <c r="G12" s="580">
        <v>102661459.51950526</v>
      </c>
      <c r="H12" s="461">
        <v>1660735111.0538375</v>
      </c>
      <c r="I12" s="573">
        <f aca="true" t="shared" si="0" ref="I12:I37">(H12*$I$4-G12)/$I$5</f>
        <v>37632681.79613671</v>
      </c>
      <c r="J12" s="581">
        <f>G12-D12</f>
        <v>0</v>
      </c>
      <c r="K12" s="463">
        <f aca="true" t="shared" si="1" ref="K12:K39">H12-E12</f>
        <v>-0.2350163459777832</v>
      </c>
      <c r="L12" s="582">
        <f aca="true" t="shared" si="2" ref="L12:L39">I12-F12</f>
        <v>-17903627.19186645</v>
      </c>
      <c r="N12" s="424"/>
    </row>
    <row r="13" spans="1:13" ht="15.75">
      <c r="A13" s="566">
        <v>12.01</v>
      </c>
      <c r="B13" s="567" t="s">
        <v>423</v>
      </c>
      <c r="C13" s="869"/>
      <c r="D13" s="574">
        <f>'MJS-11'!I47</f>
        <v>4071209.368866033</v>
      </c>
      <c r="E13" s="575">
        <f>'MJS-11'!I49</f>
        <v>-2218846.4496661704</v>
      </c>
      <c r="F13" s="576">
        <f aca="true" t="shared" si="3" ref="F13:F37">((E13*$F$4)-D13)/$F$5</f>
        <v>-6845622.75436203</v>
      </c>
      <c r="G13" s="574">
        <v>4071209.368866033</v>
      </c>
      <c r="H13" s="575">
        <v>-2218846.4496661704</v>
      </c>
      <c r="I13" s="576">
        <f t="shared" si="0"/>
        <v>-6821702.383619519</v>
      </c>
      <c r="J13" s="574">
        <f aca="true" t="shared" si="4" ref="J13:J39">G13-D13</f>
        <v>0</v>
      </c>
      <c r="K13" s="575">
        <f t="shared" si="1"/>
        <v>0</v>
      </c>
      <c r="L13" s="583">
        <f t="shared" si="2"/>
        <v>23920.370742511004</v>
      </c>
      <c r="M13" s="870"/>
    </row>
    <row r="14" spans="1:13" ht="15.75">
      <c r="A14" s="566">
        <v>12.02</v>
      </c>
      <c r="B14" s="567" t="s">
        <v>529</v>
      </c>
      <c r="C14" s="869"/>
      <c r="D14" s="574">
        <f>'MJS-11'!J47</f>
        <v>-195346.91595120012</v>
      </c>
      <c r="E14" s="575">
        <f>'MJS-11'!J49</f>
        <v>-97673.45797560006</v>
      </c>
      <c r="F14" s="576">
        <f t="shared" si="3"/>
        <v>301338.860355622</v>
      </c>
      <c r="G14" s="574">
        <v>-195346.91595120012</v>
      </c>
      <c r="H14" s="575">
        <v>-97673.45797560006</v>
      </c>
      <c r="I14" s="576">
        <f t="shared" si="0"/>
        <v>302391.83332129574</v>
      </c>
      <c r="J14" s="574">
        <f t="shared" si="4"/>
        <v>0</v>
      </c>
      <c r="K14" s="575">
        <f t="shared" si="1"/>
        <v>0</v>
      </c>
      <c r="L14" s="583">
        <f t="shared" si="2"/>
        <v>1052.9729656737181</v>
      </c>
      <c r="M14" s="870"/>
    </row>
    <row r="15" spans="1:12" ht="15.75">
      <c r="A15" s="566">
        <v>12.03</v>
      </c>
      <c r="B15" s="567" t="s">
        <v>530</v>
      </c>
      <c r="C15" s="869"/>
      <c r="D15" s="574">
        <f>'MJS-11'!K47</f>
        <v>640160.5436074033</v>
      </c>
      <c r="E15" s="575">
        <f>'MJS-11'!K49</f>
        <v>0</v>
      </c>
      <c r="F15" s="576">
        <f t="shared" si="3"/>
        <v>-1030041.5833036788</v>
      </c>
      <c r="G15" s="574">
        <v>640159.7184329019</v>
      </c>
      <c r="H15" s="575">
        <v>0</v>
      </c>
      <c r="I15" s="576">
        <f t="shared" si="0"/>
        <v>-1030040.2555679125</v>
      </c>
      <c r="J15" s="574">
        <f t="shared" si="4"/>
        <v>-0.8251745013985783</v>
      </c>
      <c r="K15" s="575">
        <f t="shared" si="1"/>
        <v>0</v>
      </c>
      <c r="L15" s="583">
        <f t="shared" si="2"/>
        <v>1.3277357663027942</v>
      </c>
    </row>
    <row r="16" spans="1:12" ht="15.75">
      <c r="A16" s="566">
        <v>13.01</v>
      </c>
      <c r="B16" s="567" t="s">
        <v>380</v>
      </c>
      <c r="C16" s="869"/>
      <c r="D16" s="574">
        <f>'MJS-11'!L47</f>
        <v>6651267.31446328</v>
      </c>
      <c r="E16" s="575">
        <f>'MJS-11'!L49</f>
        <v>0</v>
      </c>
      <c r="F16" s="576">
        <f t="shared" si="3"/>
        <v>-10702130.870107774</v>
      </c>
      <c r="G16" s="574">
        <v>6651267.31446328</v>
      </c>
      <c r="H16" s="575">
        <v>0</v>
      </c>
      <c r="I16" s="576">
        <f t="shared" si="0"/>
        <v>-10702130.870107774</v>
      </c>
      <c r="J16" s="574">
        <f t="shared" si="4"/>
        <v>0</v>
      </c>
      <c r="K16" s="575">
        <f t="shared" si="1"/>
        <v>0</v>
      </c>
      <c r="L16" s="583">
        <f t="shared" si="2"/>
        <v>0</v>
      </c>
    </row>
    <row r="17" spans="1:14" ht="15.75">
      <c r="A17" s="566">
        <v>13.02</v>
      </c>
      <c r="B17" s="567" t="s">
        <v>531</v>
      </c>
      <c r="C17" s="869" t="s">
        <v>302</v>
      </c>
      <c r="D17" s="574">
        <f>'MJS-11'!M47</f>
        <v>16913082.8508928</v>
      </c>
      <c r="E17" s="575">
        <f>'MJS-11'!M49</f>
        <v>0</v>
      </c>
      <c r="F17" s="576">
        <f t="shared" si="3"/>
        <v>-27213765.066039357</v>
      </c>
      <c r="G17" s="574">
        <v>17299411.25504809</v>
      </c>
      <c r="H17" s="575">
        <v>0</v>
      </c>
      <c r="I17" s="576">
        <f t="shared" si="0"/>
        <v>-27835381.5106407</v>
      </c>
      <c r="J17" s="574">
        <f t="shared" si="4"/>
        <v>386328.4041552879</v>
      </c>
      <c r="K17" s="575">
        <f t="shared" si="1"/>
        <v>0</v>
      </c>
      <c r="L17" s="583">
        <f t="shared" si="2"/>
        <v>-621616.4446013421</v>
      </c>
      <c r="M17" s="870"/>
      <c r="N17" s="870"/>
    </row>
    <row r="18" spans="1:12" ht="15.75">
      <c r="A18" s="566">
        <v>13.03</v>
      </c>
      <c r="B18" s="567" t="s">
        <v>532</v>
      </c>
      <c r="C18" s="869"/>
      <c r="D18" s="574">
        <f>'MJS-11'!N47</f>
        <v>154724.0239024982</v>
      </c>
      <c r="E18" s="575">
        <f>'MJS-11'!N49</f>
        <v>0</v>
      </c>
      <c r="F18" s="576">
        <f t="shared" si="3"/>
        <v>-248956.57838822537</v>
      </c>
      <c r="G18" s="574">
        <v>154723.67058743304</v>
      </c>
      <c r="H18" s="575">
        <v>0</v>
      </c>
      <c r="I18" s="576">
        <f t="shared" si="0"/>
        <v>-248956.00989144322</v>
      </c>
      <c r="J18" s="574">
        <f t="shared" si="4"/>
        <v>-0.35331506514921784</v>
      </c>
      <c r="K18" s="575">
        <f t="shared" si="1"/>
        <v>0</v>
      </c>
      <c r="L18" s="583">
        <f t="shared" si="2"/>
        <v>0.5684967821580358</v>
      </c>
    </row>
    <row r="19" spans="1:14" ht="15.75">
      <c r="A19" s="566">
        <v>13.04</v>
      </c>
      <c r="B19" s="567" t="s">
        <v>270</v>
      </c>
      <c r="C19" s="869" t="s">
        <v>302</v>
      </c>
      <c r="D19" s="574">
        <f>'MJS-11'!O47</f>
        <v>-28834101.259000003</v>
      </c>
      <c r="E19" s="575">
        <f>'MJS-11'!O49</f>
        <v>0</v>
      </c>
      <c r="F19" s="576">
        <f t="shared" si="3"/>
        <v>46395116.991423845</v>
      </c>
      <c r="G19" s="574">
        <v>-28834101.259000003</v>
      </c>
      <c r="H19" s="575">
        <v>-24564298</v>
      </c>
      <c r="I19" s="576">
        <f t="shared" si="0"/>
        <v>43395181.00178604</v>
      </c>
      <c r="J19" s="574">
        <f t="shared" si="4"/>
        <v>0</v>
      </c>
      <c r="K19" s="575">
        <f t="shared" si="1"/>
        <v>-24564298</v>
      </c>
      <c r="L19" s="583">
        <f t="shared" si="2"/>
        <v>-2999935.989637807</v>
      </c>
      <c r="N19" s="870"/>
    </row>
    <row r="20" spans="1:13" ht="15.75">
      <c r="A20" s="566">
        <v>13.05</v>
      </c>
      <c r="B20" s="567" t="s">
        <v>533</v>
      </c>
      <c r="C20" s="869"/>
      <c r="D20" s="574">
        <f>'MJS-11'!P47</f>
        <v>17987051.62511435</v>
      </c>
      <c r="E20" s="575">
        <f>'MJS-11'!P49</f>
        <v>0</v>
      </c>
      <c r="F20" s="576">
        <f t="shared" si="3"/>
        <v>-28941819.86051964</v>
      </c>
      <c r="G20" s="574">
        <v>18265629.63626808</v>
      </c>
      <c r="H20" s="575">
        <v>0</v>
      </c>
      <c r="I20" s="576">
        <f t="shared" si="0"/>
        <v>-29390062.006256063</v>
      </c>
      <c r="J20" s="574">
        <f t="shared" si="4"/>
        <v>278578.01115372777</v>
      </c>
      <c r="K20" s="575">
        <f t="shared" si="1"/>
        <v>0</v>
      </c>
      <c r="L20" s="583">
        <f t="shared" si="2"/>
        <v>-448242.1457364224</v>
      </c>
      <c r="M20" s="870"/>
    </row>
    <row r="21" spans="1:13" ht="15.75">
      <c r="A21" s="566">
        <v>13.06</v>
      </c>
      <c r="B21" s="567" t="s">
        <v>534</v>
      </c>
      <c r="C21" s="869" t="s">
        <v>302</v>
      </c>
      <c r="D21" s="574">
        <f>'MJS-11'!Q47</f>
        <v>261609.35304539214</v>
      </c>
      <c r="E21" s="575">
        <f>'MJS-11'!Q49</f>
        <v>0</v>
      </c>
      <c r="F21" s="576">
        <f t="shared" si="3"/>
        <v>-420938.9580610986</v>
      </c>
      <c r="G21" s="574">
        <v>306609.7853674308</v>
      </c>
      <c r="H21" s="575">
        <v>0</v>
      </c>
      <c r="I21" s="576">
        <f t="shared" si="0"/>
        <v>-493346.2893488726</v>
      </c>
      <c r="J21" s="574">
        <f t="shared" si="4"/>
        <v>45000.43232203869</v>
      </c>
      <c r="K21" s="575">
        <f t="shared" si="1"/>
        <v>0</v>
      </c>
      <c r="L21" s="583">
        <f t="shared" si="2"/>
        <v>-72407.33128777402</v>
      </c>
      <c r="M21" s="870"/>
    </row>
    <row r="22" spans="1:13" ht="15.75">
      <c r="A22" s="566">
        <v>13.07</v>
      </c>
      <c r="B22" s="567" t="s">
        <v>420</v>
      </c>
      <c r="C22" s="869"/>
      <c r="D22" s="574">
        <f>'MJS-11'!R47</f>
        <v>384999.0395712971</v>
      </c>
      <c r="E22" s="575">
        <f>'MJS-11'!R49</f>
        <v>-113066.91905510958</v>
      </c>
      <c r="F22" s="576">
        <f t="shared" si="3"/>
        <v>-634504.7661028322</v>
      </c>
      <c r="G22" s="574">
        <v>384999.0395712971</v>
      </c>
      <c r="H22" s="575">
        <v>-113066.91905510958</v>
      </c>
      <c r="I22" s="576">
        <f t="shared" si="0"/>
        <v>-633285.8432598754</v>
      </c>
      <c r="J22" s="574">
        <f t="shared" si="4"/>
        <v>0</v>
      </c>
      <c r="K22" s="575">
        <f t="shared" si="1"/>
        <v>0</v>
      </c>
      <c r="L22" s="583">
        <f t="shared" si="2"/>
        <v>1218.9228429567302</v>
      </c>
      <c r="M22" s="870"/>
    </row>
    <row r="23" spans="1:12" ht="15.75">
      <c r="A23" s="566">
        <v>13.08</v>
      </c>
      <c r="B23" s="567" t="s">
        <v>535</v>
      </c>
      <c r="C23" s="869"/>
      <c r="D23" s="574">
        <f>'MJS-11'!S47</f>
        <v>-54309.81827933407</v>
      </c>
      <c r="E23" s="575">
        <f>'MJS-11'!S49</f>
        <v>0</v>
      </c>
      <c r="F23" s="576">
        <f t="shared" si="3"/>
        <v>87386.47167184358</v>
      </c>
      <c r="G23" s="574">
        <v>-54309.81827933407</v>
      </c>
      <c r="H23" s="575">
        <v>0</v>
      </c>
      <c r="I23" s="576">
        <f t="shared" si="0"/>
        <v>87386.47167184358</v>
      </c>
      <c r="J23" s="574">
        <f t="shared" si="4"/>
        <v>0</v>
      </c>
      <c r="K23" s="575">
        <f t="shared" si="1"/>
        <v>0</v>
      </c>
      <c r="L23" s="583">
        <f t="shared" si="2"/>
        <v>0</v>
      </c>
    </row>
    <row r="24" spans="1:12" ht="15.75">
      <c r="A24" s="566">
        <v>13.09</v>
      </c>
      <c r="B24" s="567" t="s">
        <v>468</v>
      </c>
      <c r="C24" s="869"/>
      <c r="D24" s="574">
        <f>'MJS-11'!T47</f>
        <v>1574431</v>
      </c>
      <c r="E24" s="575">
        <f>'MJS-11'!T49</f>
        <v>0</v>
      </c>
      <c r="F24" s="576">
        <f t="shared" si="3"/>
        <v>-2533316.7066244027</v>
      </c>
      <c r="G24" s="574">
        <v>1574431</v>
      </c>
      <c r="H24" s="575">
        <v>0</v>
      </c>
      <c r="I24" s="576">
        <f t="shared" si="0"/>
        <v>-2533316.7066244027</v>
      </c>
      <c r="J24" s="574">
        <f t="shared" si="4"/>
        <v>0</v>
      </c>
      <c r="K24" s="575">
        <f t="shared" si="1"/>
        <v>0</v>
      </c>
      <c r="L24" s="583">
        <f t="shared" si="2"/>
        <v>0</v>
      </c>
    </row>
    <row r="25" spans="1:14" ht="15.75">
      <c r="A25" s="566">
        <v>13.1</v>
      </c>
      <c r="B25" s="567" t="s">
        <v>536</v>
      </c>
      <c r="C25" s="869" t="s">
        <v>302</v>
      </c>
      <c r="D25" s="574">
        <f>'MJS-11'!U47</f>
        <v>246620.65198427474</v>
      </c>
      <c r="E25" s="575">
        <f>'MJS-11'!U49</f>
        <v>0</v>
      </c>
      <c r="F25" s="576">
        <f t="shared" si="3"/>
        <v>-396821.5932424894</v>
      </c>
      <c r="G25" s="574">
        <v>1117331.1629876194</v>
      </c>
      <c r="H25" s="575">
        <v>0</v>
      </c>
      <c r="I25" s="576">
        <f t="shared" si="0"/>
        <v>-1797826.4541466788</v>
      </c>
      <c r="J25" s="574">
        <f t="shared" si="4"/>
        <v>870710.5110033447</v>
      </c>
      <c r="K25" s="575">
        <f t="shared" si="1"/>
        <v>0</v>
      </c>
      <c r="L25" s="583">
        <f t="shared" si="2"/>
        <v>-1401004.8609041893</v>
      </c>
      <c r="N25" s="870"/>
    </row>
    <row r="26" spans="1:14" ht="15.75">
      <c r="A26" s="566">
        <v>13.11</v>
      </c>
      <c r="B26" s="567" t="s">
        <v>537</v>
      </c>
      <c r="C26" s="869" t="s">
        <v>302</v>
      </c>
      <c r="D26" s="574">
        <f>'MJS-11'!V47</f>
        <v>-1668295.694</v>
      </c>
      <c r="E26" s="575">
        <f>'MJS-11'!V49</f>
        <v>0</v>
      </c>
      <c r="F26" s="576">
        <f t="shared" si="3"/>
        <v>2684348.4110766063</v>
      </c>
      <c r="G26" s="574">
        <v>-545997.2374999976</v>
      </c>
      <c r="H26" s="575">
        <v>0</v>
      </c>
      <c r="I26" s="576">
        <f t="shared" si="0"/>
        <v>878529.4011166674</v>
      </c>
      <c r="J26" s="574">
        <f t="shared" si="4"/>
        <v>1122298.4565000022</v>
      </c>
      <c r="K26" s="575">
        <f t="shared" si="1"/>
        <v>0</v>
      </c>
      <c r="L26" s="583">
        <f t="shared" si="2"/>
        <v>-1805819.009959939</v>
      </c>
      <c r="N26" s="870"/>
    </row>
    <row r="27" spans="1:12" ht="15.75">
      <c r="A27" s="566">
        <v>13.12</v>
      </c>
      <c r="B27" s="567" t="s">
        <v>381</v>
      </c>
      <c r="C27" s="869"/>
      <c r="D27" s="574">
        <f>'MJS-11'!W47</f>
        <v>-49255.86971500539</v>
      </c>
      <c r="E27" s="575">
        <f>'MJS-11'!W49</f>
        <v>0</v>
      </c>
      <c r="F27" s="576">
        <f t="shared" si="3"/>
        <v>79254.48473025374</v>
      </c>
      <c r="G27" s="574">
        <v>-49255.61486100429</v>
      </c>
      <c r="H27" s="575">
        <v>0</v>
      </c>
      <c r="I27" s="576">
        <f t="shared" si="0"/>
        <v>79254.0746609025</v>
      </c>
      <c r="J27" s="574">
        <f t="shared" si="4"/>
        <v>0.2548540011048317</v>
      </c>
      <c r="K27" s="575">
        <f t="shared" si="1"/>
        <v>0</v>
      </c>
      <c r="L27" s="583">
        <f t="shared" si="2"/>
        <v>-0.4100693512446014</v>
      </c>
    </row>
    <row r="28" spans="1:13" ht="15.75">
      <c r="A28" s="566">
        <v>13.13</v>
      </c>
      <c r="B28" s="567" t="s">
        <v>382</v>
      </c>
      <c r="C28" s="869" t="s">
        <v>302</v>
      </c>
      <c r="D28" s="574">
        <f>'MJS-11'!X47</f>
        <v>23376.49571431028</v>
      </c>
      <c r="E28" s="575">
        <f>'MJS-11'!X49</f>
        <v>0</v>
      </c>
      <c r="F28" s="576">
        <f t="shared" si="3"/>
        <v>-37613.63129625622</v>
      </c>
      <c r="G28" s="574">
        <v>54008.69391388209</v>
      </c>
      <c r="H28" s="575">
        <v>0</v>
      </c>
      <c r="I28" s="576">
        <f t="shared" si="0"/>
        <v>-86901.95162252344</v>
      </c>
      <c r="J28" s="574">
        <f t="shared" si="4"/>
        <v>30632.19819957181</v>
      </c>
      <c r="K28" s="575">
        <f t="shared" si="1"/>
        <v>0</v>
      </c>
      <c r="L28" s="583">
        <f t="shared" si="2"/>
        <v>-49288.32032626722</v>
      </c>
      <c r="M28" s="870"/>
    </row>
    <row r="29" spans="1:12" ht="15.75">
      <c r="A29" s="566">
        <v>13.14</v>
      </c>
      <c r="B29" s="567" t="s">
        <v>268</v>
      </c>
      <c r="C29" s="869"/>
      <c r="D29" s="574">
        <f>'MJS-11'!Y47</f>
        <v>-21705.010132</v>
      </c>
      <c r="E29" s="575">
        <f>'MJS-11'!Y49</f>
        <v>0</v>
      </c>
      <c r="F29" s="576">
        <f t="shared" si="3"/>
        <v>34924.1502389419</v>
      </c>
      <c r="G29" s="574">
        <v>-21705.010132</v>
      </c>
      <c r="H29" s="575">
        <v>0</v>
      </c>
      <c r="I29" s="576">
        <f t="shared" si="0"/>
        <v>34924.1502389419</v>
      </c>
      <c r="J29" s="574">
        <f t="shared" si="4"/>
        <v>0</v>
      </c>
      <c r="K29" s="575">
        <f t="shared" si="1"/>
        <v>0</v>
      </c>
      <c r="L29" s="583">
        <f t="shared" si="2"/>
        <v>0</v>
      </c>
    </row>
    <row r="30" spans="1:14" ht="15.75">
      <c r="A30" s="566">
        <v>13.15</v>
      </c>
      <c r="B30" s="567" t="s">
        <v>538</v>
      </c>
      <c r="C30" s="869" t="s">
        <v>302</v>
      </c>
      <c r="D30" s="574">
        <f>'MJS-11'!Z47</f>
        <v>-142723.75</v>
      </c>
      <c r="E30" s="575">
        <f>'MJS-11'!Z49</f>
        <v>0</v>
      </c>
      <c r="F30" s="576">
        <f t="shared" si="3"/>
        <v>229647.7014915767</v>
      </c>
      <c r="G30" s="574">
        <v>0</v>
      </c>
      <c r="H30" s="575">
        <v>0</v>
      </c>
      <c r="I30" s="576">
        <f t="shared" si="0"/>
        <v>0</v>
      </c>
      <c r="J30" s="574">
        <f t="shared" si="4"/>
        <v>142723.75</v>
      </c>
      <c r="K30" s="575">
        <f t="shared" si="1"/>
        <v>0</v>
      </c>
      <c r="L30" s="583">
        <f t="shared" si="2"/>
        <v>-229647.7014915767</v>
      </c>
      <c r="M30" s="870"/>
      <c r="N30" s="870"/>
    </row>
    <row r="31" spans="1:12" ht="15.75">
      <c r="A31" s="566">
        <v>13.16</v>
      </c>
      <c r="B31" s="567" t="s">
        <v>539</v>
      </c>
      <c r="C31" s="869"/>
      <c r="D31" s="574">
        <f>'MJS-11'!AA47</f>
        <v>-92594.59733333346</v>
      </c>
      <c r="E31" s="575">
        <f>'MJS-11'!AA49</f>
        <v>0</v>
      </c>
      <c r="F31" s="576">
        <f t="shared" si="3"/>
        <v>148988.07274989696</v>
      </c>
      <c r="G31" s="574">
        <v>-92594.59733333346</v>
      </c>
      <c r="H31" s="575">
        <v>0</v>
      </c>
      <c r="I31" s="576">
        <f t="shared" si="0"/>
        <v>148988.07274989696</v>
      </c>
      <c r="J31" s="574">
        <f t="shared" si="4"/>
        <v>0</v>
      </c>
      <c r="K31" s="575">
        <f t="shared" si="1"/>
        <v>0</v>
      </c>
      <c r="L31" s="583">
        <f t="shared" si="2"/>
        <v>0</v>
      </c>
    </row>
    <row r="32" spans="1:12" ht="15.75">
      <c r="A32" s="566">
        <v>13.17</v>
      </c>
      <c r="B32" s="567" t="s">
        <v>540</v>
      </c>
      <c r="C32" s="869"/>
      <c r="D32" s="574">
        <f>'MJS-11'!AB47</f>
        <v>35751.77227149185</v>
      </c>
      <c r="E32" s="575">
        <f>'MJS-11'!AB49</f>
        <v>0</v>
      </c>
      <c r="F32" s="576">
        <f t="shared" si="3"/>
        <v>-57525.90109493612</v>
      </c>
      <c r="G32" s="574">
        <v>35751.77227149185</v>
      </c>
      <c r="H32" s="575">
        <v>0</v>
      </c>
      <c r="I32" s="576">
        <f t="shared" si="0"/>
        <v>-57525.90109493612</v>
      </c>
      <c r="J32" s="574">
        <f t="shared" si="4"/>
        <v>0</v>
      </c>
      <c r="K32" s="575">
        <f t="shared" si="1"/>
        <v>0</v>
      </c>
      <c r="L32" s="583">
        <f t="shared" si="2"/>
        <v>0</v>
      </c>
    </row>
    <row r="33" spans="1:12" ht="15.75">
      <c r="A33" s="566">
        <v>13.18</v>
      </c>
      <c r="B33" s="567" t="s">
        <v>267</v>
      </c>
      <c r="C33" s="869"/>
      <c r="D33" s="574">
        <f>'MJS-11'!AC47</f>
        <v>-582788.1927473606</v>
      </c>
      <c r="E33" s="575">
        <f>'MJS-11'!AC49</f>
        <v>0</v>
      </c>
      <c r="F33" s="576">
        <f t="shared" si="3"/>
        <v>937727.3853921392</v>
      </c>
      <c r="G33" s="574">
        <v>-582788.1927473606</v>
      </c>
      <c r="H33" s="575">
        <v>0</v>
      </c>
      <c r="I33" s="576">
        <f t="shared" si="0"/>
        <v>937727.3853921392</v>
      </c>
      <c r="J33" s="574">
        <f t="shared" si="4"/>
        <v>0</v>
      </c>
      <c r="K33" s="575">
        <f t="shared" si="1"/>
        <v>0</v>
      </c>
      <c r="L33" s="583">
        <f t="shared" si="2"/>
        <v>0</v>
      </c>
    </row>
    <row r="34" spans="1:12" ht="15.75">
      <c r="A34" s="566">
        <v>13.19</v>
      </c>
      <c r="B34" s="567" t="s">
        <v>269</v>
      </c>
      <c r="C34" s="869"/>
      <c r="D34" s="574">
        <f>'MJS-11'!AD47</f>
        <v>-769422.5508982774</v>
      </c>
      <c r="E34" s="575">
        <f>'MJS-11'!AD49</f>
        <v>0</v>
      </c>
      <c r="F34" s="576">
        <f t="shared" si="3"/>
        <v>1238028.851467083</v>
      </c>
      <c r="G34" s="574">
        <v>-769422.5508982774</v>
      </c>
      <c r="H34" s="575">
        <v>0</v>
      </c>
      <c r="I34" s="576">
        <f t="shared" si="0"/>
        <v>1238028.851467083</v>
      </c>
      <c r="J34" s="574">
        <f t="shared" si="4"/>
        <v>0</v>
      </c>
      <c r="K34" s="575">
        <f t="shared" si="1"/>
        <v>0</v>
      </c>
      <c r="L34" s="583">
        <f t="shared" si="2"/>
        <v>0</v>
      </c>
    </row>
    <row r="35" spans="1:12" ht="15.75">
      <c r="A35" s="566">
        <v>13.2</v>
      </c>
      <c r="B35" s="567" t="s">
        <v>271</v>
      </c>
      <c r="C35" s="869"/>
      <c r="D35" s="574">
        <f>'MJS-11'!AE47</f>
        <v>-40613.40241337987</v>
      </c>
      <c r="E35" s="575">
        <f>'MJS-11'!AE49</f>
        <v>0</v>
      </c>
      <c r="F35" s="576">
        <f t="shared" si="3"/>
        <v>65348.44070440372</v>
      </c>
      <c r="G35" s="574">
        <v>-40613.40241337987</v>
      </c>
      <c r="H35" s="575">
        <v>0</v>
      </c>
      <c r="I35" s="576">
        <f t="shared" si="0"/>
        <v>65348.44070440372</v>
      </c>
      <c r="J35" s="574">
        <f t="shared" si="4"/>
        <v>0</v>
      </c>
      <c r="K35" s="575">
        <f t="shared" si="1"/>
        <v>0</v>
      </c>
      <c r="L35" s="583">
        <f t="shared" si="2"/>
        <v>0</v>
      </c>
    </row>
    <row r="36" spans="1:13" ht="15.75">
      <c r="A36" s="566">
        <v>13.21</v>
      </c>
      <c r="B36" s="567" t="s">
        <v>383</v>
      </c>
      <c r="C36" s="869" t="s">
        <v>302</v>
      </c>
      <c r="D36" s="574">
        <f>'MJS-11'!AF47</f>
        <v>-5476.44600006435</v>
      </c>
      <c r="E36" s="575">
        <f>'MJS-11'!AF49</f>
        <v>0</v>
      </c>
      <c r="F36" s="576">
        <f t="shared" si="3"/>
        <v>8811.800672680736</v>
      </c>
      <c r="G36" s="574">
        <v>33966.31364859105</v>
      </c>
      <c r="H36" s="575">
        <v>0</v>
      </c>
      <c r="I36" s="576">
        <f t="shared" si="0"/>
        <v>-54653.03327260463</v>
      </c>
      <c r="J36" s="574">
        <f t="shared" si="4"/>
        <v>39442.7596486554</v>
      </c>
      <c r="K36" s="575">
        <f t="shared" si="1"/>
        <v>0</v>
      </c>
      <c r="L36" s="583">
        <f t="shared" si="2"/>
        <v>-63464.83394528537</v>
      </c>
      <c r="M36" s="870"/>
    </row>
    <row r="37" spans="1:14" ht="15.75">
      <c r="A37" s="566">
        <v>13.22</v>
      </c>
      <c r="B37" s="567" t="s">
        <v>541</v>
      </c>
      <c r="C37" s="869" t="s">
        <v>302</v>
      </c>
      <c r="D37" s="574">
        <f>'MJS-11'!AG47</f>
        <v>0</v>
      </c>
      <c r="E37" s="575">
        <f>'MJS-11'!AG49</f>
        <v>-512747.9539215863</v>
      </c>
      <c r="F37" s="576">
        <f t="shared" si="3"/>
        <v>-68147.48587092798</v>
      </c>
      <c r="G37" s="574">
        <v>0</v>
      </c>
      <c r="H37" s="575">
        <v>-13011001.181170687</v>
      </c>
      <c r="I37" s="576">
        <f t="shared" si="0"/>
        <v>-1588979.6933994996</v>
      </c>
      <c r="J37" s="574">
        <f t="shared" si="4"/>
        <v>0</v>
      </c>
      <c r="K37" s="575">
        <f t="shared" si="1"/>
        <v>-12498253.2272491</v>
      </c>
      <c r="L37" s="583">
        <f t="shared" si="2"/>
        <v>-1520832.2075285716</v>
      </c>
      <c r="N37" s="870"/>
    </row>
    <row r="38" spans="1:12" ht="15.75">
      <c r="A38" s="568"/>
      <c r="B38" s="565" t="s">
        <v>384</v>
      </c>
      <c r="C38" s="868"/>
      <c r="D38" s="572">
        <f aca="true" t="shared" si="5" ref="D38:I38">SUM(D13:D37)</f>
        <v>16487650.532963175</v>
      </c>
      <c r="E38" s="462">
        <f t="shared" si="5"/>
        <v>-2942334.780618466</v>
      </c>
      <c r="F38" s="577">
        <f t="shared" si="5"/>
        <v>-26920284.13303875</v>
      </c>
      <c r="G38" s="572">
        <f t="shared" si="5"/>
        <v>19403364.132310234</v>
      </c>
      <c r="H38" s="462">
        <f t="shared" si="5"/>
        <v>-40004886.00786756</v>
      </c>
      <c r="I38" s="577">
        <f t="shared" si="5"/>
        <v>-36106349.22574358</v>
      </c>
      <c r="J38" s="580">
        <f t="shared" si="4"/>
        <v>2915713.5993470587</v>
      </c>
      <c r="K38" s="461">
        <f t="shared" si="1"/>
        <v>-37062551.22724909</v>
      </c>
      <c r="L38" s="584">
        <f t="shared" si="2"/>
        <v>-9186065.092704825</v>
      </c>
    </row>
    <row r="39" spans="1:12" ht="15.75">
      <c r="A39" s="568"/>
      <c r="B39" s="565" t="s">
        <v>385</v>
      </c>
      <c r="C39" s="868"/>
      <c r="D39" s="572">
        <f aca="true" t="shared" si="6" ref="D39:I39">+D38+D12</f>
        <v>119149110.05246843</v>
      </c>
      <c r="E39" s="462">
        <f t="shared" si="6"/>
        <v>1657792776.5082355</v>
      </c>
      <c r="F39" s="577">
        <f t="shared" si="6"/>
        <v>28616024.854964405</v>
      </c>
      <c r="G39" s="572">
        <f t="shared" si="6"/>
        <v>122064823.6518155</v>
      </c>
      <c r="H39" s="462">
        <f t="shared" si="6"/>
        <v>1620730225.04597</v>
      </c>
      <c r="I39" s="577">
        <f t="shared" si="6"/>
        <v>1526332.5703931302</v>
      </c>
      <c r="J39" s="580">
        <f t="shared" si="4"/>
        <v>2915713.59934707</v>
      </c>
      <c r="K39" s="461">
        <f t="shared" si="1"/>
        <v>-37062551.46226549</v>
      </c>
      <c r="L39" s="584">
        <f t="shared" si="2"/>
        <v>-27089692.284571275</v>
      </c>
    </row>
    <row r="40" spans="1:12" ht="10.5">
      <c r="A40" s="569"/>
      <c r="B40" s="570"/>
      <c r="C40" s="578"/>
      <c r="D40" s="569"/>
      <c r="E40" s="578"/>
      <c r="F40" s="579">
        <f>ROUND(F39-'MJS-14'!E25,0)</f>
        <v>0</v>
      </c>
      <c r="G40" s="569"/>
      <c r="H40" s="578"/>
      <c r="I40" s="570"/>
      <c r="J40" s="569"/>
      <c r="K40" s="578"/>
      <c r="L40" s="570"/>
    </row>
  </sheetData>
  <sheetProtection/>
  <autoFilter ref="A10:L40"/>
  <mergeCells count="3">
    <mergeCell ref="G8:I8"/>
    <mergeCell ref="D8:F8"/>
    <mergeCell ref="J8:L8"/>
  </mergeCells>
  <printOptions/>
  <pageMargins left="0.45" right="0.45" top="0.75" bottom="0.75" header="0.3" footer="0.3"/>
  <pageSetup fitToHeight="0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3"/>
  <sheetViews>
    <sheetView zoomScale="88" zoomScaleNormal="88" zoomScalePageLayoutView="0" workbookViewId="0" topLeftCell="A1">
      <pane xSplit="4" ySplit="12" topLeftCell="E13" activePane="bottomRight" state="frozen"/>
      <selection pane="topLeft" activeCell="B4" sqref="B4"/>
      <selection pane="topRight" activeCell="B4" sqref="B4"/>
      <selection pane="bottomLeft" activeCell="B4" sqref="B4"/>
      <selection pane="bottomRight" activeCell="E13" sqref="E13"/>
    </sheetView>
  </sheetViews>
  <sheetFormatPr defaultColWidth="10.66015625" defaultRowHeight="15" customHeight="1"/>
  <cols>
    <col min="1" max="1" width="5.5" style="285" customWidth="1"/>
    <col min="2" max="2" width="5.83203125" style="285" customWidth="1"/>
    <col min="3" max="3" width="2" style="285" customWidth="1"/>
    <col min="4" max="4" width="44.5" style="285" customWidth="1"/>
    <col min="5" max="6" width="21" style="285" bestFit="1" customWidth="1"/>
    <col min="7" max="7" width="18" style="285" bestFit="1" customWidth="1"/>
    <col min="8" max="8" width="19.16015625" style="285" customWidth="1"/>
    <col min="9" max="9" width="22.5" style="285" customWidth="1"/>
    <col min="10" max="10" width="5.5" style="285" customWidth="1"/>
    <col min="11" max="11" width="22.5" style="285" bestFit="1" customWidth="1"/>
    <col min="12" max="12" width="18.5" style="285" bestFit="1" customWidth="1"/>
    <col min="13" max="13" width="21.83203125" style="285" bestFit="1" customWidth="1"/>
    <col min="14" max="16384" width="10.66015625" style="285" customWidth="1"/>
  </cols>
  <sheetData>
    <row r="1" ht="15" customHeight="1">
      <c r="I1" s="218" t="str">
        <f>WUTC_Docket_No._UG_11____</f>
        <v>WUTC Docket No. UG-111049</v>
      </c>
    </row>
    <row r="2" ht="15" customHeight="1">
      <c r="I2" s="398" t="s">
        <v>554</v>
      </c>
    </row>
    <row r="4" spans="2:12" ht="15" customHeight="1">
      <c r="B4" s="280" t="s">
        <v>197</v>
      </c>
      <c r="C4" s="281"/>
      <c r="D4" s="281"/>
      <c r="E4" s="282"/>
      <c r="F4" s="282"/>
      <c r="G4" s="282"/>
      <c r="H4" s="283"/>
      <c r="I4" s="281"/>
      <c r="J4" s="284"/>
      <c r="K4" s="284"/>
      <c r="L4" s="284"/>
    </row>
    <row r="5" spans="2:12" ht="15" customHeight="1">
      <c r="B5" s="280" t="s">
        <v>198</v>
      </c>
      <c r="C5" s="281"/>
      <c r="D5" s="281"/>
      <c r="E5" s="286"/>
      <c r="F5" s="286"/>
      <c r="G5" s="286"/>
      <c r="H5" s="283"/>
      <c r="I5" s="281"/>
      <c r="J5" s="284"/>
      <c r="K5" s="284"/>
      <c r="L5" s="284"/>
    </row>
    <row r="6" spans="2:12" ht="15" customHeight="1">
      <c r="B6" s="287" t="s">
        <v>435</v>
      </c>
      <c r="C6" s="281"/>
      <c r="D6" s="281"/>
      <c r="E6" s="281"/>
      <c r="F6" s="281"/>
      <c r="G6" s="281"/>
      <c r="H6" s="283"/>
      <c r="I6" s="281"/>
      <c r="J6" s="284"/>
      <c r="K6" s="284"/>
      <c r="L6" s="284"/>
    </row>
    <row r="7" spans="2:12" ht="15" customHeight="1">
      <c r="B7" s="287" t="s">
        <v>199</v>
      </c>
      <c r="C7" s="287"/>
      <c r="D7" s="287"/>
      <c r="E7" s="287"/>
      <c r="F7" s="287"/>
      <c r="G7" s="287"/>
      <c r="H7" s="287"/>
      <c r="I7" s="281"/>
      <c r="J7" s="284"/>
      <c r="K7" s="284"/>
      <c r="L7" s="284"/>
    </row>
    <row r="8" spans="2:12" ht="15" customHeight="1">
      <c r="B8" s="288"/>
      <c r="C8" s="289"/>
      <c r="D8" s="289"/>
      <c r="E8" s="446" t="s">
        <v>598</v>
      </c>
      <c r="F8" s="446" t="s">
        <v>598</v>
      </c>
      <c r="G8" s="289"/>
      <c r="H8" s="289"/>
      <c r="I8" s="289"/>
      <c r="J8" s="284"/>
      <c r="K8" s="284"/>
      <c r="L8" s="284"/>
    </row>
    <row r="9" spans="2:12" ht="15" customHeight="1">
      <c r="B9" s="290"/>
      <c r="C9" s="291"/>
      <c r="D9" s="291"/>
      <c r="E9" s="292">
        <v>40543</v>
      </c>
      <c r="F9" s="293"/>
      <c r="G9" s="292" t="s">
        <v>515</v>
      </c>
      <c r="H9" s="293"/>
      <c r="I9" s="294"/>
      <c r="J9" s="284"/>
      <c r="K9" s="284"/>
      <c r="L9" s="284"/>
    </row>
    <row r="10" spans="2:12" ht="15" customHeight="1">
      <c r="B10" s="295"/>
      <c r="C10" s="296"/>
      <c r="D10" s="296"/>
      <c r="E10" s="297" t="s">
        <v>200</v>
      </c>
      <c r="F10" s="298" t="s">
        <v>199</v>
      </c>
      <c r="G10" s="297" t="s">
        <v>200</v>
      </c>
      <c r="H10" s="298" t="s">
        <v>199</v>
      </c>
      <c r="I10" s="299" t="s">
        <v>17</v>
      </c>
      <c r="J10" s="284"/>
      <c r="K10" s="284"/>
      <c r="L10" s="284"/>
    </row>
    <row r="11" spans="2:12" ht="15" customHeight="1">
      <c r="B11" s="300" t="s">
        <v>23</v>
      </c>
      <c r="C11" s="301"/>
      <c r="D11" s="296"/>
      <c r="E11" s="299" t="s">
        <v>55</v>
      </c>
      <c r="F11" s="302" t="s">
        <v>201</v>
      </c>
      <c r="G11" s="299" t="s">
        <v>55</v>
      </c>
      <c r="H11" s="302" t="s">
        <v>201</v>
      </c>
      <c r="I11" s="299" t="s">
        <v>17</v>
      </c>
      <c r="J11" s="284"/>
      <c r="K11" s="284"/>
      <c r="L11" s="284"/>
    </row>
    <row r="12" spans="2:12" ht="15" customHeight="1">
      <c r="B12" s="303" t="s">
        <v>38</v>
      </c>
      <c r="C12" s="304"/>
      <c r="D12" s="305"/>
      <c r="E12" s="306" t="s">
        <v>45</v>
      </c>
      <c r="F12" s="307">
        <f>'MJS-13'!D29</f>
        <v>1089556625</v>
      </c>
      <c r="G12" s="308" t="s">
        <v>45</v>
      </c>
      <c r="H12" s="307">
        <v>1090182856</v>
      </c>
      <c r="I12" s="306" t="s">
        <v>202</v>
      </c>
      <c r="J12" s="284"/>
      <c r="K12" s="284"/>
      <c r="L12" s="284"/>
    </row>
    <row r="13" spans="2:12" ht="15" customHeight="1">
      <c r="B13" s="295"/>
      <c r="C13" s="296"/>
      <c r="D13" s="296"/>
      <c r="E13" s="309"/>
      <c r="F13" s="296"/>
      <c r="G13" s="309"/>
      <c r="H13" s="296"/>
      <c r="I13" s="310"/>
      <c r="J13" s="284"/>
      <c r="K13" s="284"/>
      <c r="L13" s="284"/>
    </row>
    <row r="14" spans="2:12" ht="15" customHeight="1">
      <c r="B14" s="311">
        <v>1</v>
      </c>
      <c r="C14" s="301"/>
      <c r="D14" s="312" t="s">
        <v>0</v>
      </c>
      <c r="E14" s="313"/>
      <c r="F14" s="314"/>
      <c r="G14" s="315"/>
      <c r="H14" s="314"/>
      <c r="I14" s="315"/>
      <c r="J14" s="284"/>
      <c r="K14" s="284"/>
      <c r="L14" s="284"/>
    </row>
    <row r="15" spans="2:13" ht="15" customHeight="1">
      <c r="B15" s="311">
        <f aca="true" t="shared" si="0" ref="B15:B40">+B14+1</f>
        <v>2</v>
      </c>
      <c r="C15" s="301"/>
      <c r="D15" s="316" t="s">
        <v>1</v>
      </c>
      <c r="E15" s="929">
        <f>'MJS-11'!E16</f>
        <v>1039788253.1030885</v>
      </c>
      <c r="F15" s="931">
        <f>+E15/F$12</f>
        <v>0.9543223631016777</v>
      </c>
      <c r="G15" s="598">
        <v>1069319700.426975</v>
      </c>
      <c r="H15" s="318">
        <f>+G15/H$12</f>
        <v>0.9808627007311652</v>
      </c>
      <c r="I15" s="317">
        <f>(H15-F15)*F$12</f>
        <v>28917200.693944886</v>
      </c>
      <c r="J15" s="284"/>
      <c r="K15" s="594"/>
      <c r="L15" s="593"/>
      <c r="M15" s="426"/>
    </row>
    <row r="16" spans="2:13" ht="15" customHeight="1">
      <c r="B16" s="311">
        <f t="shared" si="0"/>
        <v>3</v>
      </c>
      <c r="C16" s="301"/>
      <c r="D16" s="319" t="s">
        <v>67</v>
      </c>
      <c r="E16" s="320">
        <f>'MJS-11'!E17</f>
        <v>0</v>
      </c>
      <c r="F16" s="596">
        <f>+E16/F$12</f>
        <v>0</v>
      </c>
      <c r="G16" s="599">
        <v>0</v>
      </c>
      <c r="H16" s="321">
        <f>+G16/H$12</f>
        <v>0</v>
      </c>
      <c r="I16" s="323">
        <f>(H16-F16)*F$12</f>
        <v>0</v>
      </c>
      <c r="J16" s="284"/>
      <c r="K16" s="594"/>
      <c r="L16" s="593"/>
      <c r="M16" s="426"/>
    </row>
    <row r="17" spans="2:13" ht="15" customHeight="1">
      <c r="B17" s="311">
        <f t="shared" si="0"/>
        <v>4</v>
      </c>
      <c r="C17" s="301"/>
      <c r="D17" s="316" t="s">
        <v>2</v>
      </c>
      <c r="E17" s="320">
        <f>'MJS-11'!E18</f>
        <v>14898824.004999999</v>
      </c>
      <c r="F17" s="597">
        <f>+E17/F$12</f>
        <v>0.013674208079823294</v>
      </c>
      <c r="G17" s="600">
        <v>15498860.465</v>
      </c>
      <c r="H17" s="324">
        <f>+G17/H$12</f>
        <v>0.014216753070092307</v>
      </c>
      <c r="I17" s="320">
        <f>(H17-F17)*F$12</f>
        <v>591133.488508164</v>
      </c>
      <c r="K17" s="594"/>
      <c r="L17" s="593"/>
      <c r="M17" s="426"/>
    </row>
    <row r="18" spans="2:13" ht="15" customHeight="1">
      <c r="B18" s="311">
        <f t="shared" si="0"/>
        <v>5</v>
      </c>
      <c r="C18" s="301"/>
      <c r="D18" s="316" t="s">
        <v>3</v>
      </c>
      <c r="E18" s="930">
        <f>SUM(E15:E17)</f>
        <v>1054687077.1080885</v>
      </c>
      <c r="F18" s="932">
        <f>+E18/F$12</f>
        <v>0.967996571181501</v>
      </c>
      <c r="G18" s="465">
        <f>SUM(G15:G17)</f>
        <v>1084818560.891975</v>
      </c>
      <c r="H18" s="326">
        <f>+G18/H$12</f>
        <v>0.9950794538012575</v>
      </c>
      <c r="I18" s="592">
        <f>SUM(I15:I17)</f>
        <v>29508334.18245305</v>
      </c>
      <c r="K18" s="594"/>
      <c r="L18" s="593"/>
      <c r="M18" s="426"/>
    </row>
    <row r="19" spans="2:13" ht="15" customHeight="1">
      <c r="B19" s="311">
        <f t="shared" si="0"/>
        <v>6</v>
      </c>
      <c r="C19" s="301"/>
      <c r="D19" s="296"/>
      <c r="E19" s="327"/>
      <c r="F19" s="328" t="s">
        <v>17</v>
      </c>
      <c r="G19" s="327"/>
      <c r="H19" s="329"/>
      <c r="I19" s="330"/>
      <c r="K19" s="594"/>
      <c r="M19" s="426"/>
    </row>
    <row r="20" spans="2:13" ht="15" customHeight="1">
      <c r="B20" s="311">
        <f t="shared" si="0"/>
        <v>7</v>
      </c>
      <c r="C20" s="301"/>
      <c r="D20" s="316" t="s">
        <v>4</v>
      </c>
      <c r="E20" s="327"/>
      <c r="F20" s="329"/>
      <c r="G20" s="327"/>
      <c r="H20" s="329"/>
      <c r="I20" s="330"/>
      <c r="K20" s="594"/>
      <c r="M20" s="426"/>
    </row>
    <row r="21" spans="2:13" ht="15" customHeight="1">
      <c r="B21" s="311">
        <f t="shared" si="0"/>
        <v>8</v>
      </c>
      <c r="C21" s="301"/>
      <c r="D21" s="296"/>
      <c r="E21" s="331"/>
      <c r="F21" s="329"/>
      <c r="G21" s="331"/>
      <c r="H21" s="329"/>
      <c r="I21" s="330"/>
      <c r="K21" s="594"/>
      <c r="M21" s="426"/>
    </row>
    <row r="22" spans="2:13" ht="15" customHeight="1">
      <c r="B22" s="311">
        <f t="shared" si="0"/>
        <v>9</v>
      </c>
      <c r="C22" s="301"/>
      <c r="D22" s="312" t="s">
        <v>203</v>
      </c>
      <c r="E22" s="327"/>
      <c r="F22" s="329"/>
      <c r="G22" s="327"/>
      <c r="H22" s="329"/>
      <c r="I22" s="330"/>
      <c r="K22" s="594"/>
      <c r="M22" s="426"/>
    </row>
    <row r="23" spans="2:13" ht="15" customHeight="1">
      <c r="B23" s="311">
        <f t="shared" si="0"/>
        <v>10</v>
      </c>
      <c r="C23" s="301"/>
      <c r="D23" s="316" t="s">
        <v>204</v>
      </c>
      <c r="E23" s="317">
        <v>0</v>
      </c>
      <c r="F23" s="318">
        <f>+E23/F$12</f>
        <v>0</v>
      </c>
      <c r="G23" s="317"/>
      <c r="H23" s="318">
        <f>+G23/H$12</f>
        <v>0</v>
      </c>
      <c r="I23" s="317">
        <f>(F23-H23)*F$12</f>
        <v>0</v>
      </c>
      <c r="K23" s="594"/>
      <c r="M23" s="426"/>
    </row>
    <row r="24" spans="2:13" ht="15" customHeight="1">
      <c r="B24" s="311">
        <f t="shared" si="0"/>
        <v>11</v>
      </c>
      <c r="C24" s="301"/>
      <c r="D24" s="316" t="s">
        <v>205</v>
      </c>
      <c r="E24" s="933">
        <f>'MJS-11'!E26</f>
        <v>600923272.2087951</v>
      </c>
      <c r="F24" s="934">
        <f>+E24/F$12</f>
        <v>0.5515300980422152</v>
      </c>
      <c r="G24" s="320">
        <v>629304267.6674938</v>
      </c>
      <c r="H24" s="321">
        <f>+G24/H$12</f>
        <v>0.5772465272261572</v>
      </c>
      <c r="I24" s="320">
        <f>(F24-H24)*F$12</f>
        <v>-28019505.788707364</v>
      </c>
      <c r="K24" s="594"/>
      <c r="L24" s="595"/>
      <c r="M24" s="426"/>
    </row>
    <row r="25" spans="2:13" ht="15" customHeight="1">
      <c r="B25" s="311">
        <f t="shared" si="0"/>
        <v>12</v>
      </c>
      <c r="C25" s="301"/>
      <c r="D25" s="316" t="s">
        <v>206</v>
      </c>
      <c r="E25" s="933">
        <v>0</v>
      </c>
      <c r="F25" s="934">
        <f>+E25/F$12</f>
        <v>0</v>
      </c>
      <c r="G25" s="320"/>
      <c r="H25" s="321">
        <f>+G25/H$12</f>
        <v>0</v>
      </c>
      <c r="I25" s="322">
        <f>(F25-H25)*F$12</f>
        <v>0</v>
      </c>
      <c r="K25" s="594"/>
      <c r="L25" s="595"/>
      <c r="M25" s="426"/>
    </row>
    <row r="26" spans="2:13" ht="15" customHeight="1">
      <c r="B26" s="311">
        <f t="shared" si="0"/>
        <v>13</v>
      </c>
      <c r="C26" s="301"/>
      <c r="D26" s="296"/>
      <c r="E26" s="933">
        <v>0</v>
      </c>
      <c r="F26" s="935">
        <f>+E26/F$12</f>
        <v>0</v>
      </c>
      <c r="G26" s="320">
        <v>0</v>
      </c>
      <c r="H26" s="324">
        <f>+G26/H$12</f>
        <v>0</v>
      </c>
      <c r="I26" s="325">
        <f>(F26-H26)*F$12</f>
        <v>0</v>
      </c>
      <c r="K26" s="594"/>
      <c r="L26" s="595"/>
      <c r="M26" s="426"/>
    </row>
    <row r="27" spans="2:13" ht="15" customHeight="1">
      <c r="B27" s="311">
        <f t="shared" si="0"/>
        <v>14</v>
      </c>
      <c r="C27" s="301"/>
      <c r="D27" s="316" t="s">
        <v>5</v>
      </c>
      <c r="E27" s="936">
        <f>SUM(E23:E26)</f>
        <v>600923272.2087951</v>
      </c>
      <c r="F27" s="932">
        <f>+E27/F$12</f>
        <v>0.5515300980422152</v>
      </c>
      <c r="G27" s="332">
        <f>SUM(G23:G26)</f>
        <v>629304267.6674938</v>
      </c>
      <c r="H27" s="326">
        <f>+G27/H$12</f>
        <v>0.5772465272261572</v>
      </c>
      <c r="I27" s="332">
        <f>SUM(I23:I26)</f>
        <v>-28019505.788707364</v>
      </c>
      <c r="K27" s="594"/>
      <c r="L27" s="595"/>
      <c r="M27" s="426"/>
    </row>
    <row r="28" spans="2:13" ht="15" customHeight="1">
      <c r="B28" s="311">
        <f t="shared" si="0"/>
        <v>15</v>
      </c>
      <c r="C28" s="301"/>
      <c r="D28" s="316"/>
      <c r="E28" s="937"/>
      <c r="F28" s="938"/>
      <c r="G28" s="313"/>
      <c r="H28" s="333"/>
      <c r="I28" s="334"/>
      <c r="K28" s="594"/>
      <c r="L28" s="595"/>
      <c r="M28" s="426"/>
    </row>
    <row r="29" spans="2:13" ht="15" customHeight="1">
      <c r="B29" s="311">
        <f t="shared" si="0"/>
        <v>16</v>
      </c>
      <c r="C29" s="301"/>
      <c r="D29" s="316" t="s">
        <v>91</v>
      </c>
      <c r="E29" s="929">
        <f>'MJS-11'!E30</f>
        <v>1959232.4173895554</v>
      </c>
      <c r="F29" s="939">
        <f aca="true" t="shared" si="1" ref="F29:F45">+E29/F$12</f>
        <v>0.0017981923770043209</v>
      </c>
      <c r="G29" s="317">
        <v>1987784.130933706</v>
      </c>
      <c r="H29" s="318">
        <f aca="true" t="shared" si="2" ref="H29:H38">+G29/H$12</f>
        <v>0.0018233492849328993</v>
      </c>
      <c r="I29" s="320">
        <f aca="true" t="shared" si="3" ref="I29:I37">(F29-H29)*F$12</f>
        <v>-27409.875698097596</v>
      </c>
      <c r="K29" s="594"/>
      <c r="L29" s="595"/>
      <c r="M29" s="426"/>
    </row>
    <row r="30" spans="2:13" ht="15" customHeight="1">
      <c r="B30" s="311">
        <f t="shared" si="0"/>
        <v>17</v>
      </c>
      <c r="C30" s="301"/>
      <c r="D30" s="316" t="s">
        <v>6</v>
      </c>
      <c r="E30" s="933">
        <f>'MJS-11'!E31</f>
        <v>228437.77120796213</v>
      </c>
      <c r="F30" s="934">
        <f t="shared" si="1"/>
        <v>0.000209661219955376</v>
      </c>
      <c r="G30" s="320">
        <v>818645.8012274199</v>
      </c>
      <c r="H30" s="321">
        <f t="shared" si="2"/>
        <v>0.0007509252202250921</v>
      </c>
      <c r="I30" s="320">
        <f t="shared" si="3"/>
        <v>-589737.777367871</v>
      </c>
      <c r="K30" s="594"/>
      <c r="L30" s="595"/>
      <c r="M30" s="426"/>
    </row>
    <row r="31" spans="2:13" ht="15" customHeight="1">
      <c r="B31" s="311">
        <f t="shared" si="0"/>
        <v>18</v>
      </c>
      <c r="C31" s="301"/>
      <c r="D31" s="316" t="s">
        <v>7</v>
      </c>
      <c r="E31" s="933">
        <f>'MJS-11'!E32</f>
        <v>49555128.47408747</v>
      </c>
      <c r="F31" s="934">
        <f t="shared" si="1"/>
        <v>0.045481921120058784</v>
      </c>
      <c r="G31" s="320">
        <v>49209343.913195275</v>
      </c>
      <c r="H31" s="321">
        <f t="shared" si="2"/>
        <v>0.045138614721708</v>
      </c>
      <c r="I31" s="320">
        <f t="shared" si="3"/>
        <v>374051.7607279863</v>
      </c>
      <c r="K31" s="594"/>
      <c r="L31" s="595"/>
      <c r="M31" s="426"/>
    </row>
    <row r="32" spans="2:13" ht="15" customHeight="1">
      <c r="B32" s="311">
        <f t="shared" si="0"/>
        <v>19</v>
      </c>
      <c r="C32" s="335"/>
      <c r="D32" s="336" t="s">
        <v>97</v>
      </c>
      <c r="E32" s="933">
        <f>'MJS-11'!E33</f>
        <v>30522431.228245597</v>
      </c>
      <c r="F32" s="934">
        <f t="shared" si="1"/>
        <v>0.028013625476551618</v>
      </c>
      <c r="G32" s="320">
        <v>30098013.47262606</v>
      </c>
      <c r="H32" s="321">
        <f t="shared" si="2"/>
        <v>0.027608224901883853</v>
      </c>
      <c r="I32" s="320">
        <f t="shared" si="3"/>
        <v>441706.88190807047</v>
      </c>
      <c r="K32" s="594"/>
      <c r="L32" s="595"/>
      <c r="M32" s="426"/>
    </row>
    <row r="33" spans="2:13" ht="15" customHeight="1">
      <c r="B33" s="311">
        <f t="shared" si="0"/>
        <v>20</v>
      </c>
      <c r="C33" s="301"/>
      <c r="D33" s="316" t="s">
        <v>8</v>
      </c>
      <c r="E33" s="933">
        <f>'MJS-11'!E34</f>
        <v>1135885.113989492</v>
      </c>
      <c r="F33" s="934">
        <f t="shared" si="1"/>
        <v>0.0010425204968025337</v>
      </c>
      <c r="G33" s="320">
        <v>1242744.5595942228</v>
      </c>
      <c r="H33" s="321">
        <f t="shared" si="2"/>
        <v>0.0011399413894234113</v>
      </c>
      <c r="I33" s="320">
        <f t="shared" si="3"/>
        <v>-106145.57896849078</v>
      </c>
      <c r="K33" s="594"/>
      <c r="L33" s="595"/>
      <c r="M33" s="426"/>
    </row>
    <row r="34" spans="2:13" ht="15" customHeight="1">
      <c r="B34" s="311">
        <f t="shared" si="0"/>
        <v>21</v>
      </c>
      <c r="C34" s="301"/>
      <c r="D34" s="316" t="s">
        <v>9</v>
      </c>
      <c r="E34" s="320">
        <f>'MJS-11'!E35</f>
        <v>-0.3700000997632742</v>
      </c>
      <c r="F34" s="321">
        <f t="shared" si="1"/>
        <v>-3.395877655860926E-10</v>
      </c>
      <c r="G34" s="320">
        <v>-1.0058283805847168E-07</v>
      </c>
      <c r="H34" s="321">
        <f t="shared" si="2"/>
        <v>-9.226235535157937E-17</v>
      </c>
      <c r="I34" s="320">
        <f t="shared" si="3"/>
        <v>-0.3699999992382137</v>
      </c>
      <c r="K34" s="594"/>
      <c r="L34" s="595"/>
      <c r="M34" s="426"/>
    </row>
    <row r="35" spans="2:13" ht="15" customHeight="1">
      <c r="B35" s="311">
        <f t="shared" si="0"/>
        <v>22</v>
      </c>
      <c r="C35" s="301"/>
      <c r="D35" s="316" t="s">
        <v>10</v>
      </c>
      <c r="E35" s="933">
        <f>'MJS-11'!E36</f>
        <v>43968367.35627123</v>
      </c>
      <c r="F35" s="934">
        <f t="shared" si="1"/>
        <v>0.040354366489461925</v>
      </c>
      <c r="G35" s="320">
        <v>44646847.44644824</v>
      </c>
      <c r="H35" s="321">
        <f t="shared" si="2"/>
        <v>0.040953540225593346</v>
      </c>
      <c r="I35" s="320">
        <f t="shared" si="3"/>
        <v>-652833.7137279918</v>
      </c>
      <c r="K35" s="594"/>
      <c r="L35" s="595"/>
      <c r="M35" s="426"/>
    </row>
    <row r="36" spans="2:13" ht="15" customHeight="1">
      <c r="B36" s="311">
        <f t="shared" si="0"/>
        <v>23</v>
      </c>
      <c r="C36" s="301"/>
      <c r="D36" s="316" t="s">
        <v>99</v>
      </c>
      <c r="E36" s="320">
        <f>'MJS-11'!E39</f>
        <v>0</v>
      </c>
      <c r="F36" s="321">
        <f t="shared" si="1"/>
        <v>0</v>
      </c>
      <c r="G36" s="320">
        <v>0</v>
      </c>
      <c r="H36" s="321">
        <f t="shared" si="2"/>
        <v>0</v>
      </c>
      <c r="I36" s="320">
        <f t="shared" si="3"/>
        <v>0</v>
      </c>
      <c r="K36" s="594"/>
      <c r="L36" s="595"/>
      <c r="M36" s="426"/>
    </row>
    <row r="37" spans="2:13" ht="15" customHeight="1">
      <c r="B37" s="311">
        <f t="shared" si="0"/>
        <v>24</v>
      </c>
      <c r="C37" s="301"/>
      <c r="D37" s="316" t="s">
        <v>11</v>
      </c>
      <c r="E37" s="320">
        <f>'MJS-11'!E40</f>
        <v>-45370.27333333314</v>
      </c>
      <c r="F37" s="321">
        <f t="shared" si="1"/>
        <v>-4.164104213797345E-05</v>
      </c>
      <c r="G37" s="320">
        <v>-150140.93999999977</v>
      </c>
      <c r="H37" s="321">
        <f t="shared" si="2"/>
        <v>-0.00013772087790013803</v>
      </c>
      <c r="I37" s="320">
        <f t="shared" si="3"/>
        <v>104684.42158357834</v>
      </c>
      <c r="K37" s="594"/>
      <c r="L37" s="595"/>
      <c r="M37" s="426"/>
    </row>
    <row r="38" spans="1:13" ht="15" customHeight="1">
      <c r="A38" s="602"/>
      <c r="B38" s="603">
        <f t="shared" si="0"/>
        <v>25</v>
      </c>
      <c r="C38" s="604"/>
      <c r="D38" s="605" t="s">
        <v>436</v>
      </c>
      <c r="E38" s="606">
        <f>'MJS-11'!$AI$41</f>
        <v>0</v>
      </c>
      <c r="F38" s="607">
        <f t="shared" si="1"/>
        <v>0</v>
      </c>
      <c r="G38" s="606">
        <v>-5398131.484424</v>
      </c>
      <c r="H38" s="608">
        <f t="shared" si="2"/>
        <v>-0.004951583539141621</v>
      </c>
      <c r="I38" s="606">
        <f>(F38-H38)*F$12</f>
        <v>5395030.6493127</v>
      </c>
      <c r="J38" s="609"/>
      <c r="K38" s="594"/>
      <c r="L38" s="595"/>
      <c r="M38" s="426"/>
    </row>
    <row r="39" spans="2:13" ht="15" customHeight="1">
      <c r="B39" s="311">
        <f t="shared" si="0"/>
        <v>26</v>
      </c>
      <c r="C39" s="301"/>
      <c r="D39" s="316" t="s">
        <v>207</v>
      </c>
      <c r="E39" s="933">
        <f>SUM(E29:E38)</f>
        <v>127324111.71785788</v>
      </c>
      <c r="F39" s="934">
        <f t="shared" si="1"/>
        <v>0.11685864579810883</v>
      </c>
      <c r="G39" s="320">
        <f>SUM(G29:G38)</f>
        <v>122455106.89960083</v>
      </c>
      <c r="H39" s="321">
        <f aca="true" t="shared" si="4" ref="H39:H45">+G39/H$12</f>
        <v>0.11232529132672477</v>
      </c>
      <c r="I39" s="320">
        <f aca="true" t="shared" si="5" ref="I39:I44">(F39-H39)*F$12</f>
        <v>4939346.397769876</v>
      </c>
      <c r="K39" s="594"/>
      <c r="L39" s="595"/>
      <c r="M39" s="426"/>
    </row>
    <row r="40" spans="2:13" ht="15" customHeight="1">
      <c r="B40" s="311">
        <f t="shared" si="0"/>
        <v>27</v>
      </c>
      <c r="C40" s="301"/>
      <c r="D40" s="316" t="s">
        <v>155</v>
      </c>
      <c r="E40" s="320">
        <f>'MJS-11'!E37</f>
        <v>95831671.45295717</v>
      </c>
      <c r="F40" s="321">
        <f t="shared" si="1"/>
        <v>0.0879547416390196</v>
      </c>
      <c r="G40" s="320">
        <v>92000675.38745709</v>
      </c>
      <c r="H40" s="321">
        <f t="shared" si="4"/>
        <v>0.08439013224351886</v>
      </c>
      <c r="I40" s="320">
        <f t="shared" si="5"/>
        <v>3883843.782405076</v>
      </c>
      <c r="K40" s="594"/>
      <c r="L40" s="595"/>
      <c r="M40" s="426"/>
    </row>
    <row r="41" spans="2:13" ht="15" customHeight="1">
      <c r="B41" s="311">
        <f>+B39+1</f>
        <v>27</v>
      </c>
      <c r="C41" s="301"/>
      <c r="D41" s="316" t="s">
        <v>46</v>
      </c>
      <c r="E41" s="320">
        <f>'MJS-11'!E38</f>
        <v>12778120.276430989</v>
      </c>
      <c r="F41" s="321">
        <f t="shared" si="1"/>
        <v>0.01172781660285989</v>
      </c>
      <c r="G41" s="320">
        <v>15432434.761570001</v>
      </c>
      <c r="H41" s="321">
        <f t="shared" si="4"/>
        <v>0.014155822279386497</v>
      </c>
      <c r="I41" s="320">
        <f t="shared" si="5"/>
        <v>-2645449.6703971704</v>
      </c>
      <c r="K41" s="594"/>
      <c r="L41" s="595"/>
      <c r="M41" s="426"/>
    </row>
    <row r="42" spans="2:13" ht="15" customHeight="1">
      <c r="B42" s="311">
        <f aca="true" t="shared" si="6" ref="B42:B51">+B41+1</f>
        <v>28</v>
      </c>
      <c r="C42" s="301"/>
      <c r="D42" s="316" t="s">
        <v>208</v>
      </c>
      <c r="E42" s="933">
        <f>'MJS-11'!E42</f>
        <v>60967023.07851369</v>
      </c>
      <c r="F42" s="940">
        <f t="shared" si="1"/>
        <v>0.05595580961982007</v>
      </c>
      <c r="G42" s="599">
        <v>57079567.11880358</v>
      </c>
      <c r="H42" s="321">
        <f t="shared" si="4"/>
        <v>0.052357791910464226</v>
      </c>
      <c r="I42" s="320">
        <f t="shared" si="5"/>
        <v>3920244.0320959873</v>
      </c>
      <c r="K42" s="594"/>
      <c r="L42" s="595"/>
      <c r="M42" s="426"/>
    </row>
    <row r="43" spans="2:13" ht="15" customHeight="1">
      <c r="B43" s="311">
        <f t="shared" si="6"/>
        <v>29</v>
      </c>
      <c r="C43" s="301"/>
      <c r="D43" s="316" t="s">
        <v>194</v>
      </c>
      <c r="E43" s="933">
        <f>'MJS-11'!E43</f>
        <v>-4899268.780719537</v>
      </c>
      <c r="F43" s="934">
        <f t="shared" si="1"/>
        <v>-0.004496571053128641</v>
      </c>
      <c r="G43" s="320">
        <v>17006472.744521156</v>
      </c>
      <c r="H43" s="321">
        <f t="shared" si="4"/>
        <v>0.015599651609748993</v>
      </c>
      <c r="I43" s="320">
        <f t="shared" si="5"/>
        <v>-21895972.53981347</v>
      </c>
      <c r="K43" s="594"/>
      <c r="L43" s="595"/>
      <c r="M43" s="426"/>
    </row>
    <row r="44" spans="2:13" ht="15" customHeight="1">
      <c r="B44" s="311">
        <f t="shared" si="6"/>
        <v>30</v>
      </c>
      <c r="C44" s="301"/>
      <c r="D44" s="296" t="s">
        <v>12</v>
      </c>
      <c r="E44" s="337">
        <f>'MJS-11'!E44</f>
        <v>42613037.101785</v>
      </c>
      <c r="F44" s="324">
        <f t="shared" si="1"/>
        <v>0.0391104382498569</v>
      </c>
      <c r="G44" s="337">
        <v>20661437.480400003</v>
      </c>
      <c r="H44" s="324">
        <f t="shared" si="4"/>
        <v>0.018952267839001866</v>
      </c>
      <c r="I44" s="337">
        <f t="shared" si="5"/>
        <v>21963468.119026076</v>
      </c>
      <c r="K44" s="594"/>
      <c r="L44" s="595"/>
      <c r="M44" s="426"/>
    </row>
    <row r="45" spans="2:13" ht="15" customHeight="1">
      <c r="B45" s="311">
        <f t="shared" si="6"/>
        <v>31</v>
      </c>
      <c r="C45" s="301"/>
      <c r="D45" s="316" t="s">
        <v>13</v>
      </c>
      <c r="E45" s="936">
        <f>SUM(E39:E44)+E27</f>
        <v>935537967.0556203</v>
      </c>
      <c r="F45" s="932">
        <f t="shared" si="1"/>
        <v>0.8586409788987519</v>
      </c>
      <c r="G45" s="332">
        <f>SUM(G39:G44)+G27</f>
        <v>953939962.0598465</v>
      </c>
      <c r="H45" s="326">
        <f t="shared" si="4"/>
        <v>0.8750274844350024</v>
      </c>
      <c r="I45" s="332">
        <f>SUM(I39:I44)+I27</f>
        <v>-17854025.667620987</v>
      </c>
      <c r="K45" s="594"/>
      <c r="L45" s="595"/>
      <c r="M45" s="426"/>
    </row>
    <row r="46" spans="2:13" ht="15" customHeight="1">
      <c r="B46" s="311">
        <f t="shared" si="6"/>
        <v>32</v>
      </c>
      <c r="C46" s="301"/>
      <c r="D46" s="296"/>
      <c r="E46" s="338"/>
      <c r="F46" s="333"/>
      <c r="G46" s="338"/>
      <c r="H46" s="333"/>
      <c r="I46" s="334"/>
      <c r="K46" s="594"/>
      <c r="L46" s="595"/>
      <c r="M46" s="426"/>
    </row>
    <row r="47" spans="2:13" ht="15" customHeight="1">
      <c r="B47" s="311">
        <f t="shared" si="6"/>
        <v>33</v>
      </c>
      <c r="C47" s="301"/>
      <c r="D47" s="296" t="s">
        <v>14</v>
      </c>
      <c r="E47" s="929">
        <f>E18-E45</f>
        <v>119149110.05246818</v>
      </c>
      <c r="F47" s="941">
        <f>+E47/F$12</f>
        <v>0.10935559228274912</v>
      </c>
      <c r="G47" s="317">
        <f>G18-G45</f>
        <v>130878598.8321284</v>
      </c>
      <c r="H47" s="339">
        <f>+G47/H$12</f>
        <v>0.12005196936625502</v>
      </c>
      <c r="I47" s="317">
        <f>I18+I45</f>
        <v>11654308.514832065</v>
      </c>
      <c r="K47" s="594"/>
      <c r="L47" s="595"/>
      <c r="M47" s="426"/>
    </row>
    <row r="48" spans="2:13" ht="15" customHeight="1">
      <c r="B48" s="311">
        <f t="shared" si="6"/>
        <v>34</v>
      </c>
      <c r="C48" s="301"/>
      <c r="D48" s="316"/>
      <c r="E48" s="341"/>
      <c r="F48" s="342"/>
      <c r="G48" s="341"/>
      <c r="H48" s="342"/>
      <c r="I48" s="343"/>
      <c r="K48" s="594"/>
      <c r="L48" s="595"/>
      <c r="M48" s="426"/>
    </row>
    <row r="49" spans="2:13" ht="15" customHeight="1">
      <c r="B49" s="311">
        <f t="shared" si="6"/>
        <v>35</v>
      </c>
      <c r="C49" s="301"/>
      <c r="D49" s="296" t="s">
        <v>103</v>
      </c>
      <c r="E49" s="942">
        <f>'MJS-11'!$AI$49</f>
        <v>1657792776.5082355</v>
      </c>
      <c r="F49" s="941">
        <f>+E49/F$12</f>
        <v>1.5215297107740824</v>
      </c>
      <c r="G49" s="338">
        <v>1615785170.9146698</v>
      </c>
      <c r="H49" s="339">
        <f>+G49/H$12</f>
        <v>1.4821230787311792</v>
      </c>
      <c r="I49" s="344"/>
      <c r="K49" s="594"/>
      <c r="L49" s="595"/>
      <c r="M49" s="426"/>
    </row>
    <row r="50" spans="2:13" ht="15" customHeight="1">
      <c r="B50" s="311">
        <f t="shared" si="6"/>
        <v>36</v>
      </c>
      <c r="C50" s="301"/>
      <c r="D50" s="296" t="s">
        <v>16</v>
      </c>
      <c r="E50" s="943">
        <f>'MJS-14'!$J$18</f>
        <v>0.0826</v>
      </c>
      <c r="F50" s="944"/>
      <c r="G50" s="345">
        <v>0.081</v>
      </c>
      <c r="H50" s="346"/>
      <c r="I50" s="347" t="s">
        <v>17</v>
      </c>
      <c r="K50" s="594"/>
      <c r="L50" s="595"/>
      <c r="M50" s="426"/>
    </row>
    <row r="51" spans="2:13" ht="15" customHeight="1">
      <c r="B51" s="311">
        <f t="shared" si="6"/>
        <v>37</v>
      </c>
      <c r="C51" s="301"/>
      <c r="D51" s="296" t="s">
        <v>209</v>
      </c>
      <c r="E51" s="945">
        <f>+E50*E49+2</f>
        <v>136933685.33958027</v>
      </c>
      <c r="F51" s="941">
        <f>+E51/F$12</f>
        <v>0.12567835594554827</v>
      </c>
      <c r="G51" s="348">
        <f>+G50*G49</f>
        <v>130878598.84408826</v>
      </c>
      <c r="H51" s="339">
        <f>+G51/H$12</f>
        <v>0.12005196937722552</v>
      </c>
      <c r="I51" s="337">
        <f>(F51-H51)*F12</f>
        <v>6130266.760327064</v>
      </c>
      <c r="K51" s="594"/>
      <c r="L51" s="595"/>
      <c r="M51" s="426"/>
    </row>
    <row r="52" spans="2:13" ht="15" customHeight="1">
      <c r="B52" s="349">
        <v>38</v>
      </c>
      <c r="C52" s="305"/>
      <c r="D52" s="305" t="s">
        <v>210</v>
      </c>
      <c r="E52" s="946">
        <f>E51-E47</f>
        <v>17784575.287112087</v>
      </c>
      <c r="F52" s="947"/>
      <c r="G52" s="466">
        <f>G47-G51</f>
        <v>-0.011959850788116455</v>
      </c>
      <c r="H52" s="305"/>
      <c r="I52" s="466">
        <f>+I47+I51</f>
        <v>17784575.275159128</v>
      </c>
      <c r="K52" s="594"/>
      <c r="L52" s="595"/>
      <c r="M52" s="426"/>
    </row>
    <row r="53" spans="2:9" ht="15" customHeight="1">
      <c r="B53" s="296"/>
      <c r="C53" s="296"/>
      <c r="D53" s="296"/>
      <c r="E53" s="340"/>
      <c r="F53" s="318"/>
      <c r="G53" s="340"/>
      <c r="H53" s="318"/>
      <c r="I53" s="333"/>
    </row>
  </sheetData>
  <sheetProtection/>
  <printOptions horizontalCentered="1"/>
  <pageMargins left="0.63" right="0.5" top="0.5" bottom="0.5" header="0.25" footer="0.25"/>
  <pageSetup fitToHeight="1" fitToWidth="1" horizontalDpi="600" verticalDpi="600" orientation="portrait" scale="71" r:id="rId2"/>
  <headerFooter alignWithMargins="0">
    <oddFooter>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pane xSplit="3" ySplit="10" topLeftCell="G11" activePane="bottomRight" state="frozen"/>
      <selection pane="topLeft" activeCell="B4" sqref="B4"/>
      <selection pane="topRight" activeCell="B4" sqref="B4"/>
      <selection pane="bottomLeft" activeCell="B4" sqref="B4"/>
      <selection pane="bottomRight" activeCell="T19" sqref="T19"/>
    </sheetView>
  </sheetViews>
  <sheetFormatPr defaultColWidth="9.33203125" defaultRowHeight="10.5"/>
  <cols>
    <col min="1" max="1" width="2.83203125" style="471" customWidth="1"/>
    <col min="2" max="2" width="5.16015625" style="471" customWidth="1"/>
    <col min="3" max="3" width="45.66015625" style="471" customWidth="1"/>
    <col min="4" max="4" width="17.66015625" style="482" bestFit="1" customWidth="1"/>
    <col min="5" max="5" width="15.16015625" style="471" bestFit="1" customWidth="1"/>
    <col min="6" max="6" width="15.66015625" style="471" bestFit="1" customWidth="1"/>
    <col min="7" max="7" width="15.16015625" style="471" bestFit="1" customWidth="1"/>
    <col min="8" max="8" width="14" style="471" bestFit="1" customWidth="1"/>
    <col min="9" max="9" width="14.33203125" style="471" bestFit="1" customWidth="1"/>
    <col min="10" max="10" width="14.5" style="471" bestFit="1" customWidth="1"/>
    <col min="11" max="11" width="15.83203125" style="471" bestFit="1" customWidth="1"/>
    <col min="12" max="12" width="15.83203125" style="471" customWidth="1"/>
    <col min="13" max="13" width="15.33203125" style="482" bestFit="1" customWidth="1"/>
    <col min="14" max="14" width="15.16015625" style="482" customWidth="1"/>
    <col min="15" max="15" width="15.16015625" style="471" bestFit="1" customWidth="1"/>
    <col min="16" max="16" width="15.16015625" style="482" bestFit="1" customWidth="1"/>
    <col min="17" max="17" width="14.5" style="471" bestFit="1" customWidth="1"/>
    <col min="18" max="18" width="14" style="482" bestFit="1" customWidth="1"/>
    <col min="19" max="19" width="15.16015625" style="482" customWidth="1"/>
    <col min="20" max="20" width="16.5" style="482" bestFit="1" customWidth="1"/>
    <col min="21" max="21" width="17.66015625" style="471" bestFit="1" customWidth="1"/>
    <col min="22" max="22" width="15.16015625" style="471" bestFit="1" customWidth="1"/>
    <col min="23" max="23" width="18.33203125" style="481" bestFit="1" customWidth="1"/>
    <col min="24" max="24" width="2.33203125" style="481" customWidth="1"/>
    <col min="25" max="25" width="2.16015625" style="481" customWidth="1"/>
    <col min="26" max="26" width="17.33203125" style="481" bestFit="1" customWidth="1"/>
    <col min="27" max="27" width="17.33203125" style="481" customWidth="1"/>
    <col min="28" max="28" width="15.66015625" style="481" bestFit="1" customWidth="1"/>
    <col min="29" max="29" width="12.83203125" style="481" customWidth="1"/>
    <col min="30" max="30" width="12.33203125" style="471" bestFit="1" customWidth="1"/>
    <col min="31" max="31" width="12.33203125" style="472" bestFit="1" customWidth="1"/>
    <col min="32" max="32" width="17.83203125" style="471" bestFit="1" customWidth="1"/>
    <col min="33" max="16384" width="9.33203125" style="471" customWidth="1"/>
  </cols>
  <sheetData>
    <row r="1" spans="1:29" ht="12.75">
      <c r="A1" s="467"/>
      <c r="B1" s="468" t="s">
        <v>278</v>
      </c>
      <c r="C1" s="467"/>
      <c r="D1" s="469"/>
      <c r="E1" s="467"/>
      <c r="F1" s="467"/>
      <c r="G1" s="467"/>
      <c r="H1" s="467"/>
      <c r="I1" s="467"/>
      <c r="J1" s="467"/>
      <c r="K1" s="467"/>
      <c r="L1" s="467"/>
      <c r="M1" s="469"/>
      <c r="N1" s="469"/>
      <c r="O1" s="467"/>
      <c r="P1" s="469"/>
      <c r="Q1" s="467"/>
      <c r="R1" s="469"/>
      <c r="S1" s="469"/>
      <c r="T1" s="469"/>
      <c r="U1" s="467"/>
      <c r="V1" s="467"/>
      <c r="W1" s="470"/>
      <c r="X1" s="470"/>
      <c r="Y1" s="470"/>
      <c r="Z1" s="470"/>
      <c r="AA1" s="470"/>
      <c r="AB1" s="470"/>
      <c r="AC1" s="470"/>
    </row>
    <row r="2" spans="1:29" ht="12.75">
      <c r="A2" s="467"/>
      <c r="B2" s="960" t="s">
        <v>566</v>
      </c>
      <c r="C2" s="960"/>
      <c r="D2" s="469"/>
      <c r="E2" s="467"/>
      <c r="F2" s="467"/>
      <c r="G2" s="467"/>
      <c r="H2" s="467"/>
      <c r="I2" s="467"/>
      <c r="J2" s="467"/>
      <c r="K2" s="467"/>
      <c r="L2" s="467"/>
      <c r="M2" s="469"/>
      <c r="N2" s="469"/>
      <c r="O2" s="467"/>
      <c r="P2" s="469"/>
      <c r="Q2" s="467"/>
      <c r="R2" s="469"/>
      <c r="S2" s="469"/>
      <c r="T2" s="469"/>
      <c r="U2" s="467"/>
      <c r="V2" s="467"/>
      <c r="W2" s="470"/>
      <c r="X2" s="470"/>
      <c r="Y2" s="470"/>
      <c r="Z2" s="470"/>
      <c r="AA2" s="470"/>
      <c r="AB2" s="470"/>
      <c r="AC2" s="470"/>
    </row>
    <row r="3" spans="2:29" ht="12.75">
      <c r="B3" s="473" t="s">
        <v>387</v>
      </c>
      <c r="C3" s="467"/>
      <c r="D3" s="469"/>
      <c r="E3" s="467"/>
      <c r="F3" s="474"/>
      <c r="G3" s="469"/>
      <c r="H3" s="469"/>
      <c r="I3" s="469"/>
      <c r="J3" s="469"/>
      <c r="K3" s="469"/>
      <c r="L3" s="469"/>
      <c r="M3" s="469"/>
      <c r="N3" s="469"/>
      <c r="O3" s="467"/>
      <c r="P3" s="469"/>
      <c r="Q3" s="467"/>
      <c r="R3" s="469"/>
      <c r="S3" s="469"/>
      <c r="T3" s="469"/>
      <c r="U3" s="467"/>
      <c r="V3" s="467"/>
      <c r="W3" s="470"/>
      <c r="X3" s="470"/>
      <c r="Y3" s="470"/>
      <c r="Z3" s="470"/>
      <c r="AA3" s="470"/>
      <c r="AB3" s="470"/>
      <c r="AC3" s="470"/>
    </row>
    <row r="4" spans="2:29" ht="12.75">
      <c r="B4" s="960" t="s">
        <v>567</v>
      </c>
      <c r="C4" s="960"/>
      <c r="D4" s="469"/>
      <c r="E4" s="467"/>
      <c r="F4" s="467"/>
      <c r="G4" s="467"/>
      <c r="H4" s="467"/>
      <c r="I4" s="467"/>
      <c r="J4" s="467"/>
      <c r="K4" s="467"/>
      <c r="L4" s="467"/>
      <c r="M4" s="469"/>
      <c r="N4" s="469"/>
      <c r="O4" s="469"/>
      <c r="P4" s="469"/>
      <c r="Q4" s="467"/>
      <c r="R4" s="469"/>
      <c r="S4" s="469"/>
      <c r="T4" s="469"/>
      <c r="U4" s="467"/>
      <c r="V4" s="467"/>
      <c r="W4" s="470"/>
      <c r="X4" s="470"/>
      <c r="Y4" s="470"/>
      <c r="Z4" s="470"/>
      <c r="AA4" s="470"/>
      <c r="AB4" s="470"/>
      <c r="AC4" s="470"/>
    </row>
    <row r="5" spans="2:29" ht="12.75">
      <c r="B5" s="467"/>
      <c r="C5" s="467"/>
      <c r="D5" s="469"/>
      <c r="E5" s="467"/>
      <c r="F5" s="475"/>
      <c r="G5" s="469"/>
      <c r="H5" s="469"/>
      <c r="I5" s="469"/>
      <c r="J5" s="469"/>
      <c r="K5" s="469"/>
      <c r="L5" s="469"/>
      <c r="M5" s="469"/>
      <c r="N5" s="469"/>
      <c r="O5" s="469"/>
      <c r="Q5" s="469"/>
      <c r="R5" s="469"/>
      <c r="S5" s="469"/>
      <c r="T5" s="469"/>
      <c r="U5" s="467"/>
      <c r="V5" s="467"/>
      <c r="W5" s="476"/>
      <c r="X5" s="476"/>
      <c r="Y5" s="476"/>
      <c r="Z5" s="476"/>
      <c r="AA5" s="476"/>
      <c r="AB5" s="476"/>
      <c r="AC5" s="476"/>
    </row>
    <row r="6" spans="2:29" ht="25.5" customHeight="1">
      <c r="B6" s="477" t="s">
        <v>388</v>
      </c>
      <c r="D6" s="469"/>
      <c r="E6" s="467"/>
      <c r="F6" s="478"/>
      <c r="G6" s="469"/>
      <c r="H6" s="469"/>
      <c r="I6" s="469"/>
      <c r="J6" s="469"/>
      <c r="K6" s="469"/>
      <c r="L6" s="469"/>
      <c r="M6" s="478"/>
      <c r="N6" s="478"/>
      <c r="O6" s="478"/>
      <c r="Q6" s="478"/>
      <c r="R6" s="478"/>
      <c r="S6" s="478"/>
      <c r="T6" s="478"/>
      <c r="U6" s="479"/>
      <c r="V6" s="480"/>
      <c r="W6" s="476"/>
      <c r="X6" s="544"/>
      <c r="Y6" s="544"/>
      <c r="Z6" s="961" t="s">
        <v>333</v>
      </c>
      <c r="AA6" s="961"/>
      <c r="AB6" s="961"/>
      <c r="AC6" s="476"/>
    </row>
    <row r="7" spans="3:28" ht="12.75">
      <c r="C7" s="482"/>
      <c r="D7" s="764"/>
      <c r="E7" s="765"/>
      <c r="F7" s="764" t="s">
        <v>279</v>
      </c>
      <c r="G7" s="764"/>
      <c r="H7" s="764"/>
      <c r="I7" s="764"/>
      <c r="J7" s="764" t="s">
        <v>281</v>
      </c>
      <c r="K7" s="612"/>
      <c r="L7" s="758" t="s">
        <v>568</v>
      </c>
      <c r="M7" s="548"/>
      <c r="N7" s="766"/>
      <c r="O7" s="766"/>
      <c r="P7" s="548"/>
      <c r="Q7" s="548"/>
      <c r="R7" s="548"/>
      <c r="S7" s="766"/>
      <c r="T7" s="548"/>
      <c r="U7" s="548"/>
      <c r="V7" s="767"/>
      <c r="W7" s="766"/>
      <c r="Z7" s="783"/>
      <c r="AA7" s="783"/>
      <c r="AB7" s="783"/>
    </row>
    <row r="8" spans="3:32" ht="12.75">
      <c r="C8" s="484"/>
      <c r="D8" s="768" t="s">
        <v>280</v>
      </c>
      <c r="E8" s="769" t="s">
        <v>281</v>
      </c>
      <c r="F8" s="768" t="s">
        <v>282</v>
      </c>
      <c r="G8" s="770" t="s">
        <v>281</v>
      </c>
      <c r="H8" s="770" t="s">
        <v>281</v>
      </c>
      <c r="I8" s="770" t="s">
        <v>281</v>
      </c>
      <c r="J8" s="768" t="s">
        <v>334</v>
      </c>
      <c r="K8" s="768" t="s">
        <v>272</v>
      </c>
      <c r="L8" s="758" t="s">
        <v>569</v>
      </c>
      <c r="M8" s="771" t="s">
        <v>429</v>
      </c>
      <c r="N8" s="768" t="s">
        <v>570</v>
      </c>
      <c r="O8" s="771" t="s">
        <v>571</v>
      </c>
      <c r="P8" s="768" t="s">
        <v>572</v>
      </c>
      <c r="Q8" s="768" t="s">
        <v>573</v>
      </c>
      <c r="R8" s="768" t="s">
        <v>574</v>
      </c>
      <c r="S8" s="769" t="s">
        <v>283</v>
      </c>
      <c r="T8" s="768"/>
      <c r="U8" s="768" t="s">
        <v>281</v>
      </c>
      <c r="V8" s="769"/>
      <c r="W8" s="769"/>
      <c r="X8" s="487"/>
      <c r="Y8" s="487"/>
      <c r="Z8" s="761" t="s">
        <v>291</v>
      </c>
      <c r="AA8" s="761" t="s">
        <v>291</v>
      </c>
      <c r="AB8" s="761"/>
      <c r="AC8" s="485"/>
      <c r="AE8" s="488"/>
      <c r="AF8" s="473"/>
    </row>
    <row r="9" spans="2:35" ht="13.5" thickBot="1">
      <c r="B9" s="485"/>
      <c r="C9" s="484"/>
      <c r="D9" s="768" t="s">
        <v>284</v>
      </c>
      <c r="E9" s="768" t="s">
        <v>285</v>
      </c>
      <c r="F9" s="768" t="s">
        <v>286</v>
      </c>
      <c r="G9" s="768" t="s">
        <v>289</v>
      </c>
      <c r="H9" s="768" t="s">
        <v>332</v>
      </c>
      <c r="I9" s="768" t="s">
        <v>389</v>
      </c>
      <c r="J9" s="768" t="s">
        <v>255</v>
      </c>
      <c r="K9" s="768" t="s">
        <v>287</v>
      </c>
      <c r="L9" s="758" t="s">
        <v>575</v>
      </c>
      <c r="M9" s="768" t="s">
        <v>576</v>
      </c>
      <c r="N9" s="768" t="s">
        <v>577</v>
      </c>
      <c r="O9" s="768" t="s">
        <v>578</v>
      </c>
      <c r="P9" s="768" t="s">
        <v>579</v>
      </c>
      <c r="Q9" s="768" t="s">
        <v>580</v>
      </c>
      <c r="R9" s="768" t="s">
        <v>580</v>
      </c>
      <c r="S9" s="769" t="s">
        <v>288</v>
      </c>
      <c r="T9" s="768" t="s">
        <v>581</v>
      </c>
      <c r="U9" s="768" t="s">
        <v>390</v>
      </c>
      <c r="V9" s="769" t="s">
        <v>290</v>
      </c>
      <c r="W9" s="769" t="s">
        <v>291</v>
      </c>
      <c r="X9" s="487"/>
      <c r="Y9" s="487"/>
      <c r="Z9" s="761" t="s">
        <v>324</v>
      </c>
      <c r="AA9" s="761" t="s">
        <v>324</v>
      </c>
      <c r="AB9" s="761" t="s">
        <v>291</v>
      </c>
      <c r="AC9" s="485"/>
      <c r="AE9" s="487"/>
      <c r="AF9" s="479"/>
      <c r="AI9" s="482"/>
    </row>
    <row r="10" spans="2:35" ht="12.75">
      <c r="B10" s="489" t="s">
        <v>292</v>
      </c>
      <c r="C10" s="489" t="s">
        <v>293</v>
      </c>
      <c r="D10" s="772" t="s">
        <v>211</v>
      </c>
      <c r="E10" s="547" t="s">
        <v>295</v>
      </c>
      <c r="F10" s="772" t="s">
        <v>294</v>
      </c>
      <c r="G10" s="772" t="s">
        <v>335</v>
      </c>
      <c r="H10" s="772" t="s">
        <v>336</v>
      </c>
      <c r="I10" s="772" t="s">
        <v>391</v>
      </c>
      <c r="J10" s="772" t="s">
        <v>337</v>
      </c>
      <c r="K10" s="772" t="s">
        <v>297</v>
      </c>
      <c r="L10" s="762" t="s">
        <v>298</v>
      </c>
      <c r="M10" s="772" t="s">
        <v>298</v>
      </c>
      <c r="N10" s="772" t="s">
        <v>298</v>
      </c>
      <c r="O10" s="772" t="s">
        <v>298</v>
      </c>
      <c r="P10" s="772" t="s">
        <v>298</v>
      </c>
      <c r="Q10" s="772" t="s">
        <v>298</v>
      </c>
      <c r="R10" s="772" t="s">
        <v>298</v>
      </c>
      <c r="S10" s="547" t="s">
        <v>298</v>
      </c>
      <c r="T10" s="772" t="s">
        <v>298</v>
      </c>
      <c r="U10" s="772" t="s">
        <v>211</v>
      </c>
      <c r="V10" s="547" t="s">
        <v>297</v>
      </c>
      <c r="W10" s="547" t="s">
        <v>211</v>
      </c>
      <c r="X10" s="490"/>
      <c r="Y10" s="490"/>
      <c r="Z10" s="763" t="s">
        <v>325</v>
      </c>
      <c r="AA10" s="763" t="s">
        <v>326</v>
      </c>
      <c r="AB10" s="784" t="s">
        <v>327</v>
      </c>
      <c r="AC10" s="485"/>
      <c r="AD10" s="491" t="s">
        <v>299</v>
      </c>
      <c r="AE10" s="492" t="s">
        <v>299</v>
      </c>
      <c r="AF10" s="493" t="s">
        <v>299</v>
      </c>
      <c r="AI10" s="482"/>
    </row>
    <row r="11" spans="2:32" ht="12.75">
      <c r="B11" s="485"/>
      <c r="C11" s="485" t="s">
        <v>300</v>
      </c>
      <c r="D11" s="759" t="s">
        <v>301</v>
      </c>
      <c r="E11" s="759" t="s">
        <v>302</v>
      </c>
      <c r="F11" s="759" t="s">
        <v>303</v>
      </c>
      <c r="G11" s="759" t="s">
        <v>304</v>
      </c>
      <c r="H11" s="759" t="s">
        <v>305</v>
      </c>
      <c r="I11" s="759" t="s">
        <v>306</v>
      </c>
      <c r="J11" s="759" t="s">
        <v>308</v>
      </c>
      <c r="K11" s="759" t="s">
        <v>307</v>
      </c>
      <c r="L11" s="758" t="s">
        <v>309</v>
      </c>
      <c r="M11" s="759" t="s">
        <v>310</v>
      </c>
      <c r="N11" s="759" t="s">
        <v>311</v>
      </c>
      <c r="O11" s="759" t="s">
        <v>338</v>
      </c>
      <c r="P11" s="760" t="s">
        <v>312</v>
      </c>
      <c r="Q11" s="759" t="s">
        <v>313</v>
      </c>
      <c r="R11" s="760" t="s">
        <v>339</v>
      </c>
      <c r="S11" s="760" t="s">
        <v>329</v>
      </c>
      <c r="T11" s="773" t="s">
        <v>330</v>
      </c>
      <c r="U11" s="774" t="s">
        <v>340</v>
      </c>
      <c r="V11" s="774" t="s">
        <v>392</v>
      </c>
      <c r="W11" s="774" t="s">
        <v>386</v>
      </c>
      <c r="X11" s="486"/>
      <c r="Y11" s="486"/>
      <c r="Z11" s="759" t="s">
        <v>582</v>
      </c>
      <c r="AA11" s="759" t="s">
        <v>583</v>
      </c>
      <c r="AB11" s="759" t="s">
        <v>584</v>
      </c>
      <c r="AC11" s="485"/>
      <c r="AD11" s="494"/>
      <c r="AE11" s="487"/>
      <c r="AF11" s="495"/>
    </row>
    <row r="12" spans="2:32" ht="12.75">
      <c r="B12" s="743">
        <v>1</v>
      </c>
      <c r="C12" s="744" t="s">
        <v>230</v>
      </c>
      <c r="D12" s="750">
        <v>2642.5699999999997</v>
      </c>
      <c r="E12" s="755">
        <v>-448.14</v>
      </c>
      <c r="F12" s="755">
        <v>0</v>
      </c>
      <c r="G12" s="755">
        <v>-167.80242999999996</v>
      </c>
      <c r="H12" s="755">
        <v>0</v>
      </c>
      <c r="I12" s="755">
        <v>24.81495999999998</v>
      </c>
      <c r="J12" s="755">
        <v>-149.5387562692062</v>
      </c>
      <c r="K12" s="755">
        <v>14608.476226269207</v>
      </c>
      <c r="L12" s="775">
        <v>0</v>
      </c>
      <c r="M12" s="755">
        <v>-1329.66</v>
      </c>
      <c r="N12" s="755">
        <v>-337.6799999999985</v>
      </c>
      <c r="O12" s="755">
        <v>301.73999999999796</v>
      </c>
      <c r="P12" s="755">
        <v>0</v>
      </c>
      <c r="Q12" s="755">
        <v>0</v>
      </c>
      <c r="R12" s="755">
        <v>0</v>
      </c>
      <c r="S12" s="755">
        <v>0</v>
      </c>
      <c r="T12" s="755">
        <v>6.42</v>
      </c>
      <c r="U12" s="755"/>
      <c r="V12" s="779">
        <f aca="true" t="shared" si="0" ref="V12:V25">W12-D12</f>
        <v>12508.630000000001</v>
      </c>
      <c r="W12" s="755">
        <v>15151.2</v>
      </c>
      <c r="X12" s="496"/>
      <c r="Y12" s="496"/>
      <c r="Z12" s="755">
        <v>8782.56</v>
      </c>
      <c r="AA12" s="755">
        <v>8397.36</v>
      </c>
      <c r="AB12" s="785">
        <f aca="true" t="shared" si="1" ref="AB12:AB25">W12-Z12</f>
        <v>6368.640000000001</v>
      </c>
      <c r="AC12" s="497"/>
      <c r="AD12" s="498">
        <v>0</v>
      </c>
      <c r="AE12" s="499">
        <v>0</v>
      </c>
      <c r="AF12" s="500">
        <v>0</v>
      </c>
    </row>
    <row r="13" spans="2:32" ht="12.75">
      <c r="B13" s="743">
        <f aca="true" t="shared" si="2" ref="B13:B26">B12+1</f>
        <v>2</v>
      </c>
      <c r="C13" s="744" t="s">
        <v>393</v>
      </c>
      <c r="D13" s="751">
        <v>648624933.8052888</v>
      </c>
      <c r="E13" s="756">
        <v>-26077621.55</v>
      </c>
      <c r="F13" s="756">
        <v>-905147.36</v>
      </c>
      <c r="G13" s="757">
        <v>-9516052.648469998</v>
      </c>
      <c r="H13" s="757">
        <v>-2433458.2403744403</v>
      </c>
      <c r="I13" s="757">
        <v>2384034.6975000002</v>
      </c>
      <c r="J13" s="757">
        <v>36839900.09250371</v>
      </c>
      <c r="K13" s="757">
        <v>8378069.2035518885</v>
      </c>
      <c r="L13" s="776"/>
      <c r="M13" s="757">
        <v>2436903</v>
      </c>
      <c r="N13" s="757">
        <v>-12400502</v>
      </c>
      <c r="O13" s="757">
        <v>13036599</v>
      </c>
      <c r="P13" s="757"/>
      <c r="Q13" s="757">
        <v>0</v>
      </c>
      <c r="R13" s="757">
        <v>0</v>
      </c>
      <c r="S13" s="757">
        <v>23283584.670949817</v>
      </c>
      <c r="T13" s="757">
        <v>257571.72697</v>
      </c>
      <c r="U13" s="780"/>
      <c r="V13" s="780">
        <f t="shared" si="0"/>
        <v>35283880.5926311</v>
      </c>
      <c r="W13" s="757">
        <v>683908814.3979199</v>
      </c>
      <c r="X13" s="501"/>
      <c r="Y13" s="501"/>
      <c r="Z13" s="756">
        <v>394687569.71019995</v>
      </c>
      <c r="AA13" s="757">
        <v>377375461.50811005</v>
      </c>
      <c r="AB13" s="786">
        <f t="shared" si="1"/>
        <v>289221244.68771994</v>
      </c>
      <c r="AC13" s="502"/>
      <c r="AD13" s="498">
        <v>0</v>
      </c>
      <c r="AE13" s="499">
        <v>-0.4648699276149273</v>
      </c>
      <c r="AF13" s="500">
        <v>0</v>
      </c>
    </row>
    <row r="14" spans="2:32" ht="12.75">
      <c r="B14" s="743">
        <f t="shared" si="2"/>
        <v>3</v>
      </c>
      <c r="C14" s="744" t="s">
        <v>394</v>
      </c>
      <c r="D14" s="751">
        <v>16023.13</v>
      </c>
      <c r="E14" s="756">
        <v>0</v>
      </c>
      <c r="F14" s="756">
        <v>0</v>
      </c>
      <c r="G14" s="757">
        <v>0</v>
      </c>
      <c r="H14" s="757">
        <v>-17.2059100906454</v>
      </c>
      <c r="I14" s="757">
        <v>16.217000000000002</v>
      </c>
      <c r="J14" s="757">
        <v>0</v>
      </c>
      <c r="K14" s="757">
        <v>-6491.445969909353</v>
      </c>
      <c r="L14" s="776"/>
      <c r="M14" s="757">
        <v>9.321020000001226</v>
      </c>
      <c r="N14" s="757">
        <v>277.2571799999987</v>
      </c>
      <c r="O14" s="757">
        <v>52.321500000000015</v>
      </c>
      <c r="P14" s="757"/>
      <c r="Q14" s="757">
        <v>0</v>
      </c>
      <c r="R14" s="757">
        <v>0</v>
      </c>
      <c r="S14" s="757">
        <v>0</v>
      </c>
      <c r="T14" s="757">
        <v>0</v>
      </c>
      <c r="U14" s="780"/>
      <c r="V14" s="780">
        <f t="shared" si="0"/>
        <v>-6153.535179999999</v>
      </c>
      <c r="W14" s="757">
        <v>9869.59482</v>
      </c>
      <c r="X14" s="501"/>
      <c r="Y14" s="501"/>
      <c r="Z14" s="756">
        <v>8469.55074</v>
      </c>
      <c r="AA14" s="757">
        <v>8469.55074</v>
      </c>
      <c r="AB14" s="786">
        <f t="shared" si="1"/>
        <v>1400.0440799999997</v>
      </c>
      <c r="AC14" s="502"/>
      <c r="AD14" s="498"/>
      <c r="AE14" s="499">
        <v>0</v>
      </c>
      <c r="AF14" s="500"/>
    </row>
    <row r="15" spans="2:32" ht="12.75">
      <c r="B15" s="743">
        <f t="shared" si="2"/>
        <v>4</v>
      </c>
      <c r="C15" s="745" t="s">
        <v>341</v>
      </c>
      <c r="D15" s="751">
        <v>216058532.79465172</v>
      </c>
      <c r="E15" s="756">
        <v>-10884100.799999999</v>
      </c>
      <c r="F15" s="756">
        <v>-227755.08500000002</v>
      </c>
      <c r="G15" s="757">
        <v>-3482733.0757700005</v>
      </c>
      <c r="H15" s="757">
        <v>-711188.2146557545</v>
      </c>
      <c r="I15" s="757">
        <v>720468.7995200001</v>
      </c>
      <c r="J15" s="757">
        <v>13564974.700840699</v>
      </c>
      <c r="K15" s="757">
        <v>2498314.92808336</v>
      </c>
      <c r="L15" s="776"/>
      <c r="M15" s="757">
        <v>636174.412250042</v>
      </c>
      <c r="N15" s="757">
        <v>-4683388.19592005</v>
      </c>
      <c r="O15" s="757">
        <v>3819257.426399976</v>
      </c>
      <c r="P15" s="757"/>
      <c r="Q15" s="757">
        <v>-449441.5683974399</v>
      </c>
      <c r="R15" s="757">
        <v>4604708.453319876</v>
      </c>
      <c r="S15" s="757">
        <v>8285263.291077592</v>
      </c>
      <c r="T15" s="757">
        <v>93098.043</v>
      </c>
      <c r="U15" s="780"/>
      <c r="V15" s="780">
        <f t="shared" si="0"/>
        <v>13783653.1147483</v>
      </c>
      <c r="W15" s="757">
        <v>229842185.90940002</v>
      </c>
      <c r="X15" s="501"/>
      <c r="Y15" s="501"/>
      <c r="Z15" s="756">
        <v>144583284.6495</v>
      </c>
      <c r="AA15" s="757">
        <v>138242498.373</v>
      </c>
      <c r="AB15" s="786">
        <f t="shared" si="1"/>
        <v>85258901.2599</v>
      </c>
      <c r="AC15" s="502"/>
      <c r="AD15" s="498">
        <v>0</v>
      </c>
      <c r="AE15" s="499">
        <v>4.842877388000488E-08</v>
      </c>
      <c r="AF15" s="500">
        <v>0</v>
      </c>
    </row>
    <row r="16" spans="2:32" ht="12.75">
      <c r="B16" s="743">
        <f t="shared" si="2"/>
        <v>5</v>
      </c>
      <c r="C16" s="744" t="s">
        <v>232</v>
      </c>
      <c r="D16" s="751">
        <v>71683485.46598062</v>
      </c>
      <c r="E16" s="756">
        <v>-3621856.71</v>
      </c>
      <c r="F16" s="756">
        <v>-23187.49</v>
      </c>
      <c r="G16" s="757">
        <v>-1396552.76305</v>
      </c>
      <c r="H16" s="757">
        <v>-159362.80396732903</v>
      </c>
      <c r="I16" s="757">
        <v>119930.41885</v>
      </c>
      <c r="J16" s="757">
        <v>6237980.120076423</v>
      </c>
      <c r="K16" s="757">
        <v>-1051028.1260797232</v>
      </c>
      <c r="L16" s="776"/>
      <c r="M16" s="757">
        <v>96441.99457000196</v>
      </c>
      <c r="N16" s="757">
        <v>-2444165.1319399774</v>
      </c>
      <c r="O16" s="757">
        <v>660646.6925799847</v>
      </c>
      <c r="P16" s="757"/>
      <c r="Q16" s="757">
        <v>-959438.460746832</v>
      </c>
      <c r="R16" s="757">
        <v>-5020612.849079174</v>
      </c>
      <c r="S16" s="757">
        <v>759944.1894660043</v>
      </c>
      <c r="T16" s="757">
        <v>28522.98537</v>
      </c>
      <c r="U16" s="780"/>
      <c r="V16" s="780">
        <f t="shared" si="0"/>
        <v>-6772737.933950618</v>
      </c>
      <c r="W16" s="757">
        <v>64910747.53203</v>
      </c>
      <c r="X16" s="501"/>
      <c r="Y16" s="501"/>
      <c r="Z16" s="756">
        <v>48349338.333330005</v>
      </c>
      <c r="AA16" s="757">
        <v>46211269.358629994</v>
      </c>
      <c r="AB16" s="786">
        <f t="shared" si="1"/>
        <v>16561409.198699996</v>
      </c>
      <c r="AC16" s="502"/>
      <c r="AD16" s="498">
        <v>0</v>
      </c>
      <c r="AE16" s="499">
        <v>8.09086486697197E-09</v>
      </c>
      <c r="AF16" s="500">
        <v>0</v>
      </c>
    </row>
    <row r="17" spans="2:32" ht="12.75">
      <c r="B17" s="743">
        <f t="shared" si="2"/>
        <v>6</v>
      </c>
      <c r="C17" s="744" t="s">
        <v>355</v>
      </c>
      <c r="D17" s="751">
        <v>1249750.9656922717</v>
      </c>
      <c r="E17" s="756">
        <v>-57184.99412615598</v>
      </c>
      <c r="F17" s="756">
        <v>-4567.33</v>
      </c>
      <c r="G17" s="757"/>
      <c r="H17" s="757">
        <v>-12669.142137071776</v>
      </c>
      <c r="I17" s="757">
        <v>9510.81039</v>
      </c>
      <c r="J17" s="757">
        <v>0</v>
      </c>
      <c r="K17" s="757">
        <v>-35514.34800904384</v>
      </c>
      <c r="L17" s="776"/>
      <c r="M17" s="757">
        <v>4766.945450000232</v>
      </c>
      <c r="N17" s="757">
        <v>0</v>
      </c>
      <c r="O17" s="757">
        <v>43114.4293399998</v>
      </c>
      <c r="P17" s="757"/>
      <c r="Q17" s="757">
        <v>436763.9358157439</v>
      </c>
      <c r="R17" s="757">
        <v>0</v>
      </c>
      <c r="S17" s="757">
        <v>2198.3353042562376</v>
      </c>
      <c r="T17" s="757">
        <v>0</v>
      </c>
      <c r="U17" s="780"/>
      <c r="V17" s="780">
        <f t="shared" si="0"/>
        <v>386418.6420277278</v>
      </c>
      <c r="W17" s="757">
        <v>1636169.6077199995</v>
      </c>
      <c r="X17" s="501"/>
      <c r="Y17" s="501"/>
      <c r="Z17" s="756">
        <v>5470.201799999999</v>
      </c>
      <c r="AA17" s="757">
        <v>5470.201799999999</v>
      </c>
      <c r="AB17" s="786">
        <f t="shared" si="1"/>
        <v>1630699.4059199996</v>
      </c>
      <c r="AC17" s="502"/>
      <c r="AD17" s="498"/>
      <c r="AE17" s="499">
        <v>1.4551915228366852E-10</v>
      </c>
      <c r="AF17" s="500"/>
    </row>
    <row r="18" spans="2:32" ht="12.75">
      <c r="B18" s="743">
        <f t="shared" si="2"/>
        <v>7</v>
      </c>
      <c r="C18" s="744" t="s">
        <v>342</v>
      </c>
      <c r="D18" s="751">
        <v>119839.05458908268</v>
      </c>
      <c r="E18" s="756">
        <v>-5089.13</v>
      </c>
      <c r="F18" s="756"/>
      <c r="G18" s="757"/>
      <c r="H18" s="757">
        <v>0</v>
      </c>
      <c r="I18" s="757">
        <v>0</v>
      </c>
      <c r="J18" s="757">
        <v>0</v>
      </c>
      <c r="K18" s="757">
        <v>561.6754109173489</v>
      </c>
      <c r="L18" s="776"/>
      <c r="M18" s="757">
        <v>0</v>
      </c>
      <c r="N18" s="757">
        <v>0</v>
      </c>
      <c r="O18" s="757">
        <v>0</v>
      </c>
      <c r="P18" s="757"/>
      <c r="Q18" s="757">
        <v>0</v>
      </c>
      <c r="R18" s="757">
        <v>0</v>
      </c>
      <c r="S18" s="757">
        <v>0</v>
      </c>
      <c r="T18" s="757">
        <v>0</v>
      </c>
      <c r="U18" s="780"/>
      <c r="V18" s="780">
        <f t="shared" si="0"/>
        <v>-4527.45458908267</v>
      </c>
      <c r="W18" s="757">
        <v>115311.6</v>
      </c>
      <c r="X18" s="501"/>
      <c r="Y18" s="501"/>
      <c r="Z18" s="756">
        <v>0</v>
      </c>
      <c r="AA18" s="757">
        <v>0</v>
      </c>
      <c r="AB18" s="786">
        <f t="shared" si="1"/>
        <v>115311.6</v>
      </c>
      <c r="AC18" s="502"/>
      <c r="AD18" s="498">
        <v>0</v>
      </c>
      <c r="AE18" s="499">
        <v>0</v>
      </c>
      <c r="AF18" s="500">
        <v>0</v>
      </c>
    </row>
    <row r="19" spans="2:32" ht="12.75">
      <c r="B19" s="743">
        <f t="shared" si="2"/>
        <v>8</v>
      </c>
      <c r="C19" s="744" t="s">
        <v>231</v>
      </c>
      <c r="D19" s="751">
        <v>13142638.370200474</v>
      </c>
      <c r="E19" s="756">
        <v>-510346.01</v>
      </c>
      <c r="F19" s="756">
        <v>0</v>
      </c>
      <c r="G19" s="757">
        <v>-301283.13975000003</v>
      </c>
      <c r="H19" s="757">
        <v>-19552.46</v>
      </c>
      <c r="I19" s="757">
        <v>13983.982100000001</v>
      </c>
      <c r="J19" s="757">
        <v>1353295.0150042786</v>
      </c>
      <c r="K19" s="757">
        <v>-11744.864844750613</v>
      </c>
      <c r="L19" s="776"/>
      <c r="M19" s="757">
        <v>6865.458300000057</v>
      </c>
      <c r="N19" s="757">
        <v>-521703.8014200013</v>
      </c>
      <c r="O19" s="757">
        <v>46068.265029998496</v>
      </c>
      <c r="P19" s="757">
        <v>-3601.78</v>
      </c>
      <c r="Q19" s="757">
        <v>0</v>
      </c>
      <c r="R19" s="757">
        <v>0</v>
      </c>
      <c r="S19" s="757">
        <v>253251.46997000158</v>
      </c>
      <c r="T19" s="757">
        <v>7259.62776</v>
      </c>
      <c r="U19" s="780"/>
      <c r="V19" s="780">
        <f t="shared" si="0"/>
        <v>312491.7621495258</v>
      </c>
      <c r="W19" s="757">
        <v>13455130.13235</v>
      </c>
      <c r="X19" s="501"/>
      <c r="Y19" s="501"/>
      <c r="Z19" s="756">
        <v>11563377.14276</v>
      </c>
      <c r="AA19" s="757">
        <v>11055746.4342</v>
      </c>
      <c r="AB19" s="786">
        <f t="shared" si="1"/>
        <v>1891752.9895900004</v>
      </c>
      <c r="AC19" s="502"/>
      <c r="AD19" s="498">
        <v>0</v>
      </c>
      <c r="AE19" s="499">
        <v>0</v>
      </c>
      <c r="AF19" s="500">
        <v>0</v>
      </c>
    </row>
    <row r="20" spans="2:32" ht="12.75">
      <c r="B20" s="743">
        <f t="shared" si="2"/>
        <v>9</v>
      </c>
      <c r="C20" s="744" t="s">
        <v>356</v>
      </c>
      <c r="D20" s="751">
        <v>7467604.959017717</v>
      </c>
      <c r="E20" s="756">
        <v>-372627.7530035903</v>
      </c>
      <c r="F20" s="756">
        <v>-10081.7</v>
      </c>
      <c r="G20" s="757"/>
      <c r="H20" s="757">
        <v>-71921.94268699268</v>
      </c>
      <c r="I20" s="757">
        <v>53966.98698</v>
      </c>
      <c r="J20" s="757">
        <v>0</v>
      </c>
      <c r="K20" s="757">
        <v>-82654.26802713331</v>
      </c>
      <c r="L20" s="776"/>
      <c r="M20" s="757">
        <v>21820.781400000677</v>
      </c>
      <c r="N20" s="757">
        <v>0</v>
      </c>
      <c r="O20" s="757">
        <v>168728.1923299972</v>
      </c>
      <c r="P20" s="757">
        <v>-384886.7</v>
      </c>
      <c r="Q20" s="757">
        <v>-73143.36118765</v>
      </c>
      <c r="R20" s="757">
        <v>0</v>
      </c>
      <c r="S20" s="757">
        <v>-0.04810234915930778</v>
      </c>
      <c r="T20" s="757">
        <v>0</v>
      </c>
      <c r="U20" s="780"/>
      <c r="V20" s="780">
        <f t="shared" si="0"/>
        <v>-750799.8122977167</v>
      </c>
      <c r="W20" s="757">
        <v>6716805.146720001</v>
      </c>
      <c r="X20" s="501"/>
      <c r="Y20" s="501"/>
      <c r="Z20" s="756">
        <v>45434.1188</v>
      </c>
      <c r="AA20" s="757">
        <v>45434.1188</v>
      </c>
      <c r="AB20" s="786">
        <f t="shared" si="1"/>
        <v>6671371.02792</v>
      </c>
      <c r="AC20" s="502"/>
      <c r="AD20" s="498"/>
      <c r="AE20" s="499">
        <v>0</v>
      </c>
      <c r="AF20" s="500"/>
    </row>
    <row r="21" spans="2:32" ht="12.75">
      <c r="B21" s="743">
        <f t="shared" si="2"/>
        <v>10</v>
      </c>
      <c r="C21" s="744" t="s">
        <v>233</v>
      </c>
      <c r="D21" s="751">
        <v>11902949.430733029</v>
      </c>
      <c r="E21" s="756">
        <v>-621833.05</v>
      </c>
      <c r="F21" s="756">
        <v>0</v>
      </c>
      <c r="G21" s="757">
        <v>-227417.50806</v>
      </c>
      <c r="H21" s="757">
        <v>-26666.853612165225</v>
      </c>
      <c r="I21" s="757">
        <v>24501.838290000007</v>
      </c>
      <c r="J21" s="757">
        <v>1032938.4223432078</v>
      </c>
      <c r="K21" s="757">
        <v>310086.0183959305</v>
      </c>
      <c r="L21" s="776"/>
      <c r="M21" s="757">
        <v>12773.714999999851</v>
      </c>
      <c r="N21" s="757">
        <v>-392694.1865100004</v>
      </c>
      <c r="O21" s="757">
        <v>70812.78636999987</v>
      </c>
      <c r="P21" s="757"/>
      <c r="Q21" s="757">
        <v>0</v>
      </c>
      <c r="R21" s="757">
        <v>0</v>
      </c>
      <c r="S21" s="757">
        <v>302794.3715500012</v>
      </c>
      <c r="T21" s="757">
        <v>5972.51854</v>
      </c>
      <c r="U21" s="780"/>
      <c r="V21" s="780">
        <f t="shared" si="0"/>
        <v>491268.072306972</v>
      </c>
      <c r="W21" s="757">
        <v>12394217.50304</v>
      </c>
      <c r="X21" s="501"/>
      <c r="Y21" s="501"/>
      <c r="Z21" s="756">
        <v>9365187.198</v>
      </c>
      <c r="AA21" s="757">
        <v>8954009.37462</v>
      </c>
      <c r="AB21" s="786">
        <f t="shared" si="1"/>
        <v>3029030.30504</v>
      </c>
      <c r="AC21" s="502"/>
      <c r="AD21" s="498">
        <v>0</v>
      </c>
      <c r="AE21" s="499">
        <v>0</v>
      </c>
      <c r="AF21" s="500">
        <v>0</v>
      </c>
    </row>
    <row r="22" spans="2:32" ht="12.75">
      <c r="B22" s="743">
        <f t="shared" si="2"/>
        <v>11</v>
      </c>
      <c r="C22" s="744" t="s">
        <v>562</v>
      </c>
      <c r="D22" s="751">
        <v>6923.7635238233515</v>
      </c>
      <c r="E22" s="756">
        <v>-396.4831662977959</v>
      </c>
      <c r="F22" s="756"/>
      <c r="G22" s="757"/>
      <c r="H22" s="757">
        <v>-41.82</v>
      </c>
      <c r="I22" s="757">
        <v>37.14</v>
      </c>
      <c r="J22" s="757">
        <v>0</v>
      </c>
      <c r="K22" s="757">
        <v>-192.18315752555463</v>
      </c>
      <c r="L22" s="776"/>
      <c r="M22" s="757">
        <v>0</v>
      </c>
      <c r="N22" s="757">
        <v>0</v>
      </c>
      <c r="O22" s="757">
        <v>153.33090999999877</v>
      </c>
      <c r="P22" s="757"/>
      <c r="Q22" s="757">
        <v>10158.292411397</v>
      </c>
      <c r="R22" s="757">
        <v>0</v>
      </c>
      <c r="S22" s="757">
        <v>0.019518602999596624</v>
      </c>
      <c r="T22" s="757"/>
      <c r="U22" s="780"/>
      <c r="V22" s="780">
        <f t="shared" si="0"/>
        <v>9718.296516176651</v>
      </c>
      <c r="W22" s="757">
        <v>16642.060040000004</v>
      </c>
      <c r="X22" s="501"/>
      <c r="Y22" s="501"/>
      <c r="Z22" s="756">
        <v>50.94809999999999</v>
      </c>
      <c r="AA22" s="757">
        <v>50.94809999999999</v>
      </c>
      <c r="AB22" s="786">
        <f t="shared" si="1"/>
        <v>16591.111940000003</v>
      </c>
      <c r="AC22" s="502"/>
      <c r="AD22" s="498">
        <v>0</v>
      </c>
      <c r="AE22" s="499">
        <v>7.712515071034431E-10</v>
      </c>
      <c r="AF22" s="500">
        <v>0</v>
      </c>
    </row>
    <row r="23" spans="2:32" ht="12.75">
      <c r="B23" s="743">
        <f t="shared" si="2"/>
        <v>12</v>
      </c>
      <c r="C23" s="744" t="s">
        <v>234</v>
      </c>
      <c r="D23" s="751">
        <v>20554073.97748018</v>
      </c>
      <c r="E23" s="756">
        <v>-873287.6</v>
      </c>
      <c r="F23" s="756">
        <v>0</v>
      </c>
      <c r="G23" s="757">
        <v>-514268.3844999999</v>
      </c>
      <c r="H23" s="757">
        <v>-15765.59</v>
      </c>
      <c r="I23" s="757">
        <v>19525.904840000003</v>
      </c>
      <c r="J23" s="757">
        <v>2260853.815104011</v>
      </c>
      <c r="K23" s="757">
        <v>612359.0029658116</v>
      </c>
      <c r="L23" s="776"/>
      <c r="M23" s="757">
        <v>6288.817469999194</v>
      </c>
      <c r="N23" s="757">
        <v>-903480.4373599961</v>
      </c>
      <c r="O23" s="757">
        <v>39577.2384499982</v>
      </c>
      <c r="P23" s="757"/>
      <c r="Q23" s="757">
        <v>0</v>
      </c>
      <c r="R23" s="757">
        <v>0</v>
      </c>
      <c r="S23" s="757">
        <v>353348.3100000024</v>
      </c>
      <c r="T23" s="757">
        <v>12915.33165</v>
      </c>
      <c r="U23" s="780"/>
      <c r="V23" s="780">
        <f t="shared" si="0"/>
        <v>998066.4086198211</v>
      </c>
      <c r="W23" s="757">
        <v>21552140.3861</v>
      </c>
      <c r="X23" s="501"/>
      <c r="Y23" s="501"/>
      <c r="Z23" s="756">
        <v>19828433.3607</v>
      </c>
      <c r="AA23" s="757">
        <v>18958581.948450003</v>
      </c>
      <c r="AB23" s="786">
        <f t="shared" si="1"/>
        <v>1723707.0254000016</v>
      </c>
      <c r="AC23" s="502"/>
      <c r="AD23" s="498"/>
      <c r="AE23" s="499">
        <v>9.022187441587448E-10</v>
      </c>
      <c r="AF23" s="500"/>
    </row>
    <row r="24" spans="2:32" ht="12.75">
      <c r="B24" s="743">
        <f t="shared" si="2"/>
        <v>13</v>
      </c>
      <c r="C24" s="744" t="s">
        <v>357</v>
      </c>
      <c r="D24" s="751">
        <f>4354353.36626471</f>
        <v>4354353.36626471</v>
      </c>
      <c r="E24" s="756">
        <v>-262337.489703956</v>
      </c>
      <c r="F24" s="756">
        <v>-36143.66</v>
      </c>
      <c r="G24" s="757"/>
      <c r="H24" s="757">
        <v>-37526.4612591561</v>
      </c>
      <c r="I24" s="757">
        <v>67251.91916</v>
      </c>
      <c r="J24" s="757">
        <v>0</v>
      </c>
      <c r="K24" s="757">
        <v>-20001.0420215982</v>
      </c>
      <c r="L24" s="776">
        <v>-616470.705163873</v>
      </c>
      <c r="M24" s="776">
        <v>11434.391433250392</v>
      </c>
      <c r="N24" s="757">
        <v>0</v>
      </c>
      <c r="O24" s="776">
        <v>83714.54862873163</v>
      </c>
      <c r="P24" s="757"/>
      <c r="Q24" s="757">
        <v>0</v>
      </c>
      <c r="R24" s="757">
        <v>0</v>
      </c>
      <c r="S24" s="757">
        <v>12177.270360000897</v>
      </c>
      <c r="T24" s="757">
        <v>0</v>
      </c>
      <c r="U24" s="780"/>
      <c r="V24" s="777">
        <f t="shared" si="0"/>
        <v>-797901.2285666005</v>
      </c>
      <c r="W24" s="776">
        <v>3556452.1376981097</v>
      </c>
      <c r="X24" s="503"/>
      <c r="Y24" s="503"/>
      <c r="Z24" s="787">
        <v>57883.03234637</v>
      </c>
      <c r="AA24" s="776">
        <v>57883.03234637</v>
      </c>
      <c r="AB24" s="788">
        <f t="shared" si="1"/>
        <v>3498569.1053517396</v>
      </c>
      <c r="AC24" s="502"/>
      <c r="AD24" s="498">
        <v>0</v>
      </c>
      <c r="AE24" s="499">
        <v>-2.473825588822365E-10</v>
      </c>
      <c r="AF24" s="500">
        <v>0</v>
      </c>
    </row>
    <row r="25" spans="2:32" ht="12.75">
      <c r="B25" s="743">
        <f t="shared" si="2"/>
        <v>14</v>
      </c>
      <c r="C25" s="744" t="s">
        <v>331</v>
      </c>
      <c r="D25" s="751">
        <v>1633825.8565776236</v>
      </c>
      <c r="E25" s="756">
        <v>-84921.87</v>
      </c>
      <c r="F25" s="756">
        <v>0</v>
      </c>
      <c r="G25" s="757"/>
      <c r="H25" s="757">
        <v>0</v>
      </c>
      <c r="I25" s="757">
        <v>16759.32335</v>
      </c>
      <c r="J25" s="757">
        <v>0</v>
      </c>
      <c r="K25" s="757">
        <v>28069.365072376328</v>
      </c>
      <c r="L25" s="776"/>
      <c r="M25" s="757">
        <v>39035.60825999989</v>
      </c>
      <c r="N25" s="757">
        <v>0</v>
      </c>
      <c r="O25" s="757">
        <v>16967.159999999683</v>
      </c>
      <c r="P25" s="757"/>
      <c r="Q25" s="757">
        <v>0</v>
      </c>
      <c r="R25" s="757">
        <v>0</v>
      </c>
      <c r="S25" s="757">
        <v>8880.413889999967</v>
      </c>
      <c r="T25" s="757">
        <v>0</v>
      </c>
      <c r="U25" s="780"/>
      <c r="V25" s="780">
        <f t="shared" si="0"/>
        <v>24790.000572376186</v>
      </c>
      <c r="W25" s="757">
        <v>1658615.8571499998</v>
      </c>
      <c r="X25" s="504"/>
      <c r="Y25" s="504"/>
      <c r="Z25" s="789">
        <v>0</v>
      </c>
      <c r="AA25" s="757">
        <v>0</v>
      </c>
      <c r="AB25" s="786">
        <f t="shared" si="1"/>
        <v>1658615.8571499998</v>
      </c>
      <c r="AC25" s="505"/>
      <c r="AD25" s="498">
        <v>0</v>
      </c>
      <c r="AE25" s="499">
        <v>-0.4648698680102825</v>
      </c>
      <c r="AF25" s="500">
        <v>0</v>
      </c>
    </row>
    <row r="26" spans="2:32" ht="12.75">
      <c r="B26" s="743">
        <f t="shared" si="2"/>
        <v>15</v>
      </c>
      <c r="C26" s="744" t="s">
        <v>316</v>
      </c>
      <c r="D26" s="754">
        <f aca="true" t="shared" si="3" ref="D26:W26">SUM(D12:D25)</f>
        <v>996817577.5100002</v>
      </c>
      <c r="E26" s="752">
        <f t="shared" si="3"/>
        <v>-43372051.58</v>
      </c>
      <c r="F26" s="752">
        <f t="shared" si="3"/>
        <v>-1206882.625</v>
      </c>
      <c r="G26" s="752">
        <f t="shared" si="3"/>
        <v>-15438475.322029999</v>
      </c>
      <c r="H26" s="781">
        <f t="shared" si="3"/>
        <v>-3488170.7346030003</v>
      </c>
      <c r="I26" s="781">
        <f>SUM(I12:I25)</f>
        <v>3430012.8529400015</v>
      </c>
      <c r="J26" s="781">
        <f t="shared" si="3"/>
        <v>61289792.62711606</v>
      </c>
      <c r="K26" s="781">
        <f t="shared" si="3"/>
        <v>10634442.391596869</v>
      </c>
      <c r="L26" s="778">
        <f t="shared" si="3"/>
        <v>-616470.705163873</v>
      </c>
      <c r="M26" s="778">
        <f>SUM(M12:M25)</f>
        <v>3271184.785153294</v>
      </c>
      <c r="N26" s="782">
        <f t="shared" si="3"/>
        <v>-21345994.17597003</v>
      </c>
      <c r="O26" s="778">
        <f t="shared" si="3"/>
        <v>17985993.13153869</v>
      </c>
      <c r="P26" s="782">
        <f>SUM(P12:P25)</f>
        <v>-388488.48000000004</v>
      </c>
      <c r="Q26" s="782">
        <f>SUM(Q12:Q25)</f>
        <v>-1035101.1621047809</v>
      </c>
      <c r="R26" s="782">
        <f>SUM(R12:R25)</f>
        <v>-415904.39575929753</v>
      </c>
      <c r="S26" s="782">
        <f t="shared" si="3"/>
        <v>33261442.29398393</v>
      </c>
      <c r="T26" s="782">
        <f t="shared" si="3"/>
        <v>405346.65329000005</v>
      </c>
      <c r="U26" s="782">
        <f t="shared" si="3"/>
        <v>0</v>
      </c>
      <c r="V26" s="778">
        <f>SUM(V12:V25)</f>
        <v>42970675.55498799</v>
      </c>
      <c r="W26" s="778">
        <f t="shared" si="3"/>
        <v>1039788253.064988</v>
      </c>
      <c r="X26" s="483"/>
      <c r="Y26" s="483"/>
      <c r="Z26" s="778">
        <f>SUM(Z12:Z25)</f>
        <v>628503280.8062763</v>
      </c>
      <c r="AA26" s="778">
        <f>SUM(AA12:AA25)</f>
        <v>600923272.2087964</v>
      </c>
      <c r="AB26" s="778">
        <f>SUM(AB12:AB25)</f>
        <v>411284972.25871176</v>
      </c>
      <c r="AC26" s="483"/>
      <c r="AD26" s="508"/>
      <c r="AE26" s="499">
        <v>0</v>
      </c>
      <c r="AF26" s="509"/>
    </row>
    <row r="27" spans="2:32" ht="12.75">
      <c r="B27" s="743"/>
      <c r="C27" s="744"/>
      <c r="D27" s="753"/>
      <c r="E27" s="483"/>
      <c r="F27" s="483"/>
      <c r="G27" s="483"/>
      <c r="H27" s="483"/>
      <c r="I27" s="483"/>
      <c r="J27" s="483"/>
      <c r="K27" s="483"/>
      <c r="L27" s="483"/>
      <c r="M27" s="506"/>
      <c r="N27" s="483"/>
      <c r="O27" s="483"/>
      <c r="P27" s="506"/>
      <c r="Q27" s="483"/>
      <c r="R27" s="506"/>
      <c r="S27" s="506"/>
      <c r="T27" s="506"/>
      <c r="U27" s="483"/>
      <c r="V27" s="507"/>
      <c r="W27" s="483"/>
      <c r="X27" s="483"/>
      <c r="Y27" s="483"/>
      <c r="Z27" s="483"/>
      <c r="AA27" s="483"/>
      <c r="AB27" s="483"/>
      <c r="AC27" s="483"/>
      <c r="AD27" s="508"/>
      <c r="AE27" s="499"/>
      <c r="AF27" s="509"/>
    </row>
    <row r="28" spans="2:32" ht="12.75">
      <c r="B28" s="743"/>
      <c r="C28" s="744"/>
      <c r="D28" s="751">
        <v>8029154.199999999</v>
      </c>
      <c r="E28" s="790">
        <v>-389945.3</v>
      </c>
      <c r="F28" s="548"/>
      <c r="G28" s="766"/>
      <c r="H28" s="766"/>
      <c r="I28" s="766"/>
      <c r="J28" s="766"/>
      <c r="K28" s="757">
        <v>66948.07000000123</v>
      </c>
      <c r="L28" s="776"/>
      <c r="M28" s="757">
        <v>51274.66000000015</v>
      </c>
      <c r="N28" s="791"/>
      <c r="O28" s="791">
        <v>381349.9099999983</v>
      </c>
      <c r="P28" s="791"/>
      <c r="Q28" s="798"/>
      <c r="R28" s="798"/>
      <c r="S28" s="798"/>
      <c r="T28" s="798"/>
      <c r="U28" s="798"/>
      <c r="V28" s="799">
        <f>W28-D28</f>
        <v>109627.33999999985</v>
      </c>
      <c r="W28" s="791">
        <v>8138781.539999999</v>
      </c>
      <c r="X28" s="795"/>
      <c r="Y28" s="795"/>
      <c r="Z28" s="795"/>
      <c r="AA28" s="795"/>
      <c r="AB28" s="510"/>
      <c r="AC28" s="510"/>
      <c r="AD28" s="498">
        <v>0</v>
      </c>
      <c r="AE28" s="499">
        <v>4.656612873077393E-10</v>
      </c>
      <c r="AF28" s="511"/>
    </row>
    <row r="29" spans="2:32" ht="12.75">
      <c r="B29" s="743">
        <f>B26+1</f>
        <v>16</v>
      </c>
      <c r="C29" s="744" t="s">
        <v>317</v>
      </c>
      <c r="D29" s="751">
        <v>6683784.539999999</v>
      </c>
      <c r="E29" s="792"/>
      <c r="F29" s="767">
        <f>-F26</f>
        <v>1206882.625</v>
      </c>
      <c r="G29" s="766"/>
      <c r="H29" s="766"/>
      <c r="I29" s="766"/>
      <c r="J29" s="766"/>
      <c r="K29" s="756"/>
      <c r="L29" s="787"/>
      <c r="M29" s="756"/>
      <c r="N29" s="798"/>
      <c r="O29" s="798"/>
      <c r="P29" s="798"/>
      <c r="Q29" s="751"/>
      <c r="R29" s="751"/>
      <c r="S29" s="766"/>
      <c r="T29" s="548"/>
      <c r="U29" s="751">
        <v>-1130625</v>
      </c>
      <c r="V29" s="800">
        <f>W29-D29</f>
        <v>76257.625</v>
      </c>
      <c r="W29" s="767">
        <f>SUM(D29:U29)</f>
        <v>6760042.164999999</v>
      </c>
      <c r="X29" s="796"/>
      <c r="Y29" s="796"/>
      <c r="Z29" s="796"/>
      <c r="AA29" s="796"/>
      <c r="AB29" s="505"/>
      <c r="AC29" s="505"/>
      <c r="AD29" s="498">
        <v>0</v>
      </c>
      <c r="AE29" s="499">
        <v>0</v>
      </c>
      <c r="AF29" s="511"/>
    </row>
    <row r="30" spans="2:32" ht="12.75">
      <c r="B30" s="743">
        <f>B29+1</f>
        <v>17</v>
      </c>
      <c r="C30" s="744" t="s">
        <v>318</v>
      </c>
      <c r="D30" s="782">
        <f aca="true" t="shared" si="4" ref="D30:S30">SUM(D28:D29)</f>
        <v>14712938.739999998</v>
      </c>
      <c r="E30" s="782">
        <f t="shared" si="4"/>
        <v>-389945.3</v>
      </c>
      <c r="F30" s="782">
        <f t="shared" si="4"/>
        <v>1206882.625</v>
      </c>
      <c r="G30" s="782">
        <f t="shared" si="4"/>
        <v>0</v>
      </c>
      <c r="H30" s="782">
        <f t="shared" si="4"/>
        <v>0</v>
      </c>
      <c r="I30" s="782">
        <f t="shared" si="4"/>
        <v>0</v>
      </c>
      <c r="J30" s="782">
        <f t="shared" si="4"/>
        <v>0</v>
      </c>
      <c r="K30" s="782">
        <f t="shared" si="4"/>
        <v>66948.07000000123</v>
      </c>
      <c r="L30" s="778"/>
      <c r="M30" s="782">
        <f t="shared" si="4"/>
        <v>51274.66000000015</v>
      </c>
      <c r="N30" s="782">
        <f t="shared" si="4"/>
        <v>0</v>
      </c>
      <c r="O30" s="782">
        <f t="shared" si="4"/>
        <v>381349.9099999983</v>
      </c>
      <c r="P30" s="782">
        <f t="shared" si="4"/>
        <v>0</v>
      </c>
      <c r="Q30" s="782">
        <f>SUM(Q28:Q29)</f>
        <v>0</v>
      </c>
      <c r="R30" s="782">
        <f>SUM(R28:R29)</f>
        <v>0</v>
      </c>
      <c r="S30" s="782">
        <f t="shared" si="4"/>
        <v>0</v>
      </c>
      <c r="T30" s="782">
        <f>SUM(T28:T29)</f>
        <v>0</v>
      </c>
      <c r="U30" s="782">
        <f>SUM(U28:U29)</f>
        <v>-1130625</v>
      </c>
      <c r="V30" s="782">
        <f>SUM(V28:V29)</f>
        <v>185884.96499999985</v>
      </c>
      <c r="W30" s="782">
        <f>SUM(W28:W29)</f>
        <v>14898823.704999998</v>
      </c>
      <c r="X30" s="796"/>
      <c r="Y30" s="796"/>
      <c r="Z30" s="796"/>
      <c r="AA30" s="796"/>
      <c r="AB30" s="505"/>
      <c r="AC30" s="505"/>
      <c r="AD30" s="498">
        <v>0</v>
      </c>
      <c r="AE30" s="499">
        <v>0</v>
      </c>
      <c r="AF30" s="511"/>
    </row>
    <row r="31" spans="2:32" ht="12.75">
      <c r="B31" s="743">
        <f>B30+1</f>
        <v>18</v>
      </c>
      <c r="C31" s="744" t="s">
        <v>319</v>
      </c>
      <c r="D31" s="782">
        <f aca="true" t="shared" si="5" ref="D31:W31">D26+D30</f>
        <v>1011530516.2500002</v>
      </c>
      <c r="E31" s="782">
        <f t="shared" si="5"/>
        <v>-43761996.879999995</v>
      </c>
      <c r="F31" s="782">
        <f t="shared" si="5"/>
        <v>0</v>
      </c>
      <c r="G31" s="782">
        <f t="shared" si="5"/>
        <v>-15438475.322029999</v>
      </c>
      <c r="H31" s="782">
        <f t="shared" si="5"/>
        <v>-3488170.7346030003</v>
      </c>
      <c r="I31" s="782">
        <f t="shared" si="5"/>
        <v>3430012.8529400015</v>
      </c>
      <c r="J31" s="782">
        <f t="shared" si="5"/>
        <v>61289792.62711606</v>
      </c>
      <c r="K31" s="782">
        <f t="shared" si="5"/>
        <v>10701390.461596869</v>
      </c>
      <c r="L31" s="778">
        <f t="shared" si="5"/>
        <v>-616470.705163873</v>
      </c>
      <c r="M31" s="778">
        <f t="shared" si="5"/>
        <v>3322459.445153294</v>
      </c>
      <c r="N31" s="782">
        <f t="shared" si="5"/>
        <v>-21345994.17597003</v>
      </c>
      <c r="O31" s="778">
        <f t="shared" si="5"/>
        <v>18367343.041538686</v>
      </c>
      <c r="P31" s="782">
        <f t="shared" si="5"/>
        <v>-388488.48000000004</v>
      </c>
      <c r="Q31" s="782">
        <f>Q26+Q30</f>
        <v>-1035101.1621047809</v>
      </c>
      <c r="R31" s="782">
        <f>R26+R30</f>
        <v>-415904.39575929753</v>
      </c>
      <c r="S31" s="782">
        <f t="shared" si="5"/>
        <v>33261442.29398393</v>
      </c>
      <c r="T31" s="782">
        <f t="shared" si="5"/>
        <v>405346.65329000005</v>
      </c>
      <c r="U31" s="782">
        <f t="shared" si="5"/>
        <v>-1130625</v>
      </c>
      <c r="V31" s="782">
        <f t="shared" si="5"/>
        <v>43156560.519987985</v>
      </c>
      <c r="W31" s="778">
        <f t="shared" si="5"/>
        <v>1054687076.7699881</v>
      </c>
      <c r="X31" s="796"/>
      <c r="Y31" s="796"/>
      <c r="Z31" s="796"/>
      <c r="AA31" s="796"/>
      <c r="AB31" s="505"/>
      <c r="AC31" s="505"/>
      <c r="AD31" s="498">
        <v>0</v>
      </c>
      <c r="AE31" s="499">
        <v>-0.4648698642849922</v>
      </c>
      <c r="AF31" s="511"/>
    </row>
    <row r="32" spans="2:32" ht="12.75">
      <c r="B32" s="743">
        <f>B31+1</f>
        <v>19</v>
      </c>
      <c r="C32" s="744" t="s">
        <v>320</v>
      </c>
      <c r="D32" s="801"/>
      <c r="E32" s="802"/>
      <c r="F32" s="802"/>
      <c r="G32" s="802"/>
      <c r="H32" s="802"/>
      <c r="I32" s="802"/>
      <c r="J32" s="802"/>
      <c r="K32" s="801"/>
      <c r="L32" s="793"/>
      <c r="M32" s="801"/>
      <c r="N32" s="766"/>
      <c r="O32" s="766"/>
      <c r="P32" s="548"/>
      <c r="Q32" s="801"/>
      <c r="R32" s="801"/>
      <c r="S32" s="802"/>
      <c r="T32" s="801"/>
      <c r="U32" s="801"/>
      <c r="V32" s="802"/>
      <c r="W32" s="802"/>
      <c r="X32" s="796"/>
      <c r="Y32" s="796"/>
      <c r="Z32" s="796"/>
      <c r="AA32" s="796"/>
      <c r="AB32" s="505"/>
      <c r="AC32" s="505"/>
      <c r="AD32" s="508"/>
      <c r="AE32" s="499">
        <v>0</v>
      </c>
      <c r="AF32" s="512"/>
    </row>
    <row r="33" spans="2:32" ht="13.5" thickBot="1">
      <c r="B33" s="743"/>
      <c r="C33" s="744"/>
      <c r="D33" s="794">
        <f>594574954.27</f>
        <v>594574954.27</v>
      </c>
      <c r="E33" s="802"/>
      <c r="F33" s="802"/>
      <c r="G33" s="802"/>
      <c r="H33" s="802"/>
      <c r="I33" s="802"/>
      <c r="J33" s="802"/>
      <c r="K33" s="755">
        <v>6264490.204859734</v>
      </c>
      <c r="L33" s="775">
        <v>-11821.970153629998</v>
      </c>
      <c r="M33" s="755">
        <v>0</v>
      </c>
      <c r="N33" s="755">
        <v>-20443597.337499976</v>
      </c>
      <c r="O33" s="755">
        <v>0</v>
      </c>
      <c r="P33" s="755">
        <v>0</v>
      </c>
      <c r="Q33" s="755">
        <v>-991036.4111368877</v>
      </c>
      <c r="R33" s="755">
        <v>-39558.55537765147</v>
      </c>
      <c r="S33" s="755">
        <v>21569842.008104395</v>
      </c>
      <c r="T33" s="755">
        <v>0</v>
      </c>
      <c r="U33" s="755"/>
      <c r="V33" s="797">
        <f>W33-D33</f>
        <v>6348317.938796401</v>
      </c>
      <c r="W33" s="793">
        <f>AA26</f>
        <v>600923272.2087964</v>
      </c>
      <c r="X33" s="513"/>
      <c r="Y33" s="513"/>
      <c r="Z33" s="513"/>
      <c r="AA33" s="513"/>
      <c r="AB33" s="513"/>
      <c r="AC33" s="513"/>
      <c r="AD33" s="514">
        <v>0</v>
      </c>
      <c r="AE33" s="515">
        <v>0</v>
      </c>
      <c r="AF33" s="516"/>
    </row>
    <row r="34" spans="2:32" ht="12.75">
      <c r="B34" s="743">
        <f>B32+1</f>
        <v>20</v>
      </c>
      <c r="C34" s="744" t="s">
        <v>321</v>
      </c>
      <c r="D34" s="801"/>
      <c r="E34" s="802" t="s">
        <v>17</v>
      </c>
      <c r="F34" s="802"/>
      <c r="G34" s="802"/>
      <c r="H34" s="802"/>
      <c r="I34" s="802"/>
      <c r="J34" s="802"/>
      <c r="K34" s="801"/>
      <c r="L34" s="793"/>
      <c r="M34" s="801"/>
      <c r="N34" s="767"/>
      <c r="O34" s="801"/>
      <c r="P34" s="801"/>
      <c r="Q34" s="801"/>
      <c r="R34" s="801"/>
      <c r="S34" s="802"/>
      <c r="T34" s="801"/>
      <c r="U34" s="801"/>
      <c r="V34" s="801"/>
      <c r="W34" s="793">
        <f>Z26</f>
        <v>628503280.8062763</v>
      </c>
      <c r="X34" s="513"/>
      <c r="Y34" s="513"/>
      <c r="Z34" s="513"/>
      <c r="AA34" s="513"/>
      <c r="AB34" s="513"/>
      <c r="AC34" s="513"/>
      <c r="AE34" s="517"/>
      <c r="AF34" s="482"/>
    </row>
    <row r="35" spans="2:29" ht="12.75">
      <c r="B35" s="743">
        <f>B34+1</f>
        <v>21</v>
      </c>
      <c r="C35" s="744" t="s">
        <v>322</v>
      </c>
      <c r="D35" s="803"/>
      <c r="E35" s="796"/>
      <c r="F35" s="796"/>
      <c r="G35" s="796"/>
      <c r="H35" s="796"/>
      <c r="I35" s="796"/>
      <c r="J35" s="796"/>
      <c r="K35" s="796"/>
      <c r="L35" s="796"/>
      <c r="M35" s="803"/>
      <c r="N35" s="803"/>
      <c r="O35" s="803"/>
      <c r="P35" s="803"/>
      <c r="Q35" s="796"/>
      <c r="R35" s="803"/>
      <c r="S35" s="803"/>
      <c r="T35" s="803"/>
      <c r="U35" s="796"/>
      <c r="V35" s="796"/>
      <c r="W35" s="796"/>
      <c r="X35" s="505"/>
      <c r="Y35" s="505"/>
      <c r="Z35" s="505"/>
      <c r="AA35" s="505"/>
      <c r="AB35" s="505"/>
      <c r="AC35" s="505"/>
    </row>
    <row r="36" spans="2:30" ht="12.75">
      <c r="B36" s="746"/>
      <c r="C36" s="744"/>
      <c r="D36" s="804"/>
      <c r="E36" s="805"/>
      <c r="F36" s="806"/>
      <c r="G36" s="805"/>
      <c r="H36" s="805"/>
      <c r="I36" s="805"/>
      <c r="J36" s="805"/>
      <c r="K36" s="805"/>
      <c r="L36" s="805"/>
      <c r="M36" s="804"/>
      <c r="N36" s="804"/>
      <c r="O36" s="805"/>
      <c r="P36" s="804"/>
      <c r="Q36" s="805"/>
      <c r="R36" s="804"/>
      <c r="S36" s="804"/>
      <c r="T36" s="804"/>
      <c r="U36" s="805"/>
      <c r="V36" s="805"/>
      <c r="W36" s="807"/>
      <c r="X36" s="518"/>
      <c r="Y36" s="518"/>
      <c r="Z36" s="518"/>
      <c r="AA36" s="518"/>
      <c r="AB36" s="518"/>
      <c r="AC36" s="518"/>
      <c r="AD36" s="519"/>
    </row>
    <row r="37" spans="2:27" ht="37.5" customHeight="1">
      <c r="B37" s="746"/>
      <c r="C37" s="746"/>
      <c r="U37" s="483"/>
      <c r="AA37" s="505"/>
    </row>
    <row r="38" spans="2:7" ht="27" customHeight="1">
      <c r="B38" s="747" t="s">
        <v>343</v>
      </c>
      <c r="C38" s="748" t="s">
        <v>345</v>
      </c>
      <c r="E38" s="482"/>
      <c r="F38" s="482"/>
      <c r="G38" s="482"/>
    </row>
    <row r="39" spans="2:7" ht="12.75">
      <c r="B39" s="747" t="s">
        <v>344</v>
      </c>
      <c r="C39" s="749" t="s">
        <v>395</v>
      </c>
      <c r="E39" s="482"/>
      <c r="F39" s="482"/>
      <c r="G39" s="482"/>
    </row>
    <row r="40" spans="2:3" ht="25.5" customHeight="1">
      <c r="B40" s="747" t="s">
        <v>346</v>
      </c>
      <c r="C40" s="635" t="s">
        <v>563</v>
      </c>
    </row>
    <row r="41" spans="2:15" ht="12.75">
      <c r="B41" s="747" t="s">
        <v>347</v>
      </c>
      <c r="C41" s="749" t="s">
        <v>564</v>
      </c>
      <c r="O41" s="483"/>
    </row>
    <row r="42" spans="2:26" ht="25.5">
      <c r="B42" s="747" t="s">
        <v>565</v>
      </c>
      <c r="C42" s="635" t="s">
        <v>348</v>
      </c>
      <c r="T42" s="506"/>
      <c r="U42" s="483"/>
      <c r="X42" s="505"/>
      <c r="Y42" s="505"/>
      <c r="Z42" s="505"/>
    </row>
    <row r="44" ht="13.5" thickBot="1"/>
    <row r="45" spans="3:22" ht="12.75">
      <c r="C45" s="520" t="s">
        <v>299</v>
      </c>
      <c r="D45" s="521">
        <v>0</v>
      </c>
      <c r="E45" s="521">
        <v>0</v>
      </c>
      <c r="F45" s="521">
        <v>0</v>
      </c>
      <c r="G45" s="521">
        <v>0</v>
      </c>
      <c r="H45" s="521">
        <v>0</v>
      </c>
      <c r="I45" s="521"/>
      <c r="J45" s="521">
        <v>0</v>
      </c>
      <c r="K45" s="521"/>
      <c r="L45" s="521"/>
      <c r="M45" s="522">
        <v>0</v>
      </c>
      <c r="N45" s="522"/>
      <c r="O45" s="521">
        <v>0</v>
      </c>
      <c r="P45" s="522">
        <v>0</v>
      </c>
      <c r="Q45" s="521">
        <v>0</v>
      </c>
      <c r="R45" s="522"/>
      <c r="S45" s="522"/>
      <c r="T45" s="522">
        <v>0</v>
      </c>
      <c r="U45" s="523">
        <v>0</v>
      </c>
      <c r="V45" s="499"/>
    </row>
    <row r="46" spans="3:22" ht="12.75">
      <c r="C46" s="508" t="s">
        <v>299</v>
      </c>
      <c r="D46" s="505">
        <v>0</v>
      </c>
      <c r="E46" s="505">
        <v>0</v>
      </c>
      <c r="F46" s="505">
        <v>0</v>
      </c>
      <c r="G46" s="505">
        <v>0</v>
      </c>
      <c r="H46" s="505">
        <v>0</v>
      </c>
      <c r="I46" s="505"/>
      <c r="J46" s="505">
        <v>0</v>
      </c>
      <c r="K46" s="505"/>
      <c r="L46" s="505"/>
      <c r="M46" s="505">
        <v>0</v>
      </c>
      <c r="N46" s="505"/>
      <c r="O46" s="505">
        <v>0</v>
      </c>
      <c r="P46" s="510">
        <v>0</v>
      </c>
      <c r="Q46" s="505">
        <v>0</v>
      </c>
      <c r="R46" s="510"/>
      <c r="S46" s="510"/>
      <c r="T46" s="510">
        <v>0</v>
      </c>
      <c r="U46" s="524">
        <v>0</v>
      </c>
      <c r="V46" s="481"/>
    </row>
    <row r="47" spans="3:22" ht="13.5" thickBot="1">
      <c r="C47" s="525" t="s">
        <v>349</v>
      </c>
      <c r="D47" s="526"/>
      <c r="E47" s="527"/>
      <c r="F47" s="528"/>
      <c r="G47" s="527"/>
      <c r="H47" s="527"/>
      <c r="I47" s="527"/>
      <c r="J47" s="527"/>
      <c r="K47" s="527"/>
      <c r="L47" s="527"/>
      <c r="M47" s="526"/>
      <c r="N47" s="526"/>
      <c r="O47" s="527"/>
      <c r="P47" s="526"/>
      <c r="Q47" s="527"/>
      <c r="R47" s="526"/>
      <c r="S47" s="526"/>
      <c r="T47" s="526"/>
      <c r="U47" s="529">
        <v>1.0453570000000005</v>
      </c>
      <c r="V47" s="530"/>
    </row>
  </sheetData>
  <sheetProtection/>
  <mergeCells count="3">
    <mergeCell ref="B2:C2"/>
    <mergeCell ref="B4:C4"/>
    <mergeCell ref="Z6:AB6"/>
  </mergeCells>
  <printOptions horizontalCentered="1"/>
  <pageMargins left="0" right="0" top="0.7" bottom="0.75" header="0.5" footer="0.5"/>
  <pageSetup blackAndWhite="1" fitToWidth="2" horizontalDpi="300" verticalDpi="300" orientation="landscape" scale="75" r:id="rId1"/>
  <headerFooter alignWithMargins="0">
    <oddFooter>&amp;L&amp;F  &amp;A&amp;C&amp;P&amp;R&amp;D</oddFooter>
  </headerFooter>
  <colBreaks count="1" manualBreakCount="1">
    <brk id="15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88" zoomScaleNormal="88" zoomScalePageLayoutView="0" workbookViewId="0" topLeftCell="C1">
      <pane xSplit="1" ySplit="10" topLeftCell="D11" activePane="bottomRight" state="frozen"/>
      <selection pane="topLeft" activeCell="B4" sqref="B4"/>
      <selection pane="topRight" activeCell="B4" sqref="B4"/>
      <selection pane="bottomLeft" activeCell="B4" sqref="B4"/>
      <selection pane="bottomRight" activeCell="E46" sqref="E46"/>
    </sheetView>
  </sheetViews>
  <sheetFormatPr defaultColWidth="9.33203125" defaultRowHeight="10.5"/>
  <cols>
    <col min="1" max="1" width="2.83203125" style="812" customWidth="1"/>
    <col min="2" max="2" width="6.5" style="812" customWidth="1"/>
    <col min="3" max="3" width="53.33203125" style="812" bestFit="1" customWidth="1"/>
    <col min="4" max="4" width="20" style="836" bestFit="1" customWidth="1"/>
    <col min="5" max="5" width="18.16015625" style="812" bestFit="1" customWidth="1"/>
    <col min="6" max="6" width="18.33203125" style="812" bestFit="1" customWidth="1"/>
    <col min="7" max="7" width="18.16015625" style="812" bestFit="1" customWidth="1"/>
    <col min="8" max="8" width="20.33203125" style="812" customWidth="1"/>
    <col min="9" max="9" width="15.16015625" style="812" customWidth="1"/>
    <col min="10" max="10" width="22" style="812" customWidth="1"/>
    <col min="11" max="11" width="17.33203125" style="836" customWidth="1"/>
    <col min="12" max="12" width="16.66015625" style="812" bestFit="1" customWidth="1"/>
    <col min="13" max="13" width="13.5" style="812" bestFit="1" customWidth="1"/>
    <col min="14" max="14" width="16" style="836" bestFit="1" customWidth="1"/>
    <col min="15" max="15" width="17.5" style="836" bestFit="1" customWidth="1"/>
    <col min="16" max="16" width="16.66015625" style="812" bestFit="1" customWidth="1"/>
    <col min="17" max="17" width="20" style="812" bestFit="1" customWidth="1"/>
    <col min="18" max="18" width="21.5" style="813" customWidth="1"/>
    <col min="19" max="19" width="20.33203125" style="812" customWidth="1"/>
    <col min="20" max="20" width="8.16015625" style="812" bestFit="1" customWidth="1"/>
    <col min="21" max="21" width="15" style="813" customWidth="1"/>
    <col min="22" max="16384" width="9.33203125" style="812" customWidth="1"/>
  </cols>
  <sheetData>
    <row r="1" spans="1:18" ht="12.75">
      <c r="A1" s="808"/>
      <c r="B1" s="809"/>
      <c r="C1" s="808"/>
      <c r="D1" s="810"/>
      <c r="E1" s="962" t="s">
        <v>278</v>
      </c>
      <c r="F1" s="962"/>
      <c r="G1" s="808"/>
      <c r="K1" s="810"/>
      <c r="L1" s="808"/>
      <c r="M1" s="808"/>
      <c r="N1" s="810"/>
      <c r="O1" s="810"/>
      <c r="P1" s="808"/>
      <c r="Q1" s="808"/>
      <c r="R1" s="811"/>
    </row>
    <row r="2" spans="1:18" ht="12.75">
      <c r="A2" s="808"/>
      <c r="B2" s="962"/>
      <c r="C2" s="962"/>
      <c r="D2" s="810"/>
      <c r="E2" s="962" t="s">
        <v>566</v>
      </c>
      <c r="F2" s="962"/>
      <c r="G2" s="808"/>
      <c r="K2" s="810"/>
      <c r="L2" s="808"/>
      <c r="M2" s="808"/>
      <c r="N2" s="810"/>
      <c r="O2" s="810"/>
      <c r="P2" s="808"/>
      <c r="Q2" s="808"/>
      <c r="R2" s="811"/>
    </row>
    <row r="3" spans="2:18" ht="12.75">
      <c r="B3" s="808"/>
      <c r="C3" s="808"/>
      <c r="D3" s="810"/>
      <c r="E3" s="850" t="s">
        <v>387</v>
      </c>
      <c r="F3" s="814"/>
      <c r="G3" s="810"/>
      <c r="J3" s="850"/>
      <c r="K3" s="810"/>
      <c r="L3" s="808"/>
      <c r="M3" s="808"/>
      <c r="N3" s="810"/>
      <c r="O3" s="810"/>
      <c r="P3" s="808"/>
      <c r="Q3" s="808"/>
      <c r="R3" s="811"/>
    </row>
    <row r="4" spans="2:18" ht="12.75">
      <c r="B4" s="809"/>
      <c r="C4" s="808"/>
      <c r="D4" s="810"/>
      <c r="E4" s="850" t="s">
        <v>567</v>
      </c>
      <c r="F4" s="808"/>
      <c r="G4" s="808"/>
      <c r="J4" s="850"/>
      <c r="K4" s="810"/>
      <c r="L4" s="808"/>
      <c r="M4" s="808"/>
      <c r="N4" s="810"/>
      <c r="O4" s="810"/>
      <c r="P4" s="808"/>
      <c r="Q4" s="808"/>
      <c r="R4" s="811"/>
    </row>
    <row r="5" spans="2:18" ht="12.75">
      <c r="B5" s="808"/>
      <c r="C5" s="808"/>
      <c r="D5" s="810"/>
      <c r="E5" s="808"/>
      <c r="F5" s="815"/>
      <c r="G5" s="810"/>
      <c r="H5" s="810"/>
      <c r="I5" s="810"/>
      <c r="J5" s="810"/>
      <c r="K5" s="810"/>
      <c r="L5" s="808"/>
      <c r="M5" s="808"/>
      <c r="N5" s="810"/>
      <c r="O5" s="810"/>
      <c r="P5" s="808"/>
      <c r="Q5" s="808"/>
      <c r="R5" s="816"/>
    </row>
    <row r="6" spans="2:18" ht="12.75">
      <c r="B6" s="817" t="s">
        <v>388</v>
      </c>
      <c r="D6" s="810"/>
      <c r="E6" s="808"/>
      <c r="F6" s="818"/>
      <c r="G6" s="810"/>
      <c r="H6" s="818"/>
      <c r="I6" s="818"/>
      <c r="J6" s="818"/>
      <c r="K6" s="810"/>
      <c r="L6" s="808"/>
      <c r="M6" s="808"/>
      <c r="N6" s="810"/>
      <c r="O6" s="810"/>
      <c r="P6" s="808"/>
      <c r="Q6" s="808"/>
      <c r="R6" s="816"/>
    </row>
    <row r="7" spans="3:21" s="819" customFormat="1" ht="12.75">
      <c r="C7" s="820"/>
      <c r="D7" s="764"/>
      <c r="E7" s="765"/>
      <c r="F7" s="764" t="s">
        <v>279</v>
      </c>
      <c r="G7" s="764"/>
      <c r="H7" s="612"/>
      <c r="I7" s="612"/>
      <c r="J7" s="612"/>
      <c r="K7" s="760"/>
      <c r="L7" s="746"/>
      <c r="M7" s="746"/>
      <c r="N7" s="612"/>
      <c r="O7" s="746"/>
      <c r="P7" s="746"/>
      <c r="Q7" s="612"/>
      <c r="R7" s="746"/>
      <c r="S7" s="746"/>
      <c r="U7" s="821"/>
    </row>
    <row r="8" spans="3:21" s="819" customFormat="1" ht="12.75">
      <c r="C8" s="822"/>
      <c r="D8" s="760" t="s">
        <v>280</v>
      </c>
      <c r="E8" s="761" t="s">
        <v>281</v>
      </c>
      <c r="F8" s="760" t="s">
        <v>282</v>
      </c>
      <c r="G8" s="764"/>
      <c r="H8" s="760" t="s">
        <v>272</v>
      </c>
      <c r="I8" s="760" t="s">
        <v>585</v>
      </c>
      <c r="J8" s="853" t="s">
        <v>429</v>
      </c>
      <c r="K8" s="760" t="s">
        <v>570</v>
      </c>
      <c r="L8" s="854" t="s">
        <v>571</v>
      </c>
      <c r="M8" s="760" t="s">
        <v>572</v>
      </c>
      <c r="N8" s="760" t="s">
        <v>586</v>
      </c>
      <c r="O8" s="761" t="s">
        <v>283</v>
      </c>
      <c r="P8" s="761"/>
      <c r="Q8" s="760" t="s">
        <v>281</v>
      </c>
      <c r="R8" s="761"/>
      <c r="S8" s="761"/>
      <c r="T8" s="821"/>
      <c r="U8" s="824"/>
    </row>
    <row r="9" spans="2:21" s="819" customFormat="1" ht="12.75">
      <c r="B9" s="823"/>
      <c r="C9" s="822"/>
      <c r="D9" s="760" t="s">
        <v>284</v>
      </c>
      <c r="E9" s="760" t="s">
        <v>285</v>
      </c>
      <c r="F9" s="760" t="s">
        <v>286</v>
      </c>
      <c r="G9" s="764" t="s">
        <v>281</v>
      </c>
      <c r="H9" s="760" t="s">
        <v>287</v>
      </c>
      <c r="I9" s="760" t="s">
        <v>569</v>
      </c>
      <c r="J9" s="760" t="s">
        <v>576</v>
      </c>
      <c r="K9" s="760" t="s">
        <v>577</v>
      </c>
      <c r="L9" s="760" t="s">
        <v>578</v>
      </c>
      <c r="M9" s="760" t="s">
        <v>579</v>
      </c>
      <c r="N9" s="760" t="s">
        <v>580</v>
      </c>
      <c r="O9" s="761" t="s">
        <v>288</v>
      </c>
      <c r="P9" s="761" t="s">
        <v>587</v>
      </c>
      <c r="Q9" s="760" t="s">
        <v>390</v>
      </c>
      <c r="R9" s="761" t="s">
        <v>290</v>
      </c>
      <c r="S9" s="761" t="s">
        <v>291</v>
      </c>
      <c r="T9" s="823"/>
      <c r="U9" s="825"/>
    </row>
    <row r="10" spans="2:21" s="819" customFormat="1" ht="12.75">
      <c r="B10" s="826" t="s">
        <v>292</v>
      </c>
      <c r="C10" s="826" t="s">
        <v>293</v>
      </c>
      <c r="D10" s="852" t="s">
        <v>211</v>
      </c>
      <c r="E10" s="763" t="s">
        <v>295</v>
      </c>
      <c r="F10" s="852" t="s">
        <v>294</v>
      </c>
      <c r="G10" s="852" t="s">
        <v>296</v>
      </c>
      <c r="H10" s="852" t="s">
        <v>297</v>
      </c>
      <c r="I10" s="852" t="s">
        <v>298</v>
      </c>
      <c r="J10" s="852" t="s">
        <v>298</v>
      </c>
      <c r="K10" s="852" t="s">
        <v>298</v>
      </c>
      <c r="L10" s="852" t="s">
        <v>298</v>
      </c>
      <c r="M10" s="852" t="s">
        <v>298</v>
      </c>
      <c r="N10" s="852" t="s">
        <v>298</v>
      </c>
      <c r="O10" s="763" t="s">
        <v>298</v>
      </c>
      <c r="P10" s="763" t="s">
        <v>298</v>
      </c>
      <c r="Q10" s="852" t="s">
        <v>211</v>
      </c>
      <c r="R10" s="763" t="s">
        <v>297</v>
      </c>
      <c r="S10" s="763" t="s">
        <v>211</v>
      </c>
      <c r="T10" s="822"/>
      <c r="U10" s="825"/>
    </row>
    <row r="11" spans="2:21" s="820" customFormat="1" ht="12.75">
      <c r="B11" s="822"/>
      <c r="C11" s="822" t="s">
        <v>300</v>
      </c>
      <c r="D11" s="760" t="s">
        <v>301</v>
      </c>
      <c r="E11" s="760" t="s">
        <v>302</v>
      </c>
      <c r="F11" s="760" t="s">
        <v>303</v>
      </c>
      <c r="G11" s="760" t="s">
        <v>304</v>
      </c>
      <c r="H11" s="760" t="s">
        <v>305</v>
      </c>
      <c r="I11" s="760" t="s">
        <v>588</v>
      </c>
      <c r="J11" s="760" t="s">
        <v>308</v>
      </c>
      <c r="K11" s="760" t="s">
        <v>307</v>
      </c>
      <c r="L11" s="760" t="s">
        <v>309</v>
      </c>
      <c r="M11" s="760" t="s">
        <v>310</v>
      </c>
      <c r="N11" s="760" t="s">
        <v>311</v>
      </c>
      <c r="O11" s="760" t="s">
        <v>338</v>
      </c>
      <c r="P11" s="760" t="s">
        <v>312</v>
      </c>
      <c r="Q11" s="760" t="s">
        <v>313</v>
      </c>
      <c r="R11" s="760" t="s">
        <v>328</v>
      </c>
      <c r="S11" s="760" t="s">
        <v>329</v>
      </c>
      <c r="T11" s="827"/>
      <c r="U11" s="828"/>
    </row>
    <row r="12" spans="2:21" s="820" customFormat="1" ht="12.75">
      <c r="B12" s="820">
        <v>1</v>
      </c>
      <c r="C12" s="851" t="s">
        <v>314</v>
      </c>
      <c r="D12" s="755">
        <v>648643599.5052888</v>
      </c>
      <c r="E12" s="755">
        <v>-26078069.69</v>
      </c>
      <c r="F12" s="755">
        <v>-905147.36</v>
      </c>
      <c r="G12" s="755">
        <v>27274130.386022914</v>
      </c>
      <c r="H12" s="755">
        <v>8386186.233808247</v>
      </c>
      <c r="I12" s="755">
        <v>0</v>
      </c>
      <c r="J12" s="755">
        <v>2435582.66102</v>
      </c>
      <c r="K12" s="755">
        <v>-12400562.42282</v>
      </c>
      <c r="L12" s="755">
        <v>13036953.0615</v>
      </c>
      <c r="M12" s="755">
        <v>0</v>
      </c>
      <c r="N12" s="755">
        <v>0</v>
      </c>
      <c r="O12" s="755">
        <v>23283584.670949817</v>
      </c>
      <c r="P12" s="755">
        <v>257578.14697</v>
      </c>
      <c r="Q12" s="755">
        <v>0</v>
      </c>
      <c r="R12" s="773">
        <f aca="true" t="shared" si="0" ref="R12:R22">S12-D12</f>
        <v>35290235.687451124</v>
      </c>
      <c r="S12" s="827">
        <v>683933835.19274</v>
      </c>
      <c r="T12" s="827"/>
      <c r="U12" s="830"/>
    </row>
    <row r="13" spans="2:21" s="820" customFormat="1" ht="12.75">
      <c r="B13" s="820">
        <f aca="true" t="shared" si="1" ref="B13:B22">B12+1</f>
        <v>2</v>
      </c>
      <c r="C13" s="745" t="s">
        <v>396</v>
      </c>
      <c r="D13" s="757">
        <v>216178371.8492408</v>
      </c>
      <c r="E13" s="757">
        <v>-10889189.93</v>
      </c>
      <c r="F13" s="757">
        <v>-227755.08500000002</v>
      </c>
      <c r="G13" s="757">
        <v>10091522.209934942</v>
      </c>
      <c r="H13" s="757">
        <v>2498876.6034942777</v>
      </c>
      <c r="I13" s="757">
        <v>0</v>
      </c>
      <c r="J13" s="757">
        <v>636174.412250042</v>
      </c>
      <c r="K13" s="757">
        <v>-4683388.19592005</v>
      </c>
      <c r="L13" s="757">
        <v>3819257.426399976</v>
      </c>
      <c r="M13" s="757">
        <v>0</v>
      </c>
      <c r="N13" s="757">
        <v>4155266.8849224364</v>
      </c>
      <c r="O13" s="757">
        <v>8285263.291077592</v>
      </c>
      <c r="P13" s="757">
        <v>93098.043</v>
      </c>
      <c r="Q13" s="757">
        <v>0</v>
      </c>
      <c r="R13" s="876">
        <f t="shared" si="0"/>
        <v>13779125.6601592</v>
      </c>
      <c r="S13" s="827">
        <v>229957497.5094</v>
      </c>
      <c r="T13" s="827"/>
      <c r="U13" s="830"/>
    </row>
    <row r="14" spans="2:21" s="820" customFormat="1" ht="12.75">
      <c r="B14" s="820">
        <f t="shared" si="1"/>
        <v>3</v>
      </c>
      <c r="C14" s="851" t="s">
        <v>232</v>
      </c>
      <c r="D14" s="757">
        <v>71683485.46598062</v>
      </c>
      <c r="E14" s="757">
        <v>-3621856.71</v>
      </c>
      <c r="F14" s="757">
        <v>-23187.49</v>
      </c>
      <c r="G14" s="757">
        <v>4801994.971909094</v>
      </c>
      <c r="H14" s="757">
        <v>-1051028.1260797232</v>
      </c>
      <c r="I14" s="757">
        <v>0</v>
      </c>
      <c r="J14" s="757">
        <v>96441.99457000196</v>
      </c>
      <c r="K14" s="757">
        <v>-2444165.1319399774</v>
      </c>
      <c r="L14" s="757">
        <v>660646.6925799847</v>
      </c>
      <c r="M14" s="757">
        <v>0</v>
      </c>
      <c r="N14" s="757">
        <v>-5980051.309826006</v>
      </c>
      <c r="O14" s="757">
        <v>759944.1894660043</v>
      </c>
      <c r="P14" s="757">
        <v>28522.98537</v>
      </c>
      <c r="Q14" s="757">
        <v>0</v>
      </c>
      <c r="R14" s="876">
        <f t="shared" si="0"/>
        <v>-6772737.933950618</v>
      </c>
      <c r="S14" s="827">
        <v>64910747.53203</v>
      </c>
      <c r="T14" s="827"/>
      <c r="U14" s="830"/>
    </row>
    <row r="15" spans="2:21" s="820" customFormat="1" ht="12.75">
      <c r="B15" s="820">
        <f t="shared" si="1"/>
        <v>4</v>
      </c>
      <c r="C15" s="744" t="s">
        <v>355</v>
      </c>
      <c r="D15" s="757">
        <v>1249750.9656922717</v>
      </c>
      <c r="E15" s="757">
        <v>-57184.99412615598</v>
      </c>
      <c r="F15" s="757">
        <v>-4567.33</v>
      </c>
      <c r="G15" s="757">
        <v>-3158.3317470717757</v>
      </c>
      <c r="H15" s="757">
        <v>-35514.34800904384</v>
      </c>
      <c r="I15" s="757">
        <v>0</v>
      </c>
      <c r="J15" s="757">
        <v>4766.945450000232</v>
      </c>
      <c r="K15" s="757">
        <v>0</v>
      </c>
      <c r="L15" s="757">
        <v>43114.4293399998</v>
      </c>
      <c r="M15" s="757">
        <v>0</v>
      </c>
      <c r="N15" s="757">
        <v>436763.9358157439</v>
      </c>
      <c r="O15" s="757">
        <v>2198.3353042562376</v>
      </c>
      <c r="P15" s="757">
        <v>0</v>
      </c>
      <c r="Q15" s="757">
        <v>0</v>
      </c>
      <c r="R15" s="876">
        <f t="shared" si="0"/>
        <v>386418.6420277278</v>
      </c>
      <c r="S15" s="827">
        <v>1636169.6077199995</v>
      </c>
      <c r="T15" s="827"/>
      <c r="U15" s="830"/>
    </row>
    <row r="16" spans="2:21" s="820" customFormat="1" ht="12.75">
      <c r="B16" s="820">
        <f t="shared" si="1"/>
        <v>5</v>
      </c>
      <c r="C16" s="851" t="s">
        <v>231</v>
      </c>
      <c r="D16" s="757">
        <v>13142638.370200474</v>
      </c>
      <c r="E16" s="757">
        <v>-510346.01</v>
      </c>
      <c r="F16" s="757">
        <v>0</v>
      </c>
      <c r="G16" s="757">
        <v>1046443.3973542786</v>
      </c>
      <c r="H16" s="757">
        <v>-11744.864844750613</v>
      </c>
      <c r="I16" s="757">
        <v>0</v>
      </c>
      <c r="J16" s="757">
        <v>6865.458300000057</v>
      </c>
      <c r="K16" s="757">
        <v>-521703.8014200013</v>
      </c>
      <c r="L16" s="757">
        <v>46068.265029998496</v>
      </c>
      <c r="M16" s="757">
        <v>-3601.78</v>
      </c>
      <c r="N16" s="757">
        <v>0</v>
      </c>
      <c r="O16" s="757">
        <v>253251.46997000158</v>
      </c>
      <c r="P16" s="757">
        <v>7259.62776</v>
      </c>
      <c r="Q16" s="757">
        <v>0</v>
      </c>
      <c r="R16" s="876">
        <f t="shared" si="0"/>
        <v>312491.7621495258</v>
      </c>
      <c r="S16" s="827">
        <v>13455130.13235</v>
      </c>
      <c r="T16" s="827"/>
      <c r="U16" s="830"/>
    </row>
    <row r="17" spans="2:21" s="820" customFormat="1" ht="12.75">
      <c r="B17" s="820">
        <f t="shared" si="1"/>
        <v>6</v>
      </c>
      <c r="C17" s="744" t="s">
        <v>356</v>
      </c>
      <c r="D17" s="757">
        <v>7467604.959017717</v>
      </c>
      <c r="E17" s="757">
        <v>-372627.7530035903</v>
      </c>
      <c r="F17" s="757">
        <v>-10081.7</v>
      </c>
      <c r="G17" s="757">
        <v>-17954.95570699268</v>
      </c>
      <c r="H17" s="757">
        <v>-82654.26802713331</v>
      </c>
      <c r="I17" s="757">
        <v>0</v>
      </c>
      <c r="J17" s="757">
        <v>21820.781400000677</v>
      </c>
      <c r="K17" s="757">
        <v>0</v>
      </c>
      <c r="L17" s="757">
        <v>168728.1923299972</v>
      </c>
      <c r="M17" s="757">
        <v>-384886.7</v>
      </c>
      <c r="N17" s="757">
        <v>-73143.36118765</v>
      </c>
      <c r="O17" s="757">
        <v>-0.04810234915930778</v>
      </c>
      <c r="P17" s="757">
        <v>0</v>
      </c>
      <c r="Q17" s="757">
        <v>0</v>
      </c>
      <c r="R17" s="876">
        <f t="shared" si="0"/>
        <v>-750799.8122977167</v>
      </c>
      <c r="S17" s="827">
        <v>6716805.146720001</v>
      </c>
      <c r="T17" s="827"/>
      <c r="U17" s="830"/>
    </row>
    <row r="18" spans="2:21" s="820" customFormat="1" ht="12.75">
      <c r="B18" s="820">
        <f t="shared" si="1"/>
        <v>7</v>
      </c>
      <c r="C18" s="851" t="s">
        <v>233</v>
      </c>
      <c r="D18" s="757">
        <v>11902949.430733029</v>
      </c>
      <c r="E18" s="757">
        <v>-621833.05</v>
      </c>
      <c r="F18" s="757">
        <v>0</v>
      </c>
      <c r="G18" s="757">
        <v>803355.8989610425</v>
      </c>
      <c r="H18" s="757">
        <v>310086.0183959305</v>
      </c>
      <c r="I18" s="757">
        <v>0</v>
      </c>
      <c r="J18" s="757">
        <v>12773.714999999851</v>
      </c>
      <c r="K18" s="757">
        <v>-392694.1865100004</v>
      </c>
      <c r="L18" s="757">
        <v>70812.78636999987</v>
      </c>
      <c r="M18" s="757">
        <v>0</v>
      </c>
      <c r="N18" s="757">
        <v>0</v>
      </c>
      <c r="O18" s="757">
        <v>302794.3715500012</v>
      </c>
      <c r="P18" s="757">
        <v>5972.51854</v>
      </c>
      <c r="Q18" s="757">
        <v>0</v>
      </c>
      <c r="R18" s="876">
        <f t="shared" si="0"/>
        <v>491268.072306972</v>
      </c>
      <c r="S18" s="827">
        <v>12394217.50304</v>
      </c>
      <c r="T18" s="827"/>
      <c r="U18" s="830"/>
    </row>
    <row r="19" spans="2:21" s="820" customFormat="1" ht="12.75">
      <c r="B19" s="820">
        <f t="shared" si="1"/>
        <v>8</v>
      </c>
      <c r="C19" s="744" t="s">
        <v>562</v>
      </c>
      <c r="D19" s="757">
        <v>6923.7635238233515</v>
      </c>
      <c r="E19" s="757">
        <v>-396.4831662977959</v>
      </c>
      <c r="F19" s="757">
        <v>0</v>
      </c>
      <c r="G19" s="757">
        <v>-4.68</v>
      </c>
      <c r="H19" s="757">
        <v>-192.18315752555463</v>
      </c>
      <c r="I19" s="757">
        <v>0</v>
      </c>
      <c r="J19" s="757">
        <v>0</v>
      </c>
      <c r="K19" s="757">
        <v>0</v>
      </c>
      <c r="L19" s="757">
        <v>153.33090999999877</v>
      </c>
      <c r="M19" s="757">
        <v>0</v>
      </c>
      <c r="N19" s="757">
        <v>10158.292411397</v>
      </c>
      <c r="O19" s="757">
        <v>0.019518602999596624</v>
      </c>
      <c r="P19" s="757">
        <v>0</v>
      </c>
      <c r="Q19" s="757">
        <v>0</v>
      </c>
      <c r="R19" s="876">
        <f t="shared" si="0"/>
        <v>9718.296516176651</v>
      </c>
      <c r="S19" s="827">
        <v>16642.060040000004</v>
      </c>
      <c r="T19" s="827"/>
      <c r="U19" s="830"/>
    </row>
    <row r="20" spans="2:21" s="820" customFormat="1" ht="12.75">
      <c r="B20" s="820">
        <f t="shared" si="1"/>
        <v>9</v>
      </c>
      <c r="C20" s="851" t="s">
        <v>234</v>
      </c>
      <c r="D20" s="757">
        <v>20554073.97748018</v>
      </c>
      <c r="E20" s="757">
        <v>-873287.6</v>
      </c>
      <c r="F20" s="757">
        <v>0</v>
      </c>
      <c r="G20" s="757">
        <v>1750345.745444011</v>
      </c>
      <c r="H20" s="757">
        <v>612359.0029658116</v>
      </c>
      <c r="I20" s="757">
        <v>0</v>
      </c>
      <c r="J20" s="757">
        <v>6288.817469999194</v>
      </c>
      <c r="K20" s="757">
        <v>-903480.4373599961</v>
      </c>
      <c r="L20" s="757">
        <v>39577.2384499982</v>
      </c>
      <c r="M20" s="757">
        <v>0</v>
      </c>
      <c r="N20" s="757">
        <v>0</v>
      </c>
      <c r="O20" s="757">
        <v>353348.3100000024</v>
      </c>
      <c r="P20" s="757">
        <v>12915.33165</v>
      </c>
      <c r="Q20" s="757">
        <v>0</v>
      </c>
      <c r="R20" s="876">
        <f t="shared" si="0"/>
        <v>998066.4086198211</v>
      </c>
      <c r="S20" s="827">
        <v>21552140.3861</v>
      </c>
      <c r="T20" s="827"/>
      <c r="U20" s="830"/>
    </row>
    <row r="21" spans="2:21" s="820" customFormat="1" ht="12.75">
      <c r="B21" s="820">
        <f t="shared" si="1"/>
        <v>10</v>
      </c>
      <c r="C21" s="744" t="s">
        <v>357</v>
      </c>
      <c r="D21" s="757">
        <v>4354353.36626471</v>
      </c>
      <c r="E21" s="757">
        <v>-262337.489703956</v>
      </c>
      <c r="F21" s="757">
        <v>-36143.66</v>
      </c>
      <c r="G21" s="757">
        <v>29725.457900843903</v>
      </c>
      <c r="H21" s="757">
        <v>-20001.0420215982</v>
      </c>
      <c r="I21" s="757">
        <v>-616470.705163873</v>
      </c>
      <c r="J21" s="757">
        <v>11434.391433250392</v>
      </c>
      <c r="K21" s="757">
        <v>0</v>
      </c>
      <c r="L21" s="757">
        <v>83714.54862873163</v>
      </c>
      <c r="M21" s="757">
        <v>0</v>
      </c>
      <c r="N21" s="757">
        <v>0</v>
      </c>
      <c r="O21" s="757">
        <v>12177.270360000897</v>
      </c>
      <c r="P21" s="757">
        <v>0</v>
      </c>
      <c r="Q21" s="757">
        <v>0</v>
      </c>
      <c r="R21" s="876">
        <f t="shared" si="0"/>
        <v>-797901.2285666005</v>
      </c>
      <c r="S21" s="827">
        <v>3556452.1376981097</v>
      </c>
      <c r="T21" s="827"/>
      <c r="U21" s="830"/>
    </row>
    <row r="22" spans="2:21" s="820" customFormat="1" ht="12.75">
      <c r="B22" s="820">
        <f t="shared" si="1"/>
        <v>11</v>
      </c>
      <c r="C22" s="851" t="s">
        <v>315</v>
      </c>
      <c r="D22" s="875">
        <v>1633825.8565776236</v>
      </c>
      <c r="E22" s="875">
        <v>-84921.87</v>
      </c>
      <c r="F22" s="875">
        <v>0</v>
      </c>
      <c r="G22" s="875">
        <v>16759.32335</v>
      </c>
      <c r="H22" s="875">
        <v>28069.365072376328</v>
      </c>
      <c r="I22" s="875">
        <v>0</v>
      </c>
      <c r="J22" s="875">
        <v>39035.60825999989</v>
      </c>
      <c r="K22" s="875">
        <v>0</v>
      </c>
      <c r="L22" s="875">
        <v>16967.159999999683</v>
      </c>
      <c r="M22" s="875">
        <v>0</v>
      </c>
      <c r="N22" s="875">
        <v>0</v>
      </c>
      <c r="O22" s="875">
        <v>8880.413889999967</v>
      </c>
      <c r="P22" s="875">
        <v>0</v>
      </c>
      <c r="Q22" s="875">
        <v>0</v>
      </c>
      <c r="R22" s="877">
        <f t="shared" si="0"/>
        <v>24790.000572376186</v>
      </c>
      <c r="S22" s="881">
        <v>1658615.8571499998</v>
      </c>
      <c r="T22" s="827"/>
      <c r="U22" s="831"/>
    </row>
    <row r="23" spans="3:21" s="820" customFormat="1" ht="12.75">
      <c r="C23" s="851" t="s">
        <v>316</v>
      </c>
      <c r="D23" s="832">
        <f>SUM(D12:D22)</f>
        <v>996817577.5100002</v>
      </c>
      <c r="E23" s="832">
        <f aca="true" t="shared" si="2" ref="E23:N23">SUM(E12:E22)</f>
        <v>-43372051.58</v>
      </c>
      <c r="F23" s="832">
        <f t="shared" si="2"/>
        <v>-1206882.625</v>
      </c>
      <c r="G23" s="832">
        <f t="shared" si="2"/>
        <v>45793159.42342306</v>
      </c>
      <c r="H23" s="832">
        <f t="shared" si="2"/>
        <v>10634442.391596869</v>
      </c>
      <c r="I23" s="832">
        <f t="shared" si="2"/>
        <v>-616470.705163873</v>
      </c>
      <c r="J23" s="832">
        <f t="shared" si="2"/>
        <v>3271184.785153294</v>
      </c>
      <c r="K23" s="832">
        <f t="shared" si="2"/>
        <v>-21345994.17597003</v>
      </c>
      <c r="L23" s="832">
        <f t="shared" si="2"/>
        <v>17985993.13153869</v>
      </c>
      <c r="M23" s="832">
        <f t="shared" si="2"/>
        <v>-388488.48000000004</v>
      </c>
      <c r="N23" s="832">
        <f t="shared" si="2"/>
        <v>-1451005.557864079</v>
      </c>
      <c r="O23" s="832">
        <f>SUM(O12:O22)</f>
        <v>33261442.29398393</v>
      </c>
      <c r="P23" s="832">
        <f>SUM(P12:P22)</f>
        <v>405346.65329000005</v>
      </c>
      <c r="Q23" s="832">
        <f>SUM(Q12:Q22)</f>
        <v>0</v>
      </c>
      <c r="R23" s="832">
        <f>SUM(R12:R22)</f>
        <v>42970675.55498799</v>
      </c>
      <c r="S23" s="832">
        <f>SUM(S12:S22)</f>
        <v>1039788253.064988</v>
      </c>
      <c r="T23" s="827"/>
      <c r="U23" s="833"/>
    </row>
    <row r="24" spans="3:21" s="820" customFormat="1" ht="12.75">
      <c r="C24" s="851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T24" s="827"/>
      <c r="U24" s="833"/>
    </row>
    <row r="25" spans="2:21" s="820" customFormat="1" ht="12.75">
      <c r="B25" s="820">
        <f>B22+1</f>
        <v>12</v>
      </c>
      <c r="C25" s="829" t="s">
        <v>317</v>
      </c>
      <c r="D25" s="791">
        <v>8029154.199999999</v>
      </c>
      <c r="E25" s="791">
        <v>-389945.3</v>
      </c>
      <c r="F25" s="791">
        <v>0</v>
      </c>
      <c r="G25" s="791">
        <v>0</v>
      </c>
      <c r="H25" s="791">
        <v>66948.07000000123</v>
      </c>
      <c r="I25" s="791">
        <v>0</v>
      </c>
      <c r="J25" s="791">
        <v>51274.66000000015</v>
      </c>
      <c r="K25" s="791">
        <v>0</v>
      </c>
      <c r="L25" s="791">
        <v>381349.9099999983</v>
      </c>
      <c r="M25" s="791">
        <v>0</v>
      </c>
      <c r="N25" s="791">
        <v>0</v>
      </c>
      <c r="O25" s="791">
        <v>0</v>
      </c>
      <c r="P25" s="791">
        <v>0</v>
      </c>
      <c r="Q25" s="791">
        <v>0</v>
      </c>
      <c r="R25" s="855">
        <f>S25-D25</f>
        <v>109627.33999999985</v>
      </c>
      <c r="S25" s="757">
        <v>8138781.539999999</v>
      </c>
      <c r="T25" s="827"/>
      <c r="U25" s="833"/>
    </row>
    <row r="26" spans="2:21" s="820" customFormat="1" ht="12.75">
      <c r="B26" s="820">
        <f>B25+1</f>
        <v>13</v>
      </c>
      <c r="C26" s="829" t="s">
        <v>318</v>
      </c>
      <c r="D26" s="791">
        <v>6683784.539999999</v>
      </c>
      <c r="E26" s="791">
        <v>0</v>
      </c>
      <c r="F26" s="855">
        <v>1206882.625</v>
      </c>
      <c r="G26" s="755">
        <v>0</v>
      </c>
      <c r="H26" s="755">
        <v>0</v>
      </c>
      <c r="I26" s="755">
        <v>0</v>
      </c>
      <c r="J26" s="755">
        <v>0</v>
      </c>
      <c r="K26" s="755">
        <v>0</v>
      </c>
      <c r="L26" s="791">
        <v>0</v>
      </c>
      <c r="M26" s="791">
        <v>0</v>
      </c>
      <c r="N26" s="791">
        <v>0</v>
      </c>
      <c r="O26" s="791">
        <v>0</v>
      </c>
      <c r="P26" s="791">
        <v>0</v>
      </c>
      <c r="Q26" s="791">
        <v>-1130625</v>
      </c>
      <c r="R26" s="855">
        <f>S26-D26</f>
        <v>76257.625</v>
      </c>
      <c r="S26" s="757">
        <v>6760042.164999999</v>
      </c>
      <c r="T26" s="827"/>
      <c r="U26" s="833"/>
    </row>
    <row r="27" spans="2:21" s="820" customFormat="1" ht="12.75">
      <c r="B27" s="820">
        <f>B26+1</f>
        <v>14</v>
      </c>
      <c r="C27" s="829" t="s">
        <v>319</v>
      </c>
      <c r="D27" s="754">
        <f aca="true" t="shared" si="3" ref="D27:S27">SUM(D25:D26)</f>
        <v>14712938.739999998</v>
      </c>
      <c r="E27" s="754">
        <f t="shared" si="3"/>
        <v>-389945.3</v>
      </c>
      <c r="F27" s="754">
        <f t="shared" si="3"/>
        <v>1206882.625</v>
      </c>
      <c r="G27" s="754">
        <f t="shared" si="3"/>
        <v>0</v>
      </c>
      <c r="H27" s="754">
        <f t="shared" si="3"/>
        <v>66948.07000000123</v>
      </c>
      <c r="I27" s="754">
        <f>SUM(I25:I26)</f>
        <v>0</v>
      </c>
      <c r="J27" s="754">
        <f>SUM(J25:J26)</f>
        <v>51274.66000000015</v>
      </c>
      <c r="K27" s="754">
        <f t="shared" si="3"/>
        <v>0</v>
      </c>
      <c r="L27" s="754">
        <f t="shared" si="3"/>
        <v>381349.9099999983</v>
      </c>
      <c r="M27" s="754"/>
      <c r="N27" s="754">
        <f>SUM(N25:N26)</f>
        <v>0</v>
      </c>
      <c r="O27" s="754">
        <f t="shared" si="3"/>
        <v>0</v>
      </c>
      <c r="P27" s="754">
        <f t="shared" si="3"/>
        <v>0</v>
      </c>
      <c r="Q27" s="754">
        <f t="shared" si="3"/>
        <v>-1130625</v>
      </c>
      <c r="R27" s="754">
        <f t="shared" si="3"/>
        <v>185884.96499999985</v>
      </c>
      <c r="S27" s="754">
        <f t="shared" si="3"/>
        <v>14898823.704999998</v>
      </c>
      <c r="T27" s="827"/>
      <c r="U27" s="833"/>
    </row>
    <row r="28" spans="2:21" s="820" customFormat="1" ht="12.75">
      <c r="B28" s="820">
        <f>B27+1</f>
        <v>15</v>
      </c>
      <c r="C28" s="829" t="s">
        <v>320</v>
      </c>
      <c r="D28" s="754">
        <f aca="true" t="shared" si="4" ref="D28:S28">D23+D27</f>
        <v>1011530516.2500002</v>
      </c>
      <c r="E28" s="754">
        <f t="shared" si="4"/>
        <v>-43761996.879999995</v>
      </c>
      <c r="F28" s="754">
        <f t="shared" si="4"/>
        <v>0</v>
      </c>
      <c r="G28" s="754">
        <f t="shared" si="4"/>
        <v>45793159.42342306</v>
      </c>
      <c r="H28" s="754">
        <f t="shared" si="4"/>
        <v>10701390.461596869</v>
      </c>
      <c r="I28" s="754">
        <f>I23+I27</f>
        <v>-616470.705163873</v>
      </c>
      <c r="J28" s="754">
        <f>J23+J27</f>
        <v>3322459.445153294</v>
      </c>
      <c r="K28" s="754">
        <f t="shared" si="4"/>
        <v>-21345994.17597003</v>
      </c>
      <c r="L28" s="754">
        <f t="shared" si="4"/>
        <v>18367343.041538686</v>
      </c>
      <c r="M28" s="754">
        <f t="shared" si="4"/>
        <v>-388488.48000000004</v>
      </c>
      <c r="N28" s="754">
        <f>N23+N27</f>
        <v>-1451005.557864079</v>
      </c>
      <c r="O28" s="754">
        <f t="shared" si="4"/>
        <v>33261442.29398393</v>
      </c>
      <c r="P28" s="754">
        <f t="shared" si="4"/>
        <v>405346.65329000005</v>
      </c>
      <c r="Q28" s="754">
        <f t="shared" si="4"/>
        <v>-1130625</v>
      </c>
      <c r="R28" s="754">
        <f t="shared" si="4"/>
        <v>43156560.519987985</v>
      </c>
      <c r="S28" s="754">
        <f t="shared" si="4"/>
        <v>1054687076.7699881</v>
      </c>
      <c r="T28" s="827"/>
      <c r="U28" s="833"/>
    </row>
    <row r="29" spans="3:21" s="820" customFormat="1" ht="12.75">
      <c r="C29" s="829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827"/>
      <c r="U29" s="833"/>
    </row>
    <row r="30" spans="2:21" s="820" customFormat="1" ht="12.75">
      <c r="B30" s="820">
        <f>B28+1</f>
        <v>16</v>
      </c>
      <c r="C30" s="829" t="s">
        <v>321</v>
      </c>
      <c r="D30" s="791">
        <v>594574954.27</v>
      </c>
      <c r="E30" s="785"/>
      <c r="F30" s="785"/>
      <c r="G30" s="785"/>
      <c r="H30" s="856">
        <v>6264490.204860091</v>
      </c>
      <c r="I30" s="856">
        <v>-11821.970153629998</v>
      </c>
      <c r="J30" s="791">
        <v>-5.938636604696512E-08</v>
      </c>
      <c r="K30" s="856">
        <v>-20443597.337499976</v>
      </c>
      <c r="L30" s="856"/>
      <c r="M30" s="856"/>
      <c r="N30" s="856">
        <v>-1030594.9665145392</v>
      </c>
      <c r="O30" s="856">
        <v>21569842.008104395</v>
      </c>
      <c r="P30" s="856"/>
      <c r="Q30" s="856"/>
      <c r="R30" s="855">
        <f>S30-D30</f>
        <v>6348317.938796401</v>
      </c>
      <c r="S30" s="856">
        <v>600923272.2087964</v>
      </c>
      <c r="U30" s="833"/>
    </row>
    <row r="31" spans="2:21" s="820" customFormat="1" ht="12.75">
      <c r="B31" s="820">
        <f>B30+1</f>
        <v>17</v>
      </c>
      <c r="C31" s="829" t="s">
        <v>322</v>
      </c>
      <c r="D31" s="791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856">
        <v>628503280.8062763</v>
      </c>
      <c r="U31" s="833"/>
    </row>
    <row r="32" spans="3:21" s="836" customFormat="1" ht="12.75">
      <c r="C32" s="837"/>
      <c r="D32" s="834"/>
      <c r="E32" s="838"/>
      <c r="F32" s="838"/>
      <c r="G32" s="838"/>
      <c r="H32" s="838"/>
      <c r="I32" s="838"/>
      <c r="J32" s="838"/>
      <c r="K32" s="838"/>
      <c r="L32" s="838"/>
      <c r="M32" s="838"/>
      <c r="N32" s="838"/>
      <c r="O32" s="838"/>
      <c r="P32" s="838"/>
      <c r="Q32" s="835"/>
      <c r="R32" s="835"/>
      <c r="U32" s="839"/>
    </row>
    <row r="33" spans="3:18" ht="12.75">
      <c r="C33" s="840"/>
      <c r="D33" s="838"/>
      <c r="E33" s="841"/>
      <c r="F33" s="841"/>
      <c r="G33" s="841"/>
      <c r="H33" s="841"/>
      <c r="I33" s="841"/>
      <c r="J33" s="841"/>
      <c r="K33" s="838"/>
      <c r="L33" s="841"/>
      <c r="M33" s="841"/>
      <c r="N33" s="838"/>
      <c r="O33" s="838"/>
      <c r="P33" s="841"/>
      <c r="Q33" s="841"/>
      <c r="R33" s="841"/>
    </row>
    <row r="34" spans="2:18" ht="12.75">
      <c r="B34" s="842" t="s">
        <v>323</v>
      </c>
      <c r="C34" s="857" t="s">
        <v>323</v>
      </c>
      <c r="D34" s="838"/>
      <c r="E34" s="841"/>
      <c r="F34" s="841"/>
      <c r="G34" s="841"/>
      <c r="H34" s="841"/>
      <c r="I34" s="841"/>
      <c r="J34" s="841"/>
      <c r="K34" s="838"/>
      <c r="L34" s="841"/>
      <c r="M34" s="841"/>
      <c r="N34" s="838"/>
      <c r="O34" s="838"/>
      <c r="P34" s="841"/>
      <c r="Q34" s="841"/>
      <c r="R34" s="841"/>
    </row>
    <row r="35" spans="3:21" s="819" customFormat="1" ht="12.75">
      <c r="C35" s="746"/>
      <c r="D35" s="744"/>
      <c r="E35" s="761" t="s">
        <v>291</v>
      </c>
      <c r="F35" s="761" t="s">
        <v>291</v>
      </c>
      <c r="G35" s="761"/>
      <c r="I35" s="843"/>
      <c r="J35" s="843"/>
      <c r="K35" s="820"/>
      <c r="L35" s="843"/>
      <c r="M35" s="843"/>
      <c r="N35" s="831"/>
      <c r="O35" s="831"/>
      <c r="P35" s="843"/>
      <c r="Q35" s="843"/>
      <c r="R35" s="843"/>
      <c r="U35" s="821"/>
    </row>
    <row r="36" spans="3:21" s="819" customFormat="1" ht="12.75">
      <c r="C36" s="746"/>
      <c r="D36" s="744"/>
      <c r="E36" s="761" t="s">
        <v>324</v>
      </c>
      <c r="F36" s="761" t="s">
        <v>324</v>
      </c>
      <c r="G36" s="761" t="s">
        <v>291</v>
      </c>
      <c r="I36" s="843"/>
      <c r="J36" s="843"/>
      <c r="K36" s="820"/>
      <c r="L36" s="843"/>
      <c r="M36" s="843"/>
      <c r="N36" s="831"/>
      <c r="O36" s="831"/>
      <c r="P36" s="843"/>
      <c r="Q36" s="843"/>
      <c r="R36" s="843"/>
      <c r="U36" s="821"/>
    </row>
    <row r="37" spans="3:21" s="819" customFormat="1" ht="12.75">
      <c r="C37" s="746"/>
      <c r="D37" s="744"/>
      <c r="E37" s="763" t="s">
        <v>325</v>
      </c>
      <c r="F37" s="763" t="s">
        <v>326</v>
      </c>
      <c r="G37" s="784" t="s">
        <v>327</v>
      </c>
      <c r="I37" s="843"/>
      <c r="J37" s="843"/>
      <c r="K37" s="820"/>
      <c r="L37" s="843"/>
      <c r="M37" s="843"/>
      <c r="N37" s="831"/>
      <c r="O37" s="831"/>
      <c r="P37" s="843"/>
      <c r="Q37" s="843"/>
      <c r="R37" s="843"/>
      <c r="U37" s="821"/>
    </row>
    <row r="38" spans="3:21" s="820" customFormat="1" ht="12.75">
      <c r="C38" s="612"/>
      <c r="D38" s="851"/>
      <c r="E38" s="858" t="s">
        <v>330</v>
      </c>
      <c r="F38" s="858" t="s">
        <v>340</v>
      </c>
      <c r="G38" s="858" t="s">
        <v>392</v>
      </c>
      <c r="I38" s="831"/>
      <c r="J38" s="831"/>
      <c r="L38" s="831"/>
      <c r="M38" s="831"/>
      <c r="N38" s="831"/>
      <c r="O38" s="831"/>
      <c r="P38" s="831"/>
      <c r="Q38" s="831"/>
      <c r="R38" s="831"/>
      <c r="U38" s="833"/>
    </row>
    <row r="39" spans="2:21" s="819" customFormat="1" ht="12.75">
      <c r="B39" s="819">
        <f>B31+1</f>
        <v>18</v>
      </c>
      <c r="C39" s="744" t="s">
        <v>314</v>
      </c>
      <c r="E39" s="878">
        <v>394704821.82093996</v>
      </c>
      <c r="F39" s="878">
        <v>377392328.41885006</v>
      </c>
      <c r="G39" s="859">
        <v>289229013.3718</v>
      </c>
      <c r="I39" s="843"/>
      <c r="J39" s="843"/>
      <c r="K39" s="820"/>
      <c r="L39" s="843"/>
      <c r="M39" s="843"/>
      <c r="N39" s="831"/>
      <c r="O39" s="831"/>
      <c r="P39" s="843"/>
      <c r="Q39" s="843"/>
      <c r="R39" s="843"/>
      <c r="S39" s="844"/>
      <c r="U39" s="821"/>
    </row>
    <row r="40" spans="2:21" s="819" customFormat="1" ht="12.75">
      <c r="B40" s="819">
        <f aca="true" t="shared" si="5" ref="B40:B49">B39+1</f>
        <v>19</v>
      </c>
      <c r="C40" s="745" t="s">
        <v>396</v>
      </c>
      <c r="E40" s="879">
        <v>144583284.6495</v>
      </c>
      <c r="F40" s="879">
        <v>138242498.373</v>
      </c>
      <c r="G40" s="860">
        <v>85374212.8599</v>
      </c>
      <c r="I40" s="843"/>
      <c r="J40" s="843"/>
      <c r="K40" s="820"/>
      <c r="L40" s="843"/>
      <c r="M40" s="843"/>
      <c r="N40" s="831"/>
      <c r="O40" s="831"/>
      <c r="P40" s="843"/>
      <c r="Q40" s="843"/>
      <c r="R40" s="843"/>
      <c r="S40" s="844"/>
      <c r="U40" s="821"/>
    </row>
    <row r="41" spans="2:21" s="819" customFormat="1" ht="12.75">
      <c r="B41" s="819">
        <f t="shared" si="5"/>
        <v>20</v>
      </c>
      <c r="C41" s="744" t="s">
        <v>232</v>
      </c>
      <c r="E41" s="879">
        <v>48349338.333330005</v>
      </c>
      <c r="F41" s="879">
        <v>46211269.358629994</v>
      </c>
      <c r="G41" s="860">
        <v>16561409.198699996</v>
      </c>
      <c r="I41" s="843"/>
      <c r="J41" s="843"/>
      <c r="K41" s="820"/>
      <c r="L41" s="843"/>
      <c r="M41" s="843"/>
      <c r="N41" s="831"/>
      <c r="O41" s="831"/>
      <c r="P41" s="843"/>
      <c r="Q41" s="843"/>
      <c r="R41" s="843"/>
      <c r="S41" s="844"/>
      <c r="U41" s="821"/>
    </row>
    <row r="42" spans="2:21" s="819" customFormat="1" ht="12.75">
      <c r="B42" s="819">
        <f t="shared" si="5"/>
        <v>21</v>
      </c>
      <c r="C42" s="744" t="s">
        <v>355</v>
      </c>
      <c r="E42" s="879">
        <v>5470.201799999999</v>
      </c>
      <c r="F42" s="879">
        <v>5470.201799999999</v>
      </c>
      <c r="G42" s="860">
        <v>1630699.4059199996</v>
      </c>
      <c r="I42" s="843"/>
      <c r="J42" s="843"/>
      <c r="K42" s="820"/>
      <c r="L42" s="843"/>
      <c r="M42" s="843"/>
      <c r="N42" s="831"/>
      <c r="O42" s="831"/>
      <c r="P42" s="843"/>
      <c r="Q42" s="843"/>
      <c r="R42" s="843"/>
      <c r="S42" s="844"/>
      <c r="U42" s="821"/>
    </row>
    <row r="43" spans="2:21" s="819" customFormat="1" ht="12.75">
      <c r="B43" s="819">
        <f t="shared" si="5"/>
        <v>22</v>
      </c>
      <c r="C43" s="744" t="s">
        <v>231</v>
      </c>
      <c r="E43" s="879">
        <v>11563377.14276</v>
      </c>
      <c r="F43" s="879">
        <v>11055746.4342</v>
      </c>
      <c r="G43" s="860">
        <v>1891752.9895900004</v>
      </c>
      <c r="I43" s="843"/>
      <c r="J43" s="843"/>
      <c r="K43" s="820"/>
      <c r="L43" s="843"/>
      <c r="M43" s="843"/>
      <c r="N43" s="831"/>
      <c r="O43" s="831"/>
      <c r="P43" s="843"/>
      <c r="Q43" s="843"/>
      <c r="R43" s="843"/>
      <c r="S43" s="844"/>
      <c r="U43" s="821"/>
    </row>
    <row r="44" spans="2:21" s="819" customFormat="1" ht="12.75">
      <c r="B44" s="819">
        <f t="shared" si="5"/>
        <v>23</v>
      </c>
      <c r="C44" s="744" t="s">
        <v>356</v>
      </c>
      <c r="E44" s="879">
        <v>45434.1188</v>
      </c>
      <c r="F44" s="879">
        <v>45434.1188</v>
      </c>
      <c r="G44" s="860">
        <v>6671371.02792</v>
      </c>
      <c r="I44" s="843"/>
      <c r="J44" s="843"/>
      <c r="K44" s="820"/>
      <c r="L44" s="843"/>
      <c r="M44" s="843"/>
      <c r="N44" s="831"/>
      <c r="O44" s="831"/>
      <c r="P44" s="843"/>
      <c r="Q44" s="843"/>
      <c r="R44" s="843"/>
      <c r="S44" s="844"/>
      <c r="U44" s="821"/>
    </row>
    <row r="45" spans="2:21" s="819" customFormat="1" ht="12.75">
      <c r="B45" s="819">
        <f t="shared" si="5"/>
        <v>24</v>
      </c>
      <c r="C45" s="744" t="s">
        <v>233</v>
      </c>
      <c r="E45" s="879">
        <v>9365187.198</v>
      </c>
      <c r="F45" s="879">
        <v>8954009.37462</v>
      </c>
      <c r="G45" s="860">
        <v>3029030.30504</v>
      </c>
      <c r="I45" s="843"/>
      <c r="J45" s="843"/>
      <c r="K45" s="820"/>
      <c r="L45" s="843"/>
      <c r="M45" s="843"/>
      <c r="N45" s="831"/>
      <c r="O45" s="831"/>
      <c r="P45" s="843"/>
      <c r="Q45" s="843"/>
      <c r="R45" s="843"/>
      <c r="S45" s="844"/>
      <c r="U45" s="821"/>
    </row>
    <row r="46" spans="2:21" s="819" customFormat="1" ht="12.75">
      <c r="B46" s="819">
        <f t="shared" si="5"/>
        <v>25</v>
      </c>
      <c r="C46" s="744" t="s">
        <v>589</v>
      </c>
      <c r="E46" s="879">
        <v>50.94809999999999</v>
      </c>
      <c r="F46" s="879">
        <v>50.94809999999999</v>
      </c>
      <c r="G46" s="860">
        <v>16591.111940000003</v>
      </c>
      <c r="I46" s="843"/>
      <c r="J46" s="843"/>
      <c r="K46" s="820"/>
      <c r="L46" s="843"/>
      <c r="M46" s="843"/>
      <c r="N46" s="831"/>
      <c r="O46" s="831"/>
      <c r="P46" s="843"/>
      <c r="Q46" s="843"/>
      <c r="R46" s="843"/>
      <c r="S46" s="844"/>
      <c r="U46" s="821"/>
    </row>
    <row r="47" spans="2:21" s="819" customFormat="1" ht="12.75">
      <c r="B47" s="819">
        <f t="shared" si="5"/>
        <v>26</v>
      </c>
      <c r="C47" s="744" t="s">
        <v>234</v>
      </c>
      <c r="E47" s="879">
        <v>19828433.3607</v>
      </c>
      <c r="F47" s="879">
        <v>18958581.948450003</v>
      </c>
      <c r="G47" s="860">
        <v>1723707.0254000016</v>
      </c>
      <c r="I47" s="843"/>
      <c r="J47" s="843"/>
      <c r="K47" s="820"/>
      <c r="L47" s="843"/>
      <c r="M47" s="843"/>
      <c r="N47" s="831"/>
      <c r="O47" s="831"/>
      <c r="P47" s="843"/>
      <c r="Q47" s="843"/>
      <c r="R47" s="843"/>
      <c r="S47" s="844"/>
      <c r="U47" s="821"/>
    </row>
    <row r="48" spans="2:21" s="819" customFormat="1" ht="12.75">
      <c r="B48" s="819">
        <f t="shared" si="5"/>
        <v>27</v>
      </c>
      <c r="C48" s="744" t="s">
        <v>357</v>
      </c>
      <c r="E48" s="879">
        <v>57883.03234637</v>
      </c>
      <c r="F48" s="879">
        <v>57883.03234637</v>
      </c>
      <c r="G48" s="860">
        <v>3498569.1053517396</v>
      </c>
      <c r="I48" s="843"/>
      <c r="J48" s="843"/>
      <c r="K48" s="820"/>
      <c r="L48" s="843"/>
      <c r="M48" s="843"/>
      <c r="N48" s="831"/>
      <c r="O48" s="831"/>
      <c r="P48" s="843"/>
      <c r="Q48" s="843"/>
      <c r="R48" s="843"/>
      <c r="S48" s="844"/>
      <c r="U48" s="821"/>
    </row>
    <row r="49" spans="2:21" s="819" customFormat="1" ht="12.75">
      <c r="B49" s="819">
        <f t="shared" si="5"/>
        <v>28</v>
      </c>
      <c r="C49" s="744" t="s">
        <v>331</v>
      </c>
      <c r="E49" s="880">
        <v>0</v>
      </c>
      <c r="F49" s="880">
        <v>0</v>
      </c>
      <c r="G49" s="860">
        <v>1658615.8571499998</v>
      </c>
      <c r="I49" s="843"/>
      <c r="J49" s="843"/>
      <c r="K49" s="820"/>
      <c r="L49" s="843"/>
      <c r="M49" s="843"/>
      <c r="N49" s="831"/>
      <c r="O49" s="831"/>
      <c r="P49" s="843"/>
      <c r="Q49" s="843"/>
      <c r="R49" s="843"/>
      <c r="S49" s="844"/>
      <c r="U49" s="821"/>
    </row>
    <row r="50" spans="3:19" ht="12.75">
      <c r="C50" s="744" t="s">
        <v>316</v>
      </c>
      <c r="E50" s="861">
        <f>SUM(E39:E49)</f>
        <v>628503280.8062763</v>
      </c>
      <c r="F50" s="861">
        <f>SUM(F39:F49)</f>
        <v>600923272.2087964</v>
      </c>
      <c r="G50" s="861">
        <f>SUM(G39:G49)</f>
        <v>411284972.2587118</v>
      </c>
      <c r="I50" s="846"/>
      <c r="J50" s="846"/>
      <c r="K50" s="845"/>
      <c r="L50" s="846"/>
      <c r="M50" s="846"/>
      <c r="N50" s="845"/>
      <c r="O50" s="845"/>
      <c r="P50" s="846"/>
      <c r="Q50" s="846"/>
      <c r="R50" s="847"/>
      <c r="S50" s="846"/>
    </row>
    <row r="51" spans="3:8" ht="12.75">
      <c r="C51" s="862"/>
      <c r="D51" s="862"/>
      <c r="E51" s="863"/>
      <c r="F51" s="864"/>
      <c r="G51" s="865"/>
      <c r="H51" s="864"/>
    </row>
    <row r="52" spans="2:8" ht="38.25">
      <c r="B52" s="812" t="s">
        <v>397</v>
      </c>
      <c r="C52" s="746" t="s">
        <v>397</v>
      </c>
      <c r="D52" s="862"/>
      <c r="E52" s="866"/>
      <c r="F52" s="862"/>
      <c r="G52" s="862"/>
      <c r="H52" s="862"/>
    </row>
    <row r="53" spans="2:8" ht="25.5">
      <c r="B53" s="848" t="s">
        <v>398</v>
      </c>
      <c r="C53" s="612" t="s">
        <v>590</v>
      </c>
      <c r="D53" s="862"/>
      <c r="E53" s="866"/>
      <c r="F53" s="862"/>
      <c r="G53" s="862"/>
      <c r="H53" s="862"/>
    </row>
    <row r="54" spans="2:8" ht="12.75">
      <c r="B54" s="836" t="s">
        <v>399</v>
      </c>
      <c r="C54" s="749" t="s">
        <v>591</v>
      </c>
      <c r="D54" s="862"/>
      <c r="E54" s="866"/>
      <c r="F54" s="862"/>
      <c r="G54" s="862"/>
      <c r="H54" s="862"/>
    </row>
    <row r="55" spans="2:8" ht="12.75">
      <c r="B55" s="836" t="s">
        <v>400</v>
      </c>
      <c r="C55" s="749" t="s">
        <v>592</v>
      </c>
      <c r="D55" s="866"/>
      <c r="E55" s="866"/>
      <c r="F55" s="866"/>
      <c r="G55" s="866"/>
      <c r="H55" s="866"/>
    </row>
    <row r="56" spans="2:8" ht="25.5">
      <c r="B56" s="836"/>
      <c r="C56" s="612" t="s">
        <v>593</v>
      </c>
      <c r="D56" s="866"/>
      <c r="E56" s="866"/>
      <c r="F56" s="866"/>
      <c r="G56" s="866"/>
      <c r="H56" s="866"/>
    </row>
    <row r="57" spans="2:8" ht="12.75">
      <c r="B57" s="836"/>
      <c r="C57" s="612"/>
      <c r="D57" s="862"/>
      <c r="E57" s="866"/>
      <c r="F57" s="862"/>
      <c r="G57" s="862"/>
      <c r="H57" s="862"/>
    </row>
    <row r="58" spans="3:19" ht="12.75">
      <c r="C58" s="812" t="s">
        <v>299</v>
      </c>
      <c r="D58" s="849">
        <f>SUM(D12:D22)-D23</f>
        <v>0</v>
      </c>
      <c r="E58" s="849">
        <f aca="true" t="shared" si="6" ref="E58:S58">SUM(E12:E22)-E23</f>
        <v>0</v>
      </c>
      <c r="F58" s="849">
        <f t="shared" si="6"/>
        <v>0</v>
      </c>
      <c r="G58" s="849">
        <f t="shared" si="6"/>
        <v>0</v>
      </c>
      <c r="H58" s="849">
        <f t="shared" si="6"/>
        <v>0</v>
      </c>
      <c r="I58" s="849">
        <f t="shared" si="6"/>
        <v>0</v>
      </c>
      <c r="J58" s="849">
        <f t="shared" si="6"/>
        <v>0</v>
      </c>
      <c r="K58" s="849">
        <f t="shared" si="6"/>
        <v>0</v>
      </c>
      <c r="L58" s="849">
        <f t="shared" si="6"/>
        <v>0</v>
      </c>
      <c r="M58" s="849">
        <f t="shared" si="6"/>
        <v>0</v>
      </c>
      <c r="N58" s="849">
        <f t="shared" si="6"/>
        <v>0</v>
      </c>
      <c r="O58" s="849">
        <f t="shared" si="6"/>
        <v>0</v>
      </c>
      <c r="P58" s="849">
        <f t="shared" si="6"/>
        <v>0</v>
      </c>
      <c r="Q58" s="849">
        <f t="shared" si="6"/>
        <v>0</v>
      </c>
      <c r="R58" s="849">
        <f t="shared" si="6"/>
        <v>0</v>
      </c>
      <c r="S58" s="849">
        <f t="shared" si="6"/>
        <v>0</v>
      </c>
    </row>
  </sheetData>
  <sheetProtection/>
  <mergeCells count="3">
    <mergeCell ref="E2:F2"/>
    <mergeCell ref="B2:C2"/>
    <mergeCell ref="E1:F1"/>
  </mergeCells>
  <printOptions horizontalCentered="1"/>
  <pageMargins left="0" right="0" top="0.84" bottom="0.75" header="0.5" footer="0.25"/>
  <pageSetup blackAndWhite="1" fitToHeight="1" fitToWidth="1" horizontalDpi="300" verticalDpi="3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33" sqref="F33"/>
    </sheetView>
  </sheetViews>
  <sheetFormatPr defaultColWidth="9.33203125" defaultRowHeight="10.5"/>
  <cols>
    <col min="1" max="1" width="9.33203125" style="621" customWidth="1"/>
    <col min="2" max="2" width="56" style="621" customWidth="1"/>
    <col min="3" max="3" width="3.83203125" style="621" customWidth="1"/>
    <col min="4" max="4" width="11.16015625" style="621" bestFit="1" customWidth="1"/>
    <col min="5" max="5" width="14.5" style="621" customWidth="1"/>
    <col min="6" max="6" width="16.83203125" style="621" customWidth="1"/>
    <col min="7" max="16384" width="9.33203125" style="621" customWidth="1"/>
  </cols>
  <sheetData>
    <row r="1" spans="1:5" ht="12.75">
      <c r="A1" s="963" t="s">
        <v>278</v>
      </c>
      <c r="B1" s="963"/>
      <c r="C1" s="963"/>
      <c r="D1" s="963"/>
      <c r="E1" s="963"/>
    </row>
    <row r="2" spans="1:5" ht="12.75">
      <c r="A2" s="963" t="s">
        <v>469</v>
      </c>
      <c r="B2" s="963"/>
      <c r="C2" s="963"/>
      <c r="D2" s="963"/>
      <c r="E2" s="963"/>
    </row>
    <row r="3" spans="1:5" ht="12.75">
      <c r="A3" s="630" t="s">
        <v>474</v>
      </c>
      <c r="B3" s="630"/>
      <c r="C3" s="630"/>
      <c r="D3" s="630"/>
      <c r="E3" s="630"/>
    </row>
    <row r="5" spans="2:5" ht="12.75">
      <c r="B5" s="628" t="s">
        <v>212</v>
      </c>
      <c r="D5" s="622" t="s">
        <v>473</v>
      </c>
      <c r="E5" s="622" t="s">
        <v>432</v>
      </c>
    </row>
    <row r="6" spans="1:5" ht="12.75">
      <c r="A6" s="622">
        <f aca="true" t="shared" si="0" ref="A6:A27">+ROW(A6)-4</f>
        <v>2</v>
      </c>
      <c r="B6" s="621" t="s">
        <v>472</v>
      </c>
      <c r="D6" s="627">
        <f>'MJS-14'!O14</f>
        <v>0.003475</v>
      </c>
      <c r="E6" s="629">
        <f>+D6</f>
        <v>0.003475</v>
      </c>
    </row>
    <row r="7" spans="1:5" ht="12.75">
      <c r="A7" s="622">
        <f t="shared" si="0"/>
        <v>3</v>
      </c>
      <c r="B7" s="621" t="s">
        <v>471</v>
      </c>
      <c r="D7" s="627">
        <f>STATE_UTILITY_TAX</f>
        <v>0.03852</v>
      </c>
      <c r="E7" s="629">
        <f>+D7</f>
        <v>0.03852</v>
      </c>
    </row>
    <row r="8" spans="1:5" ht="12.75">
      <c r="A8" s="622">
        <f t="shared" si="0"/>
        <v>4</v>
      </c>
      <c r="B8" s="621" t="s">
        <v>470</v>
      </c>
      <c r="D8" s="627">
        <f>WUTC_FILING_FEE</f>
        <v>0.002</v>
      </c>
      <c r="E8" s="629">
        <f>+D8</f>
        <v>0.002</v>
      </c>
    </row>
    <row r="9" spans="1:4" ht="12.75">
      <c r="A9" s="622">
        <f t="shared" si="0"/>
        <v>5</v>
      </c>
      <c r="D9" s="626"/>
    </row>
    <row r="10" spans="1:4" ht="12.75">
      <c r="A10" s="622">
        <f t="shared" si="0"/>
        <v>6</v>
      </c>
      <c r="D10" s="626"/>
    </row>
    <row r="11" spans="1:4" ht="12.75">
      <c r="A11" s="622">
        <f t="shared" si="0"/>
        <v>7</v>
      </c>
      <c r="B11" s="624" t="s">
        <v>469</v>
      </c>
      <c r="D11" s="626"/>
    </row>
    <row r="12" spans="1:4" ht="12.75">
      <c r="A12" s="622">
        <f t="shared" si="0"/>
        <v>8</v>
      </c>
      <c r="B12" s="621" t="s">
        <v>468</v>
      </c>
      <c r="D12" s="631">
        <f>ROUND(+D6,6)</f>
        <v>0.003475</v>
      </c>
    </row>
    <row r="13" spans="1:4" ht="12.75">
      <c r="A13" s="622">
        <f t="shared" si="0"/>
        <v>9</v>
      </c>
      <c r="B13" s="621" t="s">
        <v>467</v>
      </c>
      <c r="D13" s="631">
        <f>ROUND(+(1-D12)*D7,6)</f>
        <v>0.038386</v>
      </c>
    </row>
    <row r="14" spans="1:4" ht="12.75">
      <c r="A14" s="622">
        <f t="shared" si="0"/>
        <v>10</v>
      </c>
      <c r="B14" s="621" t="s">
        <v>466</v>
      </c>
      <c r="D14" s="631">
        <f>ROUND(+D8,6)</f>
        <v>0.002</v>
      </c>
    </row>
    <row r="15" spans="1:4" ht="12.75">
      <c r="A15" s="622">
        <f t="shared" si="0"/>
        <v>11</v>
      </c>
      <c r="B15" s="625" t="s">
        <v>465</v>
      </c>
      <c r="D15" s="632">
        <f>ROUND(SUM(D12:D14),6)</f>
        <v>0.043861</v>
      </c>
    </row>
    <row r="16" spans="1:5" ht="12.75">
      <c r="A16" s="622">
        <f t="shared" si="0"/>
        <v>12</v>
      </c>
      <c r="B16" s="625" t="s">
        <v>464</v>
      </c>
      <c r="D16" s="631">
        <f>ROUND(1-D15,6)</f>
        <v>0.956139</v>
      </c>
      <c r="E16" s="621">
        <f>IF(D16-'MJS-14'!O20=0,"","ERROR")</f>
      </c>
    </row>
    <row r="17" spans="1:4" ht="13.5" thickBot="1">
      <c r="A17" s="622">
        <f t="shared" si="0"/>
        <v>13</v>
      </c>
      <c r="B17" s="625" t="s">
        <v>463</v>
      </c>
      <c r="D17" s="633">
        <f>ROUND(1/D16,6)</f>
        <v>1.045873</v>
      </c>
    </row>
    <row r="18" spans="1:4" ht="13.5" thickTop="1">
      <c r="A18" s="622">
        <f t="shared" si="0"/>
        <v>14</v>
      </c>
      <c r="D18" s="631"/>
    </row>
    <row r="19" spans="1:4" ht="12.75">
      <c r="A19" s="622">
        <f t="shared" si="0"/>
        <v>15</v>
      </c>
      <c r="D19" s="631"/>
    </row>
    <row r="20" spans="1:4" ht="12.75">
      <c r="A20" s="622">
        <f t="shared" si="0"/>
        <v>16</v>
      </c>
      <c r="B20" s="624" t="s">
        <v>462</v>
      </c>
      <c r="D20" s="631"/>
    </row>
    <row r="21" spans="1:4" ht="12.75">
      <c r="A21" s="622">
        <f t="shared" si="0"/>
        <v>17</v>
      </c>
      <c r="B21" s="621" t="s">
        <v>215</v>
      </c>
      <c r="D21" s="631">
        <f>+D17</f>
        <v>1.045873</v>
      </c>
    </row>
    <row r="22" spans="1:4" ht="12.75">
      <c r="A22" s="622">
        <f t="shared" si="0"/>
        <v>18</v>
      </c>
      <c r="B22" s="623" t="s">
        <v>461</v>
      </c>
      <c r="D22" s="631"/>
    </row>
    <row r="23" spans="1:4" ht="12.75">
      <c r="A23" s="622">
        <f t="shared" si="0"/>
        <v>19</v>
      </c>
      <c r="B23" s="621" t="s">
        <v>460</v>
      </c>
      <c r="D23" s="631">
        <f>ROUND(+D12*D21,6)</f>
        <v>0.003634</v>
      </c>
    </row>
    <row r="24" spans="1:4" ht="12.75">
      <c r="A24" s="622">
        <f t="shared" si="0"/>
        <v>20</v>
      </c>
      <c r="B24" s="621" t="s">
        <v>459</v>
      </c>
      <c r="D24" s="631">
        <f>ROUND(+D13*D21,6)</f>
        <v>0.040147</v>
      </c>
    </row>
    <row r="25" spans="1:4" ht="12.75">
      <c r="A25" s="622">
        <f t="shared" si="0"/>
        <v>21</v>
      </c>
      <c r="B25" s="621" t="s">
        <v>458</v>
      </c>
      <c r="D25" s="631">
        <f>ROUND(+D14*D21,6)</f>
        <v>0.002092</v>
      </c>
    </row>
    <row r="26" spans="1:4" ht="12.75">
      <c r="A26" s="622">
        <f t="shared" si="0"/>
        <v>22</v>
      </c>
      <c r="B26" s="621" t="s">
        <v>207</v>
      </c>
      <c r="D26" s="632">
        <f>ROUND(SUM(D23:D25),6)</f>
        <v>0.045873</v>
      </c>
    </row>
    <row r="27" spans="1:4" ht="13.5" thickBot="1">
      <c r="A27" s="622">
        <f t="shared" si="0"/>
        <v>23</v>
      </c>
      <c r="B27" s="621" t="s">
        <v>457</v>
      </c>
      <c r="D27" s="633">
        <f>+ROUND(D21-D26,6)</f>
        <v>1</v>
      </c>
    </row>
    <row r="28" ht="13.5" thickTop="1">
      <c r="A28" s="622"/>
    </row>
    <row r="29" ht="12.75">
      <c r="A29" s="622"/>
    </row>
    <row r="30" ht="12.75">
      <c r="A30" s="622"/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Footer>&amp;CPage &amp;P of &amp;N&amp;RPrinted: &amp;D at &amp;T
File: &amp;F, 
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sfree</cp:lastModifiedBy>
  <cp:lastPrinted>2012-01-10T23:41:25Z</cp:lastPrinted>
  <dcterms:created xsi:type="dcterms:W3CDTF">1997-10-13T22:59:17Z</dcterms:created>
  <dcterms:modified xsi:type="dcterms:W3CDTF">2012-01-12T18:35:36Z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