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20"/>
  </bookViews>
  <sheets>
    <sheet name="Colstrip 1 &amp; 2 Summary" sheetId="4" r:id="rId1"/>
    <sheet name="Colstrip 3 &amp; 4 Summary" sheetId="6" r:id="rId2"/>
  </sheets>
  <definedNames>
    <definedName name="_xlnm.Print_Area" localSheetId="0">'Colstrip 1 &amp; 2 Summary'!$A$1:$V$39</definedName>
    <definedName name="_xlnm.Print_Area" localSheetId="1">'Colstrip 3 &amp; 4 Summary'!$A$1:$V$38</definedName>
  </definedNames>
  <calcPr calcId="145621"/>
</workbook>
</file>

<file path=xl/calcChain.xml><?xml version="1.0" encoding="utf-8"?>
<calcChain xmlns="http://schemas.openxmlformats.org/spreadsheetml/2006/main">
  <c r="Q28" i="4" l="1"/>
  <c r="F8" i="6" l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7" i="6"/>
  <c r="R9" i="6"/>
  <c r="R10" i="6" s="1"/>
  <c r="R8" i="4"/>
  <c r="R9" i="4" s="1"/>
  <c r="F28" i="4"/>
  <c r="F27" i="4"/>
  <c r="F26" i="4"/>
  <c r="F25" i="4"/>
  <c r="F15" i="4"/>
  <c r="F16" i="4" s="1"/>
  <c r="F17" i="4" s="1"/>
  <c r="F18" i="4" s="1"/>
  <c r="F19" i="4" s="1"/>
  <c r="F20" i="4" s="1"/>
  <c r="F21" i="4" s="1"/>
  <c r="F22" i="4" s="1"/>
  <c r="F23" i="4" s="1"/>
  <c r="F24" i="4" s="1"/>
  <c r="F14" i="4"/>
  <c r="F13" i="4"/>
  <c r="F12" i="4"/>
  <c r="F11" i="4"/>
  <c r="F10" i="4"/>
  <c r="F9" i="4"/>
  <c r="F8" i="4"/>
  <c r="F7" i="4"/>
  <c r="R11" i="6" l="1"/>
  <c r="R10" i="4"/>
  <c r="T31" i="6"/>
  <c r="T31" i="4"/>
  <c r="R12" i="6" l="1"/>
  <c r="R11" i="4"/>
  <c r="W29" i="6"/>
  <c r="W6" i="6"/>
  <c r="R13" i="6" l="1"/>
  <c r="R12" i="4"/>
  <c r="L28" i="4"/>
  <c r="L27" i="4"/>
  <c r="L25" i="4"/>
  <c r="L14" i="4"/>
  <c r="L8" i="4"/>
  <c r="L7" i="4"/>
  <c r="L6" i="4"/>
  <c r="K6" i="4"/>
  <c r="R13" i="4" l="1"/>
  <c r="L8" i="6"/>
  <c r="L6" i="6"/>
  <c r="K6" i="6"/>
  <c r="I31" i="6"/>
  <c r="Q8" i="6"/>
  <c r="E8" i="6"/>
  <c r="Q7" i="6"/>
  <c r="L7" i="6"/>
  <c r="R14" i="4" l="1"/>
  <c r="U27" i="4"/>
  <c r="U27" i="6"/>
  <c r="U8" i="6"/>
  <c r="U7" i="6"/>
  <c r="L14" i="6" l="1"/>
  <c r="R15" i="4"/>
  <c r="U8" i="4"/>
  <c r="U7" i="4"/>
  <c r="L25" i="6" l="1"/>
  <c r="R16" i="4"/>
  <c r="E8" i="4"/>
  <c r="Q8" i="4"/>
  <c r="W29" i="4"/>
  <c r="W6" i="4"/>
  <c r="Q7" i="4"/>
  <c r="R7" i="4" s="1"/>
  <c r="I31" i="4"/>
  <c r="L27" i="6" l="1"/>
  <c r="R17" i="4"/>
  <c r="T28" i="6"/>
  <c r="U28" i="6" s="1"/>
  <c r="T14" i="6"/>
  <c r="U14" i="6" s="1"/>
  <c r="T9" i="6"/>
  <c r="H28" i="6"/>
  <c r="H27" i="6"/>
  <c r="U26" i="6"/>
  <c r="Q26" i="6"/>
  <c r="H26" i="6"/>
  <c r="H25" i="6"/>
  <c r="Q24" i="6"/>
  <c r="H24" i="6"/>
  <c r="Q23" i="6"/>
  <c r="H23" i="6"/>
  <c r="Q22" i="6"/>
  <c r="H22" i="6"/>
  <c r="Q21" i="6"/>
  <c r="H21" i="6"/>
  <c r="Q20" i="6"/>
  <c r="H20" i="6"/>
  <c r="Q19" i="6"/>
  <c r="H19" i="6"/>
  <c r="Q18" i="6"/>
  <c r="H18" i="6"/>
  <c r="Q17" i="6"/>
  <c r="H17" i="6"/>
  <c r="Q16" i="6"/>
  <c r="H16" i="6"/>
  <c r="Q15" i="6"/>
  <c r="H15" i="6"/>
  <c r="H14" i="6"/>
  <c r="Q13" i="6"/>
  <c r="H13" i="6"/>
  <c r="Q12" i="6"/>
  <c r="H12" i="6"/>
  <c r="Q11" i="6"/>
  <c r="H11" i="6"/>
  <c r="Q10" i="6"/>
  <c r="H10" i="6"/>
  <c r="H9" i="6"/>
  <c r="R8" i="6"/>
  <c r="H8" i="6"/>
  <c r="H7" i="6"/>
  <c r="H28" i="4"/>
  <c r="H27" i="4"/>
  <c r="H19" i="4"/>
  <c r="K19" i="4" s="1"/>
  <c r="H20" i="4"/>
  <c r="K20" i="4" s="1"/>
  <c r="H21" i="4"/>
  <c r="K21" i="4" s="1"/>
  <c r="H22" i="4"/>
  <c r="K22" i="4" s="1"/>
  <c r="H23" i="4"/>
  <c r="K23" i="4" s="1"/>
  <c r="H24" i="4"/>
  <c r="K24" i="4" s="1"/>
  <c r="H25" i="4"/>
  <c r="H26" i="4"/>
  <c r="K26" i="4" s="1"/>
  <c r="H18" i="4"/>
  <c r="K18" i="4" s="1"/>
  <c r="H17" i="4"/>
  <c r="K17" i="4" s="1"/>
  <c r="H15" i="4"/>
  <c r="K15" i="4" s="1"/>
  <c r="H16" i="4"/>
  <c r="K16" i="4" s="1"/>
  <c r="H12" i="4"/>
  <c r="K12" i="4" s="1"/>
  <c r="H13" i="4"/>
  <c r="K13" i="4" s="1"/>
  <c r="H14" i="4"/>
  <c r="H8" i="4"/>
  <c r="K8" i="4" s="1"/>
  <c r="H9" i="4"/>
  <c r="K9" i="4" s="1"/>
  <c r="H10" i="4"/>
  <c r="K10" i="4" s="1"/>
  <c r="H11" i="4"/>
  <c r="K11" i="4" s="1"/>
  <c r="H7" i="4"/>
  <c r="K7" i="4" s="1"/>
  <c r="T28" i="4"/>
  <c r="T14" i="4"/>
  <c r="T9" i="4"/>
  <c r="K7" i="6" l="1"/>
  <c r="K17" i="6"/>
  <c r="K21" i="6"/>
  <c r="K11" i="6"/>
  <c r="K13" i="6"/>
  <c r="K26" i="6"/>
  <c r="K10" i="6"/>
  <c r="K12" i="6"/>
  <c r="K15" i="6"/>
  <c r="K19" i="6"/>
  <c r="K23" i="6"/>
  <c r="K9" i="6"/>
  <c r="K16" i="6"/>
  <c r="K18" i="6"/>
  <c r="K20" i="6"/>
  <c r="K22" i="6"/>
  <c r="K24" i="6"/>
  <c r="R18" i="4"/>
  <c r="N27" i="6"/>
  <c r="L10" i="6"/>
  <c r="L9" i="6"/>
  <c r="L15" i="6"/>
  <c r="N28" i="6"/>
  <c r="N8" i="6"/>
  <c r="K8" i="6"/>
  <c r="N14" i="6"/>
  <c r="K27" i="6"/>
  <c r="L26" i="6"/>
  <c r="N25" i="6"/>
  <c r="K25" i="6"/>
  <c r="L9" i="4"/>
  <c r="N14" i="4"/>
  <c r="N28" i="4"/>
  <c r="K28" i="4"/>
  <c r="U24" i="6"/>
  <c r="U20" i="6"/>
  <c r="U16" i="6"/>
  <c r="U23" i="6"/>
  <c r="U19" i="6"/>
  <c r="U15" i="6"/>
  <c r="U22" i="6"/>
  <c r="U18" i="6"/>
  <c r="U25" i="6"/>
  <c r="U21" i="6"/>
  <c r="U17" i="6"/>
  <c r="U11" i="6"/>
  <c r="U10" i="6"/>
  <c r="U13" i="6"/>
  <c r="U9" i="6"/>
  <c r="U12" i="6"/>
  <c r="N8" i="4"/>
  <c r="U23" i="4"/>
  <c r="U19" i="4"/>
  <c r="U15" i="4"/>
  <c r="U22" i="4"/>
  <c r="U18" i="4"/>
  <c r="U21" i="4"/>
  <c r="U24" i="4"/>
  <c r="U20" i="4"/>
  <c r="U16" i="4"/>
  <c r="U25" i="4"/>
  <c r="U17" i="4"/>
  <c r="U28" i="4"/>
  <c r="U12" i="4"/>
  <c r="U10" i="4"/>
  <c r="U9" i="4"/>
  <c r="U11" i="4"/>
  <c r="U13" i="4"/>
  <c r="Q25" i="6"/>
  <c r="W25" i="6" s="1"/>
  <c r="N15" i="6"/>
  <c r="N19" i="6"/>
  <c r="N23" i="6"/>
  <c r="N10" i="6"/>
  <c r="N12" i="6"/>
  <c r="O14" i="6"/>
  <c r="Q27" i="6"/>
  <c r="N11" i="6"/>
  <c r="W11" i="6" s="1"/>
  <c r="N13" i="6"/>
  <c r="N9" i="6"/>
  <c r="N17" i="6"/>
  <c r="N21" i="6"/>
  <c r="N7" i="6"/>
  <c r="N16" i="6"/>
  <c r="N18" i="6"/>
  <c r="N20" i="6"/>
  <c r="N22" i="6"/>
  <c r="N24" i="6"/>
  <c r="N26" i="6"/>
  <c r="N27" i="4"/>
  <c r="N23" i="4"/>
  <c r="N19" i="4"/>
  <c r="N10" i="4"/>
  <c r="N15" i="4"/>
  <c r="N26" i="4"/>
  <c r="N22" i="4"/>
  <c r="N12" i="4"/>
  <c r="N20" i="4"/>
  <c r="N11" i="4"/>
  <c r="N9" i="4"/>
  <c r="N13" i="4"/>
  <c r="N17" i="4"/>
  <c r="N25" i="4"/>
  <c r="N21" i="4"/>
  <c r="N7" i="4"/>
  <c r="N24" i="4"/>
  <c r="N18" i="4"/>
  <c r="N16" i="4"/>
  <c r="Q9" i="6"/>
  <c r="W22" i="6" l="1"/>
  <c r="W17" i="6"/>
  <c r="W26" i="6"/>
  <c r="W8" i="6"/>
  <c r="W18" i="6"/>
  <c r="W23" i="6"/>
  <c r="W12" i="6"/>
  <c r="W9" i="6"/>
  <c r="W19" i="6"/>
  <c r="O12" i="6"/>
  <c r="O9" i="6"/>
  <c r="O11" i="6"/>
  <c r="O7" i="6"/>
  <c r="O10" i="6"/>
  <c r="O13" i="6"/>
  <c r="O8" i="6"/>
  <c r="N31" i="6"/>
  <c r="W24" i="6"/>
  <c r="W20" i="6"/>
  <c r="W16" i="6"/>
  <c r="W15" i="6"/>
  <c r="W10" i="6"/>
  <c r="W13" i="6"/>
  <c r="W21" i="6"/>
  <c r="W27" i="6"/>
  <c r="W7" i="6"/>
  <c r="W8" i="4"/>
  <c r="O14" i="4"/>
  <c r="N31" i="4"/>
  <c r="R19" i="4"/>
  <c r="W28" i="4"/>
  <c r="L11" i="4"/>
  <c r="L10" i="4"/>
  <c r="L11" i="6"/>
  <c r="L16" i="6"/>
  <c r="O18" i="6"/>
  <c r="O15" i="6"/>
  <c r="O25" i="6"/>
  <c r="O8" i="4"/>
  <c r="O13" i="4"/>
  <c r="O7" i="4"/>
  <c r="O9" i="4"/>
  <c r="O12" i="4"/>
  <c r="O11" i="4"/>
  <c r="O10" i="4"/>
  <c r="W7" i="4"/>
  <c r="O22" i="6"/>
  <c r="O24" i="6"/>
  <c r="O19" i="6"/>
  <c r="O17" i="6"/>
  <c r="O16" i="6"/>
  <c r="O27" i="6"/>
  <c r="O28" i="6"/>
  <c r="O26" i="6"/>
  <c r="O23" i="6"/>
  <c r="O21" i="6"/>
  <c r="O20" i="6"/>
  <c r="O21" i="4"/>
  <c r="O23" i="4"/>
  <c r="O26" i="4"/>
  <c r="O28" i="4"/>
  <c r="O27" i="4"/>
  <c r="O24" i="4"/>
  <c r="O19" i="4"/>
  <c r="O15" i="4"/>
  <c r="O20" i="4"/>
  <c r="O17" i="4"/>
  <c r="O18" i="4"/>
  <c r="O25" i="4"/>
  <c r="O22" i="4"/>
  <c r="O16" i="4"/>
  <c r="L12" i="4" l="1"/>
  <c r="L12" i="6"/>
  <c r="L17" i="6"/>
  <c r="L13" i="4" l="1"/>
  <c r="L18" i="6"/>
  <c r="L13" i="6"/>
  <c r="K14" i="4" l="1"/>
  <c r="K14" i="6"/>
  <c r="Q14" i="6"/>
  <c r="L19" i="6"/>
  <c r="W14" i="6" l="1"/>
  <c r="R14" i="6"/>
  <c r="R15" i="6" s="1"/>
  <c r="R16" i="6" s="1"/>
  <c r="R17" i="6" s="1"/>
  <c r="R18" i="6" s="1"/>
  <c r="R19" i="6" s="1"/>
  <c r="R20" i="6" s="1"/>
  <c r="R21" i="6" s="1"/>
  <c r="R22" i="6" s="1"/>
  <c r="R23" i="6" s="1"/>
  <c r="R24" i="6"/>
  <c r="L20" i="6"/>
  <c r="R25" i="6" l="1"/>
  <c r="R31" i="6"/>
  <c r="L21" i="6"/>
  <c r="R26" i="6" l="1"/>
  <c r="L22" i="6"/>
  <c r="L31" i="6" s="1"/>
  <c r="F31" i="6"/>
  <c r="R27" i="6" l="1"/>
  <c r="L23" i="6"/>
  <c r="L24" i="6" l="1"/>
  <c r="U26" i="4"/>
  <c r="Q26" i="4"/>
  <c r="W26" i="4" s="1"/>
  <c r="Q16" i="4" l="1"/>
  <c r="W16" i="4" s="1"/>
  <c r="Q17" i="4"/>
  <c r="W17" i="4" s="1"/>
  <c r="Q18" i="4"/>
  <c r="W18" i="4" s="1"/>
  <c r="Q19" i="4"/>
  <c r="W19" i="4" s="1"/>
  <c r="Q20" i="4"/>
  <c r="Q21" i="4"/>
  <c r="W21" i="4" s="1"/>
  <c r="Q22" i="4"/>
  <c r="W22" i="4" s="1"/>
  <c r="Q23" i="4"/>
  <c r="W23" i="4" s="1"/>
  <c r="Q24" i="4"/>
  <c r="W24" i="4" s="1"/>
  <c r="Q15" i="4"/>
  <c r="W15" i="4" s="1"/>
  <c r="U14" i="4"/>
  <c r="Q13" i="4"/>
  <c r="W13" i="4" s="1"/>
  <c r="Q12" i="4"/>
  <c r="W12" i="4" s="1"/>
  <c r="Q11" i="4"/>
  <c r="W11" i="4" s="1"/>
  <c r="Q10" i="4"/>
  <c r="W10" i="4" s="1"/>
  <c r="Q9" i="4"/>
  <c r="W9" i="4" s="1"/>
  <c r="W20" i="4" l="1"/>
  <c r="R20" i="4"/>
  <c r="R21" i="4" s="1"/>
  <c r="R22" i="4" s="1"/>
  <c r="Q14" i="4"/>
  <c r="W14" i="4" s="1"/>
  <c r="R31" i="4" l="1"/>
  <c r="R23" i="4"/>
  <c r="R24" i="4" s="1"/>
  <c r="R25" i="4" s="1"/>
  <c r="R26" i="4" s="1"/>
  <c r="R27" i="4" s="1"/>
  <c r="R28" i="4" s="1"/>
  <c r="L15" i="4"/>
  <c r="L16" i="4" l="1"/>
  <c r="L17" i="4" l="1"/>
  <c r="L18" i="4" l="1"/>
  <c r="L19" i="4" l="1"/>
  <c r="L20" i="4" l="1"/>
  <c r="L21" i="4" l="1"/>
  <c r="L22" i="4" l="1"/>
  <c r="L31" i="4" s="1"/>
  <c r="F31" i="4"/>
  <c r="L23" i="4" l="1"/>
  <c r="L24" i="4" l="1"/>
  <c r="L26" i="4"/>
  <c r="K25" i="4" l="1"/>
  <c r="Q25" i="4"/>
  <c r="K27" i="4"/>
  <c r="W25" i="4" l="1"/>
  <c r="Q27" i="4"/>
  <c r="W27" i="4" l="1"/>
  <c r="K28" i="6" l="1"/>
  <c r="L28" i="6"/>
  <c r="Q28" i="6"/>
  <c r="R28" i="6" s="1"/>
  <c r="W28" i="6" l="1"/>
</calcChain>
</file>

<file path=xl/sharedStrings.xml><?xml version="1.0" encoding="utf-8"?>
<sst xmlns="http://schemas.openxmlformats.org/spreadsheetml/2006/main" count="68" uniqueCount="31">
  <si>
    <t>Month</t>
  </si>
  <si>
    <t>Description</t>
  </si>
  <si>
    <t>Beginning Balance</t>
  </si>
  <si>
    <t>Activity</t>
  </si>
  <si>
    <t>Balance</t>
  </si>
  <si>
    <t>Monthly ARC Depreciation and ARO Accretion entries</t>
  </si>
  <si>
    <t>YTD Exp</t>
  </si>
  <si>
    <t>3, 5</t>
  </si>
  <si>
    <t>3,5</t>
  </si>
  <si>
    <t xml:space="preserve"> </t>
  </si>
  <si>
    <t>Test Period AMA</t>
  </si>
  <si>
    <t>Descrip</t>
  </si>
  <si>
    <t>A portion of 41113001 Electric ARO Accretion Expense</t>
  </si>
  <si>
    <t>A portion of 40310001 Electric ARC Depreciation Expense</t>
  </si>
  <si>
    <t>101E Subaccount 
317.1 Asset Retirement Cost ("ARC")</t>
  </si>
  <si>
    <t>108E Subaccount 
317.1 Asset Retirement Cost ("ARC")</t>
  </si>
  <si>
    <t>23001021
Colstrip 1/2 Asset Retirement Obligation ("ARO")</t>
  </si>
  <si>
    <t>23001031
Colstrip 3/4 Asset Retirement Obligation ("ARO")</t>
  </si>
  <si>
    <t>Net ARC</t>
  </si>
  <si>
    <t>Entry to adjust the inflation and discount rate used to calculate the ARO.</t>
  </si>
  <si>
    <t>Check</t>
  </si>
  <si>
    <t>Page 1 of 2 to Attachment B to PSE's Response to WTUC Staff Data Request No. 359</t>
  </si>
  <si>
    <t>Page 2 of 2 to Attachment B to PSE's Response to WTUC Staff Data Request No. 359</t>
  </si>
  <si>
    <t>Test Period AMA/Exp</t>
  </si>
  <si>
    <t>3, 4</t>
  </si>
  <si>
    <t>Adjust Colstrip 3/4 ARO to include $49.73M of the $86.62M of remediation costs (PSE's share) from the updated GeoSyntech study (RJR-24) - Staff DR 299</t>
  </si>
  <si>
    <t>Adjust Colstrip 1/2 ARO to include $65.01M of the $74.99M of remediation costs (PSE's share) from the updated GeoSyntech study (as summarized in RJR-23) - Staff DRs 143 and 296</t>
  </si>
  <si>
    <t>Adjust Colstrip 1/2 ARO to include $21.00M of the $38.65M of remediation costs (PSE's share) from the original GeoSyntech study - Staff DR 144</t>
  </si>
  <si>
    <t>Adjust Colstrip 3/4 ARO to include $21.60M of the $42.42M of remediation costs (PSE's share) from the original GeoSyntech study</t>
  </si>
  <si>
    <t>Colstrip Units 1 &amp; 2</t>
  </si>
  <si>
    <t>Colstrip Units 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</si>
</sst>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0.5"/>
      <color theme="1"/>
      <name val="Calibri"/>
      <family val="2"/>
    </font>
    <font>
      <sz val="10"/>
      <name val="Arial"/>
      <family val="2"/>
    </font>
    <font>
      <sz val="10.5"/>
      <color rgb="FFFF0000"/>
      <name val="Calibri"/>
      <family val="2"/>
    </font>
    <font>
      <b/>
      <sz val="14"/>
      <color theme="1"/>
      <name val="Calibri"/>
      <family val="2"/>
    </font>
    <font>
      <b/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0" fillId="0" borderId="0" xfId="0" applyNumberFormat="1"/>
    <xf numFmtId="4" fontId="0" fillId="0" borderId="0" xfId="0" applyNumberFormat="1"/>
    <xf numFmtId="1" fontId="2" fillId="0" borderId="0" xfId="0" applyNumberFormat="1" applyFon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/>
    <xf numFmtId="42" fontId="0" fillId="2" borderId="4" xfId="0" applyNumberFormat="1" applyFill="1" applyBorder="1"/>
    <xf numFmtId="42" fontId="0" fillId="2" borderId="0" xfId="0" applyNumberFormat="1" applyFill="1" applyBorder="1"/>
    <xf numFmtId="42" fontId="0" fillId="2" borderId="5" xfId="0" applyNumberFormat="1" applyFill="1" applyBorder="1"/>
    <xf numFmtId="41" fontId="0" fillId="2" borderId="4" xfId="0" applyNumberFormat="1" applyFill="1" applyBorder="1"/>
    <xf numFmtId="41" fontId="0" fillId="2" borderId="0" xfId="0" applyNumberFormat="1" applyFill="1" applyBorder="1"/>
    <xf numFmtId="41" fontId="0" fillId="2" borderId="5" xfId="0" applyNumberFormat="1" applyFill="1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2" borderId="8" xfId="0" applyNumberFormat="1" applyFill="1" applyBorder="1"/>
    <xf numFmtId="0" fontId="0" fillId="0" borderId="1" xfId="0" applyBorder="1"/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41" fontId="0" fillId="2" borderId="10" xfId="0" applyNumberFormat="1" applyFill="1" applyBorder="1"/>
    <xf numFmtId="41" fontId="0" fillId="2" borderId="11" xfId="0" applyNumberFormat="1" applyFill="1" applyBorder="1"/>
    <xf numFmtId="41" fontId="0" fillId="2" borderId="12" xfId="0" applyNumberFormat="1" applyFill="1" applyBorder="1"/>
    <xf numFmtId="42" fontId="0" fillId="0" borderId="0" xfId="0" applyNumberFormat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4" xfId="0" applyFill="1" applyBorder="1"/>
    <xf numFmtId="0" fontId="0" fillId="3" borderId="0" xfId="0" applyFill="1" applyBorder="1"/>
    <xf numFmtId="42" fontId="0" fillId="3" borderId="4" xfId="0" applyNumberFormat="1" applyFill="1" applyBorder="1"/>
    <xf numFmtId="42" fontId="0" fillId="3" borderId="0" xfId="0" applyNumberFormat="1" applyFill="1" applyBorder="1"/>
    <xf numFmtId="42" fontId="0" fillId="3" borderId="5" xfId="0" applyNumberFormat="1" applyFill="1" applyBorder="1"/>
    <xf numFmtId="41" fontId="0" fillId="3" borderId="4" xfId="0" applyNumberFormat="1" applyFill="1" applyBorder="1"/>
    <xf numFmtId="41" fontId="0" fillId="3" borderId="0" xfId="0" applyNumberFormat="1" applyFill="1" applyBorder="1"/>
    <xf numFmtId="41" fontId="0" fillId="3" borderId="5" xfId="0" applyNumberFormat="1" applyFill="1" applyBorder="1"/>
    <xf numFmtId="41" fontId="0" fillId="3" borderId="10" xfId="0" applyNumberFormat="1" applyFill="1" applyBorder="1"/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3" borderId="6" xfId="0" applyNumberFormat="1" applyFill="1" applyBorder="1"/>
    <xf numFmtId="41" fontId="0" fillId="3" borderId="7" xfId="0" applyNumberFormat="1" applyFill="1" applyBorder="1"/>
    <xf numFmtId="41" fontId="0" fillId="3" borderId="8" xfId="0" applyNumberForma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zoomScaleNormal="100" workbookViewId="0">
      <pane ySplit="3" topLeftCell="A4" activePane="bottomLeft" state="frozen"/>
      <selection pane="bottomLeft" activeCell="X21" sqref="X21"/>
    </sheetView>
  </sheetViews>
  <sheetFormatPr defaultRowHeight="14.25" x14ac:dyDescent="0.25"/>
  <cols>
    <col min="1" max="1" width="11.5703125" customWidth="1"/>
    <col min="2" max="2" width="2.7109375" customWidth="1"/>
    <col min="3" max="3" width="7.140625" bestFit="1" customWidth="1"/>
    <col min="4" max="4" width="2.7109375" customWidth="1"/>
    <col min="5" max="5" width="12.5703125" bestFit="1" customWidth="1"/>
    <col min="6" max="6" width="13" bestFit="1" customWidth="1"/>
    <col min="7" max="7" width="2.7109375" customWidth="1"/>
    <col min="8" max="8" width="10.5703125" bestFit="1" customWidth="1"/>
    <col min="9" max="9" width="12.28515625" bestFit="1" customWidth="1"/>
    <col min="10" max="10" width="2.7109375" customWidth="1"/>
    <col min="11" max="12" width="11.28515625" bestFit="1" customWidth="1"/>
    <col min="13" max="13" width="2.7109375" customWidth="1"/>
    <col min="14" max="15" width="10.140625" bestFit="1" customWidth="1"/>
    <col min="16" max="16" width="2.7109375" customWidth="1"/>
    <col min="17" max="18" width="13.42578125" bestFit="1" customWidth="1"/>
    <col min="19" max="19" width="2.7109375" customWidth="1"/>
    <col min="20" max="20" width="9.7109375" bestFit="1" customWidth="1"/>
    <col min="21" max="21" width="11.28515625" bestFit="1" customWidth="1"/>
    <col min="22" max="22" width="2.7109375" customWidth="1"/>
    <col min="23" max="23" width="5.7109375" bestFit="1" customWidth="1"/>
    <col min="24" max="24" width="12.28515625" bestFit="1" customWidth="1"/>
    <col min="29" max="29" width="13.42578125" bestFit="1" customWidth="1"/>
  </cols>
  <sheetData>
    <row r="1" spans="1:24" ht="18.75" x14ac:dyDescent="0.3">
      <c r="A1" s="6" t="s">
        <v>29</v>
      </c>
      <c r="V1" s="25" t="s">
        <v>21</v>
      </c>
    </row>
    <row r="3" spans="1:24" ht="47.25" customHeight="1" x14ac:dyDescent="0.25">
      <c r="A3" s="2" t="s">
        <v>0</v>
      </c>
      <c r="B3" s="22"/>
      <c r="C3" s="2" t="s">
        <v>11</v>
      </c>
      <c r="D3" s="22"/>
      <c r="E3" s="50" t="s">
        <v>14</v>
      </c>
      <c r="F3" s="51"/>
      <c r="G3" s="52"/>
      <c r="H3" s="50" t="s">
        <v>15</v>
      </c>
      <c r="I3" s="51"/>
      <c r="J3" s="52"/>
      <c r="K3" s="50" t="s">
        <v>18</v>
      </c>
      <c r="L3" s="51"/>
      <c r="M3" s="52"/>
      <c r="N3" s="50" t="s">
        <v>13</v>
      </c>
      <c r="O3" s="51"/>
      <c r="P3" s="52"/>
      <c r="Q3" s="47" t="s">
        <v>16</v>
      </c>
      <c r="R3" s="48"/>
      <c r="S3" s="49"/>
      <c r="T3" s="47" t="s">
        <v>12</v>
      </c>
      <c r="U3" s="48"/>
      <c r="V3" s="49"/>
      <c r="W3" s="23" t="s">
        <v>20</v>
      </c>
    </row>
    <row r="4" spans="1:24" x14ac:dyDescent="0.25">
      <c r="E4" s="8" t="s">
        <v>3</v>
      </c>
      <c r="F4" s="9" t="s">
        <v>4</v>
      </c>
      <c r="G4" s="10"/>
      <c r="H4" s="8" t="s">
        <v>3</v>
      </c>
      <c r="I4" s="9" t="s">
        <v>4</v>
      </c>
      <c r="J4" s="10"/>
      <c r="K4" s="8" t="s">
        <v>3</v>
      </c>
      <c r="L4" s="9" t="s">
        <v>4</v>
      </c>
      <c r="M4" s="10"/>
      <c r="N4" s="8" t="s">
        <v>3</v>
      </c>
      <c r="O4" s="9" t="s">
        <v>6</v>
      </c>
      <c r="P4" s="10"/>
      <c r="Q4" s="30" t="s">
        <v>3</v>
      </c>
      <c r="R4" s="31" t="s">
        <v>4</v>
      </c>
      <c r="S4" s="32"/>
      <c r="T4" s="30" t="s">
        <v>3</v>
      </c>
      <c r="U4" s="31" t="s">
        <v>6</v>
      </c>
      <c r="V4" s="32"/>
      <c r="W4" s="5"/>
    </row>
    <row r="5" spans="1:24" x14ac:dyDescent="0.25">
      <c r="E5" s="11"/>
      <c r="F5" s="12"/>
      <c r="G5" s="10"/>
      <c r="H5" s="11"/>
      <c r="I5" s="12"/>
      <c r="J5" s="10"/>
      <c r="K5" s="11"/>
      <c r="L5" s="12"/>
      <c r="M5" s="10"/>
      <c r="N5" s="11"/>
      <c r="O5" s="12"/>
      <c r="P5" s="10"/>
      <c r="Q5" s="33"/>
      <c r="R5" s="34"/>
      <c r="S5" s="32"/>
      <c r="T5" s="33"/>
      <c r="U5" s="34"/>
      <c r="V5" s="32"/>
      <c r="W5" s="5"/>
    </row>
    <row r="6" spans="1:24" x14ac:dyDescent="0.25">
      <c r="A6" s="7" t="s">
        <v>2</v>
      </c>
      <c r="C6" s="1">
        <v>1</v>
      </c>
      <c r="E6" s="13"/>
      <c r="F6" s="14">
        <v>832637</v>
      </c>
      <c r="G6" s="15"/>
      <c r="H6" s="13"/>
      <c r="I6" s="14">
        <v>-832637</v>
      </c>
      <c r="J6" s="15"/>
      <c r="K6" s="13">
        <f>H6+E6</f>
        <v>0</v>
      </c>
      <c r="L6" s="14">
        <f t="shared" ref="L6:L28" si="0">I6+F6</f>
        <v>0</v>
      </c>
      <c r="M6" s="15"/>
      <c r="N6" s="13"/>
      <c r="O6" s="14"/>
      <c r="P6" s="15"/>
      <c r="Q6" s="35"/>
      <c r="R6" s="36">
        <v>-2194522.59</v>
      </c>
      <c r="S6" s="37"/>
      <c r="T6" s="35"/>
      <c r="U6" s="36"/>
      <c r="V6" s="37"/>
      <c r="W6" s="5">
        <f t="shared" ref="W6:W29" si="1">ROUND(E6+H6+N6+Q6+T6,2)</f>
        <v>0</v>
      </c>
      <c r="X6" s="29"/>
    </row>
    <row r="7" spans="1:24" x14ac:dyDescent="0.25">
      <c r="A7" s="7">
        <v>42185</v>
      </c>
      <c r="C7" s="1">
        <v>2</v>
      </c>
      <c r="E7" s="16">
        <v>16575587.779999999</v>
      </c>
      <c r="F7" s="17">
        <f t="shared" ref="F7:F14" si="2">F6+E7</f>
        <v>17408224.780000001</v>
      </c>
      <c r="G7" s="18"/>
      <c r="H7" s="16">
        <f>I7-I6</f>
        <v>0.16000000003259629</v>
      </c>
      <c r="I7" s="17">
        <v>-832636.84</v>
      </c>
      <c r="J7" s="18"/>
      <c r="K7" s="16">
        <f t="shared" ref="K7:K28" si="3">H7+E7</f>
        <v>16575587.939999999</v>
      </c>
      <c r="L7" s="17">
        <f t="shared" si="0"/>
        <v>16575587.940000001</v>
      </c>
      <c r="M7" s="18"/>
      <c r="N7" s="16">
        <f>-H7</f>
        <v>-0.16000000003259629</v>
      </c>
      <c r="O7" s="17">
        <f>SUM(N$7:$N7)</f>
        <v>-0.16000000003259629</v>
      </c>
      <c r="P7" s="18"/>
      <c r="Q7" s="38">
        <f>-T7-E7</f>
        <v>-16585187.439999999</v>
      </c>
      <c r="R7" s="39">
        <f t="shared" ref="R7:R28" si="4">R6+Q7</f>
        <v>-18779710.030000001</v>
      </c>
      <c r="S7" s="40"/>
      <c r="T7" s="38">
        <v>9599.66</v>
      </c>
      <c r="U7" s="39">
        <f>SUM($T$7:T7)</f>
        <v>9599.66</v>
      </c>
      <c r="V7" s="40"/>
      <c r="W7" s="5">
        <f t="shared" si="1"/>
        <v>0</v>
      </c>
      <c r="X7" s="29"/>
    </row>
    <row r="8" spans="1:24" x14ac:dyDescent="0.25">
      <c r="A8" s="7">
        <v>42216</v>
      </c>
      <c r="C8" s="1">
        <v>3</v>
      </c>
      <c r="E8" s="16">
        <f>16575588.78-16575588.78</f>
        <v>0</v>
      </c>
      <c r="F8" s="17">
        <f t="shared" si="2"/>
        <v>17408224.780000001</v>
      </c>
      <c r="G8" s="18"/>
      <c r="H8" s="16">
        <f t="shared" ref="H8:H28" si="5">I8-I7</f>
        <v>-27084.260000000009</v>
      </c>
      <c r="I8" s="17">
        <v>-859721.1</v>
      </c>
      <c r="J8" s="18"/>
      <c r="K8" s="16">
        <f t="shared" si="3"/>
        <v>-27084.260000000009</v>
      </c>
      <c r="L8" s="17">
        <f t="shared" si="0"/>
        <v>16548503.680000002</v>
      </c>
      <c r="M8" s="18"/>
      <c r="N8" s="16">
        <f t="shared" ref="N8:N28" si="6">-H8</f>
        <v>27084.260000000009</v>
      </c>
      <c r="O8" s="17">
        <f>SUM(N$7:$N8)</f>
        <v>27084.099999999977</v>
      </c>
      <c r="P8" s="18"/>
      <c r="Q8" s="38">
        <f>-T8+16585187-16585187</f>
        <v>-9644.1500000003725</v>
      </c>
      <c r="R8" s="39">
        <f t="shared" si="4"/>
        <v>-18789354.18</v>
      </c>
      <c r="S8" s="40"/>
      <c r="T8" s="38">
        <v>9644.15</v>
      </c>
      <c r="U8" s="39">
        <f>SUM($T$7:T8)</f>
        <v>19243.809999999998</v>
      </c>
      <c r="V8" s="40"/>
      <c r="W8" s="24">
        <f t="shared" si="1"/>
        <v>0</v>
      </c>
      <c r="X8" s="29"/>
    </row>
    <row r="9" spans="1:24" x14ac:dyDescent="0.25">
      <c r="A9" s="7">
        <v>42247</v>
      </c>
      <c r="C9" s="1">
        <v>3</v>
      </c>
      <c r="E9" s="16"/>
      <c r="F9" s="17">
        <f t="shared" si="2"/>
        <v>17408224.780000001</v>
      </c>
      <c r="G9" s="18"/>
      <c r="H9" s="16">
        <f t="shared" si="5"/>
        <v>-54257.400000000023</v>
      </c>
      <c r="I9" s="17">
        <v>-913978.5</v>
      </c>
      <c r="J9" s="18"/>
      <c r="K9" s="16">
        <f t="shared" si="3"/>
        <v>-54257.400000000023</v>
      </c>
      <c r="L9" s="17">
        <f t="shared" si="0"/>
        <v>16494246.280000001</v>
      </c>
      <c r="M9" s="18"/>
      <c r="N9" s="16">
        <f t="shared" si="6"/>
        <v>54257.400000000023</v>
      </c>
      <c r="O9" s="17">
        <f>SUM(N$7:$N9)</f>
        <v>81341.5</v>
      </c>
      <c r="P9" s="18"/>
      <c r="Q9" s="38">
        <f t="shared" ref="Q9:Q13" si="7">-T9</f>
        <v>-92262.01999999999</v>
      </c>
      <c r="R9" s="39">
        <f t="shared" si="4"/>
        <v>-18881616.199999999</v>
      </c>
      <c r="S9" s="40"/>
      <c r="T9" s="38">
        <f>49165.49+43096.53</f>
        <v>92262.01999999999</v>
      </c>
      <c r="U9" s="39">
        <f>SUM($T$7:T9)</f>
        <v>111505.82999999999</v>
      </c>
      <c r="V9" s="40"/>
      <c r="W9" s="5">
        <f t="shared" si="1"/>
        <v>0</v>
      </c>
      <c r="X9" s="29"/>
    </row>
    <row r="10" spans="1:24" x14ac:dyDescent="0.25">
      <c r="A10" s="7">
        <v>42277</v>
      </c>
      <c r="C10" s="1">
        <v>3</v>
      </c>
      <c r="E10" s="16"/>
      <c r="F10" s="17">
        <f t="shared" si="2"/>
        <v>17408224.780000001</v>
      </c>
      <c r="G10" s="18"/>
      <c r="H10" s="16">
        <f t="shared" si="5"/>
        <v>-54257.339999999967</v>
      </c>
      <c r="I10" s="17">
        <v>-968235.84</v>
      </c>
      <c r="J10" s="18"/>
      <c r="K10" s="16">
        <f t="shared" si="3"/>
        <v>-54257.339999999967</v>
      </c>
      <c r="L10" s="17">
        <f t="shared" si="0"/>
        <v>16439988.940000001</v>
      </c>
      <c r="M10" s="18"/>
      <c r="N10" s="16">
        <f t="shared" si="6"/>
        <v>54257.339999999967</v>
      </c>
      <c r="O10" s="17">
        <f>SUM(N$7:$N10)</f>
        <v>135598.83999999997</v>
      </c>
      <c r="P10" s="18"/>
      <c r="Q10" s="38">
        <f t="shared" si="7"/>
        <v>-49294.13</v>
      </c>
      <c r="R10" s="39">
        <f t="shared" si="4"/>
        <v>-18930910.329999998</v>
      </c>
      <c r="S10" s="40"/>
      <c r="T10" s="38">
        <v>49294.13</v>
      </c>
      <c r="U10" s="39">
        <f>SUM($T$7:T10)</f>
        <v>160799.96</v>
      </c>
      <c r="V10" s="40"/>
      <c r="W10" s="5">
        <f t="shared" si="1"/>
        <v>0</v>
      </c>
      <c r="X10" s="29"/>
    </row>
    <row r="11" spans="1:24" x14ac:dyDescent="0.25">
      <c r="A11" s="7">
        <v>42308</v>
      </c>
      <c r="C11" s="1">
        <v>3</v>
      </c>
      <c r="E11" s="16"/>
      <c r="F11" s="17">
        <f t="shared" si="2"/>
        <v>17408224.780000001</v>
      </c>
      <c r="G11" s="18"/>
      <c r="H11" s="16">
        <f t="shared" si="5"/>
        <v>-54257.390000000014</v>
      </c>
      <c r="I11" s="17">
        <v>-1022493.23</v>
      </c>
      <c r="J11" s="18"/>
      <c r="K11" s="16">
        <f t="shared" si="3"/>
        <v>-54257.390000000014</v>
      </c>
      <c r="L11" s="17">
        <f t="shared" si="0"/>
        <v>16385731.550000001</v>
      </c>
      <c r="M11" s="18"/>
      <c r="N11" s="16">
        <f t="shared" si="6"/>
        <v>54257.390000000014</v>
      </c>
      <c r="O11" s="17">
        <f>SUM(N$7:$N11)</f>
        <v>189856.22999999998</v>
      </c>
      <c r="P11" s="18"/>
      <c r="Q11" s="38">
        <f t="shared" si="7"/>
        <v>-49535.89</v>
      </c>
      <c r="R11" s="39">
        <f t="shared" si="4"/>
        <v>-18980446.219999999</v>
      </c>
      <c r="S11" s="40"/>
      <c r="T11" s="38">
        <v>49535.89</v>
      </c>
      <c r="U11" s="39">
        <f>SUM($T$7:T11)</f>
        <v>210335.84999999998</v>
      </c>
      <c r="V11" s="40"/>
      <c r="W11" s="5">
        <f t="shared" si="1"/>
        <v>0</v>
      </c>
      <c r="X11" s="29"/>
    </row>
    <row r="12" spans="1:24" x14ac:dyDescent="0.25">
      <c r="A12" s="7">
        <v>42338</v>
      </c>
      <c r="C12" s="1">
        <v>3</v>
      </c>
      <c r="E12" s="16"/>
      <c r="F12" s="17">
        <f t="shared" si="2"/>
        <v>17408224.780000001</v>
      </c>
      <c r="G12" s="18"/>
      <c r="H12" s="16">
        <f t="shared" si="5"/>
        <v>-54257.419999999925</v>
      </c>
      <c r="I12" s="17">
        <v>-1076750.6499999999</v>
      </c>
      <c r="J12" s="18"/>
      <c r="K12" s="16">
        <f t="shared" si="3"/>
        <v>-54257.419999999925</v>
      </c>
      <c r="L12" s="17">
        <f t="shared" si="0"/>
        <v>16331474.130000001</v>
      </c>
      <c r="M12" s="18"/>
      <c r="N12" s="16">
        <f t="shared" si="6"/>
        <v>54257.419999999925</v>
      </c>
      <c r="O12" s="17">
        <f>SUM(N$7:$N12)</f>
        <v>244113.64999999991</v>
      </c>
      <c r="P12" s="18"/>
      <c r="Q12" s="38">
        <f t="shared" si="7"/>
        <v>-49665.5</v>
      </c>
      <c r="R12" s="39">
        <f t="shared" si="4"/>
        <v>-19030111.719999999</v>
      </c>
      <c r="S12" s="40"/>
      <c r="T12" s="38">
        <v>49665.5</v>
      </c>
      <c r="U12" s="39">
        <f>SUM($T$7:T12)</f>
        <v>260001.34999999998</v>
      </c>
      <c r="V12" s="40"/>
      <c r="W12" s="5">
        <f t="shared" si="1"/>
        <v>0</v>
      </c>
      <c r="X12" s="29"/>
    </row>
    <row r="13" spans="1:24" x14ac:dyDescent="0.25">
      <c r="A13" s="7">
        <v>42369</v>
      </c>
      <c r="C13" s="1">
        <v>3</v>
      </c>
      <c r="E13" s="16"/>
      <c r="F13" s="17">
        <f t="shared" si="2"/>
        <v>17408224.780000001</v>
      </c>
      <c r="G13" s="18"/>
      <c r="H13" s="16">
        <f t="shared" si="5"/>
        <v>-54257.40000000014</v>
      </c>
      <c r="I13" s="17">
        <v>-1131008.05</v>
      </c>
      <c r="J13" s="18"/>
      <c r="K13" s="16">
        <f t="shared" si="3"/>
        <v>-54257.40000000014</v>
      </c>
      <c r="L13" s="17">
        <f t="shared" si="0"/>
        <v>16277216.73</v>
      </c>
      <c r="M13" s="18"/>
      <c r="N13" s="16">
        <f t="shared" si="6"/>
        <v>54257.40000000014</v>
      </c>
      <c r="O13" s="17">
        <f>SUM(N$7:$N13)</f>
        <v>298371.05000000005</v>
      </c>
      <c r="P13" s="18"/>
      <c r="Q13" s="38">
        <f t="shared" si="7"/>
        <v>-49795.45</v>
      </c>
      <c r="R13" s="39">
        <f t="shared" si="4"/>
        <v>-19079907.169999998</v>
      </c>
      <c r="S13" s="40"/>
      <c r="T13" s="38">
        <v>49795.45</v>
      </c>
      <c r="U13" s="39">
        <f>SUM($T$7:T13)</f>
        <v>309796.8</v>
      </c>
      <c r="V13" s="40"/>
      <c r="W13" s="5">
        <f t="shared" si="1"/>
        <v>0</v>
      </c>
      <c r="X13" s="29"/>
    </row>
    <row r="14" spans="1:24" x14ac:dyDescent="0.25">
      <c r="A14" s="7">
        <v>42400</v>
      </c>
      <c r="C14" s="1" t="s">
        <v>24</v>
      </c>
      <c r="E14" s="16">
        <v>-203100.78000000119</v>
      </c>
      <c r="F14" s="17">
        <f t="shared" si="2"/>
        <v>17205124</v>
      </c>
      <c r="G14" s="18"/>
      <c r="H14" s="16">
        <f t="shared" si="5"/>
        <v>-49943.10999999987</v>
      </c>
      <c r="I14" s="17">
        <v>-1180951.1599999999</v>
      </c>
      <c r="J14" s="18"/>
      <c r="K14" s="16">
        <f t="shared" si="3"/>
        <v>-253043.89000000106</v>
      </c>
      <c r="L14" s="17">
        <f t="shared" si="0"/>
        <v>16024172.84</v>
      </c>
      <c r="M14" s="18"/>
      <c r="N14" s="26">
        <f t="shared" si="6"/>
        <v>49943.10999999987</v>
      </c>
      <c r="O14" s="27">
        <f>SUM(N$14)</f>
        <v>49943.10999999987</v>
      </c>
      <c r="P14" s="28"/>
      <c r="Q14" s="38">
        <f>-E14-T14</f>
        <v>149418.03000000119</v>
      </c>
      <c r="R14" s="39">
        <f t="shared" si="4"/>
        <v>-18930489.139999997</v>
      </c>
      <c r="S14" s="40"/>
      <c r="T14" s="41">
        <f>49925.75+3757</f>
        <v>53682.75</v>
      </c>
      <c r="U14" s="42">
        <f>T14</f>
        <v>53682.75</v>
      </c>
      <c r="V14" s="43"/>
      <c r="W14" s="5">
        <f t="shared" si="1"/>
        <v>0</v>
      </c>
      <c r="X14" s="29"/>
    </row>
    <row r="15" spans="1:24" x14ac:dyDescent="0.25">
      <c r="A15" s="7">
        <v>42429</v>
      </c>
      <c r="C15" s="1">
        <v>3</v>
      </c>
      <c r="E15" s="16"/>
      <c r="F15" s="17">
        <f t="shared" ref="F15:F28" si="8">F14+E15</f>
        <v>17205124</v>
      </c>
      <c r="G15" s="18"/>
      <c r="H15" s="16">
        <f t="shared" si="5"/>
        <v>-53592.530000000028</v>
      </c>
      <c r="I15" s="17">
        <v>-1234543.69</v>
      </c>
      <c r="J15" s="18"/>
      <c r="K15" s="16">
        <f t="shared" si="3"/>
        <v>-53592.530000000028</v>
      </c>
      <c r="L15" s="17">
        <f t="shared" si="0"/>
        <v>15970580.310000001</v>
      </c>
      <c r="M15" s="18"/>
      <c r="N15" s="16">
        <f t="shared" si="6"/>
        <v>53592.530000000028</v>
      </c>
      <c r="O15" s="17">
        <f>SUM($N$14:N15)</f>
        <v>103535.6399999999</v>
      </c>
      <c r="P15" s="18"/>
      <c r="Q15" s="38">
        <f>-T15</f>
        <v>-50639.06</v>
      </c>
      <c r="R15" s="39">
        <f t="shared" si="4"/>
        <v>-18981128.199999996</v>
      </c>
      <c r="S15" s="40"/>
      <c r="T15" s="38">
        <v>50639.06</v>
      </c>
      <c r="U15" s="39">
        <f>SUM($T$14:T15)</f>
        <v>104321.81</v>
      </c>
      <c r="V15" s="40"/>
      <c r="W15" s="5">
        <f t="shared" si="1"/>
        <v>0</v>
      </c>
      <c r="X15" s="29"/>
    </row>
    <row r="16" spans="1:24" x14ac:dyDescent="0.25">
      <c r="A16" s="7">
        <v>42460</v>
      </c>
      <c r="C16" s="1">
        <v>3</v>
      </c>
      <c r="E16" s="16"/>
      <c r="F16" s="17">
        <f t="shared" si="8"/>
        <v>17205124</v>
      </c>
      <c r="G16" s="18"/>
      <c r="H16" s="16">
        <f t="shared" si="5"/>
        <v>-53592.479999999981</v>
      </c>
      <c r="I16" s="17">
        <v>-1288136.17</v>
      </c>
      <c r="J16" s="18"/>
      <c r="K16" s="16">
        <f t="shared" si="3"/>
        <v>-53592.479999999981</v>
      </c>
      <c r="L16" s="17">
        <f t="shared" si="0"/>
        <v>15916987.83</v>
      </c>
      <c r="M16" s="18"/>
      <c r="N16" s="16">
        <f t="shared" si="6"/>
        <v>53592.479999999981</v>
      </c>
      <c r="O16" s="17">
        <f>SUM($N$14:N16)</f>
        <v>157128.11999999988</v>
      </c>
      <c r="P16" s="18"/>
      <c r="Q16" s="38">
        <f t="shared" ref="Q16:Q24" si="9">-T16</f>
        <v>-50774.51</v>
      </c>
      <c r="R16" s="39">
        <f t="shared" si="4"/>
        <v>-19031902.709999997</v>
      </c>
      <c r="S16" s="40"/>
      <c r="T16" s="38">
        <v>50774.51</v>
      </c>
      <c r="U16" s="39">
        <f>SUM($T$14:T16)</f>
        <v>155096.32000000001</v>
      </c>
      <c r="V16" s="40"/>
      <c r="W16" s="5">
        <f t="shared" si="1"/>
        <v>0</v>
      </c>
      <c r="X16" s="29"/>
    </row>
    <row r="17" spans="1:29" x14ac:dyDescent="0.25">
      <c r="A17" s="7">
        <v>42490</v>
      </c>
      <c r="C17" s="1">
        <v>3</v>
      </c>
      <c r="E17" s="16"/>
      <c r="F17" s="17">
        <f t="shared" si="8"/>
        <v>17205124</v>
      </c>
      <c r="G17" s="18"/>
      <c r="H17" s="16">
        <f t="shared" si="5"/>
        <v>-53592.5</v>
      </c>
      <c r="I17" s="17">
        <v>-1341728.67</v>
      </c>
      <c r="J17" s="18"/>
      <c r="K17" s="16">
        <f t="shared" si="3"/>
        <v>-53592.5</v>
      </c>
      <c r="L17" s="17">
        <f t="shared" si="0"/>
        <v>15863395.33</v>
      </c>
      <c r="M17" s="18"/>
      <c r="N17" s="16">
        <f t="shared" si="6"/>
        <v>53592.5</v>
      </c>
      <c r="O17" s="17">
        <f>SUM($N$14:N17)</f>
        <v>210720.61999999988</v>
      </c>
      <c r="P17" s="18"/>
      <c r="Q17" s="38">
        <f t="shared" si="9"/>
        <v>-50910.33</v>
      </c>
      <c r="R17" s="39">
        <f t="shared" si="4"/>
        <v>-19082813.039999995</v>
      </c>
      <c r="S17" s="40"/>
      <c r="T17" s="38">
        <v>50910.33</v>
      </c>
      <c r="U17" s="39">
        <f>SUM($T$14:T17)</f>
        <v>206006.65000000002</v>
      </c>
      <c r="V17" s="40"/>
      <c r="W17" s="5">
        <f t="shared" si="1"/>
        <v>0</v>
      </c>
      <c r="X17" s="29"/>
    </row>
    <row r="18" spans="1:29" x14ac:dyDescent="0.25">
      <c r="A18" s="7">
        <v>42521</v>
      </c>
      <c r="C18" s="1">
        <v>3</v>
      </c>
      <c r="E18" s="16"/>
      <c r="F18" s="17">
        <f t="shared" si="8"/>
        <v>17205124</v>
      </c>
      <c r="G18" s="18"/>
      <c r="H18" s="16">
        <f t="shared" si="5"/>
        <v>-53592.580000000075</v>
      </c>
      <c r="I18" s="17">
        <v>-1395321.25</v>
      </c>
      <c r="J18" s="18"/>
      <c r="K18" s="16">
        <f t="shared" si="3"/>
        <v>-53592.580000000075</v>
      </c>
      <c r="L18" s="17">
        <f t="shared" si="0"/>
        <v>15809802.75</v>
      </c>
      <c r="M18" s="18"/>
      <c r="N18" s="16">
        <f t="shared" si="6"/>
        <v>53592.580000000075</v>
      </c>
      <c r="O18" s="17">
        <f>SUM($N$14:N18)</f>
        <v>264313.19999999995</v>
      </c>
      <c r="P18" s="18"/>
      <c r="Q18" s="38">
        <f t="shared" si="9"/>
        <v>-51046.54</v>
      </c>
      <c r="R18" s="39">
        <f t="shared" si="4"/>
        <v>-19133859.579999994</v>
      </c>
      <c r="S18" s="40"/>
      <c r="T18" s="38">
        <v>51046.54</v>
      </c>
      <c r="U18" s="39">
        <f>SUM($T$14:T18)</f>
        <v>257053.19000000003</v>
      </c>
      <c r="V18" s="40"/>
      <c r="W18" s="5">
        <f t="shared" si="1"/>
        <v>0</v>
      </c>
      <c r="X18" s="29"/>
    </row>
    <row r="19" spans="1:29" x14ac:dyDescent="0.25">
      <c r="A19" s="7">
        <v>42551</v>
      </c>
      <c r="C19" s="1">
        <v>3</v>
      </c>
      <c r="E19" s="16"/>
      <c r="F19" s="17">
        <f t="shared" si="8"/>
        <v>17205124</v>
      </c>
      <c r="G19" s="18"/>
      <c r="H19" s="16">
        <f t="shared" si="5"/>
        <v>-53592.540000000037</v>
      </c>
      <c r="I19" s="17">
        <v>-1448913.79</v>
      </c>
      <c r="J19" s="18"/>
      <c r="K19" s="16">
        <f t="shared" si="3"/>
        <v>-53592.540000000037</v>
      </c>
      <c r="L19" s="17">
        <f t="shared" si="0"/>
        <v>15756210.210000001</v>
      </c>
      <c r="M19" s="18"/>
      <c r="N19" s="16">
        <f t="shared" si="6"/>
        <v>53592.540000000037</v>
      </c>
      <c r="O19" s="17">
        <f>SUM($N$14:N19)</f>
        <v>317905.74</v>
      </c>
      <c r="P19" s="18"/>
      <c r="Q19" s="38">
        <f t="shared" si="9"/>
        <v>-51183.09</v>
      </c>
      <c r="R19" s="39">
        <f t="shared" si="4"/>
        <v>-19185042.669999994</v>
      </c>
      <c r="S19" s="40"/>
      <c r="T19" s="38">
        <v>51183.09</v>
      </c>
      <c r="U19" s="39">
        <f>SUM($T$14:T19)</f>
        <v>308236.28000000003</v>
      </c>
      <c r="V19" s="40"/>
      <c r="W19" s="5">
        <f t="shared" si="1"/>
        <v>0</v>
      </c>
      <c r="X19" s="29"/>
      <c r="AA19" s="4"/>
      <c r="AB19" s="4"/>
      <c r="AC19" s="4"/>
    </row>
    <row r="20" spans="1:29" x14ac:dyDescent="0.25">
      <c r="A20" s="7">
        <v>42582</v>
      </c>
      <c r="C20" s="1">
        <v>3</v>
      </c>
      <c r="E20" s="16"/>
      <c r="F20" s="17">
        <f t="shared" si="8"/>
        <v>17205124</v>
      </c>
      <c r="G20" s="18"/>
      <c r="H20" s="16">
        <f t="shared" si="5"/>
        <v>-53592.540000000037</v>
      </c>
      <c r="I20" s="17">
        <v>-1502506.33</v>
      </c>
      <c r="J20" s="18"/>
      <c r="K20" s="16">
        <f t="shared" si="3"/>
        <v>-53592.540000000037</v>
      </c>
      <c r="L20" s="17">
        <f t="shared" si="0"/>
        <v>15702617.67</v>
      </c>
      <c r="M20" s="18"/>
      <c r="N20" s="16">
        <f t="shared" si="6"/>
        <v>53592.540000000037</v>
      </c>
      <c r="O20" s="17">
        <f>SUM($N$14:N20)</f>
        <v>371498.28</v>
      </c>
      <c r="P20" s="18"/>
      <c r="Q20" s="38">
        <f t="shared" si="9"/>
        <v>-51319.99</v>
      </c>
      <c r="R20" s="39">
        <f t="shared" si="4"/>
        <v>-19236362.659999993</v>
      </c>
      <c r="S20" s="40"/>
      <c r="T20" s="38">
        <v>51319.99</v>
      </c>
      <c r="U20" s="39">
        <f>SUM($T$14:T20)</f>
        <v>359556.27</v>
      </c>
      <c r="V20" s="40"/>
      <c r="W20" s="5">
        <f t="shared" si="1"/>
        <v>0</v>
      </c>
      <c r="X20" s="29"/>
      <c r="AB20" s="4"/>
      <c r="AC20" s="4"/>
    </row>
    <row r="21" spans="1:29" x14ac:dyDescent="0.25">
      <c r="A21" s="7">
        <v>42613</v>
      </c>
      <c r="C21" s="1">
        <v>3</v>
      </c>
      <c r="E21" s="16"/>
      <c r="F21" s="17">
        <f t="shared" si="8"/>
        <v>17205124</v>
      </c>
      <c r="G21" s="18"/>
      <c r="H21" s="16">
        <f t="shared" si="5"/>
        <v>-53592.559999999823</v>
      </c>
      <c r="I21" s="17">
        <v>-1556098.89</v>
      </c>
      <c r="J21" s="18"/>
      <c r="K21" s="16">
        <f t="shared" si="3"/>
        <v>-53592.559999999823</v>
      </c>
      <c r="L21" s="17">
        <f t="shared" si="0"/>
        <v>15649025.109999999</v>
      </c>
      <c r="M21" s="18"/>
      <c r="N21" s="16">
        <f t="shared" si="6"/>
        <v>53592.559999999823</v>
      </c>
      <c r="O21" s="17">
        <f>SUM($N$14:N21)</f>
        <v>425090.83999999985</v>
      </c>
      <c r="P21" s="18"/>
      <c r="Q21" s="38">
        <f t="shared" si="9"/>
        <v>-51457.27</v>
      </c>
      <c r="R21" s="39">
        <f t="shared" si="4"/>
        <v>-19287819.929999992</v>
      </c>
      <c r="S21" s="40"/>
      <c r="T21" s="38">
        <v>51457.27</v>
      </c>
      <c r="U21" s="39">
        <f>SUM($T$14:T21)</f>
        <v>411013.54000000004</v>
      </c>
      <c r="V21" s="40"/>
      <c r="W21" s="5">
        <f t="shared" si="1"/>
        <v>0</v>
      </c>
      <c r="X21" s="29"/>
      <c r="AB21" s="4"/>
      <c r="AC21" s="4"/>
    </row>
    <row r="22" spans="1:29" x14ac:dyDescent="0.25">
      <c r="A22" s="7">
        <v>42643</v>
      </c>
      <c r="C22" s="1">
        <v>3</v>
      </c>
      <c r="E22" s="16"/>
      <c r="F22" s="17">
        <f t="shared" si="8"/>
        <v>17205124</v>
      </c>
      <c r="G22" s="18"/>
      <c r="H22" s="16">
        <f t="shared" si="5"/>
        <v>-53592.590000000084</v>
      </c>
      <c r="I22" s="17">
        <v>-1609691.48</v>
      </c>
      <c r="J22" s="18"/>
      <c r="K22" s="16">
        <f t="shared" si="3"/>
        <v>-53592.590000000084</v>
      </c>
      <c r="L22" s="17">
        <f t="shared" si="0"/>
        <v>15595432.52</v>
      </c>
      <c r="M22" s="18"/>
      <c r="N22" s="16">
        <f t="shared" si="6"/>
        <v>53592.590000000084</v>
      </c>
      <c r="O22" s="17">
        <f>SUM($N$14:N22)</f>
        <v>478683.42999999993</v>
      </c>
      <c r="P22" s="18"/>
      <c r="Q22" s="38">
        <f t="shared" si="9"/>
        <v>-51594.92</v>
      </c>
      <c r="R22" s="39">
        <f t="shared" si="4"/>
        <v>-19339414.849999994</v>
      </c>
      <c r="S22" s="40"/>
      <c r="T22" s="38">
        <v>51594.92</v>
      </c>
      <c r="U22" s="39">
        <f>SUM($T$14:T22)</f>
        <v>462608.46</v>
      </c>
      <c r="V22" s="40"/>
      <c r="W22" s="5">
        <f t="shared" si="1"/>
        <v>0</v>
      </c>
      <c r="X22" s="29"/>
      <c r="AB22" s="4"/>
      <c r="AC22" s="4"/>
    </row>
    <row r="23" spans="1:29" x14ac:dyDescent="0.25">
      <c r="A23" s="7">
        <v>42674</v>
      </c>
      <c r="C23" s="1">
        <v>3</v>
      </c>
      <c r="E23" s="16"/>
      <c r="F23" s="17">
        <f t="shared" si="8"/>
        <v>17205124</v>
      </c>
      <c r="G23" s="18"/>
      <c r="H23" s="16">
        <f t="shared" si="5"/>
        <v>-53592.610000000102</v>
      </c>
      <c r="I23" s="17">
        <v>-1663284.09</v>
      </c>
      <c r="J23" s="18"/>
      <c r="K23" s="16">
        <f t="shared" si="3"/>
        <v>-53592.610000000102</v>
      </c>
      <c r="L23" s="17">
        <f t="shared" si="0"/>
        <v>15541839.91</v>
      </c>
      <c r="M23" s="18"/>
      <c r="N23" s="16">
        <f t="shared" si="6"/>
        <v>53592.610000000102</v>
      </c>
      <c r="O23" s="17">
        <f>SUM($N$14:N23)</f>
        <v>532276.04</v>
      </c>
      <c r="P23" s="18"/>
      <c r="Q23" s="38">
        <f t="shared" si="9"/>
        <v>-51732.93</v>
      </c>
      <c r="R23" s="39">
        <f t="shared" si="4"/>
        <v>-19391147.779999994</v>
      </c>
      <c r="S23" s="40"/>
      <c r="T23" s="38">
        <v>51732.93</v>
      </c>
      <c r="U23" s="39">
        <f>SUM($T$14:T23)</f>
        <v>514341.39</v>
      </c>
      <c r="V23" s="40"/>
      <c r="W23" s="5">
        <f t="shared" si="1"/>
        <v>0</v>
      </c>
      <c r="X23" s="29"/>
      <c r="AB23" s="4"/>
      <c r="AC23" s="4"/>
    </row>
    <row r="24" spans="1:29" x14ac:dyDescent="0.25">
      <c r="A24" s="7">
        <v>42704</v>
      </c>
      <c r="C24" s="1">
        <v>3</v>
      </c>
      <c r="E24" s="16"/>
      <c r="F24" s="17">
        <f t="shared" si="8"/>
        <v>17205124</v>
      </c>
      <c r="G24" s="18"/>
      <c r="H24" s="16">
        <f t="shared" si="5"/>
        <v>-53592.619999999879</v>
      </c>
      <c r="I24" s="17">
        <v>-1716876.71</v>
      </c>
      <c r="J24" s="18"/>
      <c r="K24" s="16">
        <f t="shared" si="3"/>
        <v>-53592.619999999879</v>
      </c>
      <c r="L24" s="17">
        <f t="shared" si="0"/>
        <v>15488247.289999999</v>
      </c>
      <c r="M24" s="18"/>
      <c r="N24" s="16">
        <f t="shared" si="6"/>
        <v>53592.619999999879</v>
      </c>
      <c r="O24" s="17">
        <f>SUM($N$14:N24)</f>
        <v>585868.65999999992</v>
      </c>
      <c r="P24" s="18"/>
      <c r="Q24" s="38">
        <f t="shared" si="9"/>
        <v>-51871.32</v>
      </c>
      <c r="R24" s="39">
        <f t="shared" si="4"/>
        <v>-19443019.099999994</v>
      </c>
      <c r="S24" s="40"/>
      <c r="T24" s="38">
        <v>51871.32</v>
      </c>
      <c r="U24" s="39">
        <f>SUM($T$14:T24)</f>
        <v>566212.71</v>
      </c>
      <c r="V24" s="40"/>
      <c r="W24" s="5">
        <f t="shared" si="1"/>
        <v>0</v>
      </c>
      <c r="X24" s="29"/>
      <c r="AB24" s="4"/>
      <c r="AC24" s="4"/>
    </row>
    <row r="25" spans="1:29" x14ac:dyDescent="0.25">
      <c r="A25" s="7">
        <v>42735</v>
      </c>
      <c r="C25" s="1" t="s">
        <v>8</v>
      </c>
      <c r="E25" s="16">
        <v>45693519</v>
      </c>
      <c r="F25" s="17">
        <f t="shared" si="8"/>
        <v>62898643</v>
      </c>
      <c r="G25" s="18"/>
      <c r="H25" s="16">
        <f t="shared" si="5"/>
        <v>-132647.16999999993</v>
      </c>
      <c r="I25" s="17">
        <v>-1849523.88</v>
      </c>
      <c r="J25" s="18"/>
      <c r="K25" s="16">
        <f t="shared" si="3"/>
        <v>45560871.829999998</v>
      </c>
      <c r="L25" s="17">
        <f t="shared" si="0"/>
        <v>61049119.119999997</v>
      </c>
      <c r="M25" s="18"/>
      <c r="N25" s="16">
        <f t="shared" si="6"/>
        <v>132647.16999999993</v>
      </c>
      <c r="O25" s="17">
        <f>SUM($N$14:N25)</f>
        <v>718515.82999999984</v>
      </c>
      <c r="P25" s="18"/>
      <c r="Q25" s="38">
        <f>-E25-T25</f>
        <v>-45745529.07</v>
      </c>
      <c r="R25" s="39">
        <f t="shared" si="4"/>
        <v>-65188548.169999994</v>
      </c>
      <c r="S25" s="40"/>
      <c r="T25" s="38">
        <v>52010.07</v>
      </c>
      <c r="U25" s="39">
        <f>SUM($T$14:T25)</f>
        <v>618222.77999999991</v>
      </c>
      <c r="V25" s="40"/>
      <c r="W25" s="5">
        <f t="shared" si="1"/>
        <v>0</v>
      </c>
      <c r="X25" s="29"/>
      <c r="AB25" s="4"/>
      <c r="AC25" s="4"/>
    </row>
    <row r="26" spans="1:29" x14ac:dyDescent="0.25">
      <c r="A26" s="7">
        <v>42766</v>
      </c>
      <c r="C26" s="1">
        <v>3</v>
      </c>
      <c r="E26" s="16"/>
      <c r="F26" s="17">
        <f t="shared" si="8"/>
        <v>62898643</v>
      </c>
      <c r="G26" s="18"/>
      <c r="H26" s="16">
        <f t="shared" si="5"/>
        <v>-211975.9700000002</v>
      </c>
      <c r="I26" s="17">
        <v>-2061499.85</v>
      </c>
      <c r="J26" s="18"/>
      <c r="K26" s="16">
        <f t="shared" si="3"/>
        <v>-211975.9700000002</v>
      </c>
      <c r="L26" s="17">
        <f t="shared" si="0"/>
        <v>60837143.149999999</v>
      </c>
      <c r="M26" s="18"/>
      <c r="N26" s="26">
        <f t="shared" si="6"/>
        <v>211975.9700000002</v>
      </c>
      <c r="O26" s="27">
        <f>SUM($N$26)</f>
        <v>211975.9700000002</v>
      </c>
      <c r="P26" s="28"/>
      <c r="Q26" s="38">
        <f>-T26</f>
        <v>-170785.46</v>
      </c>
      <c r="R26" s="39">
        <f t="shared" si="4"/>
        <v>-65359333.629999995</v>
      </c>
      <c r="S26" s="40"/>
      <c r="T26" s="41">
        <v>170785.46</v>
      </c>
      <c r="U26" s="42">
        <f>T26</f>
        <v>170785.46</v>
      </c>
      <c r="V26" s="43"/>
      <c r="W26" s="5">
        <f t="shared" si="1"/>
        <v>0</v>
      </c>
      <c r="X26" s="29"/>
      <c r="AB26" s="4"/>
      <c r="AC26" s="4"/>
    </row>
    <row r="27" spans="1:29" x14ac:dyDescent="0.25">
      <c r="A27" s="7">
        <v>42794</v>
      </c>
      <c r="C27" s="1" t="s">
        <v>7</v>
      </c>
      <c r="E27" s="16">
        <v>-5759179</v>
      </c>
      <c r="F27" s="17">
        <f t="shared" si="8"/>
        <v>57139464</v>
      </c>
      <c r="G27" s="18"/>
      <c r="H27" s="16">
        <f t="shared" si="5"/>
        <v>-201942.65999999968</v>
      </c>
      <c r="I27" s="17">
        <v>-2263442.5099999998</v>
      </c>
      <c r="J27" s="18"/>
      <c r="K27" s="16">
        <f t="shared" si="3"/>
        <v>-5961121.6600000001</v>
      </c>
      <c r="L27" s="17">
        <f t="shared" si="0"/>
        <v>54876021.490000002</v>
      </c>
      <c r="M27" s="18"/>
      <c r="N27" s="16">
        <f t="shared" si="6"/>
        <v>201942.65999999968</v>
      </c>
      <c r="O27" s="17">
        <f>SUM($N$26:N27)</f>
        <v>413918.62999999989</v>
      </c>
      <c r="P27" s="18"/>
      <c r="Q27" s="38">
        <f>-E27-T27</f>
        <v>5587946.1100000003</v>
      </c>
      <c r="R27" s="39">
        <f t="shared" si="4"/>
        <v>-59771387.519999996</v>
      </c>
      <c r="S27" s="40"/>
      <c r="T27" s="38">
        <v>171232.89</v>
      </c>
      <c r="U27" s="39">
        <f>SUM($T$26:T27)</f>
        <v>342018.35</v>
      </c>
      <c r="V27" s="40"/>
      <c r="W27" s="5">
        <f t="shared" si="1"/>
        <v>0</v>
      </c>
      <c r="X27" s="29"/>
      <c r="AB27" s="4"/>
      <c r="AC27" s="4"/>
    </row>
    <row r="28" spans="1:29" x14ac:dyDescent="0.25">
      <c r="A28" s="7">
        <v>42825</v>
      </c>
      <c r="C28" s="1" t="s">
        <v>7</v>
      </c>
      <c r="E28" s="16">
        <v>-1000000</v>
      </c>
      <c r="F28" s="17">
        <f t="shared" si="8"/>
        <v>56139464</v>
      </c>
      <c r="G28" s="18"/>
      <c r="H28" s="16">
        <f t="shared" si="5"/>
        <v>-139714.5</v>
      </c>
      <c r="I28" s="17">
        <v>-2403157.0099999998</v>
      </c>
      <c r="J28" s="18"/>
      <c r="K28" s="16">
        <f t="shared" si="3"/>
        <v>-1139714.5</v>
      </c>
      <c r="L28" s="17">
        <f t="shared" si="0"/>
        <v>53736306.990000002</v>
      </c>
      <c r="M28" s="18"/>
      <c r="N28" s="16">
        <f t="shared" si="6"/>
        <v>139714.5</v>
      </c>
      <c r="O28" s="17">
        <f>SUM($N$26:N28)</f>
        <v>553633.12999999989</v>
      </c>
      <c r="P28" s="18"/>
      <c r="Q28" s="38">
        <f>-E28-T28</f>
        <v>863260.23</v>
      </c>
      <c r="R28" s="39">
        <f t="shared" si="4"/>
        <v>-58908127.289999999</v>
      </c>
      <c r="S28" s="40"/>
      <c r="T28" s="38">
        <f>-191534.95+328274.72</f>
        <v>136739.76999999996</v>
      </c>
      <c r="U28" s="39">
        <f>SUM($T$26:T28)</f>
        <v>478758.11999999994</v>
      </c>
      <c r="V28" s="40"/>
      <c r="W28" s="5">
        <f t="shared" si="1"/>
        <v>0</v>
      </c>
      <c r="X28" s="29"/>
      <c r="AB28" s="4"/>
      <c r="AC28" s="4"/>
    </row>
    <row r="29" spans="1:29" x14ac:dyDescent="0.25">
      <c r="A29" s="7"/>
      <c r="E29" s="16"/>
      <c r="F29" s="17"/>
      <c r="G29" s="18"/>
      <c r="H29" s="16"/>
      <c r="I29" s="17"/>
      <c r="J29" s="18"/>
      <c r="K29" s="16"/>
      <c r="L29" s="17"/>
      <c r="M29" s="18"/>
      <c r="N29" s="16"/>
      <c r="O29" s="17"/>
      <c r="P29" s="18"/>
      <c r="Q29" s="38"/>
      <c r="R29" s="39"/>
      <c r="S29" s="40"/>
      <c r="T29" s="38"/>
      <c r="U29" s="39"/>
      <c r="V29" s="40"/>
      <c r="W29" s="5">
        <f t="shared" si="1"/>
        <v>0</v>
      </c>
      <c r="X29" s="29"/>
      <c r="AB29" s="4"/>
      <c r="AC29" s="4"/>
    </row>
    <row r="30" spans="1:29" x14ac:dyDescent="0.25">
      <c r="E30" s="16"/>
      <c r="F30" s="17"/>
      <c r="G30" s="18"/>
      <c r="H30" s="16"/>
      <c r="I30" s="17"/>
      <c r="J30" s="18"/>
      <c r="K30" s="16"/>
      <c r="L30" s="17"/>
      <c r="M30" s="18"/>
      <c r="N30" s="16"/>
      <c r="O30" s="17"/>
      <c r="P30" s="18"/>
      <c r="Q30" s="38"/>
      <c r="R30" s="39"/>
      <c r="S30" s="40"/>
      <c r="T30" s="38"/>
      <c r="U30" s="39"/>
      <c r="V30" s="40"/>
      <c r="AB30" s="4"/>
    </row>
    <row r="31" spans="1:29" x14ac:dyDescent="0.25">
      <c r="A31" t="s">
        <v>23</v>
      </c>
      <c r="E31" s="19"/>
      <c r="F31" s="20">
        <f>(F10+F22+SUM(F11:F21)*2)/24</f>
        <v>17264361.727500003</v>
      </c>
      <c r="G31" s="21"/>
      <c r="H31" s="19"/>
      <c r="I31" s="20">
        <f>(I10+I22+SUM(I11:I21)*2)/24</f>
        <v>-1288951.2950000002</v>
      </c>
      <c r="J31" s="21"/>
      <c r="K31" s="19"/>
      <c r="L31" s="20">
        <f>(L10+L22+SUM(L11:L21)*2)/24</f>
        <v>15975410.432499997</v>
      </c>
      <c r="M31" s="21"/>
      <c r="N31" s="19">
        <f>SUM(N11:N22)</f>
        <v>641455.64</v>
      </c>
      <c r="O31" s="20"/>
      <c r="P31" s="21"/>
      <c r="Q31" s="44"/>
      <c r="R31" s="45">
        <f>(R10+R22+SUM(R11:R21)*2)/24</f>
        <v>-19091253.802499998</v>
      </c>
      <c r="S31" s="46"/>
      <c r="T31" s="44">
        <f>SUM(T11:T22)</f>
        <v>611605.30000000005</v>
      </c>
      <c r="U31" s="45"/>
      <c r="V31" s="46"/>
    </row>
    <row r="32" spans="1:29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3:28" x14ac:dyDescent="0.25">
      <c r="C33" s="1">
        <v>1</v>
      </c>
      <c r="D33" t="s"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3:28" x14ac:dyDescent="0.25">
      <c r="C34" s="1">
        <v>2</v>
      </c>
      <c r="D34" t="s">
        <v>27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3:28" x14ac:dyDescent="0.25">
      <c r="C35" s="1">
        <v>3</v>
      </c>
      <c r="D35" t="s">
        <v>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AA35" s="4"/>
      <c r="AB35" s="4"/>
    </row>
    <row r="36" spans="3:28" x14ac:dyDescent="0.25">
      <c r="C36" s="1">
        <v>4</v>
      </c>
      <c r="D36" t="s">
        <v>19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3:28" x14ac:dyDescent="0.25">
      <c r="C37" s="1">
        <v>5</v>
      </c>
      <c r="D37" t="s">
        <v>26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3:28" x14ac:dyDescent="0.25">
      <c r="C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3:28" x14ac:dyDescent="0.2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mergeCells count="6">
    <mergeCell ref="Q3:S3"/>
    <mergeCell ref="T3:V3"/>
    <mergeCell ref="E3:G3"/>
    <mergeCell ref="H3:J3"/>
    <mergeCell ref="N3:P3"/>
    <mergeCell ref="K3:M3"/>
  </mergeCells>
  <printOptions horizontalCentered="1"/>
  <pageMargins left="0.2" right="0.2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workbookViewId="0">
      <pane xSplit="4" ySplit="3" topLeftCell="E4" activePane="bottomRight" state="frozen"/>
      <selection activeCell="V1" sqref="V1"/>
      <selection pane="topRight" activeCell="V1" sqref="V1"/>
      <selection pane="bottomLeft" activeCell="V1" sqref="V1"/>
      <selection pane="bottomRight" activeCell="Y15" sqref="Y15"/>
    </sheetView>
  </sheetViews>
  <sheetFormatPr defaultRowHeight="14.25" x14ac:dyDescent="0.25"/>
  <cols>
    <col min="1" max="1" width="10.7109375" customWidth="1"/>
    <col min="2" max="2" width="2.7109375" customWidth="1"/>
    <col min="3" max="3" width="7.140625" bestFit="1" customWidth="1"/>
    <col min="4" max="4" width="2.7109375" customWidth="1"/>
    <col min="5" max="5" width="12.5703125" bestFit="1" customWidth="1"/>
    <col min="6" max="6" width="13" bestFit="1" customWidth="1"/>
    <col min="7" max="7" width="2.7109375" customWidth="1"/>
    <col min="8" max="8" width="10.5703125" bestFit="1" customWidth="1"/>
    <col min="9" max="9" width="12.28515625" bestFit="1" customWidth="1"/>
    <col min="10" max="10" width="2.7109375" customWidth="1"/>
    <col min="11" max="11" width="11.85546875" bestFit="1" customWidth="1"/>
    <col min="12" max="12" width="12.28515625" bestFit="1" customWidth="1"/>
    <col min="13" max="13" width="2.7109375" customWidth="1"/>
    <col min="14" max="15" width="10.140625" bestFit="1" customWidth="1"/>
    <col min="16" max="16" width="2.7109375" customWidth="1"/>
    <col min="17" max="18" width="13.42578125" bestFit="1" customWidth="1"/>
    <col min="19" max="19" width="2.7109375" customWidth="1"/>
    <col min="20" max="20" width="9.7109375" bestFit="1" customWidth="1"/>
    <col min="21" max="21" width="11.28515625" bestFit="1" customWidth="1"/>
    <col min="22" max="22" width="2.7109375" customWidth="1"/>
    <col min="23" max="23" width="5.7109375" bestFit="1" customWidth="1"/>
    <col min="24" max="24" width="11.28515625" bestFit="1" customWidth="1"/>
    <col min="29" max="29" width="13.42578125" bestFit="1" customWidth="1"/>
  </cols>
  <sheetData>
    <row r="1" spans="1:24" ht="18.75" x14ac:dyDescent="0.3">
      <c r="A1" s="6" t="s">
        <v>30</v>
      </c>
      <c r="V1" s="25" t="s">
        <v>22</v>
      </c>
    </row>
    <row r="3" spans="1:24" ht="47.25" customHeight="1" x14ac:dyDescent="0.25">
      <c r="A3" s="2" t="s">
        <v>0</v>
      </c>
      <c r="B3" s="22"/>
      <c r="C3" s="2" t="s">
        <v>1</v>
      </c>
      <c r="D3" s="22"/>
      <c r="E3" s="50" t="s">
        <v>14</v>
      </c>
      <c r="F3" s="51"/>
      <c r="G3" s="52"/>
      <c r="H3" s="50" t="s">
        <v>15</v>
      </c>
      <c r="I3" s="51"/>
      <c r="J3" s="52"/>
      <c r="K3" s="50" t="s">
        <v>18</v>
      </c>
      <c r="L3" s="51"/>
      <c r="M3" s="52"/>
      <c r="N3" s="50" t="s">
        <v>13</v>
      </c>
      <c r="O3" s="51"/>
      <c r="P3" s="52"/>
      <c r="Q3" s="47" t="s">
        <v>17</v>
      </c>
      <c r="R3" s="48"/>
      <c r="S3" s="49"/>
      <c r="T3" s="47" t="s">
        <v>12</v>
      </c>
      <c r="U3" s="48"/>
      <c r="V3" s="49"/>
      <c r="W3" s="23" t="s">
        <v>20</v>
      </c>
    </row>
    <row r="4" spans="1:24" x14ac:dyDescent="0.25">
      <c r="E4" s="8" t="s">
        <v>3</v>
      </c>
      <c r="F4" s="9" t="s">
        <v>4</v>
      </c>
      <c r="G4" s="10"/>
      <c r="H4" s="8" t="s">
        <v>3</v>
      </c>
      <c r="I4" s="9" t="s">
        <v>4</v>
      </c>
      <c r="J4" s="10"/>
      <c r="K4" s="8" t="s">
        <v>3</v>
      </c>
      <c r="L4" s="9" t="s">
        <v>4</v>
      </c>
      <c r="M4" s="10"/>
      <c r="N4" s="8" t="s">
        <v>3</v>
      </c>
      <c r="O4" s="9" t="s">
        <v>6</v>
      </c>
      <c r="P4" s="10"/>
      <c r="Q4" s="30" t="s">
        <v>3</v>
      </c>
      <c r="R4" s="31" t="s">
        <v>4</v>
      </c>
      <c r="S4" s="32"/>
      <c r="T4" s="30" t="s">
        <v>3</v>
      </c>
      <c r="U4" s="31" t="s">
        <v>6</v>
      </c>
      <c r="V4" s="32"/>
      <c r="W4" s="5"/>
    </row>
    <row r="5" spans="1:24" x14ac:dyDescent="0.25">
      <c r="E5" s="11"/>
      <c r="F5" s="12"/>
      <c r="G5" s="10"/>
      <c r="H5" s="11"/>
      <c r="I5" s="12"/>
      <c r="J5" s="10"/>
      <c r="K5" s="11"/>
      <c r="L5" s="12"/>
      <c r="M5" s="10"/>
      <c r="N5" s="11"/>
      <c r="O5" s="12"/>
      <c r="P5" s="10"/>
      <c r="Q5" s="33"/>
      <c r="R5" s="34"/>
      <c r="S5" s="32"/>
      <c r="T5" s="33"/>
      <c r="U5" s="34"/>
      <c r="V5" s="32"/>
      <c r="W5" s="5"/>
    </row>
    <row r="6" spans="1:24" x14ac:dyDescent="0.25">
      <c r="A6" s="7">
        <v>42155</v>
      </c>
      <c r="C6" s="1">
        <v>1</v>
      </c>
      <c r="E6" s="13"/>
      <c r="F6" s="14">
        <v>333978</v>
      </c>
      <c r="G6" s="15"/>
      <c r="H6" s="13"/>
      <c r="I6" s="14">
        <v>-268825.86</v>
      </c>
      <c r="J6" s="15"/>
      <c r="K6" s="13">
        <f>H6+E6</f>
        <v>0</v>
      </c>
      <c r="L6" s="14">
        <f t="shared" ref="L6:L28" si="0">I6+F6</f>
        <v>65152.140000000014</v>
      </c>
      <c r="M6" s="15"/>
      <c r="N6" s="13"/>
      <c r="O6" s="14"/>
      <c r="P6" s="15"/>
      <c r="Q6" s="35"/>
      <c r="R6" s="36">
        <v>-1200018.19</v>
      </c>
      <c r="S6" s="37"/>
      <c r="T6" s="35"/>
      <c r="U6" s="36"/>
      <c r="V6" s="37"/>
      <c r="W6" s="5">
        <f t="shared" ref="W6:W29" si="1">ROUND(E6+H6+N6+Q6+T6,2)</f>
        <v>0</v>
      </c>
      <c r="X6" s="29"/>
    </row>
    <row r="7" spans="1:24" x14ac:dyDescent="0.25">
      <c r="A7" s="7">
        <v>42185</v>
      </c>
      <c r="C7" s="1">
        <v>2</v>
      </c>
      <c r="E7" s="16">
        <v>17958240.949999999</v>
      </c>
      <c r="F7" s="17">
        <f>F6+E7</f>
        <v>18292218.949999999</v>
      </c>
      <c r="G7" s="18" t="s">
        <v>9</v>
      </c>
      <c r="H7" s="16">
        <f>I7-I6</f>
        <v>-632.54999999998836</v>
      </c>
      <c r="I7" s="17">
        <v>-269458.40999999997</v>
      </c>
      <c r="J7" s="18"/>
      <c r="K7" s="16">
        <f t="shared" ref="K7:K28" si="2">H7+E7</f>
        <v>17957608.399999999</v>
      </c>
      <c r="L7" s="17">
        <f t="shared" si="0"/>
        <v>18022760.539999999</v>
      </c>
      <c r="M7" s="18"/>
      <c r="N7" s="16">
        <f t="shared" ref="N7:N28" si="3">-H7</f>
        <v>632.54999999998836</v>
      </c>
      <c r="O7" s="17">
        <f>N7</f>
        <v>632.54999999998836</v>
      </c>
      <c r="P7" s="18"/>
      <c r="Q7" s="38">
        <f>-E7-T7</f>
        <v>-17964429.629999999</v>
      </c>
      <c r="R7" s="39">
        <v>-19164447.82</v>
      </c>
      <c r="S7" s="40"/>
      <c r="T7" s="38">
        <v>6188.68</v>
      </c>
      <c r="U7" s="39">
        <f>SUM($T7:T$7)</f>
        <v>6188.68</v>
      </c>
      <c r="V7" s="40"/>
      <c r="W7" s="5">
        <f t="shared" si="1"/>
        <v>0</v>
      </c>
      <c r="X7" s="29"/>
    </row>
    <row r="8" spans="1:24" x14ac:dyDescent="0.25">
      <c r="A8" s="7">
        <v>42216</v>
      </c>
      <c r="C8" s="1">
        <v>3</v>
      </c>
      <c r="E8" s="16">
        <f>17958241-17958241</f>
        <v>0</v>
      </c>
      <c r="F8" s="17">
        <f t="shared" ref="F8:F28" si="4">F7+E8</f>
        <v>18292218.949999999</v>
      </c>
      <c r="G8" s="18"/>
      <c r="H8" s="16">
        <f t="shared" ref="H8:H28" si="5">I8-I7</f>
        <v>-29554.340000000026</v>
      </c>
      <c r="I8" s="17">
        <v>-299012.75</v>
      </c>
      <c r="J8" s="18"/>
      <c r="K8" s="16">
        <f t="shared" si="2"/>
        <v>-29554.340000000026</v>
      </c>
      <c r="L8" s="17">
        <f t="shared" si="0"/>
        <v>17993206.199999999</v>
      </c>
      <c r="M8" s="18"/>
      <c r="N8" s="16">
        <f t="shared" si="3"/>
        <v>29554.340000000026</v>
      </c>
      <c r="O8" s="17">
        <f>SUM(N$7:$N8)</f>
        <v>30186.890000000014</v>
      </c>
      <c r="P8" s="18"/>
      <c r="Q8" s="38">
        <f>-T8+17958241-17958241</f>
        <v>-6220.6000000014901</v>
      </c>
      <c r="R8" s="39">
        <f t="shared" ref="R8:R28" si="6">R7+Q8</f>
        <v>-19170668.420000002</v>
      </c>
      <c r="S8" s="40"/>
      <c r="T8" s="38">
        <v>6220.6</v>
      </c>
      <c r="U8" s="39">
        <f>SUM($T$7:T8)</f>
        <v>12409.28</v>
      </c>
      <c r="V8" s="40"/>
      <c r="W8" s="24">
        <f t="shared" si="1"/>
        <v>0</v>
      </c>
      <c r="X8" s="29"/>
    </row>
    <row r="9" spans="1:24" x14ac:dyDescent="0.25">
      <c r="A9" s="7">
        <v>42247</v>
      </c>
      <c r="C9" s="1">
        <v>3</v>
      </c>
      <c r="E9" s="16"/>
      <c r="F9" s="17">
        <f t="shared" si="4"/>
        <v>18292218.949999999</v>
      </c>
      <c r="G9" s="18"/>
      <c r="H9" s="16">
        <f t="shared" si="5"/>
        <v>-58994.130000000005</v>
      </c>
      <c r="I9" s="17">
        <v>-358006.88</v>
      </c>
      <c r="J9" s="18"/>
      <c r="K9" s="16">
        <f t="shared" si="2"/>
        <v>-58994.130000000005</v>
      </c>
      <c r="L9" s="17">
        <f t="shared" si="0"/>
        <v>17934212.07</v>
      </c>
      <c r="M9" s="18"/>
      <c r="N9" s="16">
        <f t="shared" si="3"/>
        <v>58994.130000000005</v>
      </c>
      <c r="O9" s="17">
        <f>SUM(N$7:$N9)</f>
        <v>89181.020000000019</v>
      </c>
      <c r="P9" s="18"/>
      <c r="Q9" s="38">
        <f t="shared" ref="Q9:Q13" si="7">-T9</f>
        <v>-96854.67</v>
      </c>
      <c r="R9" s="39">
        <f t="shared" si="6"/>
        <v>-19267523.090000004</v>
      </c>
      <c r="S9" s="40"/>
      <c r="T9" s="38">
        <f>50163.24+46691.43</f>
        <v>96854.67</v>
      </c>
      <c r="U9" s="39">
        <f>SUM($T$7:T9)</f>
        <v>109263.95</v>
      </c>
      <c r="V9" s="40"/>
      <c r="W9" s="5">
        <f t="shared" si="1"/>
        <v>0</v>
      </c>
      <c r="X9" s="29"/>
    </row>
    <row r="10" spans="1:24" x14ac:dyDescent="0.25">
      <c r="A10" s="7">
        <v>42277</v>
      </c>
      <c r="C10" s="1">
        <v>3</v>
      </c>
      <c r="E10" s="16"/>
      <c r="F10" s="17">
        <f t="shared" si="4"/>
        <v>18292218.949999999</v>
      </c>
      <c r="G10" s="18"/>
      <c r="H10" s="16">
        <f t="shared" si="5"/>
        <v>-58994.070000000007</v>
      </c>
      <c r="I10" s="17">
        <v>-417000.95</v>
      </c>
      <c r="J10" s="18"/>
      <c r="K10" s="16">
        <f t="shared" si="2"/>
        <v>-58994.070000000007</v>
      </c>
      <c r="L10" s="17">
        <f t="shared" si="0"/>
        <v>17875218</v>
      </c>
      <c r="M10" s="18"/>
      <c r="N10" s="16">
        <f t="shared" si="3"/>
        <v>58994.070000000007</v>
      </c>
      <c r="O10" s="17">
        <f>SUM(N$7:$N10)</f>
        <v>148175.09000000003</v>
      </c>
      <c r="P10" s="18"/>
      <c r="Q10" s="38">
        <f t="shared" si="7"/>
        <v>-50294.51</v>
      </c>
      <c r="R10" s="39">
        <f t="shared" si="6"/>
        <v>-19317817.600000005</v>
      </c>
      <c r="S10" s="40"/>
      <c r="T10" s="38">
        <v>50294.51</v>
      </c>
      <c r="U10" s="39">
        <f>SUM($T$7:T10)</f>
        <v>159558.46</v>
      </c>
      <c r="V10" s="40"/>
      <c r="W10" s="5">
        <f t="shared" si="1"/>
        <v>0</v>
      </c>
      <c r="X10" s="29"/>
    </row>
    <row r="11" spans="1:24" x14ac:dyDescent="0.25">
      <c r="A11" s="7">
        <v>42308</v>
      </c>
      <c r="C11" s="1">
        <v>3</v>
      </c>
      <c r="E11" s="16"/>
      <c r="F11" s="17">
        <f t="shared" si="4"/>
        <v>18292218.949999999</v>
      </c>
      <c r="G11" s="18"/>
      <c r="H11" s="16">
        <f t="shared" si="5"/>
        <v>-58994.119999999995</v>
      </c>
      <c r="I11" s="17">
        <v>-475995.07</v>
      </c>
      <c r="J11" s="18"/>
      <c r="K11" s="16">
        <f t="shared" si="2"/>
        <v>-58994.119999999995</v>
      </c>
      <c r="L11" s="17">
        <f t="shared" si="0"/>
        <v>17816223.879999999</v>
      </c>
      <c r="M11" s="18"/>
      <c r="N11" s="16">
        <f t="shared" si="3"/>
        <v>58994.119999999995</v>
      </c>
      <c r="O11" s="17">
        <f>SUM(N$7:$N11)</f>
        <v>207169.21000000002</v>
      </c>
      <c r="P11" s="18"/>
      <c r="Q11" s="38">
        <f t="shared" si="7"/>
        <v>-50548.29</v>
      </c>
      <c r="R11" s="39">
        <f t="shared" si="6"/>
        <v>-19368365.890000004</v>
      </c>
      <c r="S11" s="40"/>
      <c r="T11" s="38">
        <v>50548.29</v>
      </c>
      <c r="U11" s="39">
        <f>SUM($T$7:T11)</f>
        <v>210106.75</v>
      </c>
      <c r="V11" s="40"/>
      <c r="W11" s="5">
        <f t="shared" si="1"/>
        <v>0</v>
      </c>
      <c r="X11" s="29"/>
    </row>
    <row r="12" spans="1:24" x14ac:dyDescent="0.25">
      <c r="A12" s="7">
        <v>42338</v>
      </c>
      <c r="C12" s="1">
        <v>3</v>
      </c>
      <c r="E12" s="16"/>
      <c r="F12" s="17">
        <f t="shared" si="4"/>
        <v>18292218.949999999</v>
      </c>
      <c r="G12" s="18"/>
      <c r="H12" s="16">
        <f t="shared" si="5"/>
        <v>-58994.149999999965</v>
      </c>
      <c r="I12" s="17">
        <v>-534989.22</v>
      </c>
      <c r="J12" s="18"/>
      <c r="K12" s="16">
        <f t="shared" si="2"/>
        <v>-58994.149999999965</v>
      </c>
      <c r="L12" s="17">
        <f t="shared" si="0"/>
        <v>17757229.73</v>
      </c>
      <c r="M12" s="18"/>
      <c r="N12" s="16">
        <f t="shared" si="3"/>
        <v>58994.149999999965</v>
      </c>
      <c r="O12" s="17">
        <f>SUM(N$7:$N12)</f>
        <v>266163.36</v>
      </c>
      <c r="P12" s="18"/>
      <c r="Q12" s="38">
        <f t="shared" si="7"/>
        <v>-50680.54</v>
      </c>
      <c r="R12" s="39">
        <f t="shared" si="6"/>
        <v>-19419046.430000003</v>
      </c>
      <c r="S12" s="40"/>
      <c r="T12" s="38">
        <v>50680.54</v>
      </c>
      <c r="U12" s="39">
        <f>SUM($T$7:T12)</f>
        <v>260787.29</v>
      </c>
      <c r="V12" s="40"/>
      <c r="W12" s="5">
        <f t="shared" si="1"/>
        <v>0</v>
      </c>
      <c r="X12" s="29"/>
    </row>
    <row r="13" spans="1:24" x14ac:dyDescent="0.25">
      <c r="A13" s="7">
        <v>42369</v>
      </c>
      <c r="C13" s="1">
        <v>3</v>
      </c>
      <c r="E13" s="16"/>
      <c r="F13" s="17">
        <f t="shared" si="4"/>
        <v>18292218.949999999</v>
      </c>
      <c r="G13" s="18"/>
      <c r="H13" s="16">
        <f t="shared" si="5"/>
        <v>-58994.130000000005</v>
      </c>
      <c r="I13" s="17">
        <v>-593983.35</v>
      </c>
      <c r="J13" s="18"/>
      <c r="K13" s="16">
        <f t="shared" si="2"/>
        <v>-58994.130000000005</v>
      </c>
      <c r="L13" s="17">
        <f t="shared" si="0"/>
        <v>17698235.599999998</v>
      </c>
      <c r="M13" s="18"/>
      <c r="N13" s="16">
        <f t="shared" si="3"/>
        <v>58994.130000000005</v>
      </c>
      <c r="O13" s="17">
        <f>SUM(N$7:$N13)</f>
        <v>325157.49</v>
      </c>
      <c r="P13" s="18"/>
      <c r="Q13" s="38">
        <f t="shared" si="7"/>
        <v>-50813.16</v>
      </c>
      <c r="R13" s="39">
        <f t="shared" si="6"/>
        <v>-19469859.590000004</v>
      </c>
      <c r="S13" s="40"/>
      <c r="T13" s="38">
        <v>50813.16</v>
      </c>
      <c r="U13" s="39">
        <f>SUM($T$7:T13)</f>
        <v>311600.45</v>
      </c>
      <c r="V13" s="40"/>
      <c r="W13" s="5">
        <f t="shared" si="1"/>
        <v>0</v>
      </c>
      <c r="X13" s="29"/>
    </row>
    <row r="14" spans="1:24" x14ac:dyDescent="0.25">
      <c r="A14" s="7">
        <v>42400</v>
      </c>
      <c r="C14" s="1" t="s">
        <v>24</v>
      </c>
      <c r="E14" s="16">
        <v>-215017</v>
      </c>
      <c r="F14" s="17">
        <f t="shared" si="4"/>
        <v>18077201.949999999</v>
      </c>
      <c r="G14" s="18"/>
      <c r="H14" s="16">
        <f t="shared" si="5"/>
        <v>-54426.70000000007</v>
      </c>
      <c r="I14" s="17">
        <v>-648410.05000000005</v>
      </c>
      <c r="J14" s="18"/>
      <c r="K14" s="16">
        <f t="shared" si="2"/>
        <v>-269443.70000000007</v>
      </c>
      <c r="L14" s="17">
        <f t="shared" si="0"/>
        <v>17428791.899999999</v>
      </c>
      <c r="M14" s="18"/>
      <c r="N14" s="26">
        <f t="shared" si="3"/>
        <v>54426.70000000007</v>
      </c>
      <c r="O14" s="27">
        <f>N14</f>
        <v>54426.70000000007</v>
      </c>
      <c r="P14" s="28"/>
      <c r="Q14" s="38">
        <f>-E14-T14</f>
        <v>160268.82</v>
      </c>
      <c r="R14" s="39">
        <f t="shared" si="6"/>
        <v>-19309590.770000003</v>
      </c>
      <c r="S14" s="40"/>
      <c r="T14" s="41">
        <f>50946.14+3802.04</f>
        <v>54748.18</v>
      </c>
      <c r="U14" s="42">
        <f>T14</f>
        <v>54748.18</v>
      </c>
      <c r="V14" s="43"/>
      <c r="W14" s="5">
        <f t="shared" si="1"/>
        <v>0</v>
      </c>
      <c r="X14" s="29"/>
    </row>
    <row r="15" spans="1:24" x14ac:dyDescent="0.25">
      <c r="A15" s="7">
        <v>42429</v>
      </c>
      <c r="C15" s="1">
        <v>3</v>
      </c>
      <c r="E15" s="16"/>
      <c r="F15" s="17">
        <f t="shared" si="4"/>
        <v>18077201.949999999</v>
      </c>
      <c r="G15" s="18"/>
      <c r="H15" s="16">
        <f t="shared" si="5"/>
        <v>-58290.25</v>
      </c>
      <c r="I15" s="17">
        <v>-706700.3</v>
      </c>
      <c r="J15" s="18"/>
      <c r="K15" s="16">
        <f t="shared" si="2"/>
        <v>-58290.25</v>
      </c>
      <c r="L15" s="17">
        <f t="shared" si="0"/>
        <v>17370501.649999999</v>
      </c>
      <c r="M15" s="18"/>
      <c r="N15" s="16">
        <f t="shared" si="3"/>
        <v>58290.25</v>
      </c>
      <c r="O15" s="17">
        <f>SUM(N$14:N15)</f>
        <v>112716.95000000007</v>
      </c>
      <c r="P15" s="18"/>
      <c r="Q15" s="38">
        <f>-T15</f>
        <v>-51653.16</v>
      </c>
      <c r="R15" s="39">
        <f t="shared" si="6"/>
        <v>-19361243.930000003</v>
      </c>
      <c r="S15" s="40"/>
      <c r="T15" s="38">
        <v>51653.16</v>
      </c>
      <c r="U15" s="39">
        <f>SUM($T$14:T15)</f>
        <v>106401.34</v>
      </c>
      <c r="V15" s="40"/>
      <c r="W15" s="5">
        <f t="shared" si="1"/>
        <v>0</v>
      </c>
      <c r="X15" s="29"/>
    </row>
    <row r="16" spans="1:24" x14ac:dyDescent="0.25">
      <c r="A16" s="7">
        <v>42460</v>
      </c>
      <c r="C16" s="1">
        <v>3</v>
      </c>
      <c r="E16" s="16"/>
      <c r="F16" s="17">
        <f t="shared" si="4"/>
        <v>18077201.949999999</v>
      </c>
      <c r="G16" s="18"/>
      <c r="H16" s="16">
        <f t="shared" si="5"/>
        <v>-58290.189999999944</v>
      </c>
      <c r="I16" s="17">
        <v>-764990.49</v>
      </c>
      <c r="J16" s="18"/>
      <c r="K16" s="16">
        <f t="shared" si="2"/>
        <v>-58290.189999999944</v>
      </c>
      <c r="L16" s="17">
        <f t="shared" si="0"/>
        <v>17312211.460000001</v>
      </c>
      <c r="M16" s="18"/>
      <c r="N16" s="16">
        <f t="shared" si="3"/>
        <v>58290.189999999944</v>
      </c>
      <c r="O16" s="17">
        <f>SUM(N$14:N16)</f>
        <v>171007.14</v>
      </c>
      <c r="P16" s="18"/>
      <c r="Q16" s="38">
        <f t="shared" ref="Q16:Q24" si="8">-T16</f>
        <v>-51791.32</v>
      </c>
      <c r="R16" s="39">
        <f t="shared" si="6"/>
        <v>-19413035.250000004</v>
      </c>
      <c r="S16" s="40"/>
      <c r="T16" s="38">
        <v>51791.32</v>
      </c>
      <c r="U16" s="39">
        <f>SUM($T$14:T16)</f>
        <v>158192.66</v>
      </c>
      <c r="V16" s="40"/>
      <c r="W16" s="5">
        <f t="shared" si="1"/>
        <v>0</v>
      </c>
      <c r="X16" s="29"/>
    </row>
    <row r="17" spans="1:29" x14ac:dyDescent="0.25">
      <c r="A17" s="7">
        <v>42490</v>
      </c>
      <c r="C17" s="1">
        <v>3</v>
      </c>
      <c r="E17" s="16"/>
      <c r="F17" s="17">
        <f t="shared" si="4"/>
        <v>18077201.949999999</v>
      </c>
      <c r="G17" s="18"/>
      <c r="H17" s="16">
        <f t="shared" si="5"/>
        <v>-58290.219999999972</v>
      </c>
      <c r="I17" s="17">
        <v>-823280.71</v>
      </c>
      <c r="J17" s="18"/>
      <c r="K17" s="16">
        <f t="shared" si="2"/>
        <v>-58290.219999999972</v>
      </c>
      <c r="L17" s="17">
        <f t="shared" si="0"/>
        <v>17253921.239999998</v>
      </c>
      <c r="M17" s="18"/>
      <c r="N17" s="16">
        <f t="shared" si="3"/>
        <v>58290.219999999972</v>
      </c>
      <c r="O17" s="17">
        <f>SUM(N$14:N17)</f>
        <v>229297.36</v>
      </c>
      <c r="P17" s="18"/>
      <c r="Q17" s="38">
        <f t="shared" si="8"/>
        <v>-51929.86</v>
      </c>
      <c r="R17" s="39">
        <f t="shared" si="6"/>
        <v>-19464965.110000003</v>
      </c>
      <c r="S17" s="40"/>
      <c r="T17" s="38">
        <v>51929.86</v>
      </c>
      <c r="U17" s="39">
        <f>SUM($T$14:T17)</f>
        <v>210122.52000000002</v>
      </c>
      <c r="V17" s="40"/>
      <c r="W17" s="5">
        <f t="shared" si="1"/>
        <v>0</v>
      </c>
      <c r="X17" s="29"/>
    </row>
    <row r="18" spans="1:29" x14ac:dyDescent="0.25">
      <c r="A18" s="7">
        <v>42521</v>
      </c>
      <c r="C18" s="1">
        <v>3</v>
      </c>
      <c r="E18" s="16"/>
      <c r="F18" s="17">
        <f t="shared" si="4"/>
        <v>18077201.949999999</v>
      </c>
      <c r="G18" s="18"/>
      <c r="H18" s="16">
        <f t="shared" si="5"/>
        <v>-58290.300000000047</v>
      </c>
      <c r="I18" s="17">
        <v>-881571.01</v>
      </c>
      <c r="J18" s="18"/>
      <c r="K18" s="16">
        <f t="shared" si="2"/>
        <v>-58290.300000000047</v>
      </c>
      <c r="L18" s="17">
        <f t="shared" si="0"/>
        <v>17195630.939999998</v>
      </c>
      <c r="M18" s="18"/>
      <c r="N18" s="16">
        <f t="shared" si="3"/>
        <v>58290.300000000047</v>
      </c>
      <c r="O18" s="17">
        <f>SUM(N$14:N18)</f>
        <v>287587.66000000003</v>
      </c>
      <c r="P18" s="18"/>
      <c r="Q18" s="38">
        <f t="shared" si="8"/>
        <v>-52068.77</v>
      </c>
      <c r="R18" s="39">
        <f t="shared" si="6"/>
        <v>-19517033.880000003</v>
      </c>
      <c r="S18" s="40"/>
      <c r="T18" s="38">
        <v>52068.77</v>
      </c>
      <c r="U18" s="39">
        <f>SUM($T$14:T18)</f>
        <v>262191.29000000004</v>
      </c>
      <c r="V18" s="40"/>
      <c r="W18" s="5">
        <f t="shared" si="1"/>
        <v>0</v>
      </c>
      <c r="X18" s="29"/>
    </row>
    <row r="19" spans="1:29" x14ac:dyDescent="0.25">
      <c r="A19" s="7">
        <v>42551</v>
      </c>
      <c r="C19" s="1">
        <v>3</v>
      </c>
      <c r="E19" s="16"/>
      <c r="F19" s="17">
        <f t="shared" si="4"/>
        <v>18077201.949999999</v>
      </c>
      <c r="G19" s="18"/>
      <c r="H19" s="16">
        <f t="shared" si="5"/>
        <v>-58290.270000000019</v>
      </c>
      <c r="I19" s="17">
        <v>-939861.28</v>
      </c>
      <c r="J19" s="18"/>
      <c r="K19" s="16">
        <f t="shared" si="2"/>
        <v>-58290.270000000019</v>
      </c>
      <c r="L19" s="17">
        <f t="shared" si="0"/>
        <v>17137340.669999998</v>
      </c>
      <c r="M19" s="18"/>
      <c r="N19" s="16">
        <f t="shared" si="3"/>
        <v>58290.270000000019</v>
      </c>
      <c r="O19" s="17">
        <f>SUM(N$14:N19)</f>
        <v>345877.93000000005</v>
      </c>
      <c r="P19" s="18"/>
      <c r="Q19" s="38">
        <f t="shared" si="8"/>
        <v>-52208.07</v>
      </c>
      <c r="R19" s="39">
        <f t="shared" si="6"/>
        <v>-19569241.950000003</v>
      </c>
      <c r="S19" s="40"/>
      <c r="T19" s="38">
        <v>52208.07</v>
      </c>
      <c r="U19" s="39">
        <f>SUM($T$14:T19)</f>
        <v>314399.36000000004</v>
      </c>
      <c r="V19" s="40"/>
      <c r="W19" s="5">
        <f t="shared" si="1"/>
        <v>0</v>
      </c>
      <c r="X19" s="29"/>
      <c r="AA19" s="4"/>
      <c r="AB19" s="4"/>
      <c r="AC19" s="4"/>
    </row>
    <row r="20" spans="1:29" x14ac:dyDescent="0.25">
      <c r="A20" s="7">
        <v>42582</v>
      </c>
      <c r="C20" s="1">
        <v>3</v>
      </c>
      <c r="E20" s="16"/>
      <c r="F20" s="17">
        <f t="shared" si="4"/>
        <v>18077201.949999999</v>
      </c>
      <c r="G20" s="18"/>
      <c r="H20" s="16">
        <f t="shared" si="5"/>
        <v>-58290.260000000009</v>
      </c>
      <c r="I20" s="17">
        <v>-998151.54</v>
      </c>
      <c r="J20" s="18"/>
      <c r="K20" s="16">
        <f t="shared" si="2"/>
        <v>-58290.260000000009</v>
      </c>
      <c r="L20" s="17">
        <f t="shared" si="0"/>
        <v>17079050.41</v>
      </c>
      <c r="M20" s="18"/>
      <c r="N20" s="16">
        <f t="shared" si="3"/>
        <v>58290.260000000009</v>
      </c>
      <c r="O20" s="17">
        <f>SUM(N$14:N20)</f>
        <v>404168.19000000006</v>
      </c>
      <c r="P20" s="18"/>
      <c r="Q20" s="38">
        <f t="shared" si="8"/>
        <v>-52347.72</v>
      </c>
      <c r="R20" s="39">
        <f t="shared" si="6"/>
        <v>-19621589.670000002</v>
      </c>
      <c r="S20" s="40"/>
      <c r="T20" s="38">
        <v>52347.72</v>
      </c>
      <c r="U20" s="39">
        <f>SUM($T$14:T20)</f>
        <v>366747.08000000007</v>
      </c>
      <c r="V20" s="40"/>
      <c r="W20" s="5">
        <f t="shared" si="1"/>
        <v>0</v>
      </c>
      <c r="X20" s="29"/>
      <c r="AB20" s="4"/>
      <c r="AC20" s="4"/>
    </row>
    <row r="21" spans="1:29" x14ac:dyDescent="0.25">
      <c r="A21" s="7">
        <v>42613</v>
      </c>
      <c r="C21" s="1">
        <v>3</v>
      </c>
      <c r="E21" s="16"/>
      <c r="F21" s="17">
        <f t="shared" si="4"/>
        <v>18077201.949999999</v>
      </c>
      <c r="G21" s="18"/>
      <c r="H21" s="16">
        <f t="shared" si="5"/>
        <v>-58290.290000000037</v>
      </c>
      <c r="I21" s="17">
        <v>-1056441.83</v>
      </c>
      <c r="J21" s="18"/>
      <c r="K21" s="16">
        <f t="shared" si="2"/>
        <v>-58290.290000000037</v>
      </c>
      <c r="L21" s="17">
        <f t="shared" si="0"/>
        <v>17020760.119999997</v>
      </c>
      <c r="M21" s="18"/>
      <c r="N21" s="16">
        <f t="shared" si="3"/>
        <v>58290.290000000037</v>
      </c>
      <c r="O21" s="17">
        <f>SUM(N$14:N21)</f>
        <v>462458.4800000001</v>
      </c>
      <c r="P21" s="18"/>
      <c r="Q21" s="38">
        <f t="shared" si="8"/>
        <v>-52487.77</v>
      </c>
      <c r="R21" s="39">
        <f t="shared" si="6"/>
        <v>-19674077.440000001</v>
      </c>
      <c r="S21" s="40"/>
      <c r="T21" s="38">
        <v>52487.77</v>
      </c>
      <c r="U21" s="39">
        <f>SUM($T$14:T21)</f>
        <v>419234.85000000009</v>
      </c>
      <c r="V21" s="40"/>
      <c r="W21" s="5">
        <f t="shared" si="1"/>
        <v>0</v>
      </c>
      <c r="X21" s="29"/>
      <c r="AB21" s="4"/>
      <c r="AC21" s="4"/>
    </row>
    <row r="22" spans="1:29" x14ac:dyDescent="0.25">
      <c r="A22" s="7">
        <v>42643</v>
      </c>
      <c r="C22" s="1">
        <v>3</v>
      </c>
      <c r="E22" s="16"/>
      <c r="F22" s="17">
        <f t="shared" si="4"/>
        <v>18077201.949999999</v>
      </c>
      <c r="G22" s="18"/>
      <c r="H22" s="16">
        <f t="shared" si="5"/>
        <v>-58290.319999999832</v>
      </c>
      <c r="I22" s="17">
        <v>-1114732.1499999999</v>
      </c>
      <c r="J22" s="18"/>
      <c r="K22" s="16">
        <f t="shared" si="2"/>
        <v>-58290.319999999832</v>
      </c>
      <c r="L22" s="17">
        <f t="shared" si="0"/>
        <v>16962469.800000001</v>
      </c>
      <c r="M22" s="18"/>
      <c r="N22" s="16">
        <f t="shared" si="3"/>
        <v>58290.319999999832</v>
      </c>
      <c r="O22" s="17">
        <f>SUM(N$14:N22)</f>
        <v>520748.79999999993</v>
      </c>
      <c r="P22" s="18"/>
      <c r="Q22" s="38">
        <f t="shared" si="8"/>
        <v>-52628.17</v>
      </c>
      <c r="R22" s="39">
        <f t="shared" si="6"/>
        <v>-19726705.610000003</v>
      </c>
      <c r="S22" s="40"/>
      <c r="T22" s="38">
        <v>52628.17</v>
      </c>
      <c r="U22" s="39">
        <f>SUM($T$14:T22)</f>
        <v>471863.02000000008</v>
      </c>
      <c r="V22" s="40"/>
      <c r="W22" s="5">
        <f t="shared" si="1"/>
        <v>0</v>
      </c>
      <c r="X22" s="29"/>
      <c r="AB22" s="4"/>
      <c r="AC22" s="4"/>
    </row>
    <row r="23" spans="1:29" x14ac:dyDescent="0.25">
      <c r="A23" s="7">
        <v>42674</v>
      </c>
      <c r="C23" s="1">
        <v>3</v>
      </c>
      <c r="E23" s="16"/>
      <c r="F23" s="17">
        <f t="shared" si="4"/>
        <v>18077201.949999999</v>
      </c>
      <c r="G23" s="18"/>
      <c r="H23" s="16">
        <f t="shared" si="5"/>
        <v>-58290.340000000084</v>
      </c>
      <c r="I23" s="17">
        <v>-1173022.49</v>
      </c>
      <c r="J23" s="18"/>
      <c r="K23" s="16">
        <f t="shared" si="2"/>
        <v>-58290.340000000084</v>
      </c>
      <c r="L23" s="17">
        <f t="shared" si="0"/>
        <v>16904179.460000001</v>
      </c>
      <c r="M23" s="18"/>
      <c r="N23" s="16">
        <f t="shared" si="3"/>
        <v>58290.340000000084</v>
      </c>
      <c r="O23" s="17">
        <f>SUM(N$14:N23)</f>
        <v>579039.14</v>
      </c>
      <c r="P23" s="18"/>
      <c r="Q23" s="38">
        <f t="shared" si="8"/>
        <v>-52768.94</v>
      </c>
      <c r="R23" s="39">
        <f t="shared" si="6"/>
        <v>-19779474.550000004</v>
      </c>
      <c r="S23" s="40"/>
      <c r="T23" s="38">
        <v>52768.94</v>
      </c>
      <c r="U23" s="39">
        <f>SUM($T$14:T23)</f>
        <v>524631.96000000008</v>
      </c>
      <c r="V23" s="40"/>
      <c r="W23" s="5">
        <f t="shared" si="1"/>
        <v>0</v>
      </c>
      <c r="X23" s="29"/>
      <c r="AB23" s="4"/>
      <c r="AC23" s="4"/>
    </row>
    <row r="24" spans="1:29" x14ac:dyDescent="0.25">
      <c r="A24" s="7">
        <v>42704</v>
      </c>
      <c r="C24" s="1">
        <v>3</v>
      </c>
      <c r="E24" s="16"/>
      <c r="F24" s="17">
        <f t="shared" si="4"/>
        <v>18077201.949999999</v>
      </c>
      <c r="G24" s="18"/>
      <c r="H24" s="16">
        <f t="shared" si="5"/>
        <v>-58290.340000000084</v>
      </c>
      <c r="I24" s="17">
        <v>-1231312.83</v>
      </c>
      <c r="J24" s="18"/>
      <c r="K24" s="16">
        <f t="shared" si="2"/>
        <v>-58290.340000000084</v>
      </c>
      <c r="L24" s="17">
        <f t="shared" si="0"/>
        <v>16845889.119999997</v>
      </c>
      <c r="M24" s="18"/>
      <c r="N24" s="16">
        <f t="shared" si="3"/>
        <v>58290.340000000084</v>
      </c>
      <c r="O24" s="17">
        <f>SUM(N$14:N24)</f>
        <v>637329.4800000001</v>
      </c>
      <c r="P24" s="18"/>
      <c r="Q24" s="38">
        <f t="shared" si="8"/>
        <v>-52910.1</v>
      </c>
      <c r="R24" s="39">
        <f t="shared" si="6"/>
        <v>-19832384.650000006</v>
      </c>
      <c r="S24" s="40"/>
      <c r="T24" s="38">
        <v>52910.1</v>
      </c>
      <c r="U24" s="39">
        <f>SUM($T$14:T24)</f>
        <v>577542.06000000006</v>
      </c>
      <c r="V24" s="40"/>
      <c r="W24" s="5">
        <f t="shared" si="1"/>
        <v>0</v>
      </c>
      <c r="X24" s="29"/>
      <c r="AB24" s="4"/>
      <c r="AC24" s="4"/>
    </row>
    <row r="25" spans="1:29" x14ac:dyDescent="0.25">
      <c r="A25" s="7">
        <v>42735</v>
      </c>
      <c r="C25" s="1" t="s">
        <v>8</v>
      </c>
      <c r="E25" s="16">
        <v>37040427.450000003</v>
      </c>
      <c r="F25" s="17">
        <f t="shared" si="4"/>
        <v>55117629.400000006</v>
      </c>
      <c r="G25" s="18"/>
      <c r="H25" s="16">
        <f t="shared" si="5"/>
        <v>-122374.1399999999</v>
      </c>
      <c r="I25" s="17">
        <v>-1353686.97</v>
      </c>
      <c r="J25" s="18"/>
      <c r="K25" s="16">
        <f t="shared" si="2"/>
        <v>36918053.310000002</v>
      </c>
      <c r="L25" s="17">
        <f t="shared" si="0"/>
        <v>53763942.430000007</v>
      </c>
      <c r="M25" s="18"/>
      <c r="N25" s="16">
        <f t="shared" si="3"/>
        <v>122374.1399999999</v>
      </c>
      <c r="O25" s="17">
        <f>SUM(N$14:N25)</f>
        <v>759703.62</v>
      </c>
      <c r="P25" s="18"/>
      <c r="Q25" s="38">
        <f>-E25-T25</f>
        <v>-37093479.080000006</v>
      </c>
      <c r="R25" s="39">
        <f t="shared" si="6"/>
        <v>-56925863.730000012</v>
      </c>
      <c r="S25" s="40"/>
      <c r="T25" s="38">
        <v>53051.63</v>
      </c>
      <c r="U25" s="39">
        <f>SUM($T$14:T25)</f>
        <v>630593.69000000006</v>
      </c>
      <c r="V25" s="40"/>
      <c r="W25" s="5">
        <f t="shared" si="1"/>
        <v>0</v>
      </c>
      <c r="X25" s="29"/>
      <c r="AB25" s="4"/>
      <c r="AC25" s="4"/>
    </row>
    <row r="26" spans="1:29" x14ac:dyDescent="0.25">
      <c r="A26" s="7">
        <v>42766</v>
      </c>
      <c r="C26" s="1">
        <v>3</v>
      </c>
      <c r="E26" s="16"/>
      <c r="F26" s="17">
        <f t="shared" si="4"/>
        <v>55117629.400000006</v>
      </c>
      <c r="G26" s="18"/>
      <c r="H26" s="16">
        <f t="shared" si="5"/>
        <v>-186680.24</v>
      </c>
      <c r="I26" s="17">
        <v>-1540367.21</v>
      </c>
      <c r="J26" s="18"/>
      <c r="K26" s="16">
        <f t="shared" si="2"/>
        <v>-186680.24</v>
      </c>
      <c r="L26" s="17">
        <f t="shared" si="0"/>
        <v>53577262.190000005</v>
      </c>
      <c r="M26" s="18"/>
      <c r="N26" s="26">
        <f t="shared" si="3"/>
        <v>186680.24</v>
      </c>
      <c r="O26" s="27">
        <f>N26</f>
        <v>186680.24</v>
      </c>
      <c r="P26" s="28"/>
      <c r="Q26" s="38">
        <f>-T26</f>
        <v>-152287.63</v>
      </c>
      <c r="R26" s="39">
        <f t="shared" si="6"/>
        <v>-57078151.360000014</v>
      </c>
      <c r="S26" s="40"/>
      <c r="T26" s="41">
        <v>152287.63</v>
      </c>
      <c r="U26" s="42">
        <f>T26</f>
        <v>152287.63</v>
      </c>
      <c r="V26" s="43"/>
      <c r="W26" s="5">
        <f t="shared" si="1"/>
        <v>0</v>
      </c>
      <c r="X26" s="29"/>
      <c r="AB26" s="4"/>
      <c r="AC26" s="4"/>
    </row>
    <row r="27" spans="1:29" x14ac:dyDescent="0.25">
      <c r="A27" s="7">
        <v>42794</v>
      </c>
      <c r="C27" s="1" t="s">
        <v>7</v>
      </c>
      <c r="E27" s="16">
        <v>-14158527</v>
      </c>
      <c r="F27" s="17">
        <f t="shared" si="4"/>
        <v>40959102.400000006</v>
      </c>
      <c r="G27" s="18"/>
      <c r="H27" s="16">
        <f t="shared" si="5"/>
        <v>-162013.91000000015</v>
      </c>
      <c r="I27" s="17">
        <v>-1702381.12</v>
      </c>
      <c r="J27" s="18"/>
      <c r="K27" s="16">
        <f t="shared" si="2"/>
        <v>-14320540.91</v>
      </c>
      <c r="L27" s="17">
        <f t="shared" si="0"/>
        <v>39256721.280000009</v>
      </c>
      <c r="M27" s="18"/>
      <c r="N27" s="16">
        <f t="shared" si="3"/>
        <v>162013.91000000015</v>
      </c>
      <c r="O27" s="17">
        <f>SUM(N26+N27)</f>
        <v>348694.15000000014</v>
      </c>
      <c r="P27" s="18"/>
      <c r="Q27" s="38">
        <f>-E27-T27</f>
        <v>14005831.939999999</v>
      </c>
      <c r="R27" s="39">
        <f t="shared" si="6"/>
        <v>-43072319.420000017</v>
      </c>
      <c r="S27" s="40"/>
      <c r="T27" s="38">
        <v>152695.06</v>
      </c>
      <c r="U27" s="39">
        <f>SUM($T$26:T27)</f>
        <v>304982.69</v>
      </c>
      <c r="V27" s="40"/>
      <c r="W27" s="5">
        <f t="shared" si="1"/>
        <v>0</v>
      </c>
      <c r="X27" s="29"/>
      <c r="AB27" s="4"/>
      <c r="AC27" s="4"/>
    </row>
    <row r="28" spans="1:29" x14ac:dyDescent="0.25">
      <c r="A28" s="7">
        <v>42825</v>
      </c>
      <c r="C28" s="1" t="s">
        <v>7</v>
      </c>
      <c r="E28" s="16">
        <v>0</v>
      </c>
      <c r="F28" s="17">
        <f t="shared" si="4"/>
        <v>40959102.400000006</v>
      </c>
      <c r="G28" s="18"/>
      <c r="H28" s="16">
        <f t="shared" si="5"/>
        <v>-110665.75</v>
      </c>
      <c r="I28" s="17">
        <v>-1813046.87</v>
      </c>
      <c r="J28" s="18"/>
      <c r="K28" s="16">
        <f t="shared" si="2"/>
        <v>-110665.75</v>
      </c>
      <c r="L28" s="17">
        <f t="shared" si="0"/>
        <v>39146055.530000009</v>
      </c>
      <c r="M28" s="18"/>
      <c r="N28" s="16">
        <f t="shared" si="3"/>
        <v>110665.75</v>
      </c>
      <c r="O28" s="17">
        <f>SUM(N26+N27+N28)</f>
        <v>459359.90000000014</v>
      </c>
      <c r="P28" s="18"/>
      <c r="Q28" s="38">
        <f>-E28-T28</f>
        <v>-78050.060000000027</v>
      </c>
      <c r="R28" s="39">
        <f t="shared" si="6"/>
        <v>-43150369.480000019</v>
      </c>
      <c r="S28" s="40"/>
      <c r="T28" s="38">
        <f>-190280.22+268330.28</f>
        <v>78050.060000000027</v>
      </c>
      <c r="U28" s="39">
        <f>SUM($T$26:T28)</f>
        <v>383032.75</v>
      </c>
      <c r="V28" s="40"/>
      <c r="W28" s="5">
        <f t="shared" si="1"/>
        <v>0</v>
      </c>
      <c r="X28" s="29"/>
      <c r="AB28" s="4"/>
      <c r="AC28" s="4"/>
    </row>
    <row r="29" spans="1:29" x14ac:dyDescent="0.25">
      <c r="A29" s="7"/>
      <c r="E29" s="16"/>
      <c r="F29" s="17"/>
      <c r="G29" s="18"/>
      <c r="H29" s="16"/>
      <c r="I29" s="17"/>
      <c r="J29" s="18"/>
      <c r="K29" s="16"/>
      <c r="L29" s="17"/>
      <c r="M29" s="18"/>
      <c r="N29" s="16"/>
      <c r="O29" s="17"/>
      <c r="P29" s="18"/>
      <c r="Q29" s="38"/>
      <c r="R29" s="39"/>
      <c r="S29" s="40"/>
      <c r="T29" s="38"/>
      <c r="U29" s="39"/>
      <c r="V29" s="40"/>
      <c r="W29" s="5">
        <f t="shared" si="1"/>
        <v>0</v>
      </c>
      <c r="AB29" s="4"/>
      <c r="AC29" s="4"/>
    </row>
    <row r="30" spans="1:29" x14ac:dyDescent="0.25">
      <c r="E30" s="16"/>
      <c r="F30" s="17"/>
      <c r="G30" s="18"/>
      <c r="H30" s="16"/>
      <c r="I30" s="17"/>
      <c r="J30" s="18"/>
      <c r="K30" s="16"/>
      <c r="L30" s="17"/>
      <c r="M30" s="18"/>
      <c r="N30" s="16"/>
      <c r="O30" s="17"/>
      <c r="P30" s="18"/>
      <c r="Q30" s="38"/>
      <c r="R30" s="39"/>
      <c r="S30" s="40"/>
      <c r="T30" s="38"/>
      <c r="U30" s="39"/>
      <c r="V30" s="40"/>
      <c r="AB30" s="4"/>
    </row>
    <row r="31" spans="1:29" x14ac:dyDescent="0.25">
      <c r="A31" t="s">
        <v>10</v>
      </c>
      <c r="E31" s="19"/>
      <c r="F31" s="20">
        <f>(F10+F22+SUM(F11:F21)*2)/24</f>
        <v>18139915.241666663</v>
      </c>
      <c r="G31" s="21"/>
      <c r="H31" s="19"/>
      <c r="I31" s="20">
        <f>(I10+I22+SUM(I11:I21)*2)/24</f>
        <v>-765853.45000000019</v>
      </c>
      <c r="J31" s="21"/>
      <c r="K31" s="19"/>
      <c r="L31" s="20">
        <f>(L10+L22+SUM(L11:L21)*2)/24</f>
        <v>17374061.791666664</v>
      </c>
      <c r="M31" s="21"/>
      <c r="N31" s="19">
        <f>SUM(N11:N22)</f>
        <v>697731.2</v>
      </c>
      <c r="O31" s="20"/>
      <c r="P31" s="21"/>
      <c r="Q31" s="44"/>
      <c r="R31" s="45">
        <f>(R10+R22+SUM(R11:R21)*2)/24</f>
        <v>-19475859.29291667</v>
      </c>
      <c r="S31" s="46"/>
      <c r="T31" s="44">
        <f>SUM(T11:T22)</f>
        <v>623905.01</v>
      </c>
      <c r="U31" s="45"/>
      <c r="V31" s="46"/>
    </row>
    <row r="32" spans="1:29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3:28" x14ac:dyDescent="0.25">
      <c r="C33" s="1">
        <v>1</v>
      </c>
      <c r="D33" t="s"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3:28" x14ac:dyDescent="0.25">
      <c r="C34" s="1">
        <v>2</v>
      </c>
      <c r="D34" t="s">
        <v>28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3:28" x14ac:dyDescent="0.25">
      <c r="C35" s="1">
        <v>3</v>
      </c>
      <c r="D35" t="s">
        <v>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AA35" s="4"/>
      <c r="AB35" s="4"/>
    </row>
    <row r="36" spans="3:28" x14ac:dyDescent="0.25">
      <c r="C36" s="1">
        <v>4</v>
      </c>
      <c r="D36" t="s">
        <v>19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3:28" x14ac:dyDescent="0.25">
      <c r="C37" s="1">
        <v>5</v>
      </c>
      <c r="D37" t="s">
        <v>25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3:28" x14ac:dyDescent="0.25">
      <c r="C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3:28" x14ac:dyDescent="0.2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3:28" x14ac:dyDescent="0.25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</sheetData>
  <mergeCells count="6">
    <mergeCell ref="Q3:S3"/>
    <mergeCell ref="T3:V3"/>
    <mergeCell ref="K3:M3"/>
    <mergeCell ref="E3:G3"/>
    <mergeCell ref="H3:J3"/>
    <mergeCell ref="N3:P3"/>
  </mergeCells>
  <printOptions horizontalCentered="1"/>
  <pageMargins left="0.2" right="0.2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CAA639B-C1B7-49B9-BC75-CA2C21AD9CE8}"/>
</file>

<file path=customXml/itemProps2.xml><?xml version="1.0" encoding="utf-8"?>
<ds:datastoreItem xmlns:ds="http://schemas.openxmlformats.org/officeDocument/2006/customXml" ds:itemID="{341E4B55-6C67-4403-83F3-9DF213789892}"/>
</file>

<file path=customXml/itemProps3.xml><?xml version="1.0" encoding="utf-8"?>
<ds:datastoreItem xmlns:ds="http://schemas.openxmlformats.org/officeDocument/2006/customXml" ds:itemID="{A966C2D7-9FE1-4C4C-AD77-E6D1AFFB4648}"/>
</file>

<file path=customXml/itemProps4.xml><?xml version="1.0" encoding="utf-8"?>
<ds:datastoreItem xmlns:ds="http://schemas.openxmlformats.org/officeDocument/2006/customXml" ds:itemID="{BEAC4E85-5172-47C8-9512-B3A177497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Colstrip 1 &amp; 2 Summary</vt:lpstr>
      <vt:lpstr>Colstrip 3 &amp; 4 Summary</vt:lpstr>
      <vt:lpstr>'Colstrip 1 &amp; 2 Summary'!Print_Area</vt:lpstr>
      <vt:lpstr>'Colstrip 3 &amp; 4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Hendrickson</dc:creator>
  <cp:lastModifiedBy>Cathy Hendrickson</cp:lastModifiedBy>
  <dcterms:created xsi:type="dcterms:W3CDTF">2017-06-29T21:43:33Z</dcterms:created>
  <dcterms:modified xsi:type="dcterms:W3CDTF">2017-06-29T21:43:33Z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