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165" windowHeight="4470" activeTab="4"/>
  </bookViews>
  <sheets>
    <sheet name="21.21 Electric" sheetId="1" r:id="rId1"/>
    <sheet name="Proforma Summary" sheetId="2" r:id="rId2"/>
    <sheet name="Att A Staff DR 151 (Rates)" sheetId="3" r:id="rId3"/>
    <sheet name="Att C Staff DR 151 (Partic)" sheetId="4" r:id="rId4"/>
    <sheet name="Flex Credits" sheetId="5" r:id="rId5"/>
    <sheet name="SAP KSB1 Rpt" sheetId="6" r:id="rId6"/>
    <sheet name="FERC.P354,5 " sheetId="7" r:id="rId7"/>
    <sheet name="Allocation Method" sheetId="8" r:id="rId8"/>
    <sheet name="IBEW" sheetId="9" r:id="rId9"/>
    <sheet name="UA" sheetId="10" r:id="rId10"/>
    <sheet name="Sheet1" sheetId="11" r:id="rId11"/>
  </sheets>
  <externalReferences>
    <externalReference r:id="rId14"/>
    <externalReference r:id="rId15"/>
    <externalReference r:id="rId16"/>
  </externalReferences>
  <definedNames>
    <definedName name="__123Graph_D" hidden="1">#REF!</definedName>
    <definedName name="__123Graph_ECURRENT" hidden="1">'[1]ConsolidatingPL'!#REF!</definedName>
    <definedName name="_Fill" localSheetId="7" hidden="1">#REF!</definedName>
    <definedName name="_Fill" localSheetId="6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localSheetId="8" hidden="1">{#N/A,#N/A,FALSE,"Coversheet";#N/A,#N/A,FALSE,"QA"}</definedName>
    <definedName name="a" localSheetId="9" hidden="1">{#N/A,#N/A,FALSE,"Coversheet";#N/A,#N/A,FALSE,"QA"}</definedName>
    <definedName name="a" hidden="1">{#N/A,#N/A,FALSE,"Coversheet";#N/A,#N/A,FALSE,"QA"}</definedName>
    <definedName name="abc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7" hidden="1">{#N/A,#N/A,FALSE,"Coversheet";#N/A,#N/A,FALSE,"QA"}</definedName>
    <definedName name="b" localSheetId="6" hidden="1">{#N/A,#N/A,FALSE,"Coversheet";#N/A,#N/A,FALSE,"QA"}</definedName>
    <definedName name="b" localSheetId="8" hidden="1">{#N/A,#N/A,FALSE,"Coversheet";#N/A,#N/A,FALSE,"QA"}</definedName>
    <definedName name="b" localSheetId="9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7" hidden="1">{#N/A,#N/A,FALSE,"Coversheet";#N/A,#N/A,FALSE,"QA"}</definedName>
    <definedName name="DELETE01" localSheetId="6" hidden="1">{#N/A,#N/A,FALSE,"Coversheet";#N/A,#N/A,FALSE,"QA"}</definedName>
    <definedName name="DELETE01" localSheetId="8" hidden="1">{#N/A,#N/A,FALSE,"Coversheet";#N/A,#N/A,FALSE,"QA"}</definedName>
    <definedName name="DELETE01" localSheetId="9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7" hidden="1">{#N/A,#N/A,FALSE,"Schedule F";#N/A,#N/A,FALSE,"Schedule G"}</definedName>
    <definedName name="DELETE02" localSheetId="6" hidden="1">{#N/A,#N/A,FALSE,"Schedule F";#N/A,#N/A,FALSE,"Schedule G"}</definedName>
    <definedName name="DELETE02" localSheetId="8" hidden="1">{#N/A,#N/A,FALSE,"Schedule F";#N/A,#N/A,FALSE,"Schedule G"}</definedName>
    <definedName name="DELETE02" localSheetId="9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localSheetId="6" hidden="1">{#N/A,#N/A,FALSE,"Coversheet";#N/A,#N/A,FALSE,"QA"}</definedName>
    <definedName name="Delete06" localSheetId="8" hidden="1">{#N/A,#N/A,FALSE,"Coversheet";#N/A,#N/A,FALSE,"QA"}</definedName>
    <definedName name="Delete06" localSheetId="9" hidden="1">{#N/A,#N/A,FALSE,"Coversheet";#N/A,#N/A,FALSE,"QA"}</definedName>
    <definedName name="Delete06" hidden="1">{#N/A,#N/A,FALSE,"Coversheet";#N/A,#N/A,FALSE,"QA"}</definedName>
    <definedName name="Delete09" localSheetId="7" hidden="1">{#N/A,#N/A,FALSE,"Coversheet";#N/A,#N/A,FALSE,"QA"}</definedName>
    <definedName name="Delete09" localSheetId="6" hidden="1">{#N/A,#N/A,FALSE,"Coversheet";#N/A,#N/A,FALSE,"QA"}</definedName>
    <definedName name="Delete09" localSheetId="8" hidden="1">{#N/A,#N/A,FALSE,"Coversheet";#N/A,#N/A,FALSE,"QA"}</definedName>
    <definedName name="Delete09" localSheetId="9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7" hidden="1">{#N/A,#N/A,FALSE,"Coversheet";#N/A,#N/A,FALSE,"QA"}</definedName>
    <definedName name="Delete1" localSheetId="6" hidden="1">{#N/A,#N/A,FALSE,"Coversheet";#N/A,#N/A,FALSE,"QA"}</definedName>
    <definedName name="Delete1" localSheetId="8" hidden="1">{#N/A,#N/A,FALSE,"Coversheet";#N/A,#N/A,FALSE,"QA"}</definedName>
    <definedName name="Delete1" localSheetId="9" hidden="1">{#N/A,#N/A,FALSE,"Coversheet";#N/A,#N/A,FALSE,"QA"}</definedName>
    <definedName name="Delete1" hidden="1">{#N/A,#N/A,FALSE,"Coversheet";#N/A,#N/A,FALSE,"QA"}</definedName>
    <definedName name="Delete10" localSheetId="7" hidden="1">{#N/A,#N/A,FALSE,"Schedule F";#N/A,#N/A,FALSE,"Schedule G"}</definedName>
    <definedName name="Delete10" localSheetId="6" hidden="1">{#N/A,#N/A,FALSE,"Schedule F";#N/A,#N/A,FALSE,"Schedule G"}</definedName>
    <definedName name="Delete10" localSheetId="8" hidden="1">{#N/A,#N/A,FALSE,"Schedule F";#N/A,#N/A,FALSE,"Schedule G"}</definedName>
    <definedName name="Delete10" localSheetId="9" hidden="1">{#N/A,#N/A,FALSE,"Schedule F";#N/A,#N/A,FALSE,"Schedule G"}</definedName>
    <definedName name="Delete10" hidden="1">{#N/A,#N/A,FALSE,"Schedule F";#N/A,#N/A,FALSE,"Schedule G"}</definedName>
    <definedName name="Delete21" localSheetId="7" hidden="1">{#N/A,#N/A,FALSE,"Coversheet";#N/A,#N/A,FALSE,"QA"}</definedName>
    <definedName name="Delete21" localSheetId="6" hidden="1">{#N/A,#N/A,FALSE,"Coversheet";#N/A,#N/A,FALSE,"QA"}</definedName>
    <definedName name="Delete21" localSheetId="8" hidden="1">{#N/A,#N/A,FALSE,"Coversheet";#N/A,#N/A,FALSE,"QA"}</definedName>
    <definedName name="Delete21" localSheetId="9" hidden="1">{#N/A,#N/A,FALSE,"Coversheet";#N/A,#N/A,FALSE,"QA"}</definedName>
    <definedName name="Delete21" hidden="1">{#N/A,#N/A,FALSE,"Coversheet";#N/A,#N/A,FALSE,"QA"}</definedName>
    <definedName name="DFIT" localSheetId="7" hidden="1">{#N/A,#N/A,FALSE,"Coversheet";#N/A,#N/A,FALSE,"QA"}</definedName>
    <definedName name="DFIT" localSheetId="6" hidden="1">{#N/A,#N/A,FALSE,"Coversheet";#N/A,#N/A,FALSE,"QA"}</definedName>
    <definedName name="DFIT" localSheetId="8" hidden="1">{#N/A,#N/A,FALSE,"Coversheet";#N/A,#N/A,FALSE,"QA"}</definedName>
    <definedName name="DFIT" localSheetId="9" hidden="1">{#N/A,#N/A,FALSE,"Coversheet";#N/A,#N/A,FALSE,"QA"}</definedName>
    <definedName name="DFIT" hidden="1">{#N/A,#N/A,FALSE,"Coversheet";#N/A,#N/A,FALSE,"QA"}</definedName>
    <definedName name="Estimate" localSheetId="8" hidden="1">{#N/A,#N/A,FALSE,"Summ";#N/A,#N/A,FALSE,"General"}</definedName>
    <definedName name="Estimate" localSheetId="9" hidden="1">{#N/A,#N/A,FALSE,"Summ";#N/A,#N/A,FALSE,"General"}</definedName>
    <definedName name="Estimate" hidden="1">{#N/A,#N/A,FALSE,"Summ";#N/A,#N/A,FALSE,"General"}</definedName>
    <definedName name="ex" localSheetId="8" hidden="1">{#N/A,#N/A,FALSE,"Summ";#N/A,#N/A,FALSE,"General"}</definedName>
    <definedName name="ex" localSheetId="9" hidden="1">{#N/A,#N/A,FALSE,"Summ";#N/A,#N/A,FALSE,"General"}</definedName>
    <definedName name="ex" hidden="1">{#N/A,#N/A,FALSE,"Summ";#N/A,#N/A,FALSE,"General"}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8" hidden="1">{#N/A,#N/A,FALSE,"Expenditures";#N/A,#N/A,FALSE,"Property Placed In-Service";#N/A,#N/A,FALSE,"CWIP Balances"}</definedName>
    <definedName name="Miller" localSheetId="9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8" hidden="1">{#N/A,#N/A,FALSE,"Summ";#N/A,#N/A,FALSE,"General"}</definedName>
    <definedName name="new" localSheetId="9" hidden="1">{#N/A,#N/A,FALSE,"Summ";#N/A,#N/A,FALSE,"General"}</definedName>
    <definedName name="new" hidden="1">{#N/A,#N/A,FALSE,"Summ";#N/A,#N/A,FALSE,"General"}</definedName>
    <definedName name="qqq" localSheetId="8" hidden="1">{#N/A,#N/A,FALSE,"schA"}</definedName>
    <definedName name="qqq" localSheetId="9" hidden="1">{#N/A,#N/A,FALSE,"schA"}</definedName>
    <definedName name="qqq" hidden="1">{#N/A,#N/A,FALSE,"schA"}</definedName>
    <definedName name="six" localSheetId="8" hidden="1">{#N/A,#N/A,FALSE,"Drill Sites";"WP 212",#N/A,FALSE,"MWAG EOR";"WP 213",#N/A,FALSE,"MWAG EOR";#N/A,#N/A,FALSE,"Misc. Facility";#N/A,#N/A,FALSE,"WWTP"}</definedName>
    <definedName name="six" localSheetId="9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8" hidden="1">{#N/A,#N/A,FALSE,"CRPT";#N/A,#N/A,FALSE,"TREND";#N/A,#N/A,FALSE,"%Curve"}</definedName>
    <definedName name="six6" localSheetId="9" hidden="1">{#N/A,#N/A,FALSE,"CRPT";#N/A,#N/A,FALSE,"TREND";#N/A,#N/A,FALSE,"%Curve"}</definedName>
    <definedName name="six6" hidden="1">{#N/A,#N/A,FALSE,"CRPT";#N/A,#N/A,FALSE,"TREND";#N/A,#N/A,FALSE,"%Curve"}</definedName>
    <definedName name="t" localSheetId="8" hidden="1">{#N/A,#N/A,FALSE,"CESTSUM";#N/A,#N/A,FALSE,"est sum A";#N/A,#N/A,FALSE,"est detail A"}</definedName>
    <definedName name="t" localSheetId="9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8" hidden="1">{#N/A,#N/A,FALSE,"Summ";#N/A,#N/A,FALSE,"General"}</definedName>
    <definedName name="TEMP" localSheetId="9" hidden="1">{#N/A,#N/A,FALSE,"Summ";#N/A,#N/A,FALSE,"General"}</definedName>
    <definedName name="TEMP" hidden="1">{#N/A,#N/A,FALSE,"Summ";#N/A,#N/A,FALSE,"General"}</definedName>
    <definedName name="Temp1" localSheetId="8" hidden="1">{#N/A,#N/A,FALSE,"CESTSUM";#N/A,#N/A,FALSE,"est sum A";#N/A,#N/A,FALSE,"est detail A"}</definedName>
    <definedName name="Temp1" localSheetId="9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8" hidden="1">{#N/A,#N/A,FALSE,"Summ";#N/A,#N/A,FALSE,"General"}</definedName>
    <definedName name="u" localSheetId="9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localSheetId="9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8" hidden="1">{#N/A,#N/A,FALSE,"CRPT";#N/A,#N/A,FALSE,"TREND";#N/A,#N/A,FALSE,"%Curve"}</definedName>
    <definedName name="wrn.AAI." localSheetId="9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8" hidden="1">{#N/A,#N/A,FALSE,"CRPT";#N/A,#N/A,FALSE,"TREND";#N/A,#N/A,FALSE,"% CURVE"}</definedName>
    <definedName name="wrn.AAI._.Report." localSheetId="9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9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8" hidden="1">{#N/A,#N/A,FALSE,"schA"}</definedName>
    <definedName name="wrn.ECR." localSheetId="9" hidden="1">{#N/A,#N/A,FALSE,"schA"}</definedName>
    <definedName name="wrn.ECR." hidden="1">{#N/A,#N/A,FALSE,"schA"}</definedName>
    <definedName name="wrn.ESTIMATE." localSheetId="8" hidden="1">{#N/A,#N/A,FALSE,"CESTSUM";#N/A,#N/A,FALSE,"est sum A";#N/A,#N/A,FALSE,"est detail A"}</definedName>
    <definedName name="wrn.ESTIMATE." localSheetId="9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7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8" hidden="1">{#N/A,#N/A,FALSE,"SUMMARY";#N/A,#N/A,FALSE,"AE7616";#N/A,#N/A,FALSE,"AE7617";#N/A,#N/A,FALSE,"AE7618";#N/A,#N/A,FALSE,"AE7619"}</definedName>
    <definedName name="wrn.IEO." localSheetId="9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9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9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8" hidden="1">{#N/A,#N/A,FALSE,"BASE";#N/A,#N/A,FALSE,"LOOPS";#N/A,#N/A,FALSE,"PLC"}</definedName>
    <definedName name="wrn.Project._.Services." localSheetId="9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8" hidden="1">{#N/A,#N/A,FALSE,"7617 Fab";#N/A,#N/A,FALSE,"7617 NSK"}</definedName>
    <definedName name="wrn.SCHEDULE." localSheetId="9" hidden="1">{#N/A,#N/A,FALSE,"7617 Fab";#N/A,#N/A,FALSE,"7617 NSK"}</definedName>
    <definedName name="wrn.SCHEDULE." hidden="1">{#N/A,#N/A,FALSE,"7617 Fab";#N/A,#N/A,FALSE,"7617 NSK"}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localSheetId="9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7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hidden="1">{#N/A,#N/A,FALSE,"2002 Small Tool OH";#N/A,#N/A,FALSE,"QA"}</definedName>
    <definedName name="wrn.Summary." localSheetId="8" hidden="1">{#N/A,#N/A,FALSE,"Summ";#N/A,#N/A,FALSE,"General"}</definedName>
    <definedName name="wrn.Summary." localSheetId="9" hidden="1">{#N/A,#N/A,FALSE,"Summ";#N/A,#N/A,FALSE,"General"}</definedName>
    <definedName name="wrn.Summary." hidden="1">{#N/A,#N/A,FALSE,"Summ";#N/A,#N/A,FALSE,"General"}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8" hidden="1">{#N/A,#N/A,FALSE,"Expenditures";#N/A,#N/A,FALSE,"Property Placed In-Service";#N/A,#N/A,FALSE,"CWIP Balances"}</definedName>
    <definedName name="wrn.USIM_Data_Abbrev3." localSheetId="9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8" hidden="1">{#N/A,#N/A,FALSE,"schA"}</definedName>
    <definedName name="www" localSheetId="9" hidden="1">{#N/A,#N/A,FALSE,"schA"}</definedName>
    <definedName name="www" hidden="1">{#N/A,#N/A,FALSE,"schA"}</definedName>
    <definedName name="www1" localSheetId="8" hidden="1">{#N/A,#N/A,FALSE,"schA"}</definedName>
    <definedName name="www1" localSheetId="9" hidden="1">{#N/A,#N/A,FALSE,"schA"}</definedName>
    <definedName name="www1" hidden="1">{#N/A,#N/A,FALSE,"schA"}</definedName>
  </definedNames>
  <calcPr fullCalcOnLoad="1"/>
</workbook>
</file>

<file path=xl/comments2.xml><?xml version="1.0" encoding="utf-8"?>
<comments xmlns="http://schemas.openxmlformats.org/spreadsheetml/2006/main">
  <authors>
    <author>Puget Sound Energy</author>
  </authors>
  <commentList>
    <comment ref="A9" authorId="0">
      <text>
        <r>
          <rPr>
            <b/>
            <sz val="10"/>
            <rFont val="Tahoma"/>
            <family val="2"/>
          </rPr>
          <t>Puget Sound Energy:</t>
        </r>
        <r>
          <rPr>
            <sz val="10"/>
            <rFont val="Tahoma"/>
            <family val="2"/>
          </rPr>
          <t xml:space="preserve">
NR/Sal/Exec</t>
        </r>
      </text>
    </comment>
  </commentList>
</comments>
</file>

<file path=xl/sharedStrings.xml><?xml version="1.0" encoding="utf-8"?>
<sst xmlns="http://schemas.openxmlformats.org/spreadsheetml/2006/main" count="648" uniqueCount="331">
  <si>
    <t>PUGET SOUND ENERGY</t>
  </si>
  <si>
    <t>Total</t>
  </si>
  <si>
    <t>LINE</t>
  </si>
  <si>
    <t>NO.</t>
  </si>
  <si>
    <t>DESCRIPTION</t>
  </si>
  <si>
    <t>EMPLOYEE INSURANCE</t>
  </si>
  <si>
    <t>Electric</t>
  </si>
  <si>
    <t>Gas</t>
  </si>
  <si>
    <t>BENEFIT CONTRIBUTION:</t>
  </si>
  <si>
    <t>INCREASE(DECREASE) FIT @</t>
  </si>
  <si>
    <t>INCREASE(DECREASE) NOI</t>
  </si>
  <si>
    <t>DETERMINATION OF FLEX CREDITS EXPENSE</t>
  </si>
  <si>
    <t>Actual Flex Credits from Payroll runs</t>
  </si>
  <si>
    <t>INCREASE(DECREASE) OPERATING EXPENSE</t>
  </si>
  <si>
    <t>O&amp;M Flex Credits (Line 1 X Line 2)</t>
  </si>
  <si>
    <t>Direct Labor O&amp;M %</t>
  </si>
  <si>
    <t>PUGET SOUND ENERGY-ELECTRIC</t>
  </si>
  <si>
    <t>FERC FORM 2 Pages 354 - 355</t>
  </si>
  <si>
    <t>Distribution of Wages &amp; Salaries</t>
  </si>
  <si>
    <t>Electric Production, Transmission &amp; Distribution</t>
  </si>
  <si>
    <r>
      <t>å</t>
    </r>
    <r>
      <rPr>
        <sz val="10"/>
        <rFont val="Arial"/>
        <family val="2"/>
      </rPr>
      <t xml:space="preserve">A + </t>
    </r>
    <r>
      <rPr>
        <sz val="9"/>
        <rFont val="Symbol"/>
        <family val="1"/>
      </rPr>
      <t>å</t>
    </r>
    <r>
      <rPr>
        <sz val="10"/>
        <rFont val="Arial"/>
        <family val="2"/>
      </rPr>
      <t>B</t>
    </r>
  </si>
  <si>
    <t>Gas Production, Transmission &amp; Distribution</t>
  </si>
  <si>
    <r>
      <t>å</t>
    </r>
    <r>
      <rPr>
        <sz val="10"/>
        <rFont val="Arial"/>
        <family val="2"/>
      </rPr>
      <t xml:space="preserve">C + </t>
    </r>
    <r>
      <rPr>
        <sz val="9"/>
        <rFont val="Symbol"/>
        <family val="1"/>
      </rPr>
      <t>å</t>
    </r>
    <r>
      <rPr>
        <sz val="10"/>
        <rFont val="Arial"/>
        <family val="2"/>
      </rPr>
      <t>D</t>
    </r>
  </si>
  <si>
    <t>4 Factor Allocator</t>
  </si>
  <si>
    <t>Electric Transmission &amp; Distribution</t>
  </si>
  <si>
    <r>
      <t>å</t>
    </r>
    <r>
      <rPr>
        <sz val="10"/>
        <rFont val="Arial"/>
        <family val="2"/>
      </rPr>
      <t>B</t>
    </r>
  </si>
  <si>
    <t>Gas Transmission &amp; Distribution</t>
  </si>
  <si>
    <r>
      <t>å</t>
    </r>
    <r>
      <rPr>
        <sz val="10"/>
        <rFont val="Arial"/>
        <family val="2"/>
      </rPr>
      <t>D</t>
    </r>
  </si>
  <si>
    <t>O&amp;M</t>
  </si>
  <si>
    <t>Capital</t>
  </si>
  <si>
    <t>Non-Utility</t>
  </si>
  <si>
    <t>Direct Labor Split % (from annual GL direct labor analysis)</t>
  </si>
  <si>
    <t>Col-1</t>
  </si>
  <si>
    <t>Col-2</t>
  </si>
  <si>
    <t>Col-3</t>
  </si>
  <si>
    <t>Col-4</t>
  </si>
  <si>
    <t>Col-5</t>
  </si>
  <si>
    <t>Col-6</t>
  </si>
  <si>
    <t>Col-7</t>
  </si>
  <si>
    <t>Col-8</t>
  </si>
  <si>
    <t>Col-9</t>
  </si>
  <si>
    <t>Col-10</t>
  </si>
  <si>
    <t>Col-11</t>
  </si>
  <si>
    <t>Line No.</t>
  </si>
  <si>
    <t>Description</t>
  </si>
  <si>
    <t>CODE</t>
  </si>
  <si>
    <t>Raw Data (Direct Labor Charges)</t>
  </si>
  <si>
    <t xml:space="preserve">Allocate R.Clearing Accts. </t>
  </si>
  <si>
    <t>Subtotal: RAW + R.Clearing (Col-1 + Col-2)</t>
  </si>
  <si>
    <t>Allocate Construction Support</t>
  </si>
  <si>
    <t>Subtotal: RAW + R.Clearing + Construction Support
(Col-3 + Col4)</t>
  </si>
  <si>
    <t>Allocate Common O&amp;M (Based on 4 factor allocator)</t>
  </si>
  <si>
    <t>Subtotal: RAW + R.Clearing + Construction Support+Common
(Col-5 + Col6)</t>
  </si>
  <si>
    <t>Allocate PTO (Based on DL Split)</t>
  </si>
  <si>
    <t>Total
(d)
(Col-7 + Col8)</t>
  </si>
  <si>
    <t>Col-9 % to Total</t>
  </si>
  <si>
    <t>Col-9 Electric/Gas % to Total O&amp;M</t>
  </si>
  <si>
    <t>ELECTRIC</t>
  </si>
  <si>
    <t>Operation</t>
  </si>
  <si>
    <t xml:space="preserve"> Production</t>
  </si>
  <si>
    <t>3E</t>
  </si>
  <si>
    <t xml:space="preserve"> Transmission</t>
  </si>
  <si>
    <t>4E</t>
  </si>
  <si>
    <t xml:space="preserve"> Distribution</t>
  </si>
  <si>
    <t>5E</t>
  </si>
  <si>
    <t xml:space="preserve"> Customer Accounts</t>
  </si>
  <si>
    <t>6E</t>
  </si>
  <si>
    <t xml:space="preserve"> Customer Service &amp; Informational</t>
  </si>
  <si>
    <t>7E</t>
  </si>
  <si>
    <t xml:space="preserve"> Sales</t>
  </si>
  <si>
    <t>8E</t>
  </si>
  <si>
    <t xml:space="preserve"> Administrative &amp; General</t>
  </si>
  <si>
    <t>9E</t>
  </si>
  <si>
    <t xml:space="preserve">  TOTAL Operation (Total of lines 3 thru 9)</t>
  </si>
  <si>
    <t>Maintenance</t>
  </si>
  <si>
    <t>12E</t>
  </si>
  <si>
    <t>13E</t>
  </si>
  <si>
    <t>14E</t>
  </si>
  <si>
    <t>15E</t>
  </si>
  <si>
    <t xml:space="preserve">  TOTAL Operation (Total of lines 12 thru 15)</t>
  </si>
  <si>
    <t>Total Operations &amp; Maintenance</t>
  </si>
  <si>
    <t xml:space="preserve"> Production (Total of lines 3 &amp; 12)</t>
  </si>
  <si>
    <t>A</t>
  </si>
  <si>
    <t xml:space="preserve"> Transmission (Total of lines 4 &amp;13)</t>
  </si>
  <si>
    <t>B</t>
  </si>
  <si>
    <t xml:space="preserve"> Distribution (Total of lines 5 &amp; 14)</t>
  </si>
  <si>
    <t xml:space="preserve"> Customer Accounts (Line 6)</t>
  </si>
  <si>
    <t xml:space="preserve"> Customer Service &amp; Informational (Line 7)</t>
  </si>
  <si>
    <t xml:space="preserve"> Sales (Line 8)</t>
  </si>
  <si>
    <t xml:space="preserve"> Administrative &amp; General (Total of Lines 9 &amp; 15)</t>
  </si>
  <si>
    <t xml:space="preserve">  Total Oper. &amp; Maint (Total of lines 18 thru 24)</t>
  </si>
  <si>
    <t>GAS</t>
  </si>
  <si>
    <t xml:space="preserve"> Production - Manufactured Gas</t>
  </si>
  <si>
    <t>28G</t>
  </si>
  <si>
    <t xml:space="preserve"> Production - Natural Gas (Inc Exploration &amp; Development)</t>
  </si>
  <si>
    <t xml:space="preserve"> Other Gas Supply</t>
  </si>
  <si>
    <t>30G</t>
  </si>
  <si>
    <t xml:space="preserve"> Storage, LNG Terminaling &amp; Processing</t>
  </si>
  <si>
    <t>31G</t>
  </si>
  <si>
    <t>32G</t>
  </si>
  <si>
    <t>33G</t>
  </si>
  <si>
    <t>34G</t>
  </si>
  <si>
    <t>35G</t>
  </si>
  <si>
    <t>36G</t>
  </si>
  <si>
    <t>37G</t>
  </si>
  <si>
    <t xml:space="preserve">  TOTAL Operation (Total of lines 28 thru 37)</t>
  </si>
  <si>
    <t>40G</t>
  </si>
  <si>
    <t xml:space="preserve">43G   </t>
  </si>
  <si>
    <t>44G</t>
  </si>
  <si>
    <t>45G</t>
  </si>
  <si>
    <t>46G</t>
  </si>
  <si>
    <t xml:space="preserve">  TOTAL Operation (Total of lines 40 thru 46)</t>
  </si>
  <si>
    <t>Gas (Continued)</t>
  </si>
  <si>
    <t xml:space="preserve"> Production - Manufactured Gas (Total of lines 28 &amp; 40)</t>
  </si>
  <si>
    <t>C</t>
  </si>
  <si>
    <t xml:space="preserve"> Production - Natural Gas (Inc Expl &amp; Dev) (lines 29 &amp; 41)</t>
  </si>
  <si>
    <t xml:space="preserve"> Other Gas Supply (Total of lines 30 &amp; 42)</t>
  </si>
  <si>
    <t xml:space="preserve"> Storage, LNG Terminaling &amp; Processing (Total of lines 31 &amp; 43</t>
  </si>
  <si>
    <t xml:space="preserve"> Transmission (Total of lines 32 &amp;44)</t>
  </si>
  <si>
    <t>D</t>
  </si>
  <si>
    <t xml:space="preserve"> Distribution (Total of lines 33 &amp; 45)</t>
  </si>
  <si>
    <t xml:space="preserve"> Customer Accounts (Total of line 34)</t>
  </si>
  <si>
    <t xml:space="preserve"> Customer Service &amp; Informational (total of line 35)</t>
  </si>
  <si>
    <t xml:space="preserve"> Sales (Total of line 36)</t>
  </si>
  <si>
    <t>59a</t>
  </si>
  <si>
    <t xml:space="preserve"> Administrative &amp; General (Total of Lines 37 &amp; 46)</t>
  </si>
  <si>
    <t>59b</t>
  </si>
  <si>
    <t xml:space="preserve">  Total Oper. &amp; Maint (Total of lines 49 thru 59)</t>
  </si>
  <si>
    <t>60</t>
  </si>
  <si>
    <t xml:space="preserve">  Other Utility Departments</t>
  </si>
  <si>
    <t>61</t>
  </si>
  <si>
    <t>Operations &amp; Maintenance</t>
  </si>
  <si>
    <t xml:space="preserve">  TOTAL ALL Utility Dept. (Total of lines 25, 59b and 61)</t>
  </si>
  <si>
    <t>UTILITY PLANT</t>
  </si>
  <si>
    <t>Construction (By Utility Departments)</t>
  </si>
  <si>
    <t xml:space="preserve"> Electric Plant</t>
  </si>
  <si>
    <t>65E</t>
  </si>
  <si>
    <t xml:space="preserve"> Gas Plant</t>
  </si>
  <si>
    <t>66G</t>
  </si>
  <si>
    <t xml:space="preserve"> Common Plant</t>
  </si>
  <si>
    <t>67C</t>
  </si>
  <si>
    <t xml:space="preserve">  TOTAL Construction (Total of lines 65 thru 67)</t>
  </si>
  <si>
    <t>Plant Removal (By Utility Departments)</t>
  </si>
  <si>
    <t>70E</t>
  </si>
  <si>
    <t>71G</t>
  </si>
  <si>
    <t>72C</t>
  </si>
  <si>
    <t xml:space="preserve">  TOTAL Plant Removal (Total of lines 70 thru 72)</t>
  </si>
  <si>
    <t>Other Accounts (Specify):</t>
  </si>
  <si>
    <t>121 Non Utility Property</t>
  </si>
  <si>
    <t>74.01T</t>
  </si>
  <si>
    <t>163 Stores Exp.</t>
  </si>
  <si>
    <t>74.02T</t>
  </si>
  <si>
    <t>182 Regulatory Asset</t>
  </si>
  <si>
    <t>74.03T</t>
  </si>
  <si>
    <t>185 Temporary Facilities</t>
  </si>
  <si>
    <t>74.04</t>
  </si>
  <si>
    <t>186 Misc. Deferred Debits</t>
  </si>
  <si>
    <t>74.05</t>
  </si>
  <si>
    <t>Misc 400 Accounts</t>
  </si>
  <si>
    <t>74.06</t>
  </si>
  <si>
    <t>143 Accts Receivable Misc.</t>
  </si>
  <si>
    <t>74.07</t>
  </si>
  <si>
    <t xml:space="preserve">Misc 200 Accounts </t>
  </si>
  <si>
    <t>74M2</t>
  </si>
  <si>
    <t>74.09</t>
  </si>
  <si>
    <t>Jackson Prairie Joint Venture  - Capital - PSE Share</t>
  </si>
  <si>
    <t>74JPC</t>
  </si>
  <si>
    <t>74.10</t>
  </si>
  <si>
    <t>Jackson Prairie Joint Venture  - Expense - PSE Share</t>
  </si>
  <si>
    <t>74JPE</t>
  </si>
  <si>
    <t>75</t>
  </si>
  <si>
    <t>TOTAL Other Accounts</t>
  </si>
  <si>
    <t>76</t>
  </si>
  <si>
    <t>TOTAL SALARIES &amp; WAGES</t>
  </si>
  <si>
    <t>77</t>
  </si>
  <si>
    <t>78</t>
  </si>
  <si>
    <t>Allocated Amounts</t>
  </si>
  <si>
    <t>79</t>
  </si>
  <si>
    <t>Common Customer Accounts           (to Lines 6 &amp; 34)</t>
  </si>
  <si>
    <t>CCA</t>
  </si>
  <si>
    <t>80</t>
  </si>
  <si>
    <t>Common Customer Service              (to Lines 7 &amp; 35)</t>
  </si>
  <si>
    <t>CCS</t>
  </si>
  <si>
    <t>81</t>
  </si>
  <si>
    <t>Common Sales                               (to Lines 8 &amp; 36)</t>
  </si>
  <si>
    <t>CSA</t>
  </si>
  <si>
    <t>82</t>
  </si>
  <si>
    <t>Common A&amp;G                                 (to Lines 9 &amp; 37)</t>
  </si>
  <si>
    <t>CAG</t>
  </si>
  <si>
    <t>83</t>
  </si>
  <si>
    <t>Common Maintenance A&amp;G             (to Lines 15 &amp; 46)</t>
  </si>
  <si>
    <t>CMT</t>
  </si>
  <si>
    <t>84</t>
  </si>
  <si>
    <t>Subtotal Common O&amp;M Amounts     (to Lines 25 &amp; 59b)</t>
  </si>
  <si>
    <t>85</t>
  </si>
  <si>
    <t>Other Allocated Amounts</t>
  </si>
  <si>
    <t>86</t>
  </si>
  <si>
    <t>PTO</t>
  </si>
  <si>
    <t>87</t>
  </si>
  <si>
    <t>Construction Support</t>
  </si>
  <si>
    <t>CONSUP</t>
  </si>
  <si>
    <t>88</t>
  </si>
  <si>
    <t>Remaining Clearing Total</t>
  </si>
  <si>
    <t>RMAT</t>
  </si>
  <si>
    <t>Check Totals</t>
  </si>
  <si>
    <t>Ratio Col-3</t>
  </si>
  <si>
    <t>Ratio Col-5</t>
  </si>
  <si>
    <t>Ratio Col-7</t>
  </si>
  <si>
    <t>Ratio Col-9</t>
  </si>
  <si>
    <t>Total Before PTO</t>
  </si>
  <si>
    <t>Grand Total</t>
  </si>
  <si>
    <t>Common Allocation (Col-6):</t>
  </si>
  <si>
    <t>PTO allocation (Col-8):</t>
  </si>
  <si>
    <t>Based on 4-Factor</t>
  </si>
  <si>
    <t>Based on DL Split</t>
  </si>
  <si>
    <t xml:space="preserve">E = </t>
  </si>
  <si>
    <t>Total to electric:</t>
  </si>
  <si>
    <t xml:space="preserve">F = </t>
  </si>
  <si>
    <r>
      <t xml:space="preserve">Col-4 L25 = Col-3 L25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Col-3 L62 x Col-4 L62</t>
    </r>
  </si>
  <si>
    <r>
      <t xml:space="preserve">Col-4 L59b = Col-3 L59b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Col-3 L62 x Col-4 L62</t>
    </r>
  </si>
  <si>
    <t>Total to gas</t>
  </si>
  <si>
    <t>Non-utility</t>
  </si>
  <si>
    <t>G =</t>
  </si>
  <si>
    <t>H =</t>
  </si>
  <si>
    <r>
      <t xml:space="preserve">Col-8 L25 = Col-7 L25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Col-7 L76 x Col-7 L88</t>
    </r>
  </si>
  <si>
    <r>
      <t xml:space="preserve">Col-8 L62 = Col-7 L62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Col-7 L76 x Col-7 L88</t>
    </r>
  </si>
  <si>
    <t>Total baseline $ except Prod, Transm &amp; Distribution:</t>
  </si>
  <si>
    <t>I =</t>
  </si>
  <si>
    <r>
      <t xml:space="preserve">Col-10 L62 = Col-9 L62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Col-9 L76</t>
    </r>
  </si>
  <si>
    <t>J =</t>
  </si>
  <si>
    <r>
      <t xml:space="preserve">Col-11 L25 = Col-9 L25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Col-9 L62</t>
    </r>
  </si>
  <si>
    <r>
      <t xml:space="preserve">Col-11 L59b = Col-9 L59b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Col-9 L62</t>
    </r>
  </si>
  <si>
    <t>PUGET SOUND ENERGY-ELECTRIC &amp; GAS</t>
  </si>
  <si>
    <t>ALLOCATION METHODS</t>
  </si>
  <si>
    <t>Method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</si>
  <si>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</si>
  <si>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</si>
  <si>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</si>
  <si>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</si>
  <si>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</si>
  <si>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</si>
  <si>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</si>
  <si>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</si>
  <si>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</si>
  <si>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</si>
  <si>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</si>
  <si>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</si>
  <si>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</si>
  <si>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</si>
  <si>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</si>
  <si>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</si>
  <si>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</si>
  <si>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</si>
  <si>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SAP Report KSB1</t>
  </si>
  <si>
    <t>Cost Center 280</t>
  </si>
  <si>
    <t xml:space="preserve"> </t>
  </si>
  <si>
    <t>FOR THE TWELVE MONTHS ENDED DECEMBER 31, 2010</t>
  </si>
  <si>
    <t>2011 GENERAL RATE INCREASE</t>
  </si>
  <si>
    <t>Val.in rep.cur.</t>
  </si>
  <si>
    <t>Posting Date</t>
  </si>
  <si>
    <t>Test Year: 12 Months Ended December 31, 2010</t>
  </si>
  <si>
    <t>CHARGED TO EXPENSE 12 MONTH ENDING DECEMBER 2010</t>
  </si>
  <si>
    <t>12ME 12.31.10</t>
  </si>
  <si>
    <t>Layout                    1SAP         Primary cost posting</t>
  </si>
  <si>
    <t>Cost Center               280          Labor Benefits OH</t>
  </si>
  <si>
    <t>Report currency           USD          US Dollar</t>
  </si>
  <si>
    <t>Cost Element</t>
  </si>
  <si>
    <t>Cost element name</t>
  </si>
  <si>
    <t>Offsetting acct no.</t>
  </si>
  <si>
    <t>Name of offsetting account</t>
  </si>
  <si>
    <t>60270000</t>
  </si>
  <si>
    <t>Flex Benefits Credit</t>
  </si>
  <si>
    <t>23200063</t>
  </si>
  <si>
    <t>Payroll-Wages Payabl</t>
  </si>
  <si>
    <t>23202193</t>
  </si>
  <si>
    <t>Med Ins - Regence</t>
  </si>
  <si>
    <t>60051000</t>
  </si>
  <si>
    <t>IBEW - PTO</t>
  </si>
  <si>
    <t>23202173</t>
  </si>
  <si>
    <t>Payroll-Life Retiree</t>
  </si>
  <si>
    <t>23200953</t>
  </si>
  <si>
    <t>Payroll - Suspense</t>
  </si>
  <si>
    <t>SALARIED EMPLOYEES</t>
  </si>
  <si>
    <t>UNION EMPLOYEES</t>
  </si>
  <si>
    <t>UA</t>
  </si>
  <si>
    <t>Salaried</t>
  </si>
  <si>
    <t>IBEW</t>
  </si>
  <si>
    <t xml:space="preserve">Total Estimated Annual Cost </t>
  </si>
  <si>
    <t>Test Period (Jan-Dec 2010) Average Participation</t>
  </si>
  <si>
    <t>Note</t>
  </si>
  <si>
    <t>Group</t>
  </si>
  <si>
    <t>Update</t>
  </si>
  <si>
    <t>January - December 2010</t>
  </si>
  <si>
    <t>Employee Benefits Allocation</t>
  </si>
  <si>
    <t>Non-Union</t>
  </si>
  <si>
    <t>Test Period (Jan-Dec2010)   Average Participation</t>
  </si>
  <si>
    <t>PRO FORMA INSURANCE COSTS</t>
  </si>
  <si>
    <t>APPLICABLE TO OPERATIONS @</t>
  </si>
  <si>
    <t>Docket Numbers UE-11</t>
  </si>
  <si>
    <t>Note:  For 2011 PSE is using the same Flex Benefits average monthly contribution rate for IBEW and Non-Represented Employees as the  UA negotiated rate of $953.</t>
  </si>
  <si>
    <t xml:space="preserve">Electric </t>
  </si>
  <si>
    <t xml:space="preserve">Gas </t>
  </si>
  <si>
    <t>* Average Rate is calculated by averaging the rates from January through May 2011</t>
  </si>
  <si>
    <t>Monthly Total</t>
  </si>
  <si>
    <t>Jan '10 - Dec ' 10 (Avg Rate X 12 Months X Number of Employees)</t>
  </si>
  <si>
    <t>Avg Rate*</t>
  </si>
  <si>
    <t>a.</t>
  </si>
  <si>
    <t>b.</t>
  </si>
  <si>
    <t>c.</t>
  </si>
  <si>
    <t>d.</t>
  </si>
  <si>
    <t>Union Employees Electric Operations</t>
  </si>
  <si>
    <t>Union Employees Natural Gas Operations</t>
  </si>
  <si>
    <t>As Filed</t>
  </si>
  <si>
    <t>Remove Laid Off Employees Included Above</t>
  </si>
  <si>
    <t xml:space="preserve">Average Participation Without Laid Off Employees </t>
  </si>
  <si>
    <t>From Attachment C to PSE's Response to WUTC Staff Data Request No. 151</t>
  </si>
  <si>
    <t>Non-Represented</t>
  </si>
  <si>
    <t>UA Represented</t>
  </si>
  <si>
    <t>IBEW Represented</t>
  </si>
  <si>
    <t>EE</t>
  </si>
  <si>
    <t>Family</t>
  </si>
  <si>
    <t>Opt Out</t>
  </si>
  <si>
    <t>% Fam</t>
  </si>
  <si>
    <t>Monthly Avg</t>
  </si>
  <si>
    <t>Overall Average</t>
  </si>
  <si>
    <t>Rates</t>
  </si>
  <si>
    <t>2011 Rates</t>
  </si>
  <si>
    <t>2011 Rate</t>
  </si>
  <si>
    <t>Average YTD Jan-May 2011</t>
  </si>
  <si>
    <t>Exhibit No. ______ (JHS-21)</t>
  </si>
  <si>
    <t>PAGE 21.21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</si>
</sst>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mm/dd/yy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0.000000"/>
    <numFmt numFmtId="171" formatCode="&quot;$&quot;#,##0"/>
    <numFmt numFmtId="172" formatCode="0_);\(0\)"/>
    <numFmt numFmtId="173" formatCode="0.0000"/>
    <numFmt numFmtId="174" formatCode="0.00000"/>
    <numFmt numFmtId="175" formatCode="0.000"/>
    <numFmt numFmtId="176" formatCode="0.0"/>
    <numFmt numFmtId="177" formatCode="_(&quot;$&quot;* #,##0.0000_);_(&quot;$&quot;* \(#,##0.0000\);_(&quot;$&quot;* &quot;-&quot;????_);_(@_)"/>
    <numFmt numFmtId="178" formatCode="_(&quot;$&quot;* #,##0.0_);_(&quot;$&quot;* \(#,##0.0\);_(&quot;$&quot;* &quot;-&quot;??_);_(@_)"/>
    <numFmt numFmtId="179" formatCode="mmmm\ d\,\ yyyy"/>
    <numFmt numFmtId="180" formatCode="0.0%\ ;\(0.0%\);&quot;0.00% &quot;"/>
    <numFmt numFmtId="181" formatCode="0.0%\ ;\(0.0%\);&quot;0.0% &quot;"/>
    <numFmt numFmtId="182" formatCode="0.00_)"/>
    <numFmt numFmtId="183" formatCode="________@"/>
    <numFmt numFmtId="184" formatCode="#,##0.00_-;#,##0.00\-;&quot; &quot;"/>
    <numFmt numFmtId="185" formatCode="__@"/>
    <numFmt numFmtId="186" formatCode="#,##0.0_);\(#,##0.0\)"/>
    <numFmt numFmtId="187" formatCode="______@"/>
    <numFmt numFmtId="188" formatCode="&quot;$&quot;#,##0;\-&quot;$&quot;#,##0"/>
    <numFmt numFmtId="189" formatCode="0.00000000"/>
    <numFmt numFmtId="190" formatCode="0.0000000"/>
    <numFmt numFmtId="191" formatCode="_(* #,##0.0_);_(* \(#,##0.0\);_(* &quot;-&quot;??_);_(@_)"/>
    <numFmt numFmtId="192" formatCode="0.000%"/>
    <numFmt numFmtId="193" formatCode="[$-409]dddd\,\ mmmm\ dd\,\ yyyy"/>
    <numFmt numFmtId="194" formatCode="m/d/yy;@"/>
    <numFmt numFmtId="195" formatCode="#,##0.00000000_);\(#,##0.00000000\)"/>
    <numFmt numFmtId="196" formatCode="#,##0.00000_);\(#,##0.00000\)"/>
    <numFmt numFmtId="197" formatCode="#,##0.0000_);\(#,##0.0000\)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_(* #,##0.0_);_(* \(#,##0.0\);_(* &quot;-&quot;_);_(@_)"/>
    <numFmt numFmtId="201" formatCode="_(* #,##0.00_);_(* \(#,##0.00\);_(* &quot;-&quot;_);_(@_)"/>
    <numFmt numFmtId="202" formatCode="mm/yy"/>
    <numFmt numFmtId="203" formatCode="[$-409]mmm\-yy;@"/>
    <numFmt numFmtId="204" formatCode="_(* #,##0.00000_);_(* \(#,##0.00000\);_(* &quot;-&quot;??_);_(@_)"/>
    <numFmt numFmtId="205" formatCode="d\.mmm\.yy"/>
    <numFmt numFmtId="206" formatCode="#."/>
    <numFmt numFmtId="207" formatCode="_(* ###0_);_(* \(###0\);_(* &quot;-&quot;_);_(@_)"/>
    <numFmt numFmtId="208" formatCode="&quot;$&quot;#,##0.00"/>
    <numFmt numFmtId="209" formatCode="_([$€-2]* #,##0.00_);_([$€-2]* \(#,##0.00\);_([$€-2]* &quot;-&quot;??_)"/>
    <numFmt numFmtId="210" formatCode="[$-409]mmmm\ d\,\ yyyy;@"/>
    <numFmt numFmtId="211" formatCode="0000"/>
    <numFmt numFmtId="212" formatCode="000000"/>
    <numFmt numFmtId="213" formatCode="[$-409]mmmm\-yy;@"/>
    <numFmt numFmtId="214" formatCode="_(* #,##0.0_);_(* \(#,##0.0\);_(* &quot;-&quot;?_);_(@_)"/>
    <numFmt numFmtId="215" formatCode="&quot;$&quot;#,##0.0000"/>
    <numFmt numFmtId="216" formatCode="_(&quot;$&quot;* #,##0.00000_);_(&quot;$&quot;* \(#,##0.00000\);_(&quot;$&quot;* &quot;-&quot;?????_);_(@_)"/>
  </numFmts>
  <fonts count="9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9"/>
      <name val="Symbol"/>
      <family val="1"/>
    </font>
    <font>
      <sz val="8"/>
      <name val="Helv"/>
      <family val="0"/>
    </font>
    <font>
      <sz val="10"/>
      <color indexed="8"/>
      <name val="Arial"/>
      <family val="2"/>
    </font>
    <font>
      <sz val="7.9"/>
      <name val="Symbol"/>
      <family val="1"/>
    </font>
    <font>
      <sz val="10"/>
      <color indexed="8"/>
      <name val="MS Sans Serif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0"/>
      <color indexed="2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4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urier"/>
      <family val="3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DDDDDD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457">
    <xf numFmtId="17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204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170" fontId="0" fillId="0" borderId="0">
      <alignment horizontal="left" wrapText="1"/>
      <protection/>
    </xf>
    <xf numFmtId="190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190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11" fillId="0" borderId="0">
      <alignment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90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204" fontId="0" fillId="0" borderId="0">
      <alignment horizontal="left" wrapText="1"/>
      <protection/>
    </xf>
    <xf numFmtId="0" fontId="11" fillId="0" borderId="0">
      <alignment/>
      <protection/>
    </xf>
    <xf numFmtId="211" fontId="46" fillId="0" borderId="0">
      <alignment horizontal="left"/>
      <protection/>
    </xf>
    <xf numFmtId="212" fontId="47" fillId="0" borderId="0">
      <alignment horizontal="left"/>
      <protection/>
    </xf>
    <xf numFmtId="0" fontId="7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7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7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79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7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9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7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9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79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4" borderId="0" applyNumberFormat="0" applyBorder="0" applyAlignment="0" applyProtection="0"/>
    <xf numFmtId="0" fontId="80" fillId="35" borderId="0" applyNumberFormat="0" applyBorder="0" applyAlignment="0" applyProtection="0"/>
    <xf numFmtId="0" fontId="81" fillId="36" borderId="0" applyNumberFormat="0" applyBorder="0" applyAlignment="0" applyProtection="0"/>
    <xf numFmtId="0" fontId="47" fillId="0" borderId="0" applyFont="0" applyFill="0" applyBorder="0" applyAlignment="0" applyProtection="0"/>
    <xf numFmtId="205" fontId="19" fillId="0" borderId="0" applyFill="0" applyBorder="0" applyAlignment="0">
      <protection/>
    </xf>
    <xf numFmtId="0" fontId="82" fillId="37" borderId="1" applyNumberFormat="0" applyAlignment="0" applyProtection="0"/>
    <xf numFmtId="0" fontId="83" fillId="38" borderId="2" applyNumberFormat="0" applyAlignment="0" applyProtection="0"/>
    <xf numFmtId="41" fontId="0" fillId="3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0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206" fontId="24" fillId="0" borderId="0">
      <alignment/>
      <protection locked="0"/>
    </xf>
    <xf numFmtId="0" fontId="23" fillId="0" borderId="0">
      <alignment/>
      <protection/>
    </xf>
    <xf numFmtId="0" fontId="25" fillId="0" borderId="0" applyNumberFormat="0" applyAlignment="0">
      <protection/>
    </xf>
    <xf numFmtId="0" fontId="26" fillId="0" borderId="0" applyNumberFormat="0" applyAlignment="0"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2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0" fillId="0" borderId="0">
      <alignment/>
      <protection/>
    </xf>
    <xf numFmtId="20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85" fillId="40" borderId="0" applyNumberFormat="0" applyBorder="0" applyAlignment="0" applyProtection="0"/>
    <xf numFmtId="38" fontId="5" fillId="39" borderId="0" applyNumberFormat="0" applyBorder="0" applyAlignment="0" applyProtection="0"/>
    <xf numFmtId="38" fontId="5" fillId="39" borderId="0" applyNumberFormat="0" applyBorder="0" applyAlignment="0" applyProtection="0"/>
    <xf numFmtId="38" fontId="5" fillId="39" borderId="0" applyNumberFormat="0" applyBorder="0" applyAlignment="0" applyProtection="0"/>
    <xf numFmtId="38" fontId="5" fillId="39" borderId="0" applyNumberFormat="0" applyBorder="0" applyAlignment="0" applyProtection="0"/>
    <xf numFmtId="178" fontId="48" fillId="0" borderId="0" applyNumberFormat="0" applyFill="0" applyBorder="0" applyProtection="0">
      <alignment horizontal="right"/>
    </xf>
    <xf numFmtId="0" fontId="27" fillId="0" borderId="3" applyNumberFormat="0" applyAlignment="0" applyProtection="0"/>
    <xf numFmtId="0" fontId="27" fillId="0" borderId="4">
      <alignment horizontal="left"/>
      <protection/>
    </xf>
    <xf numFmtId="14" fontId="1" fillId="11" borderId="5">
      <alignment horizontal="center" vertical="center" wrapText="1"/>
      <protection/>
    </xf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38" fontId="8" fillId="0" borderId="0">
      <alignment/>
      <protection/>
    </xf>
    <xf numFmtId="40" fontId="8" fillId="0" borderId="0">
      <alignment/>
      <protection/>
    </xf>
    <xf numFmtId="0" fontId="9" fillId="0" borderId="0" applyNumberFormat="0" applyFill="0" applyBorder="0" applyAlignment="0" applyProtection="0"/>
    <xf numFmtId="0" fontId="89" fillId="41" borderId="1" applyNumberFormat="0" applyAlignment="0" applyProtection="0"/>
    <xf numFmtId="10" fontId="5" fillId="42" borderId="9" applyNumberFormat="0" applyBorder="0" applyAlignment="0" applyProtection="0"/>
    <xf numFmtId="10" fontId="5" fillId="42" borderId="9" applyNumberFormat="0" applyBorder="0" applyAlignment="0" applyProtection="0"/>
    <xf numFmtId="10" fontId="5" fillId="42" borderId="9" applyNumberFormat="0" applyBorder="0" applyAlignment="0" applyProtection="0"/>
    <xf numFmtId="10" fontId="5" fillId="42" borderId="9" applyNumberFormat="0" applyBorder="0" applyAlignment="0" applyProtection="0"/>
    <xf numFmtId="41" fontId="28" fillId="43" borderId="10">
      <alignment horizontal="left"/>
      <protection locked="0"/>
    </xf>
    <xf numFmtId="10" fontId="28" fillId="43" borderId="10">
      <alignment horizontal="right"/>
      <protection locked="0"/>
    </xf>
    <xf numFmtId="41" fontId="28" fillId="43" borderId="10">
      <alignment horizontal="left"/>
      <protection locked="0"/>
    </xf>
    <xf numFmtId="0" fontId="5" fillId="39" borderId="0">
      <alignment/>
      <protection/>
    </xf>
    <xf numFmtId="3" fontId="29" fillId="0" borderId="0" applyFill="0" applyBorder="0" applyAlignment="0" applyProtection="0"/>
    <xf numFmtId="0" fontId="90" fillId="0" borderId="11" applyNumberFormat="0" applyFill="0" applyAlignment="0" applyProtection="0"/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3" applyNumberFormat="0" applyFont="0" applyAlignment="0">
      <protection/>
    </xf>
    <xf numFmtId="44" fontId="1" fillId="0" borderId="13" applyNumberFormat="0" applyFont="0" applyAlignment="0">
      <protection/>
    </xf>
    <xf numFmtId="44" fontId="1" fillId="0" borderId="13" applyNumberFormat="0" applyFont="0" applyAlignment="0">
      <protection/>
    </xf>
    <xf numFmtId="44" fontId="1" fillId="0" borderId="13" applyNumberFormat="0" applyFont="0" applyAlignment="0">
      <protection/>
    </xf>
    <xf numFmtId="0" fontId="91" fillId="44" borderId="0" applyNumberFormat="0" applyBorder="0" applyAlignment="0" applyProtection="0"/>
    <xf numFmtId="37" fontId="30" fillId="0" borderId="0">
      <alignment/>
      <protection/>
    </xf>
    <xf numFmtId="182" fontId="1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6" fillId="0" borderId="0">
      <alignment horizontal="left" wrapText="1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03" fontId="0" fillId="0" borderId="0">
      <alignment horizontal="left" wrapText="1"/>
      <protection/>
    </xf>
    <xf numFmtId="203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6" fillId="0" borderId="0">
      <alignment horizontal="left" wrapText="1"/>
      <protection/>
    </xf>
    <xf numFmtId="0" fontId="79" fillId="0" borderId="0">
      <alignment/>
      <protection/>
    </xf>
    <xf numFmtId="0" fontId="12" fillId="0" borderId="0">
      <alignment/>
      <protection/>
    </xf>
    <xf numFmtId="179" fontId="0" fillId="0" borderId="0">
      <alignment horizontal="left" wrapText="1"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14" applyNumberFormat="0" applyFont="0" applyAlignment="0" applyProtection="0"/>
    <xf numFmtId="0" fontId="13" fillId="46" borderId="15" applyNumberFormat="0" applyFont="0" applyAlignment="0" applyProtection="0"/>
    <xf numFmtId="0" fontId="13" fillId="46" borderId="15" applyNumberFormat="0" applyFont="0" applyAlignment="0" applyProtection="0"/>
    <xf numFmtId="0" fontId="13" fillId="46" borderId="15" applyNumberFormat="0" applyFont="0" applyAlignment="0" applyProtection="0"/>
    <xf numFmtId="0" fontId="13" fillId="45" borderId="14" applyNumberFormat="0" applyFont="0" applyAlignment="0" applyProtection="0"/>
    <xf numFmtId="0" fontId="13" fillId="45" borderId="14" applyNumberFormat="0" applyFont="0" applyAlignment="0" applyProtection="0"/>
    <xf numFmtId="0" fontId="79" fillId="45" borderId="14" applyNumberFormat="0" applyFont="0" applyAlignment="0" applyProtection="0"/>
    <xf numFmtId="0" fontId="13" fillId="45" borderId="14" applyNumberFormat="0" applyFont="0" applyAlignment="0" applyProtection="0"/>
    <xf numFmtId="0" fontId="13" fillId="45" borderId="14" applyNumberFormat="0" applyFont="0" applyAlignment="0" applyProtection="0"/>
    <xf numFmtId="0" fontId="13" fillId="45" borderId="14" applyNumberFormat="0" applyFont="0" applyAlignment="0" applyProtection="0"/>
    <xf numFmtId="0" fontId="79" fillId="45" borderId="14" applyNumberFormat="0" applyFont="0" applyAlignment="0" applyProtection="0"/>
    <xf numFmtId="0" fontId="13" fillId="46" borderId="15" applyNumberFormat="0" applyFont="0" applyAlignment="0" applyProtection="0"/>
    <xf numFmtId="0" fontId="13" fillId="46" borderId="15" applyNumberFormat="0" applyFont="0" applyAlignment="0" applyProtection="0"/>
    <xf numFmtId="0" fontId="92" fillId="37" borderId="16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0" fillId="47" borderId="10">
      <alignment/>
      <protection/>
    </xf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5">
      <alignment horizontal="center"/>
      <protection/>
    </xf>
    <xf numFmtId="3" fontId="31" fillId="0" borderId="0" applyFont="0" applyFill="0" applyBorder="0" applyAlignment="0" applyProtection="0"/>
    <xf numFmtId="0" fontId="31" fillId="48" borderId="0" applyNumberFormat="0" applyFont="0" applyBorder="0" applyAlignment="0" applyProtection="0"/>
    <xf numFmtId="0" fontId="23" fillId="0" borderId="0">
      <alignment/>
      <protection/>
    </xf>
    <xf numFmtId="3" fontId="33" fillId="0" borderId="0" applyFill="0" applyBorder="0" applyAlignment="0" applyProtection="0"/>
    <xf numFmtId="0" fontId="34" fillId="0" borderId="0">
      <alignment/>
      <protection/>
    </xf>
    <xf numFmtId="3" fontId="33" fillId="0" borderId="0" applyFill="0" applyBorder="0" applyAlignment="0" applyProtection="0"/>
    <xf numFmtId="42" fontId="0" fillId="42" borderId="0">
      <alignment/>
      <protection/>
    </xf>
    <xf numFmtId="42" fontId="0" fillId="42" borderId="17">
      <alignment vertical="center"/>
      <protection/>
    </xf>
    <xf numFmtId="0" fontId="1" fillId="42" borderId="18" applyNumberFormat="0">
      <alignment horizontal="center" vertical="center" wrapText="1"/>
      <protection/>
    </xf>
    <xf numFmtId="10" fontId="0" fillId="42" borderId="0">
      <alignment/>
      <protection/>
    </xf>
    <xf numFmtId="177" fontId="0" fillId="42" borderId="0">
      <alignment/>
      <protection/>
    </xf>
    <xf numFmtId="168" fontId="8" fillId="0" borderId="0" applyBorder="0" applyAlignment="0">
      <protection/>
    </xf>
    <xf numFmtId="42" fontId="0" fillId="42" borderId="19">
      <alignment horizontal="left"/>
      <protection/>
    </xf>
    <xf numFmtId="177" fontId="35" fillId="42" borderId="19">
      <alignment horizontal="left"/>
      <protection/>
    </xf>
    <xf numFmtId="168" fontId="8" fillId="0" borderId="0" applyBorder="0" applyAlignment="0">
      <protection/>
    </xf>
    <xf numFmtId="14" fontId="16" fillId="0" borderId="0" applyNumberFormat="0" applyFill="0" applyBorder="0" applyAlignment="0" applyProtection="0"/>
    <xf numFmtId="200" fontId="0" fillId="0" borderId="0" applyFont="0" applyFill="0" applyAlignment="0">
      <protection/>
    </xf>
    <xf numFmtId="4" fontId="17" fillId="43" borderId="20" applyNumberFormat="0" applyProtection="0">
      <alignment vertical="center"/>
    </xf>
    <xf numFmtId="4" fontId="49" fillId="43" borderId="20" applyNumberFormat="0" applyProtection="0">
      <alignment vertical="center"/>
    </xf>
    <xf numFmtId="4" fontId="17" fillId="43" borderId="20" applyNumberFormat="0" applyProtection="0">
      <alignment horizontal="left" vertical="center" indent="1"/>
    </xf>
    <xf numFmtId="4" fontId="17" fillId="43" borderId="20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0" fontId="0" fillId="49" borderId="0" applyNumberFormat="0" applyProtection="0">
      <alignment horizontal="left" vertical="center" indent="1"/>
    </xf>
    <xf numFmtId="4" fontId="17" fillId="5" borderId="20" applyNumberFormat="0" applyProtection="0">
      <alignment horizontal="right" vertical="center"/>
    </xf>
    <xf numFmtId="4" fontId="17" fillId="17" borderId="20" applyNumberFormat="0" applyProtection="0">
      <alignment horizontal="right" vertical="center"/>
    </xf>
    <xf numFmtId="4" fontId="17" fillId="50" borderId="20" applyNumberFormat="0" applyProtection="0">
      <alignment horizontal="right" vertical="center"/>
    </xf>
    <xf numFmtId="4" fontId="17" fillId="23" borderId="20" applyNumberFormat="0" applyProtection="0">
      <alignment horizontal="right" vertical="center"/>
    </xf>
    <xf numFmtId="4" fontId="17" fillId="51" borderId="20" applyNumberFormat="0" applyProtection="0">
      <alignment horizontal="right" vertical="center"/>
    </xf>
    <xf numFmtId="4" fontId="17" fillId="52" borderId="20" applyNumberFormat="0" applyProtection="0">
      <alignment horizontal="right" vertical="center"/>
    </xf>
    <xf numFmtId="4" fontId="17" fillId="53" borderId="20" applyNumberFormat="0" applyProtection="0">
      <alignment horizontal="right" vertical="center"/>
    </xf>
    <xf numFmtId="4" fontId="17" fillId="54" borderId="20" applyNumberFormat="0" applyProtection="0">
      <alignment horizontal="right" vertical="center"/>
    </xf>
    <xf numFmtId="4" fontId="17" fillId="19" borderId="20" applyNumberFormat="0" applyProtection="0">
      <alignment horizontal="right" vertical="center"/>
    </xf>
    <xf numFmtId="4" fontId="50" fillId="55" borderId="20" applyNumberFormat="0" applyProtection="0">
      <alignment horizontal="left" vertical="center" indent="1"/>
    </xf>
    <xf numFmtId="4" fontId="17" fillId="56" borderId="21" applyNumberFormat="0" applyProtection="0">
      <alignment horizontal="left" vertical="center" indent="1"/>
    </xf>
    <xf numFmtId="4" fontId="51" fillId="57" borderId="0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4" fontId="17" fillId="56" borderId="20" applyNumberFormat="0" applyProtection="0">
      <alignment horizontal="left" vertical="center" indent="1"/>
    </xf>
    <xf numFmtId="4" fontId="17" fillId="58" borderId="20" applyNumberFormat="0" applyProtection="0">
      <alignment horizontal="left" vertical="center" indent="1"/>
    </xf>
    <xf numFmtId="0" fontId="0" fillId="58" borderId="20" applyNumberFormat="0" applyProtection="0">
      <alignment horizontal="left" vertical="center" indent="1"/>
    </xf>
    <xf numFmtId="0" fontId="0" fillId="58" borderId="20" applyNumberFormat="0" applyProtection="0">
      <alignment horizontal="left" vertical="center" indent="1"/>
    </xf>
    <xf numFmtId="0" fontId="0" fillId="59" borderId="20" applyNumberFormat="0" applyProtection="0">
      <alignment horizontal="left" vertical="center" indent="1"/>
    </xf>
    <xf numFmtId="0" fontId="0" fillId="5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0" fontId="0" fillId="0" borderId="0">
      <alignment/>
      <protection/>
    </xf>
    <xf numFmtId="4" fontId="17" fillId="46" borderId="20" applyNumberFormat="0" applyProtection="0">
      <alignment vertical="center"/>
    </xf>
    <xf numFmtId="4" fontId="49" fillId="46" borderId="20" applyNumberFormat="0" applyProtection="0">
      <alignment vertical="center"/>
    </xf>
    <xf numFmtId="4" fontId="17" fillId="46" borderId="20" applyNumberFormat="0" applyProtection="0">
      <alignment horizontal="left" vertical="center" indent="1"/>
    </xf>
    <xf numFmtId="4" fontId="17" fillId="46" borderId="20" applyNumberFormat="0" applyProtection="0">
      <alignment horizontal="left" vertical="center" indent="1"/>
    </xf>
    <xf numFmtId="4" fontId="17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0" fontId="0" fillId="3" borderId="20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0" fontId="52" fillId="0" borderId="0">
      <alignment/>
      <protection/>
    </xf>
    <xf numFmtId="4" fontId="45" fillId="56" borderId="20" applyNumberFormat="0" applyProtection="0">
      <alignment horizontal="right" vertical="center"/>
    </xf>
    <xf numFmtId="39" fontId="0" fillId="60" borderId="0">
      <alignment/>
      <protection/>
    </xf>
    <xf numFmtId="38" fontId="5" fillId="0" borderId="22">
      <alignment/>
      <protection/>
    </xf>
    <xf numFmtId="38" fontId="5" fillId="0" borderId="22">
      <alignment/>
      <protection/>
    </xf>
    <xf numFmtId="38" fontId="5" fillId="0" borderId="22">
      <alignment/>
      <protection/>
    </xf>
    <xf numFmtId="38" fontId="5" fillId="0" borderId="22">
      <alignment/>
      <protection/>
    </xf>
    <xf numFmtId="38" fontId="8" fillId="0" borderId="19">
      <alignment/>
      <protection/>
    </xf>
    <xf numFmtId="39" fontId="16" fillId="61" borderId="0">
      <alignment/>
      <protection/>
    </xf>
    <xf numFmtId="170" fontId="0" fillId="0" borderId="0">
      <alignment horizontal="left" wrapText="1"/>
      <protection/>
    </xf>
    <xf numFmtId="204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40" fontId="36" fillId="0" borderId="0" applyBorder="0">
      <alignment horizontal="right"/>
      <protection/>
    </xf>
    <xf numFmtId="41" fontId="37" fillId="42" borderId="0">
      <alignment horizontal="left"/>
      <protection/>
    </xf>
    <xf numFmtId="0" fontId="53" fillId="0" borderId="0">
      <alignment/>
      <protection/>
    </xf>
    <xf numFmtId="0" fontId="44" fillId="0" borderId="0" applyFill="0" applyBorder="0" applyProtection="0">
      <alignment horizontal="left" vertical="top"/>
    </xf>
    <xf numFmtId="0" fontId="93" fillId="0" borderId="0" applyNumberFormat="0" applyFill="0" applyBorder="0" applyAlignment="0" applyProtection="0"/>
    <xf numFmtId="208" fontId="38" fillId="42" borderId="0">
      <alignment horizontal="left" vertical="center"/>
      <protection/>
    </xf>
    <xf numFmtId="0" fontId="1" fillId="42" borderId="0">
      <alignment horizontal="left" wrapText="1"/>
      <protection/>
    </xf>
    <xf numFmtId="0" fontId="39" fillId="0" borderId="0">
      <alignment horizontal="left" vertical="center"/>
      <protection/>
    </xf>
    <xf numFmtId="0" fontId="94" fillId="0" borderId="23" applyNumberFormat="0" applyFill="0" applyAlignment="0" applyProtection="0"/>
    <xf numFmtId="0" fontId="23" fillId="0" borderId="24">
      <alignment/>
      <protection/>
    </xf>
    <xf numFmtId="0" fontId="95" fillId="0" borderId="0" applyNumberFormat="0" applyFill="0" applyBorder="0" applyAlignment="0" applyProtection="0"/>
  </cellStyleXfs>
  <cellXfs count="302">
    <xf numFmtId="0" fontId="0" fillId="0" borderId="0" xfId="0" applyNumberFormat="1" applyAlignment="1">
      <alignment/>
    </xf>
    <xf numFmtId="170" fontId="0" fillId="0" borderId="0" xfId="0" applyFont="1" applyAlignment="1">
      <alignment horizontal="left" wrapText="1"/>
    </xf>
    <xf numFmtId="170" fontId="3" fillId="0" borderId="0" xfId="0" applyFont="1" applyFill="1" applyAlignment="1">
      <alignment/>
    </xf>
    <xf numFmtId="170" fontId="3" fillId="0" borderId="25" xfId="0" applyFont="1" applyFill="1" applyBorder="1" applyAlignment="1" quotePrefix="1">
      <alignment horizontal="right"/>
    </xf>
    <xf numFmtId="170" fontId="3" fillId="0" borderId="0" xfId="0" applyFont="1" applyAlignment="1" applyProtection="1">
      <alignment horizontal="centerContinuous"/>
      <protection locked="0"/>
    </xf>
    <xf numFmtId="170" fontId="3" fillId="0" borderId="0" xfId="0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170" fontId="3" fillId="0" borderId="0" xfId="0" applyFont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170" fontId="3" fillId="0" borderId="0" xfId="0" applyFont="1" applyFill="1" applyAlignment="1" applyProtection="1">
      <alignment horizontal="right"/>
      <protection locked="0"/>
    </xf>
    <xf numFmtId="170" fontId="3" fillId="0" borderId="0" xfId="0" applyFont="1" applyFill="1" applyAlignment="1" applyProtection="1">
      <alignment/>
      <protection locked="0"/>
    </xf>
    <xf numFmtId="170" fontId="3" fillId="0" borderId="0" xfId="0" applyFont="1" applyFill="1" applyAlignment="1">
      <alignment horizontal="center"/>
    </xf>
    <xf numFmtId="170" fontId="3" fillId="0" borderId="18" xfId="0" applyFont="1" applyFill="1" applyBorder="1" applyAlignment="1">
      <alignment horizontal="center"/>
    </xf>
    <xf numFmtId="170" fontId="3" fillId="0" borderId="18" xfId="0" applyFont="1" applyFill="1" applyBorder="1" applyAlignment="1">
      <alignment/>
    </xf>
    <xf numFmtId="170" fontId="2" fillId="0" borderId="0" xfId="0" applyFont="1" applyFill="1" applyAlignment="1">
      <alignment/>
    </xf>
    <xf numFmtId="170" fontId="2" fillId="0" borderId="0" xfId="0" applyFont="1" applyFill="1" applyBorder="1" applyAlignment="1">
      <alignment horizontal="center"/>
    </xf>
    <xf numFmtId="170" fontId="4" fillId="0" borderId="0" xfId="0" applyFont="1" applyFill="1" applyAlignment="1">
      <alignment/>
    </xf>
    <xf numFmtId="170" fontId="4" fillId="0" borderId="0" xfId="0" applyFont="1" applyFill="1" applyBorder="1" applyAlignment="1">
      <alignment horizontal="center"/>
    </xf>
    <xf numFmtId="170" fontId="2" fillId="0" borderId="0" xfId="0" applyFont="1" applyFill="1" applyAlignment="1">
      <alignment horizontal="left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41" fontId="2" fillId="0" borderId="19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2" fontId="2" fillId="0" borderId="17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Continuous" wrapText="1"/>
    </xf>
    <xf numFmtId="0" fontId="0" fillId="0" borderId="0" xfId="0" applyNumberFormat="1" applyAlignment="1">
      <alignment horizontal="centerContinuous" wrapText="1"/>
    </xf>
    <xf numFmtId="10" fontId="0" fillId="0" borderId="5" xfId="359" applyNumberFormat="1" applyFont="1" applyBorder="1" applyAlignment="1">
      <alignment/>
    </xf>
    <xf numFmtId="0" fontId="0" fillId="0" borderId="0" xfId="0" applyNumberFormat="1" applyAlignment="1">
      <alignment horizontal="center"/>
    </xf>
    <xf numFmtId="10" fontId="1" fillId="0" borderId="0" xfId="0" applyNumberFormat="1" applyFont="1" applyFill="1" applyAlignment="1">
      <alignment horizontal="center"/>
    </xf>
    <xf numFmtId="170" fontId="2" fillId="0" borderId="0" xfId="0" applyFont="1" applyFill="1" applyAlignment="1" quotePrefix="1">
      <alignment horizontal="left"/>
    </xf>
    <xf numFmtId="10" fontId="0" fillId="0" borderId="5" xfId="359" applyNumberFormat="1" applyFont="1" applyFill="1" applyBorder="1" applyAlignment="1">
      <alignment/>
    </xf>
    <xf numFmtId="10" fontId="1" fillId="0" borderId="0" xfId="0" applyNumberFormat="1" applyFont="1" applyAlignment="1">
      <alignment horizontal="center"/>
    </xf>
    <xf numFmtId="170" fontId="0" fillId="0" borderId="0" xfId="0" applyFont="1" applyAlignment="1">
      <alignment horizontal="left" wrapText="1"/>
    </xf>
    <xf numFmtId="49" fontId="1" fillId="0" borderId="0" xfId="341" applyNumberFormat="1" applyFont="1">
      <alignment/>
      <protection/>
    </xf>
    <xf numFmtId="0" fontId="0" fillId="0" borderId="0" xfId="341">
      <alignment/>
      <protection/>
    </xf>
    <xf numFmtId="0" fontId="14" fillId="0" borderId="0" xfId="341" applyFont="1" applyAlignment="1">
      <alignment horizontal="right"/>
      <protection/>
    </xf>
    <xf numFmtId="0" fontId="0" fillId="0" borderId="26" xfId="341" applyBorder="1">
      <alignment/>
      <protection/>
    </xf>
    <xf numFmtId="0" fontId="0" fillId="0" borderId="27" xfId="341" applyBorder="1">
      <alignment/>
      <protection/>
    </xf>
    <xf numFmtId="0" fontId="0" fillId="0" borderId="28" xfId="341" applyBorder="1">
      <alignment/>
      <protection/>
    </xf>
    <xf numFmtId="14" fontId="1" fillId="0" borderId="0" xfId="341" applyNumberFormat="1" applyFont="1" applyFill="1">
      <alignment/>
      <protection/>
    </xf>
    <xf numFmtId="0" fontId="0" fillId="0" borderId="29" xfId="341" applyBorder="1">
      <alignment/>
      <protection/>
    </xf>
    <xf numFmtId="0" fontId="0" fillId="0" borderId="0" xfId="341" applyBorder="1">
      <alignment/>
      <protection/>
    </xf>
    <xf numFmtId="0" fontId="15" fillId="0" borderId="0" xfId="341" applyFont="1" applyBorder="1">
      <alignment/>
      <protection/>
    </xf>
    <xf numFmtId="44" fontId="0" fillId="0" borderId="30" xfId="341" applyNumberFormat="1" applyBorder="1" applyAlignment="1">
      <alignment horizontal="center"/>
      <protection/>
    </xf>
    <xf numFmtId="44" fontId="0" fillId="0" borderId="0" xfId="341" applyNumberFormat="1" applyBorder="1" applyAlignment="1">
      <alignment horizontal="center"/>
      <protection/>
    </xf>
    <xf numFmtId="44" fontId="0" fillId="0" borderId="0" xfId="341" applyNumberFormat="1" applyBorder="1">
      <alignment/>
      <protection/>
    </xf>
    <xf numFmtId="168" fontId="0" fillId="0" borderId="0" xfId="196" applyNumberFormat="1" applyFont="1" applyAlignment="1">
      <alignment/>
    </xf>
    <xf numFmtId="44" fontId="0" fillId="0" borderId="0" xfId="341" applyNumberFormat="1">
      <alignment/>
      <protection/>
    </xf>
    <xf numFmtId="49" fontId="0" fillId="0" borderId="0" xfId="341" applyNumberFormat="1">
      <alignment/>
      <protection/>
    </xf>
    <xf numFmtId="0" fontId="1" fillId="0" borderId="0" xfId="341" applyFont="1" applyAlignment="1">
      <alignment horizontal="center"/>
      <protection/>
    </xf>
    <xf numFmtId="10" fontId="0" fillId="13" borderId="5" xfId="341" applyNumberFormat="1" applyFill="1" applyBorder="1">
      <alignment/>
      <protection/>
    </xf>
    <xf numFmtId="0" fontId="1" fillId="0" borderId="0" xfId="341" applyFont="1">
      <alignment/>
      <protection/>
    </xf>
    <xf numFmtId="0" fontId="0" fillId="0" borderId="31" xfId="341" applyBorder="1">
      <alignment/>
      <protection/>
    </xf>
    <xf numFmtId="0" fontId="0" fillId="0" borderId="5" xfId="341" applyBorder="1">
      <alignment/>
      <protection/>
    </xf>
    <xf numFmtId="0" fontId="0" fillId="0" borderId="32" xfId="341" applyBorder="1">
      <alignment/>
      <protection/>
    </xf>
    <xf numFmtId="10" fontId="0" fillId="13" borderId="5" xfId="362" applyNumberFormat="1" applyFont="1" applyFill="1" applyBorder="1" applyAlignment="1">
      <alignment/>
    </xf>
    <xf numFmtId="0" fontId="0" fillId="0" borderId="0" xfId="341" applyAlignment="1">
      <alignment horizontal="center"/>
      <protection/>
    </xf>
    <xf numFmtId="0" fontId="0" fillId="0" borderId="0" xfId="341" applyFill="1" applyAlignment="1">
      <alignment horizontal="center"/>
      <protection/>
    </xf>
    <xf numFmtId="0" fontId="0" fillId="0" borderId="0" xfId="341" applyAlignment="1">
      <alignment horizontal="centerContinuous"/>
      <protection/>
    </xf>
    <xf numFmtId="49" fontId="1" fillId="0" borderId="9" xfId="341" applyNumberFormat="1" applyFont="1" applyBorder="1" applyAlignment="1">
      <alignment vertical="top" wrapText="1"/>
      <protection/>
    </xf>
    <xf numFmtId="0" fontId="1" fillId="0" borderId="9" xfId="341" applyFont="1" applyBorder="1" applyAlignment="1">
      <alignment vertical="top" wrapText="1"/>
      <protection/>
    </xf>
    <xf numFmtId="43" fontId="1" fillId="0" borderId="9" xfId="196" applyFont="1" applyBorder="1" applyAlignment="1">
      <alignment horizontal="center" vertical="top" wrapText="1"/>
    </xf>
    <xf numFmtId="43" fontId="1" fillId="0" borderId="9" xfId="196" applyFont="1" applyFill="1" applyBorder="1" applyAlignment="1">
      <alignment horizontal="center" vertical="top" wrapText="1"/>
    </xf>
    <xf numFmtId="43" fontId="1" fillId="0" borderId="33" xfId="196" applyFont="1" applyBorder="1" applyAlignment="1">
      <alignment horizontal="centerContinuous" vertical="top" wrapText="1"/>
    </xf>
    <xf numFmtId="43" fontId="1" fillId="0" borderId="34" xfId="196" applyFont="1" applyBorder="1" applyAlignment="1">
      <alignment horizontal="centerContinuous" vertical="top" wrapText="1"/>
    </xf>
    <xf numFmtId="0" fontId="0" fillId="0" borderId="0" xfId="341" applyAlignment="1">
      <alignment vertical="top" wrapText="1"/>
      <protection/>
    </xf>
    <xf numFmtId="49" fontId="1" fillId="0" borderId="9" xfId="341" applyNumberFormat="1" applyFont="1" applyBorder="1">
      <alignment/>
      <protection/>
    </xf>
    <xf numFmtId="0" fontId="1" fillId="0" borderId="9" xfId="341" applyFont="1" applyBorder="1" applyAlignment="1">
      <alignment horizontal="center"/>
      <protection/>
    </xf>
    <xf numFmtId="49" fontId="0" fillId="0" borderId="9" xfId="341" applyNumberFormat="1" applyBorder="1">
      <alignment/>
      <protection/>
    </xf>
    <xf numFmtId="43" fontId="0" fillId="0" borderId="9" xfId="196" applyFont="1" applyBorder="1" applyAlignment="1">
      <alignment/>
    </xf>
    <xf numFmtId="43" fontId="0" fillId="0" borderId="9" xfId="196" applyFont="1" applyFill="1" applyBorder="1" applyAlignment="1">
      <alignment/>
    </xf>
    <xf numFmtId="0" fontId="0" fillId="0" borderId="9" xfId="341" applyBorder="1">
      <alignment/>
      <protection/>
    </xf>
    <xf numFmtId="43" fontId="0" fillId="0" borderId="33" xfId="196" applyFont="1" applyBorder="1" applyAlignment="1">
      <alignment/>
    </xf>
    <xf numFmtId="43" fontId="0" fillId="0" borderId="34" xfId="196" applyFont="1" applyBorder="1" applyAlignment="1">
      <alignment/>
    </xf>
    <xf numFmtId="0" fontId="1" fillId="0" borderId="9" xfId="341" applyFont="1" applyBorder="1">
      <alignment/>
      <protection/>
    </xf>
    <xf numFmtId="43" fontId="17" fillId="59" borderId="9" xfId="196" applyFont="1" applyFill="1" applyBorder="1" applyAlignment="1">
      <alignment/>
    </xf>
    <xf numFmtId="43" fontId="17" fillId="0" borderId="9" xfId="196" applyFont="1" applyFill="1" applyBorder="1" applyAlignment="1">
      <alignment/>
    </xf>
    <xf numFmtId="43" fontId="17" fillId="59" borderId="33" xfId="196" applyFont="1" applyFill="1" applyBorder="1" applyAlignment="1">
      <alignment/>
    </xf>
    <xf numFmtId="43" fontId="17" fillId="59" borderId="19" xfId="196" applyFont="1" applyFill="1" applyBorder="1" applyAlignment="1">
      <alignment/>
    </xf>
    <xf numFmtId="43" fontId="17" fillId="59" borderId="35" xfId="196" applyFont="1" applyFill="1" applyBorder="1" applyAlignment="1">
      <alignment/>
    </xf>
    <xf numFmtId="41" fontId="0" fillId="0" borderId="9" xfId="196" applyNumberFormat="1" applyFont="1" applyFill="1" applyBorder="1" applyAlignment="1">
      <alignment/>
    </xf>
    <xf numFmtId="41" fontId="0" fillId="0" borderId="9" xfId="196" applyNumberFormat="1" applyFont="1" applyBorder="1" applyAlignment="1">
      <alignment/>
    </xf>
    <xf numFmtId="41" fontId="0" fillId="0" borderId="9" xfId="341" applyNumberFormat="1" applyFill="1" applyBorder="1">
      <alignment/>
      <protection/>
    </xf>
    <xf numFmtId="41" fontId="0" fillId="0" borderId="9" xfId="341" applyNumberFormat="1" applyBorder="1">
      <alignment/>
      <protection/>
    </xf>
    <xf numFmtId="41" fontId="0" fillId="0" borderId="33" xfId="196" applyNumberFormat="1" applyFont="1" applyBorder="1" applyAlignment="1">
      <alignment/>
    </xf>
    <xf numFmtId="41" fontId="0" fillId="0" borderId="34" xfId="196" applyNumberFormat="1" applyFont="1" applyFill="1" applyBorder="1" applyAlignment="1">
      <alignment/>
    </xf>
    <xf numFmtId="165" fontId="0" fillId="0" borderId="9" xfId="362" applyNumberFormat="1" applyFont="1" applyBorder="1" applyAlignment="1">
      <alignment/>
    </xf>
    <xf numFmtId="41" fontId="0" fillId="0" borderId="34" xfId="196" applyNumberFormat="1" applyFont="1" applyBorder="1" applyAlignment="1">
      <alignment/>
    </xf>
    <xf numFmtId="41" fontId="0" fillId="0" borderId="33" xfId="196" applyNumberFormat="1" applyFont="1" applyFill="1" applyBorder="1" applyAlignment="1">
      <alignment/>
    </xf>
    <xf numFmtId="41" fontId="17" fillId="59" borderId="9" xfId="196" applyNumberFormat="1" applyFont="1" applyFill="1" applyBorder="1" applyAlignment="1">
      <alignment/>
    </xf>
    <xf numFmtId="41" fontId="0" fillId="59" borderId="9" xfId="196" applyNumberFormat="1" applyFont="1" applyFill="1" applyBorder="1" applyAlignment="1">
      <alignment/>
    </xf>
    <xf numFmtId="41" fontId="0" fillId="59" borderId="33" xfId="196" applyNumberFormat="1" applyFont="1" applyFill="1" applyBorder="1" applyAlignment="1">
      <alignment/>
    </xf>
    <xf numFmtId="41" fontId="0" fillId="59" borderId="0" xfId="196" applyNumberFormat="1" applyFont="1" applyFill="1" applyBorder="1" applyAlignment="1">
      <alignment/>
    </xf>
    <xf numFmtId="41" fontId="0" fillId="59" borderId="36" xfId="196" applyNumberFormat="1" applyFont="1" applyFill="1" applyBorder="1" applyAlignment="1">
      <alignment/>
    </xf>
    <xf numFmtId="41" fontId="0" fillId="0" borderId="33" xfId="196" applyNumberFormat="1" applyFont="1" applyFill="1" applyBorder="1" applyAlignment="1">
      <alignment horizontal="right"/>
    </xf>
    <xf numFmtId="165" fontId="0" fillId="0" borderId="37" xfId="362" applyNumberFormat="1" applyFont="1" applyBorder="1" applyAlignment="1">
      <alignment/>
    </xf>
    <xf numFmtId="165" fontId="0" fillId="0" borderId="33" xfId="362" applyNumberFormat="1" applyFont="1" applyBorder="1" applyAlignment="1">
      <alignment/>
    </xf>
    <xf numFmtId="165" fontId="0" fillId="0" borderId="25" xfId="362" applyNumberFormat="1" applyFont="1" applyBorder="1" applyAlignment="1">
      <alignment/>
    </xf>
    <xf numFmtId="41" fontId="0" fillId="59" borderId="37" xfId="196" applyNumberFormat="1" applyFont="1" applyFill="1" applyBorder="1" applyAlignment="1">
      <alignment/>
    </xf>
    <xf numFmtId="41" fontId="0" fillId="59" borderId="38" xfId="196" applyNumberFormat="1" applyFont="1" applyFill="1" applyBorder="1" applyAlignment="1">
      <alignment/>
    </xf>
    <xf numFmtId="41" fontId="0" fillId="59" borderId="19" xfId="196" applyNumberFormat="1" applyFont="1" applyFill="1" applyBorder="1" applyAlignment="1">
      <alignment/>
    </xf>
    <xf numFmtId="41" fontId="0" fillId="59" borderId="35" xfId="196" applyNumberFormat="1" applyFont="1" applyFill="1" applyBorder="1" applyAlignment="1">
      <alignment/>
    </xf>
    <xf numFmtId="165" fontId="0" fillId="0" borderId="39" xfId="362" applyNumberFormat="1" applyFont="1" applyBorder="1" applyAlignment="1">
      <alignment/>
    </xf>
    <xf numFmtId="41" fontId="0" fillId="59" borderId="39" xfId="196" applyNumberFormat="1" applyFont="1" applyFill="1" applyBorder="1" applyAlignment="1">
      <alignment/>
    </xf>
    <xf numFmtId="41" fontId="0" fillId="59" borderId="40" xfId="196" applyNumberFormat="1" applyFont="1" applyFill="1" applyBorder="1" applyAlignment="1">
      <alignment/>
    </xf>
    <xf numFmtId="0" fontId="0" fillId="0" borderId="9" xfId="341" applyFont="1" applyBorder="1">
      <alignment/>
      <protection/>
    </xf>
    <xf numFmtId="41" fontId="0" fillId="59" borderId="4" xfId="196" applyNumberFormat="1" applyFont="1" applyFill="1" applyBorder="1" applyAlignment="1">
      <alignment/>
    </xf>
    <xf numFmtId="41" fontId="0" fillId="59" borderId="34" xfId="196" applyNumberFormat="1" applyFont="1" applyFill="1" applyBorder="1" applyAlignment="1">
      <alignment/>
    </xf>
    <xf numFmtId="41" fontId="0" fillId="0" borderId="4" xfId="196" applyNumberFormat="1" applyFont="1" applyBorder="1" applyAlignment="1">
      <alignment/>
    </xf>
    <xf numFmtId="41" fontId="0" fillId="0" borderId="4" xfId="196" applyNumberFormat="1" applyFont="1" applyFill="1" applyBorder="1" applyAlignment="1">
      <alignment/>
    </xf>
    <xf numFmtId="165" fontId="0" fillId="0" borderId="34" xfId="362" applyNumberFormat="1" applyFont="1" applyBorder="1" applyAlignment="1">
      <alignment/>
    </xf>
    <xf numFmtId="41" fontId="0" fillId="59" borderId="18" xfId="196" applyNumberFormat="1" applyFont="1" applyFill="1" applyBorder="1" applyAlignment="1">
      <alignment/>
    </xf>
    <xf numFmtId="41" fontId="0" fillId="59" borderId="41" xfId="196" applyNumberFormat="1" applyFont="1" applyFill="1" applyBorder="1" applyAlignment="1">
      <alignment/>
    </xf>
    <xf numFmtId="49" fontId="0" fillId="0" borderId="9" xfId="341" applyNumberFormat="1" applyFont="1" applyBorder="1">
      <alignment/>
      <protection/>
    </xf>
    <xf numFmtId="0" fontId="0" fillId="0" borderId="9" xfId="341" applyFill="1" applyBorder="1">
      <alignment/>
      <protection/>
    </xf>
    <xf numFmtId="41" fontId="0" fillId="0" borderId="5" xfId="196" applyNumberFormat="1" applyFont="1" applyBorder="1" applyAlignment="1">
      <alignment/>
    </xf>
    <xf numFmtId="41" fontId="0" fillId="0" borderId="5" xfId="196" applyNumberFormat="1" applyFont="1" applyFill="1" applyBorder="1" applyAlignment="1">
      <alignment/>
    </xf>
    <xf numFmtId="165" fontId="0" fillId="0" borderId="42" xfId="362" applyNumberFormat="1" applyFont="1" applyBorder="1" applyAlignment="1">
      <alignment/>
    </xf>
    <xf numFmtId="43" fontId="0" fillId="0" borderId="0" xfId="341" applyNumberFormat="1">
      <alignment/>
      <protection/>
    </xf>
    <xf numFmtId="43" fontId="0" fillId="0" borderId="0" xfId="196" applyFont="1" applyAlignment="1">
      <alignment/>
    </xf>
    <xf numFmtId="0" fontId="0" fillId="0" borderId="0" xfId="341" applyFill="1">
      <alignment/>
      <protection/>
    </xf>
    <xf numFmtId="0" fontId="0" fillId="0" borderId="0" xfId="341" applyAlignment="1">
      <alignment horizontal="right"/>
      <protection/>
    </xf>
    <xf numFmtId="10" fontId="0" fillId="0" borderId="0" xfId="362" applyNumberFormat="1" applyFont="1" applyAlignment="1">
      <alignment/>
    </xf>
    <xf numFmtId="10" fontId="0" fillId="0" borderId="0" xfId="362" applyNumberFormat="1" applyFont="1" applyAlignment="1">
      <alignment horizontal="centerContinuous"/>
    </xf>
    <xf numFmtId="10" fontId="0" fillId="0" borderId="0" xfId="362" applyNumberFormat="1" applyFont="1" applyAlignment="1">
      <alignment/>
    </xf>
    <xf numFmtId="168" fontId="0" fillId="0" borderId="18" xfId="196" applyNumberFormat="1" applyFont="1" applyBorder="1" applyAlignment="1">
      <alignment/>
    </xf>
    <xf numFmtId="10" fontId="0" fillId="0" borderId="18" xfId="362" applyNumberFormat="1" applyFont="1" applyBorder="1" applyAlignment="1">
      <alignment/>
    </xf>
    <xf numFmtId="0" fontId="0" fillId="0" borderId="18" xfId="341" applyBorder="1">
      <alignment/>
      <protection/>
    </xf>
    <xf numFmtId="41" fontId="0" fillId="0" borderId="19" xfId="341" applyNumberFormat="1" applyBorder="1">
      <alignment/>
      <protection/>
    </xf>
    <xf numFmtId="10" fontId="0" fillId="0" borderId="19" xfId="362" applyNumberFormat="1" applyFont="1" applyBorder="1" applyAlignment="1">
      <alignment/>
    </xf>
    <xf numFmtId="0" fontId="0" fillId="0" borderId="19" xfId="341" applyBorder="1">
      <alignment/>
      <protection/>
    </xf>
    <xf numFmtId="168" fontId="0" fillId="0" borderId="0" xfId="341" applyNumberFormat="1" applyBorder="1">
      <alignment/>
      <protection/>
    </xf>
    <xf numFmtId="10" fontId="0" fillId="0" borderId="0" xfId="362" applyNumberFormat="1" applyFont="1" applyBorder="1" applyAlignment="1">
      <alignment/>
    </xf>
    <xf numFmtId="41" fontId="0" fillId="0" borderId="17" xfId="341" applyNumberFormat="1" applyBorder="1">
      <alignment/>
      <protection/>
    </xf>
    <xf numFmtId="0" fontId="1" fillId="0" borderId="38" xfId="341" applyFont="1" applyBorder="1">
      <alignment/>
      <protection/>
    </xf>
    <xf numFmtId="0" fontId="0" fillId="0" borderId="35" xfId="341" applyBorder="1">
      <alignment/>
      <protection/>
    </xf>
    <xf numFmtId="49" fontId="0" fillId="0" borderId="0" xfId="341" applyNumberFormat="1" applyAlignment="1">
      <alignment horizontal="left" indent="1"/>
      <protection/>
    </xf>
    <xf numFmtId="49" fontId="0" fillId="0" borderId="0" xfId="341" applyNumberFormat="1" applyAlignment="1">
      <alignment horizontal="center"/>
      <protection/>
    </xf>
    <xf numFmtId="0" fontId="0" fillId="0" borderId="43" xfId="341" applyBorder="1">
      <alignment/>
      <protection/>
    </xf>
    <xf numFmtId="37" fontId="0" fillId="0" borderId="0" xfId="341" applyNumberFormat="1" applyBorder="1">
      <alignment/>
      <protection/>
    </xf>
    <xf numFmtId="10" fontId="0" fillId="0" borderId="0" xfId="341" applyNumberFormat="1" applyBorder="1">
      <alignment/>
      <protection/>
    </xf>
    <xf numFmtId="41" fontId="0" fillId="0" borderId="0" xfId="341" applyNumberFormat="1" applyBorder="1" applyAlignment="1">
      <alignment horizontal="right"/>
      <protection/>
    </xf>
    <xf numFmtId="37" fontId="0" fillId="0" borderId="17" xfId="341" applyNumberFormat="1" applyBorder="1">
      <alignment/>
      <protection/>
    </xf>
    <xf numFmtId="10" fontId="0" fillId="0" borderId="17" xfId="341" applyNumberFormat="1" applyBorder="1">
      <alignment/>
      <protection/>
    </xf>
    <xf numFmtId="41" fontId="0" fillId="0" borderId="0" xfId="341" applyNumberFormat="1" applyBorder="1">
      <alignment/>
      <protection/>
    </xf>
    <xf numFmtId="10" fontId="0" fillId="0" borderId="44" xfId="341" applyNumberFormat="1" applyBorder="1">
      <alignment/>
      <protection/>
    </xf>
    <xf numFmtId="43" fontId="0" fillId="0" borderId="36" xfId="341" applyNumberFormat="1" applyBorder="1">
      <alignment/>
      <protection/>
    </xf>
    <xf numFmtId="0" fontId="0" fillId="0" borderId="40" xfId="341" applyBorder="1">
      <alignment/>
      <protection/>
    </xf>
    <xf numFmtId="37" fontId="0" fillId="0" borderId="4" xfId="341" applyNumberFormat="1" applyBorder="1">
      <alignment/>
      <protection/>
    </xf>
    <xf numFmtId="0" fontId="0" fillId="0" borderId="41" xfId="341" applyBorder="1">
      <alignment/>
      <protection/>
    </xf>
    <xf numFmtId="49" fontId="0" fillId="0" borderId="0" xfId="341" applyNumberFormat="1" applyBorder="1" applyAlignment="1">
      <alignment horizontal="left" indent="4"/>
      <protection/>
    </xf>
    <xf numFmtId="168" fontId="40" fillId="0" borderId="0" xfId="207" applyNumberFormat="1" applyFont="1" applyFill="1" applyAlignment="1">
      <alignment/>
    </xf>
    <xf numFmtId="42" fontId="40" fillId="0" borderId="0" xfId="236" applyNumberFormat="1" applyFont="1" applyFill="1" applyAlignment="1">
      <alignment/>
    </xf>
    <xf numFmtId="41" fontId="40" fillId="0" borderId="0" xfId="236" applyNumberFormat="1" applyFont="1" applyFill="1" applyAlignment="1">
      <alignment/>
    </xf>
    <xf numFmtId="42" fontId="40" fillId="0" borderId="4" xfId="236" applyNumberFormat="1" applyFont="1" applyFill="1" applyBorder="1" applyAlignment="1">
      <alignment/>
    </xf>
    <xf numFmtId="169" fontId="40" fillId="0" borderId="0" xfId="236" applyNumberFormat="1" applyFont="1" applyFill="1" applyAlignment="1">
      <alignment/>
    </xf>
    <xf numFmtId="4" fontId="40" fillId="0" borderId="0" xfId="207" applyFont="1" applyFill="1" applyAlignment="1">
      <alignment/>
    </xf>
    <xf numFmtId="169" fontId="40" fillId="0" borderId="4" xfId="236" applyNumberFormat="1" applyFont="1" applyFill="1" applyBorder="1" applyAlignment="1">
      <alignment/>
    </xf>
    <xf numFmtId="10" fontId="1" fillId="0" borderId="0" xfId="0" applyNumberFormat="1" applyFont="1" applyBorder="1" applyAlignment="1">
      <alignment horizontal="center"/>
    </xf>
    <xf numFmtId="170" fontId="1" fillId="0" borderId="0" xfId="0" applyFont="1" applyBorder="1" applyAlignment="1">
      <alignment horizontal="center" wrapText="1"/>
    </xf>
    <xf numFmtId="170" fontId="0" fillId="0" borderId="0" xfId="0" applyFont="1" applyBorder="1" applyAlignment="1">
      <alignment horizontal="left" wrapText="1"/>
    </xf>
    <xf numFmtId="42" fontId="2" fillId="0" borderId="0" xfId="0" applyNumberFormat="1" applyFont="1" applyBorder="1" applyAlignment="1">
      <alignment horizontal="left" wrapText="1"/>
    </xf>
    <xf numFmtId="41" fontId="0" fillId="0" borderId="0" xfId="0" applyNumberFormat="1" applyAlignment="1">
      <alignment/>
    </xf>
    <xf numFmtId="41" fontId="1" fillId="0" borderId="45" xfId="0" applyNumberFormat="1" applyFont="1" applyBorder="1" applyAlignment="1">
      <alignment/>
    </xf>
    <xf numFmtId="0" fontId="44" fillId="0" borderId="0" xfId="0" applyNumberFormat="1" applyFont="1" applyAlignment="1">
      <alignment/>
    </xf>
    <xf numFmtId="170" fontId="3" fillId="0" borderId="18" xfId="0" applyFont="1" applyFill="1" applyBorder="1" applyAlignment="1" applyProtection="1">
      <alignment horizontal="center"/>
      <protection locked="0"/>
    </xf>
    <xf numFmtId="3" fontId="40" fillId="0" borderId="0" xfId="207" applyNumberFormat="1" applyFont="1" applyFill="1" applyAlignment="1">
      <alignment/>
    </xf>
    <xf numFmtId="0" fontId="3" fillId="0" borderId="0" xfId="317" applyNumberFormat="1" applyFont="1" applyFill="1" applyAlignment="1">
      <alignment horizontal="right"/>
      <protection/>
    </xf>
    <xf numFmtId="0" fontId="0" fillId="0" borderId="0" xfId="335" applyNumberFormat="1" applyFont="1" applyFill="1" applyAlignment="1">
      <alignment/>
      <protection/>
    </xf>
    <xf numFmtId="0" fontId="1" fillId="0" borderId="0" xfId="335" applyNumberFormat="1" applyFont="1" applyFill="1" applyAlignment="1">
      <alignment horizontal="centerContinuous" vertical="center"/>
      <protection/>
    </xf>
    <xf numFmtId="0" fontId="40" fillId="0" borderId="0" xfId="335" applyNumberFormat="1" applyFont="1" applyFill="1" applyAlignment="1">
      <alignment/>
      <protection/>
    </xf>
    <xf numFmtId="0" fontId="40" fillId="0" borderId="0" xfId="335" applyNumberFormat="1" applyFont="1" applyFill="1" applyAlignment="1">
      <alignment horizontal="center"/>
      <protection/>
    </xf>
    <xf numFmtId="0" fontId="41" fillId="0" borderId="18" xfId="335" applyNumberFormat="1" applyFont="1" applyFill="1" applyBorder="1" applyAlignment="1">
      <alignment horizontal="center"/>
      <protection/>
    </xf>
    <xf numFmtId="0" fontId="41" fillId="0" borderId="0" xfId="335" applyNumberFormat="1" applyFont="1" applyFill="1" applyAlignment="1">
      <alignment horizontal="center"/>
      <protection/>
    </xf>
    <xf numFmtId="0" fontId="42" fillId="0" borderId="0" xfId="335" applyNumberFormat="1" applyFont="1" applyFill="1" applyAlignment="1">
      <alignment/>
      <protection/>
    </xf>
    <xf numFmtId="14" fontId="40" fillId="0" borderId="0" xfId="335" applyNumberFormat="1" applyFont="1" applyFill="1" applyAlignment="1">
      <alignment horizontal="center"/>
      <protection/>
    </xf>
    <xf numFmtId="0" fontId="40" fillId="0" borderId="0" xfId="335" applyNumberFormat="1" applyFont="1" applyFill="1" applyAlignment="1">
      <alignment horizontal="left"/>
      <protection/>
    </xf>
    <xf numFmtId="3" fontId="40" fillId="0" borderId="0" xfId="335" applyNumberFormat="1" applyFont="1" applyFill="1" applyAlignment="1">
      <alignment/>
      <protection/>
    </xf>
    <xf numFmtId="0" fontId="40" fillId="0" borderId="0" xfId="335" applyNumberFormat="1" applyFont="1" applyFill="1" applyAlignment="1">
      <alignment horizontal="left" wrapText="1"/>
      <protection/>
    </xf>
    <xf numFmtId="0" fontId="40" fillId="0" borderId="0" xfId="335" applyNumberFormat="1" applyFont="1" applyFill="1" applyBorder="1" applyAlignment="1">
      <alignment horizontal="center"/>
      <protection/>
    </xf>
    <xf numFmtId="10" fontId="40" fillId="0" borderId="4" xfId="335" applyNumberFormat="1" applyFont="1" applyFill="1" applyBorder="1" applyAlignment="1">
      <alignment/>
      <protection/>
    </xf>
    <xf numFmtId="169" fontId="40" fillId="0" borderId="0" xfId="335" applyNumberFormat="1" applyFont="1" applyFill="1" applyAlignment="1">
      <alignment/>
      <protection/>
    </xf>
    <xf numFmtId="0" fontId="40" fillId="0" borderId="0" xfId="335" applyNumberFormat="1" applyFont="1" applyFill="1" applyBorder="1" applyAlignment="1">
      <alignment/>
      <protection/>
    </xf>
    <xf numFmtId="10" fontId="40" fillId="0" borderId="17" xfId="335" applyNumberFormat="1" applyFont="1" applyFill="1" applyBorder="1" applyAlignment="1">
      <alignment/>
      <protection/>
    </xf>
    <xf numFmtId="4" fontId="40" fillId="0" borderId="0" xfId="335" applyNumberFormat="1" applyFont="1" applyFill="1" applyAlignment="1">
      <alignment/>
      <protection/>
    </xf>
    <xf numFmtId="0" fontId="0" fillId="0" borderId="0" xfId="335" applyNumberFormat="1" applyFont="1" applyFill="1" applyAlignment="1">
      <alignment horizontal="center"/>
      <protection/>
    </xf>
    <xf numFmtId="10" fontId="0" fillId="0" borderId="0" xfId="335" applyNumberFormat="1" applyFont="1" applyBorder="1" applyAlignment="1">
      <alignment/>
      <protection/>
    </xf>
    <xf numFmtId="0" fontId="16" fillId="0" borderId="36" xfId="335" applyNumberFormat="1" applyBorder="1" applyAlignment="1">
      <alignment horizontal="right"/>
      <protection/>
    </xf>
    <xf numFmtId="0" fontId="0" fillId="0" borderId="0" xfId="318" applyFont="1">
      <alignment/>
      <protection/>
    </xf>
    <xf numFmtId="0" fontId="1" fillId="0" borderId="0" xfId="319" applyNumberFormat="1" applyFont="1" applyAlignment="1">
      <alignment/>
      <protection/>
    </xf>
    <xf numFmtId="0" fontId="0" fillId="0" borderId="0" xfId="319" applyFont="1">
      <alignment/>
      <protection/>
    </xf>
    <xf numFmtId="0" fontId="96" fillId="0" borderId="0" xfId="319" applyFont="1">
      <alignment/>
      <protection/>
    </xf>
    <xf numFmtId="0" fontId="0" fillId="62" borderId="9" xfId="319" applyFont="1" applyFill="1" applyBorder="1">
      <alignment/>
      <protection/>
    </xf>
    <xf numFmtId="0" fontId="0" fillId="0" borderId="0" xfId="319" applyFont="1">
      <alignment/>
      <protection/>
    </xf>
    <xf numFmtId="43" fontId="0" fillId="0" borderId="0" xfId="319" applyNumberFormat="1" applyFont="1" applyAlignment="1">
      <alignment horizontal="right"/>
      <protection/>
    </xf>
    <xf numFmtId="14" fontId="0" fillId="0" borderId="0" xfId="319" applyNumberFormat="1" applyFont="1" applyAlignment="1">
      <alignment horizontal="right"/>
      <protection/>
    </xf>
    <xf numFmtId="43" fontId="1" fillId="0" borderId="0" xfId="319" applyNumberFormat="1" applyFont="1" applyAlignment="1">
      <alignment horizontal="right"/>
      <protection/>
    </xf>
    <xf numFmtId="0" fontId="1" fillId="0" borderId="0" xfId="319" applyFont="1" applyFill="1" applyBorder="1">
      <alignment/>
      <protection/>
    </xf>
    <xf numFmtId="0" fontId="0" fillId="0" borderId="0" xfId="319" applyFont="1" applyFill="1" applyBorder="1">
      <alignment/>
      <protection/>
    </xf>
    <xf numFmtId="43" fontId="1" fillId="0" borderId="17" xfId="319" applyNumberFormat="1" applyFont="1" applyFill="1" applyBorder="1" applyAlignment="1">
      <alignment horizontal="right"/>
      <protection/>
    </xf>
    <xf numFmtId="14" fontId="0" fillId="0" borderId="0" xfId="319" applyNumberFormat="1" applyFont="1" applyFill="1" applyBorder="1" applyAlignment="1">
      <alignment horizontal="right"/>
      <protection/>
    </xf>
    <xf numFmtId="43" fontId="0" fillId="0" borderId="0" xfId="319" applyNumberFormat="1" applyFont="1">
      <alignment/>
      <protection/>
    </xf>
    <xf numFmtId="10" fontId="41" fillId="0" borderId="17" xfId="362" applyNumberFormat="1" applyFont="1" applyFill="1" applyBorder="1" applyAlignment="1">
      <alignment/>
    </xf>
    <xf numFmtId="10" fontId="40" fillId="0" borderId="17" xfId="362" applyNumberFormat="1" applyFont="1" applyFill="1" applyBorder="1" applyAlignment="1">
      <alignment/>
    </xf>
    <xf numFmtId="10" fontId="40" fillId="0" borderId="18" xfId="362" applyNumberFormat="1" applyFont="1" applyFill="1" applyBorder="1" applyAlignment="1">
      <alignment/>
    </xf>
    <xf numFmtId="10" fontId="40" fillId="0" borderId="4" xfId="362" applyNumberFormat="1" applyFont="1" applyFill="1" applyBorder="1" applyAlignment="1">
      <alignment/>
    </xf>
    <xf numFmtId="0" fontId="1" fillId="0" borderId="0" xfId="335" applyNumberFormat="1" applyFont="1" applyFill="1" applyBorder="1" applyAlignment="1">
      <alignment horizontal="centerContinuous"/>
      <protection/>
    </xf>
    <xf numFmtId="171" fontId="1" fillId="0" borderId="45" xfId="318" applyNumberFormat="1" applyFont="1" applyBorder="1">
      <alignment/>
      <protection/>
    </xf>
    <xf numFmtId="0" fontId="1" fillId="0" borderId="45" xfId="318" applyFont="1" applyBorder="1">
      <alignment/>
      <protection/>
    </xf>
    <xf numFmtId="1" fontId="1" fillId="0" borderId="45" xfId="318" applyNumberFormat="1" applyFont="1" applyBorder="1">
      <alignment/>
      <protection/>
    </xf>
    <xf numFmtId="171" fontId="0" fillId="0" borderId="0" xfId="318" applyNumberFormat="1" applyFont="1">
      <alignment/>
      <protection/>
    </xf>
    <xf numFmtId="171" fontId="0" fillId="0" borderId="0" xfId="227" applyNumberFormat="1" applyFont="1" applyAlignment="1">
      <alignment/>
    </xf>
    <xf numFmtId="1" fontId="0" fillId="0" borderId="0" xfId="318" applyNumberFormat="1" applyFont="1">
      <alignment/>
      <protection/>
    </xf>
    <xf numFmtId="171" fontId="0" fillId="0" borderId="0" xfId="318" applyNumberFormat="1" applyFont="1" applyBorder="1">
      <alignment/>
      <protection/>
    </xf>
    <xf numFmtId="0" fontId="0" fillId="0" borderId="0" xfId="318" applyFont="1" applyBorder="1">
      <alignment/>
      <protection/>
    </xf>
    <xf numFmtId="1" fontId="0" fillId="0" borderId="0" xfId="318" applyNumberFormat="1" applyFont="1" applyBorder="1">
      <alignment/>
      <protection/>
    </xf>
    <xf numFmtId="0" fontId="1" fillId="0" borderId="0" xfId="318" applyFont="1" applyAlignment="1">
      <alignment horizontal="center" wrapText="1"/>
      <protection/>
    </xf>
    <xf numFmtId="0" fontId="1" fillId="0" borderId="0" xfId="318" applyFont="1" applyBorder="1" applyAlignment="1">
      <alignment horizontal="center" wrapText="1"/>
      <protection/>
    </xf>
    <xf numFmtId="0" fontId="1" fillId="0" borderId="5" xfId="318" applyFont="1" applyBorder="1" applyAlignment="1">
      <alignment horizontal="center" wrapText="1"/>
      <protection/>
    </xf>
    <xf numFmtId="0" fontId="1" fillId="0" borderId="0" xfId="318" applyFont="1" applyAlignment="1">
      <alignment horizontal="center"/>
      <protection/>
    </xf>
    <xf numFmtId="0" fontId="1" fillId="0" borderId="0" xfId="318" applyFont="1">
      <alignment/>
      <protection/>
    </xf>
    <xf numFmtId="10" fontId="1" fillId="0" borderId="0" xfId="318" applyNumberFormat="1" applyFont="1" applyAlignment="1">
      <alignment horizontal="center"/>
      <protection/>
    </xf>
    <xf numFmtId="42" fontId="2" fillId="0" borderId="0" xfId="0" applyNumberFormat="1" applyFont="1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15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0" fillId="0" borderId="0" xfId="317" applyNumberFormat="1" applyAlignment="1">
      <alignment/>
      <protection/>
    </xf>
    <xf numFmtId="0" fontId="1" fillId="6" borderId="5" xfId="318" applyFont="1" applyFill="1" applyBorder="1" applyAlignment="1">
      <alignment horizontal="center" wrapText="1"/>
      <protection/>
    </xf>
    <xf numFmtId="0" fontId="1" fillId="6" borderId="0" xfId="318" applyFont="1" applyFill="1" applyBorder="1" applyAlignment="1">
      <alignment horizontal="center" wrapText="1"/>
      <protection/>
    </xf>
    <xf numFmtId="0" fontId="0" fillId="6" borderId="0" xfId="318" applyFont="1" applyFill="1">
      <alignment/>
      <protection/>
    </xf>
    <xf numFmtId="171" fontId="0" fillId="6" borderId="0" xfId="318" applyNumberFormat="1" applyFont="1" applyFill="1">
      <alignment/>
      <protection/>
    </xf>
    <xf numFmtId="171" fontId="0" fillId="6" borderId="0" xfId="318" applyNumberFormat="1" applyFont="1" applyFill="1" applyBorder="1">
      <alignment/>
      <protection/>
    </xf>
    <xf numFmtId="171" fontId="1" fillId="6" borderId="45" xfId="318" applyNumberFormat="1" applyFont="1" applyFill="1" applyBorder="1">
      <alignment/>
      <protection/>
    </xf>
    <xf numFmtId="0" fontId="56" fillId="0" borderId="0" xfId="0" applyNumberFormat="1" applyFont="1" applyAlignment="1">
      <alignment/>
    </xf>
    <xf numFmtId="10" fontId="1" fillId="0" borderId="5" xfId="318" applyNumberFormat="1" applyFont="1" applyFill="1" applyBorder="1" applyAlignment="1">
      <alignment horizontal="center" wrapText="1"/>
      <protection/>
    </xf>
    <xf numFmtId="0" fontId="1" fillId="0" borderId="5" xfId="318" applyFont="1" applyFill="1" applyBorder="1" applyAlignment="1">
      <alignment horizontal="center" wrapText="1"/>
      <protection/>
    </xf>
    <xf numFmtId="10" fontId="1" fillId="0" borderId="0" xfId="318" applyNumberFormat="1" applyFont="1" applyFill="1" applyBorder="1" applyAlignment="1">
      <alignment horizontal="center" wrapText="1"/>
      <protection/>
    </xf>
    <xf numFmtId="0" fontId="1" fillId="0" borderId="0" xfId="318" applyFont="1" applyFill="1" applyBorder="1" applyAlignment="1">
      <alignment horizontal="center" wrapText="1"/>
      <protection/>
    </xf>
    <xf numFmtId="0" fontId="6" fillId="0" borderId="0" xfId="289" applyFont="1" applyAlignment="1">
      <alignment wrapText="1"/>
      <protection/>
    </xf>
    <xf numFmtId="0" fontId="0" fillId="0" borderId="0" xfId="289">
      <alignment/>
      <protection/>
    </xf>
    <xf numFmtId="0" fontId="0" fillId="0" borderId="0" xfId="289" applyFill="1">
      <alignment/>
      <protection/>
    </xf>
    <xf numFmtId="43" fontId="0" fillId="0" borderId="0" xfId="318" applyNumberFormat="1" applyFont="1">
      <alignment/>
      <protection/>
    </xf>
    <xf numFmtId="216" fontId="0" fillId="0" borderId="0" xfId="318" applyNumberFormat="1" applyFont="1">
      <alignment/>
      <protection/>
    </xf>
    <xf numFmtId="171" fontId="0" fillId="0" borderId="0" xfId="318" applyNumberFormat="1" applyFont="1" applyAlignment="1">
      <alignment horizontal="center"/>
      <protection/>
    </xf>
    <xf numFmtId="171" fontId="0" fillId="0" borderId="0" xfId="318" applyNumberFormat="1" applyFont="1" applyBorder="1" applyAlignment="1">
      <alignment horizontal="center"/>
      <protection/>
    </xf>
    <xf numFmtId="41" fontId="0" fillId="0" borderId="0" xfId="318" applyNumberFormat="1" applyFont="1">
      <alignment/>
      <protection/>
    </xf>
    <xf numFmtId="41" fontId="0" fillId="0" borderId="18" xfId="318" applyNumberFormat="1" applyFont="1" applyBorder="1">
      <alignment/>
      <protection/>
    </xf>
    <xf numFmtId="0" fontId="0" fillId="0" borderId="0" xfId="318" applyFont="1" applyAlignment="1">
      <alignment horizontal="center"/>
      <protection/>
    </xf>
    <xf numFmtId="42" fontId="1" fillId="0" borderId="17" xfId="318" applyNumberFormat="1" applyFont="1" applyBorder="1">
      <alignment/>
      <protection/>
    </xf>
    <xf numFmtId="168" fontId="0" fillId="0" borderId="0" xfId="318" applyNumberFormat="1" applyFont="1">
      <alignment/>
      <protection/>
    </xf>
    <xf numFmtId="44" fontId="0" fillId="0" borderId="0" xfId="318" applyNumberFormat="1" applyFont="1">
      <alignment/>
      <protection/>
    </xf>
    <xf numFmtId="0" fontId="57" fillId="0" borderId="0" xfId="289" applyFont="1">
      <alignment/>
      <protection/>
    </xf>
    <xf numFmtId="17" fontId="58" fillId="0" borderId="18" xfId="289" applyNumberFormat="1" applyFont="1" applyBorder="1" applyAlignment="1">
      <alignment horizontal="center" wrapText="1"/>
      <protection/>
    </xf>
    <xf numFmtId="0" fontId="59" fillId="0" borderId="0" xfId="289" applyFont="1" applyAlignment="1">
      <alignment wrapText="1"/>
      <protection/>
    </xf>
    <xf numFmtId="0" fontId="58" fillId="0" borderId="0" xfId="289" applyFont="1" applyAlignment="1">
      <alignment horizontal="center" wrapText="1"/>
      <protection/>
    </xf>
    <xf numFmtId="17" fontId="59" fillId="0" borderId="0" xfId="289" applyNumberFormat="1" applyFont="1" applyBorder="1" applyAlignment="1">
      <alignment horizontal="left" wrapText="1"/>
      <protection/>
    </xf>
    <xf numFmtId="17" fontId="58" fillId="0" borderId="0" xfId="289" applyNumberFormat="1" applyFont="1" applyBorder="1" applyAlignment="1">
      <alignment horizontal="center" wrapText="1"/>
      <protection/>
    </xf>
    <xf numFmtId="41" fontId="57" fillId="0" borderId="0" xfId="289" applyNumberFormat="1" applyFont="1">
      <alignment/>
      <protection/>
    </xf>
    <xf numFmtId="41" fontId="57" fillId="0" borderId="0" xfId="289" applyNumberFormat="1" applyFont="1" applyFill="1">
      <alignment/>
      <protection/>
    </xf>
    <xf numFmtId="41" fontId="58" fillId="0" borderId="0" xfId="289" applyNumberFormat="1" applyFont="1" applyAlignment="1">
      <alignment horizontal="center"/>
      <protection/>
    </xf>
    <xf numFmtId="41" fontId="57" fillId="0" borderId="18" xfId="289" applyNumberFormat="1" applyFont="1" applyBorder="1">
      <alignment/>
      <protection/>
    </xf>
    <xf numFmtId="41" fontId="57" fillId="0" borderId="18" xfId="289" applyNumberFormat="1" applyFont="1" applyFill="1" applyBorder="1">
      <alignment/>
      <protection/>
    </xf>
    <xf numFmtId="41" fontId="58" fillId="0" borderId="0" xfId="289" applyNumberFormat="1" applyFont="1">
      <alignment/>
      <protection/>
    </xf>
    <xf numFmtId="41" fontId="58" fillId="0" borderId="17" xfId="289" applyNumberFormat="1" applyFont="1" applyBorder="1" applyAlignment="1">
      <alignment horizontal="center"/>
      <protection/>
    </xf>
    <xf numFmtId="41" fontId="58" fillId="0" borderId="0" xfId="289" applyNumberFormat="1" applyFont="1" applyBorder="1" applyAlignment="1">
      <alignment horizontal="center"/>
      <protection/>
    </xf>
    <xf numFmtId="0" fontId="59" fillId="0" borderId="0" xfId="289" applyFont="1">
      <alignment/>
      <protection/>
    </xf>
    <xf numFmtId="41" fontId="57" fillId="0" borderId="0" xfId="289" applyNumberFormat="1" applyFont="1" applyAlignment="1">
      <alignment horizontal="center"/>
      <protection/>
    </xf>
    <xf numFmtId="41" fontId="60" fillId="0" borderId="0" xfId="289" applyNumberFormat="1" applyFont="1">
      <alignment/>
      <protection/>
    </xf>
    <xf numFmtId="41" fontId="57" fillId="0" borderId="0" xfId="289" applyNumberFormat="1" applyFont="1" applyBorder="1" applyAlignment="1">
      <alignment horizontal="center"/>
      <protection/>
    </xf>
    <xf numFmtId="41" fontId="60" fillId="0" borderId="0" xfId="289" applyNumberFormat="1" applyFont="1" applyBorder="1">
      <alignment/>
      <protection/>
    </xf>
    <xf numFmtId="41" fontId="60" fillId="0" borderId="18" xfId="289" applyNumberFormat="1" applyFont="1" applyBorder="1">
      <alignment/>
      <protection/>
    </xf>
    <xf numFmtId="41" fontId="58" fillId="0" borderId="18" xfId="289" applyNumberFormat="1" applyFont="1" applyBorder="1" applyAlignment="1">
      <alignment horizontal="center"/>
      <protection/>
    </xf>
    <xf numFmtId="0" fontId="1" fillId="0" borderId="0" xfId="289" applyFont="1">
      <alignment/>
      <protection/>
    </xf>
    <xf numFmtId="0" fontId="58" fillId="6" borderId="29" xfId="289" applyFont="1" applyFill="1" applyBorder="1">
      <alignment/>
      <protection/>
    </xf>
    <xf numFmtId="0" fontId="57" fillId="0" borderId="0" xfId="289" applyFont="1" applyFill="1" applyBorder="1">
      <alignment/>
      <protection/>
    </xf>
    <xf numFmtId="208" fontId="57" fillId="0" borderId="30" xfId="289" applyNumberFormat="1" applyFont="1" applyFill="1" applyBorder="1">
      <alignment/>
      <protection/>
    </xf>
    <xf numFmtId="0" fontId="57" fillId="0" borderId="0" xfId="289" applyFont="1" applyFill="1">
      <alignment/>
      <protection/>
    </xf>
    <xf numFmtId="17" fontId="57" fillId="0" borderId="29" xfId="289" applyNumberFormat="1" applyFont="1" applyFill="1" applyBorder="1">
      <alignment/>
      <protection/>
    </xf>
    <xf numFmtId="9" fontId="57" fillId="0" borderId="0" xfId="289" applyNumberFormat="1" applyFont="1" applyFill="1">
      <alignment/>
      <protection/>
    </xf>
    <xf numFmtId="9" fontId="57" fillId="0" borderId="0" xfId="289" applyNumberFormat="1" applyFont="1">
      <alignment/>
      <protection/>
    </xf>
    <xf numFmtId="208" fontId="57" fillId="0" borderId="0" xfId="289" applyNumberFormat="1" applyFont="1">
      <alignment/>
      <protection/>
    </xf>
    <xf numFmtId="0" fontId="57" fillId="0" borderId="0" xfId="289" applyFont="1" applyBorder="1">
      <alignment/>
      <protection/>
    </xf>
    <xf numFmtId="0" fontId="57" fillId="10" borderId="0" xfId="289" applyFont="1" applyFill="1" applyBorder="1">
      <alignment/>
      <protection/>
    </xf>
    <xf numFmtId="0" fontId="57" fillId="0" borderId="0" xfId="289" applyFont="1" applyAlignment="1">
      <alignment horizontal="right"/>
      <protection/>
    </xf>
    <xf numFmtId="0" fontId="58" fillId="0" borderId="0" xfId="289" applyFont="1" applyAlignment="1">
      <alignment horizontal="right"/>
      <protection/>
    </xf>
    <xf numFmtId="208" fontId="58" fillId="0" borderId="0" xfId="289" applyNumberFormat="1" applyFont="1" applyAlignment="1">
      <alignment horizontal="right"/>
      <protection/>
    </xf>
    <xf numFmtId="0" fontId="0" fillId="0" borderId="0" xfId="289" applyAlignment="1">
      <alignment horizontal="right"/>
      <protection/>
    </xf>
    <xf numFmtId="0" fontId="61" fillId="0" borderId="0" xfId="289" applyFont="1">
      <alignment/>
      <protection/>
    </xf>
    <xf numFmtId="0" fontId="1" fillId="0" borderId="0" xfId="318" applyFont="1" applyAlignment="1">
      <alignment horizontal="center"/>
      <protection/>
    </xf>
    <xf numFmtId="10" fontId="0" fillId="0" borderId="19" xfId="362" applyNumberFormat="1" applyFont="1" applyBorder="1" applyAlignment="1">
      <alignment/>
    </xf>
    <xf numFmtId="10" fontId="0" fillId="0" borderId="0" xfId="362" applyNumberFormat="1" applyFont="1" applyBorder="1" applyAlignment="1">
      <alignment/>
    </xf>
    <xf numFmtId="41" fontId="0" fillId="0" borderId="0" xfId="341" applyNumberFormat="1" applyBorder="1" applyAlignment="1">
      <alignment/>
      <protection/>
    </xf>
    <xf numFmtId="0" fontId="16" fillId="0" borderId="36" xfId="335" applyNumberFormat="1" applyBorder="1" applyAlignment="1">
      <alignment/>
      <protection/>
    </xf>
    <xf numFmtId="41" fontId="0" fillId="0" borderId="17" xfId="341" applyNumberFormat="1" applyBorder="1" applyAlignment="1">
      <alignment/>
      <protection/>
    </xf>
    <xf numFmtId="0" fontId="16" fillId="0" borderId="46" xfId="335" applyNumberFormat="1" applyBorder="1" applyAlignment="1">
      <alignment/>
      <protection/>
    </xf>
    <xf numFmtId="41" fontId="0" fillId="0" borderId="44" xfId="341" applyNumberFormat="1" applyBorder="1" applyAlignment="1">
      <alignment/>
      <protection/>
    </xf>
    <xf numFmtId="0" fontId="16" fillId="0" borderId="47" xfId="335" applyNumberFormat="1" applyBorder="1" applyAlignment="1">
      <alignment/>
      <protection/>
    </xf>
  </cellXfs>
  <cellStyles count="443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WP (C) Power Cost 2006GRC Order" xfId="68"/>
    <cellStyle name="_DEM-WP (C) Power Cost 2006GRC Order_04 07E Wild Horse Wind Expansion (C) (2)" xfId="69"/>
    <cellStyle name="_DEM-WP (C) Power Cost 2006GRC Order_4 31 Regulatory Assets and Liabilities  7 06- Exhibit D" xfId="70"/>
    <cellStyle name="_DEM-WP (C) Power Cost 2006GRC Order_4 32 Regulatory Assets and Liabilities  7 06- Exhibit D" xfId="71"/>
    <cellStyle name="_DEM-WP (C) Power Cost 2006GRC Order_Book9" xfId="72"/>
    <cellStyle name="_DEM-WP Revised (HC) Wild Horse 2006GRC" xfId="73"/>
    <cellStyle name="_DEM-WP(C) Colstrip FOR" xfId="74"/>
    <cellStyle name="_DEM-WP(C) Costs not in AURORA 2006GRC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Recon to Darrin's 5.11.05 proforma" xfId="102"/>
    <cellStyle name="_Recon to Darrin's 5.11.05 proforma_4 31 Regulatory Assets and Liabilities  7 06- Exhibit D" xfId="103"/>
    <cellStyle name="_Recon to Darrin's 5.11.05 proforma_4 32 Regulatory Assets and Liabilities  7 06- Exhibit D" xfId="104"/>
    <cellStyle name="_Recon to Darrin's 5.11.05 proforma_Book9" xfId="105"/>
    <cellStyle name="_Sumas Proforma - 11-09-07" xfId="106"/>
    <cellStyle name="_Sumas Property Taxes v1" xfId="107"/>
    <cellStyle name="_Tenaska Comparison" xfId="108"/>
    <cellStyle name="_Tenaska Comparison_4 31 Regulatory Assets and Liabilities  7 06- Exhibit D" xfId="109"/>
    <cellStyle name="_Tenaska Comparison_4 32 Regulatory Assets and Liabilities  7 06- Exhibit D" xfId="110"/>
    <cellStyle name="_Tenaska Comparison_Book9" xfId="111"/>
    <cellStyle name="_Value Copy 11 30 05 gas 12 09 05 AURORA at 12 14 05" xfId="112"/>
    <cellStyle name="_Value Copy 11 30 05 gas 12 09 05 AURORA at 12 14 05_04 07E Wild Horse Wind Expansion (C) (2)" xfId="113"/>
    <cellStyle name="_Value Copy 11 30 05 gas 12 09 05 AURORA at 12 14 05_4 31 Regulatory Assets and Liabilities  7 06- Exhibit D" xfId="114"/>
    <cellStyle name="_Value Copy 11 30 05 gas 12 09 05 AURORA at 12 14 05_4 32 Regulatory Assets and Liabilities  7 06- Exhibit D" xfId="115"/>
    <cellStyle name="_Value Copy 11 30 05 gas 12 09 05 AURORA at 12 14 05_Book9" xfId="116"/>
    <cellStyle name="_VC 6.15.06 update on 06GRC power costs.xls Chart 1" xfId="117"/>
    <cellStyle name="_VC 6.15.06 update on 06GRC power costs.xls Chart 1_04 07E Wild Horse Wind Expansion (C) (2)" xfId="118"/>
    <cellStyle name="_VC 6.15.06 update on 06GRC power costs.xls Chart 1_4 31 Regulatory Assets and Liabilities  7 06- Exhibit D" xfId="119"/>
    <cellStyle name="_VC 6.15.06 update on 06GRC power costs.xls Chart 1_4 32 Regulatory Assets and Liabilities  7 06- Exhibit D" xfId="120"/>
    <cellStyle name="_VC 6.15.06 update on 06GRC power costs.xls Chart 1_Book9" xfId="121"/>
    <cellStyle name="_VC 6.15.06 update on 06GRC power costs.xls Chart 2" xfId="122"/>
    <cellStyle name="_VC 6.15.06 update on 06GRC power costs.xls Chart 2_04 07E Wild Horse Wind Expansion (C) (2)" xfId="123"/>
    <cellStyle name="_VC 6.15.06 update on 06GRC power costs.xls Chart 2_4 31 Regulatory Assets and Liabilities  7 06- Exhibit D" xfId="124"/>
    <cellStyle name="_VC 6.15.06 update on 06GRC power costs.xls Chart 2_4 32 Regulatory Assets and Liabilities  7 06- Exhibit D" xfId="125"/>
    <cellStyle name="_VC 6.15.06 update on 06GRC power costs.xls Chart 2_Book9" xfId="126"/>
    <cellStyle name="_VC 6.15.06 update on 06GRC power costs.xls Chart 3" xfId="127"/>
    <cellStyle name="_VC 6.15.06 update on 06GRC power costs.xls Chart 3_04 07E Wild Horse Wind Expansion (C) (2)" xfId="128"/>
    <cellStyle name="_VC 6.15.06 update on 06GRC power costs.xls Chart 3_4 31 Regulatory Assets and Liabilities  7 06- Exhibit D" xfId="129"/>
    <cellStyle name="_VC 6.15.06 update on 06GRC power costs.xls Chart 3_4 32 Regulatory Assets and Liabilities  7 06- Exhibit D" xfId="130"/>
    <cellStyle name="_VC 6.15.06 update on 06GRC power costs.xls Chart 3_Book9" xfId="131"/>
    <cellStyle name="0,0&#13;&#10;NA&#13;&#10;" xfId="132"/>
    <cellStyle name="0000" xfId="133"/>
    <cellStyle name="000000" xfId="134"/>
    <cellStyle name="20% - Accent1" xfId="135"/>
    <cellStyle name="20% - Accent1 2" xfId="136"/>
    <cellStyle name="20% - Accent1 3" xfId="137"/>
    <cellStyle name="20% - Accent2" xfId="138"/>
    <cellStyle name="20% - Accent2 2" xfId="139"/>
    <cellStyle name="20% - Accent2 3" xfId="140"/>
    <cellStyle name="20% - Accent3" xfId="141"/>
    <cellStyle name="20% - Accent3 2" xfId="142"/>
    <cellStyle name="20% - Accent3 3" xfId="143"/>
    <cellStyle name="20% - Accent4" xfId="144"/>
    <cellStyle name="20% - Accent4 2" xfId="145"/>
    <cellStyle name="20% - Accent4 3" xfId="146"/>
    <cellStyle name="20% - Accent5" xfId="147"/>
    <cellStyle name="20% - Accent5 2" xfId="148"/>
    <cellStyle name="20% - Accent5 3" xfId="149"/>
    <cellStyle name="20% - Accent6" xfId="150"/>
    <cellStyle name="20% - Accent6 2" xfId="151"/>
    <cellStyle name="20% - Accent6 3" xfId="152"/>
    <cellStyle name="40% - Accent1" xfId="153"/>
    <cellStyle name="40% - Accent1 2" xfId="154"/>
    <cellStyle name="40% - Accent1 3" xfId="155"/>
    <cellStyle name="40% - Accent2" xfId="156"/>
    <cellStyle name="40% - Accent2 2" xfId="157"/>
    <cellStyle name="40% - Accent2 3" xfId="158"/>
    <cellStyle name="40% - Accent3" xfId="159"/>
    <cellStyle name="40% - Accent3 2" xfId="160"/>
    <cellStyle name="40% - Accent3 3" xfId="161"/>
    <cellStyle name="40% - Accent4" xfId="162"/>
    <cellStyle name="40% - Accent4 2" xfId="163"/>
    <cellStyle name="40% - Accent4 3" xfId="164"/>
    <cellStyle name="40% - Accent5" xfId="165"/>
    <cellStyle name="40% - Accent5 2" xfId="166"/>
    <cellStyle name="40% - Accent5 3" xfId="167"/>
    <cellStyle name="40% - Accent6" xfId="168"/>
    <cellStyle name="40% - Accent6 2" xfId="169"/>
    <cellStyle name="40% - Accent6 3" xfId="170"/>
    <cellStyle name="60% - Accent1" xfId="171"/>
    <cellStyle name="60% - Accent2" xfId="172"/>
    <cellStyle name="60% - Accent3" xfId="173"/>
    <cellStyle name="60% - Accent4" xfId="174"/>
    <cellStyle name="60% - Accent5" xfId="175"/>
    <cellStyle name="60% - Accent6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lank" xfId="184"/>
    <cellStyle name="Calc Currency (0)" xfId="185"/>
    <cellStyle name="Calculation" xfId="186"/>
    <cellStyle name="Check Cell" xfId="187"/>
    <cellStyle name="CheckCell" xfId="188"/>
    <cellStyle name="Comma" xfId="189"/>
    <cellStyle name="Comma [0]" xfId="190"/>
    <cellStyle name="Comma 10" xfId="191"/>
    <cellStyle name="Comma 11" xfId="192"/>
    <cellStyle name="Comma 12" xfId="193"/>
    <cellStyle name="Comma 13" xfId="194"/>
    <cellStyle name="Comma 14" xfId="195"/>
    <cellStyle name="Comma 2" xfId="196"/>
    <cellStyle name="Comma 2 2" xfId="197"/>
    <cellStyle name="Comma 3" xfId="198"/>
    <cellStyle name="Comma 3 2" xfId="199"/>
    <cellStyle name="Comma 4" xfId="200"/>
    <cellStyle name="Comma 4 2" xfId="201"/>
    <cellStyle name="Comma 5" xfId="202"/>
    <cellStyle name="Comma 6" xfId="203"/>
    <cellStyle name="Comma 7" xfId="204"/>
    <cellStyle name="Comma 8" xfId="205"/>
    <cellStyle name="Comma 9" xfId="206"/>
    <cellStyle name="Comma_Common Allocators GRC TY 0903" xfId="207"/>
    <cellStyle name="Comma0" xfId="208"/>
    <cellStyle name="Comma0 - Style2" xfId="209"/>
    <cellStyle name="Comma0 - Style4" xfId="210"/>
    <cellStyle name="Comma0 - Style5" xfId="211"/>
    <cellStyle name="Comma0 2" xfId="212"/>
    <cellStyle name="Comma0 3" xfId="213"/>
    <cellStyle name="Comma0 4" xfId="214"/>
    <cellStyle name="Comma0_00COS Ind Allocators" xfId="215"/>
    <cellStyle name="Comma1 - Style1" xfId="216"/>
    <cellStyle name="Copied" xfId="217"/>
    <cellStyle name="COST1" xfId="218"/>
    <cellStyle name="Curren - Style1" xfId="219"/>
    <cellStyle name="Curren - Style2" xfId="220"/>
    <cellStyle name="Curren - Style5" xfId="221"/>
    <cellStyle name="Curren - Style6" xfId="222"/>
    <cellStyle name="Currency" xfId="223"/>
    <cellStyle name="Currency [0]" xfId="224"/>
    <cellStyle name="Currency 10" xfId="225"/>
    <cellStyle name="Currency 11" xfId="226"/>
    <cellStyle name="Currency 12" xfId="227"/>
    <cellStyle name="Currency 2" xfId="228"/>
    <cellStyle name="Currency 3" xfId="229"/>
    <cellStyle name="Currency 4" xfId="230"/>
    <cellStyle name="Currency 5" xfId="231"/>
    <cellStyle name="Currency 6" xfId="232"/>
    <cellStyle name="Currency 7" xfId="233"/>
    <cellStyle name="Currency 8" xfId="234"/>
    <cellStyle name="Currency 9" xfId="235"/>
    <cellStyle name="Currency_Common Allocators GRC TY 0903" xfId="236"/>
    <cellStyle name="Currency0" xfId="237"/>
    <cellStyle name="Date" xfId="238"/>
    <cellStyle name="Date 2" xfId="239"/>
    <cellStyle name="Date 3" xfId="240"/>
    <cellStyle name="Date 4" xfId="241"/>
    <cellStyle name="Entered" xfId="242"/>
    <cellStyle name="Euro" xfId="243"/>
    <cellStyle name="Explanatory Text" xfId="244"/>
    <cellStyle name="Fixed" xfId="245"/>
    <cellStyle name="Fixed3 - Style3" xfId="246"/>
    <cellStyle name="Followed Hyperlink" xfId="247"/>
    <cellStyle name="Good" xfId="248"/>
    <cellStyle name="Grey" xfId="249"/>
    <cellStyle name="Grey 2" xfId="250"/>
    <cellStyle name="Grey 3" xfId="251"/>
    <cellStyle name="Grey 4" xfId="252"/>
    <cellStyle name="Header" xfId="253"/>
    <cellStyle name="Header1" xfId="254"/>
    <cellStyle name="Header2" xfId="255"/>
    <cellStyle name="Heading" xfId="256"/>
    <cellStyle name="Heading 1" xfId="257"/>
    <cellStyle name="Heading 2" xfId="258"/>
    <cellStyle name="Heading 3" xfId="259"/>
    <cellStyle name="Heading 4" xfId="260"/>
    <cellStyle name="Heading1" xfId="261"/>
    <cellStyle name="Heading2" xfId="262"/>
    <cellStyle name="Hyperlink" xfId="263"/>
    <cellStyle name="Input" xfId="264"/>
    <cellStyle name="Input [yellow]" xfId="265"/>
    <cellStyle name="Input [yellow] 2" xfId="266"/>
    <cellStyle name="Input [yellow] 3" xfId="267"/>
    <cellStyle name="Input [yellow] 4" xfId="268"/>
    <cellStyle name="Input Cells" xfId="269"/>
    <cellStyle name="Input Cells Percent" xfId="270"/>
    <cellStyle name="Input Cells_Book9" xfId="271"/>
    <cellStyle name="Lines" xfId="272"/>
    <cellStyle name="LINKED" xfId="273"/>
    <cellStyle name="Linked Cell" xfId="274"/>
    <cellStyle name="modified border" xfId="275"/>
    <cellStyle name="modified border 2" xfId="276"/>
    <cellStyle name="modified border 3" xfId="277"/>
    <cellStyle name="modified border 4" xfId="278"/>
    <cellStyle name="modified border1" xfId="279"/>
    <cellStyle name="modified border1 2" xfId="280"/>
    <cellStyle name="modified border1 3" xfId="281"/>
    <cellStyle name="modified border1 4" xfId="282"/>
    <cellStyle name="Neutral" xfId="283"/>
    <cellStyle name="no dec" xfId="284"/>
    <cellStyle name="Normal - Style1" xfId="285"/>
    <cellStyle name="Normal - Style1 2" xfId="286"/>
    <cellStyle name="Normal - Style1 3" xfId="287"/>
    <cellStyle name="Normal - Style1 4" xfId="288"/>
    <cellStyle name="Normal 10" xfId="289"/>
    <cellStyle name="Normal 10 2" xfId="290"/>
    <cellStyle name="Normal 11" xfId="291"/>
    <cellStyle name="Normal 12" xfId="292"/>
    <cellStyle name="Normal 13" xfId="293"/>
    <cellStyle name="Normal 14" xfId="294"/>
    <cellStyle name="Normal 15" xfId="295"/>
    <cellStyle name="Normal 16" xfId="296"/>
    <cellStyle name="Normal 17" xfId="297"/>
    <cellStyle name="Normal 18" xfId="298"/>
    <cellStyle name="Normal 19" xfId="299"/>
    <cellStyle name="Normal 2" xfId="300"/>
    <cellStyle name="Normal 2 2" xfId="301"/>
    <cellStyle name="Normal 2 2 2" xfId="302"/>
    <cellStyle name="Normal 2 2 3" xfId="303"/>
    <cellStyle name="Normal 2 3" xfId="304"/>
    <cellStyle name="Normal 2 4" xfId="305"/>
    <cellStyle name="Normal 2 5" xfId="306"/>
    <cellStyle name="Normal 2 6" xfId="307"/>
    <cellStyle name="Normal 2 7" xfId="308"/>
    <cellStyle name="Normal 2_3.05 Allocation Method 2010 GTR WF" xfId="309"/>
    <cellStyle name="Normal 20" xfId="310"/>
    <cellStyle name="Normal 21" xfId="311"/>
    <cellStyle name="Normal 22" xfId="312"/>
    <cellStyle name="Normal 23" xfId="313"/>
    <cellStyle name="Normal 24" xfId="314"/>
    <cellStyle name="Normal 25" xfId="315"/>
    <cellStyle name="Normal 26" xfId="316"/>
    <cellStyle name="Normal 27" xfId="317"/>
    <cellStyle name="Normal 28" xfId="318"/>
    <cellStyle name="Normal 29" xfId="319"/>
    <cellStyle name="Normal 3" xfId="320"/>
    <cellStyle name="Normal 3 2" xfId="321"/>
    <cellStyle name="Normal 3 3" xfId="322"/>
    <cellStyle name="Normal 3 4" xfId="323"/>
    <cellStyle name="Normal 3 5" xfId="324"/>
    <cellStyle name="Normal 3_Net Classified Plant" xfId="325"/>
    <cellStyle name="Normal 30" xfId="326"/>
    <cellStyle name="Normal 4" xfId="327"/>
    <cellStyle name="Normal 4 2" xfId="328"/>
    <cellStyle name="Normal 4_3.05 Allocation Method 2010 GTR WF" xfId="329"/>
    <cellStyle name="Normal 43" xfId="330"/>
    <cellStyle name="Normal 44" xfId="331"/>
    <cellStyle name="Normal 45" xfId="332"/>
    <cellStyle name="Normal 47" xfId="333"/>
    <cellStyle name="Normal 48" xfId="334"/>
    <cellStyle name="Normal 49" xfId="335"/>
    <cellStyle name="Normal 5" xfId="336"/>
    <cellStyle name="Normal 6" xfId="337"/>
    <cellStyle name="Normal 7" xfId="338"/>
    <cellStyle name="Normal 8" xfId="339"/>
    <cellStyle name="Normal 9" xfId="340"/>
    <cellStyle name="Normal_2.21E Wage Increase" xfId="341"/>
    <cellStyle name="Note" xfId="342"/>
    <cellStyle name="Note 10" xfId="343"/>
    <cellStyle name="Note 11" xfId="344"/>
    <cellStyle name="Note 12" xfId="345"/>
    <cellStyle name="Note 2" xfId="346"/>
    <cellStyle name="Note 3" xfId="347"/>
    <cellStyle name="Note 39" xfId="348"/>
    <cellStyle name="Note 4" xfId="349"/>
    <cellStyle name="Note 5" xfId="350"/>
    <cellStyle name="Note 6" xfId="351"/>
    <cellStyle name="Note 7" xfId="352"/>
    <cellStyle name="Note 8" xfId="353"/>
    <cellStyle name="Note 9" xfId="354"/>
    <cellStyle name="Output" xfId="355"/>
    <cellStyle name="Percen - Style1" xfId="356"/>
    <cellStyle name="Percen - Style2" xfId="357"/>
    <cellStyle name="Percen - Style3" xfId="358"/>
    <cellStyle name="Percent" xfId="359"/>
    <cellStyle name="Percent (0)" xfId="360"/>
    <cellStyle name="Percent [2]" xfId="361"/>
    <cellStyle name="Percent 2" xfId="362"/>
    <cellStyle name="Percent 3" xfId="363"/>
    <cellStyle name="Percent 3 2" xfId="364"/>
    <cellStyle name="Percent 4" xfId="365"/>
    <cellStyle name="Percent 4 2" xfId="366"/>
    <cellStyle name="Percent 5" xfId="367"/>
    <cellStyle name="Percent 6" xfId="368"/>
    <cellStyle name="Percent 7" xfId="369"/>
    <cellStyle name="Percent 8" xfId="370"/>
    <cellStyle name="Processing" xfId="371"/>
    <cellStyle name="PSChar" xfId="372"/>
    <cellStyle name="PSDate" xfId="373"/>
    <cellStyle name="PSDec" xfId="374"/>
    <cellStyle name="PSHeading" xfId="375"/>
    <cellStyle name="PSInt" xfId="376"/>
    <cellStyle name="PSSpacer" xfId="377"/>
    <cellStyle name="purple - Style8" xfId="378"/>
    <cellStyle name="RED" xfId="379"/>
    <cellStyle name="Red - Style7" xfId="380"/>
    <cellStyle name="RED_04 07E Wild Horse Wind Expansion (C) (2)" xfId="381"/>
    <cellStyle name="Report" xfId="382"/>
    <cellStyle name="Report Bar" xfId="383"/>
    <cellStyle name="Report Heading" xfId="384"/>
    <cellStyle name="Report Percent" xfId="385"/>
    <cellStyle name="Report Unit Cost" xfId="386"/>
    <cellStyle name="Reports" xfId="387"/>
    <cellStyle name="Reports Total" xfId="388"/>
    <cellStyle name="Reports Unit Cost Total" xfId="389"/>
    <cellStyle name="Reports_Book9" xfId="390"/>
    <cellStyle name="RevList" xfId="391"/>
    <cellStyle name="round100" xfId="392"/>
    <cellStyle name="SAPBEXaggData" xfId="393"/>
    <cellStyle name="SAPBEXaggDataEmph" xfId="394"/>
    <cellStyle name="SAPBEXaggItem" xfId="395"/>
    <cellStyle name="SAPBEXaggItemX" xfId="396"/>
    <cellStyle name="SAPBEXchaText" xfId="397"/>
    <cellStyle name="SAPBEXchaText 2" xfId="398"/>
    <cellStyle name="SAPBEXexcBad7" xfId="399"/>
    <cellStyle name="SAPBEXexcBad8" xfId="400"/>
    <cellStyle name="SAPBEXexcBad9" xfId="401"/>
    <cellStyle name="SAPBEXexcCritical4" xfId="402"/>
    <cellStyle name="SAPBEXexcCritical5" xfId="403"/>
    <cellStyle name="SAPBEXexcCritical6" xfId="404"/>
    <cellStyle name="SAPBEXexcGood1" xfId="405"/>
    <cellStyle name="SAPBEXexcGood2" xfId="406"/>
    <cellStyle name="SAPBEXexcGood3" xfId="407"/>
    <cellStyle name="SAPBEXfilterDrill" xfId="408"/>
    <cellStyle name="SAPBEXfilterItem" xfId="409"/>
    <cellStyle name="SAPBEXfilterText" xfId="410"/>
    <cellStyle name="SAPBEXformats" xfId="411"/>
    <cellStyle name="SAPBEXheaderItem" xfId="412"/>
    <cellStyle name="SAPBEXheaderText" xfId="413"/>
    <cellStyle name="SAPBEXHLevel0" xfId="414"/>
    <cellStyle name="SAPBEXHLevel0X" xfId="415"/>
    <cellStyle name="SAPBEXHLevel1" xfId="416"/>
    <cellStyle name="SAPBEXHLevel1X" xfId="417"/>
    <cellStyle name="SAPBEXHLevel2" xfId="418"/>
    <cellStyle name="SAPBEXHLevel2X" xfId="419"/>
    <cellStyle name="SAPBEXHLevel3" xfId="420"/>
    <cellStyle name="SAPBEXHLevel3X" xfId="421"/>
    <cellStyle name="SAPBEXinputData" xfId="422"/>
    <cellStyle name="SAPBEXresData" xfId="423"/>
    <cellStyle name="SAPBEXresDataEmph" xfId="424"/>
    <cellStyle name="SAPBEXresItem" xfId="425"/>
    <cellStyle name="SAPBEXresItemX" xfId="426"/>
    <cellStyle name="SAPBEXstdData" xfId="427"/>
    <cellStyle name="SAPBEXstdDataEmph" xfId="428"/>
    <cellStyle name="SAPBEXstdItem" xfId="429"/>
    <cellStyle name="SAPBEXstdItemX" xfId="430"/>
    <cellStyle name="SAPBEXtitle" xfId="431"/>
    <cellStyle name="SAPBEXundefined" xfId="432"/>
    <cellStyle name="shade" xfId="433"/>
    <cellStyle name="StmtTtl1" xfId="434"/>
    <cellStyle name="StmtTtl1 2" xfId="435"/>
    <cellStyle name="StmtTtl1 3" xfId="436"/>
    <cellStyle name="StmtTtl1 4" xfId="437"/>
    <cellStyle name="StmtTtl2" xfId="438"/>
    <cellStyle name="STYL1 - Style1" xfId="439"/>
    <cellStyle name="Style 1" xfId="440"/>
    <cellStyle name="Style 1 2" xfId="441"/>
    <cellStyle name="Style 1 3" xfId="442"/>
    <cellStyle name="Style 1 4" xfId="443"/>
    <cellStyle name="Style 1 5" xfId="444"/>
    <cellStyle name="Style 1_4 31 Regulatory Assets and Liabilities  7 06- Exhibit D" xfId="445"/>
    <cellStyle name="Subtotal" xfId="446"/>
    <cellStyle name="Sub-total" xfId="447"/>
    <cellStyle name="taples Plaza" xfId="448"/>
    <cellStyle name="Tickmark" xfId="449"/>
    <cellStyle name="Title" xfId="450"/>
    <cellStyle name="Title: Major" xfId="451"/>
    <cellStyle name="Title: Minor" xfId="452"/>
    <cellStyle name="Title: Worksheet" xfId="453"/>
    <cellStyle name="Total" xfId="454"/>
    <cellStyle name="Total4 - Style4" xfId="455"/>
    <cellStyle name="Warning Text" xfId="4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104775</xdr:rowOff>
    </xdr:from>
    <xdr:to>
      <xdr:col>13</xdr:col>
      <xdr:colOff>209550</xdr:colOff>
      <xdr:row>54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8134350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12</xdr:col>
      <xdr:colOff>342900</xdr:colOff>
      <xdr:row>53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6581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36</xdr:col>
      <xdr:colOff>371475</xdr:colOff>
      <xdr:row>130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2317075" cy="2102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53" sqref="B53"/>
    </sheetView>
  </sheetViews>
  <sheetFormatPr defaultColWidth="8.8515625" defaultRowHeight="12.75"/>
  <cols>
    <col min="1" max="1" width="10.7109375" style="37" customWidth="1"/>
    <col min="2" max="2" width="51.57421875" style="37" customWidth="1"/>
    <col min="3" max="3" width="6.28125" style="37" customWidth="1"/>
    <col min="4" max="4" width="14.57421875" style="37" customWidth="1"/>
    <col min="5" max="5" width="12.28125" style="37" customWidth="1"/>
    <col min="6" max="16384" width="8.8515625" style="37" customWidth="1"/>
  </cols>
  <sheetData>
    <row r="1" ht="12.75">
      <c r="D1" s="172" t="s">
        <v>298</v>
      </c>
    </row>
    <row r="2" ht="13.5" thickBot="1">
      <c r="D2" s="172" t="s">
        <v>329</v>
      </c>
    </row>
    <row r="3" spans="1:4" ht="14.25" thickBot="1" thickTop="1">
      <c r="A3" s="2"/>
      <c r="B3" s="2"/>
      <c r="C3" s="2"/>
      <c r="D3" s="3" t="s">
        <v>330</v>
      </c>
    </row>
    <row r="4" spans="1:4" ht="13.5" thickTop="1">
      <c r="A4" s="4" t="s">
        <v>16</v>
      </c>
      <c r="B4" s="5"/>
      <c r="C4" s="5"/>
      <c r="D4" s="5"/>
    </row>
    <row r="5" spans="1:4" ht="12.75">
      <c r="A5" s="7" t="s">
        <v>5</v>
      </c>
      <c r="B5" s="5"/>
      <c r="C5" s="5"/>
      <c r="D5" s="6"/>
    </row>
    <row r="6" spans="1:4" ht="12.75">
      <c r="A6" s="7" t="s">
        <v>256</v>
      </c>
      <c r="B6" s="5"/>
      <c r="C6" s="5"/>
      <c r="D6" s="8"/>
    </row>
    <row r="7" spans="1:4" ht="12.75">
      <c r="A7" s="7" t="s">
        <v>257</v>
      </c>
      <c r="B7" s="5"/>
      <c r="C7" s="5"/>
      <c r="D7" s="5"/>
    </row>
    <row r="8" spans="1:4" ht="12.75">
      <c r="A8" s="7"/>
      <c r="B8" s="5"/>
      <c r="C8" s="5"/>
      <c r="D8" s="5"/>
    </row>
    <row r="9" spans="1:4" ht="12.75">
      <c r="A9" s="9"/>
      <c r="B9" s="10"/>
      <c r="C9" s="10"/>
      <c r="D9" s="2"/>
    </row>
    <row r="10" spans="1:4" ht="12.75">
      <c r="A10" s="11" t="s">
        <v>2</v>
      </c>
      <c r="B10" s="2"/>
      <c r="C10" s="2"/>
      <c r="D10" s="2"/>
    </row>
    <row r="11" spans="1:5" ht="12.75">
      <c r="A11" s="12" t="s">
        <v>3</v>
      </c>
      <c r="B11" s="13" t="s">
        <v>4</v>
      </c>
      <c r="C11" s="13"/>
      <c r="D11" s="170"/>
      <c r="E11" s="164"/>
    </row>
    <row r="12" spans="1:5" ht="12.75">
      <c r="A12" s="14"/>
      <c r="B12" s="14"/>
      <c r="C12" s="14"/>
      <c r="D12" s="15"/>
      <c r="E12" s="165"/>
    </row>
    <row r="13" spans="1:5" ht="12.75">
      <c r="A13" s="25">
        <v>1</v>
      </c>
      <c r="B13" s="16" t="s">
        <v>8</v>
      </c>
      <c r="C13" s="14"/>
      <c r="D13" s="17"/>
      <c r="E13" s="165"/>
    </row>
    <row r="14" spans="1:5" ht="12.75">
      <c r="A14" s="25">
        <f aca="true" t="shared" si="0" ref="A14:A24">A13+1</f>
        <v>2</v>
      </c>
      <c r="B14" s="18" t="s">
        <v>282</v>
      </c>
      <c r="C14" s="14"/>
      <c r="D14" s="227">
        <f>'Proforma Summary'!I9</f>
        <v>12639719.5008</v>
      </c>
      <c r="E14" s="165"/>
    </row>
    <row r="15" spans="1:5" ht="12.75">
      <c r="A15" s="25">
        <f t="shared" si="0"/>
        <v>3</v>
      </c>
      <c r="B15" s="18" t="s">
        <v>283</v>
      </c>
      <c r="C15" s="14"/>
      <c r="D15" s="228">
        <f>'Proforma Summary'!I8+'Proforma Summary'!I10</f>
        <v>9705789.6816</v>
      </c>
      <c r="E15" s="165"/>
    </row>
    <row r="16" spans="1:5" ht="12.75">
      <c r="A16" s="25">
        <f t="shared" si="0"/>
        <v>4</v>
      </c>
      <c r="B16" s="14" t="s">
        <v>296</v>
      </c>
      <c r="C16" s="14"/>
      <c r="D16" s="19">
        <f>SUM(D14:D15)</f>
        <v>22345509.182400003</v>
      </c>
      <c r="E16" s="165"/>
    </row>
    <row r="17" spans="1:5" ht="12.75">
      <c r="A17" s="25">
        <f t="shared" si="0"/>
        <v>5</v>
      </c>
      <c r="B17" s="14"/>
      <c r="C17" s="14"/>
      <c r="D17" s="17"/>
      <c r="E17" s="165"/>
    </row>
    <row r="18" spans="1:5" ht="12.75">
      <c r="A18" s="25">
        <f t="shared" si="0"/>
        <v>6</v>
      </c>
      <c r="B18" s="229" t="s">
        <v>297</v>
      </c>
      <c r="C18" s="230">
        <f>'FERC.P354,5 '!D8</f>
        <v>0.6056</v>
      </c>
      <c r="D18" s="19">
        <f>ROUND(C18*D16,0)</f>
        <v>13532440</v>
      </c>
      <c r="E18" s="166"/>
    </row>
    <row r="19" spans="1:5" ht="12.75">
      <c r="A19" s="25">
        <f t="shared" si="0"/>
        <v>7</v>
      </c>
      <c r="B19" s="34" t="s">
        <v>261</v>
      </c>
      <c r="C19" s="230"/>
      <c r="D19" s="228">
        <f>'Flex Credits'!H12</f>
        <v>13515093.110536657</v>
      </c>
      <c r="E19" s="166"/>
    </row>
    <row r="20" spans="1:5" ht="12.75">
      <c r="A20" s="25">
        <f t="shared" si="0"/>
        <v>8</v>
      </c>
      <c r="B20" s="14" t="s">
        <v>13</v>
      </c>
      <c r="C20" s="14"/>
      <c r="D20" s="22">
        <f>D18-D19</f>
        <v>17346.889463342726</v>
      </c>
      <c r="E20" s="166"/>
    </row>
    <row r="21" spans="1:5" ht="12.75">
      <c r="A21" s="25">
        <f t="shared" si="0"/>
        <v>9</v>
      </c>
      <c r="B21" s="14"/>
      <c r="C21" s="14"/>
      <c r="D21" s="20"/>
      <c r="E21" s="166"/>
    </row>
    <row r="22" spans="1:5" ht="12.75">
      <c r="A22" s="25">
        <f t="shared" si="0"/>
        <v>10</v>
      </c>
      <c r="B22" s="18" t="s">
        <v>9</v>
      </c>
      <c r="C22" s="21">
        <v>0.35</v>
      </c>
      <c r="D22" s="23">
        <f>ROUND(-D20*C22,0)</f>
        <v>-6071</v>
      </c>
      <c r="E22" s="166"/>
    </row>
    <row r="23" spans="1:5" ht="12.75">
      <c r="A23" s="25">
        <f t="shared" si="0"/>
        <v>11</v>
      </c>
      <c r="B23" s="14"/>
      <c r="C23" s="14"/>
      <c r="D23" s="20"/>
      <c r="E23" s="19"/>
    </row>
    <row r="24" spans="1:5" ht="13.5" thickBot="1">
      <c r="A24" s="25">
        <f t="shared" si="0"/>
        <v>12</v>
      </c>
      <c r="B24" s="18" t="s">
        <v>10</v>
      </c>
      <c r="C24" s="18"/>
      <c r="D24" s="24">
        <f>-D20-D22</f>
        <v>-11275.889463342726</v>
      </c>
      <c r="E24" s="166"/>
    </row>
    <row r="25" spans="1:5" ht="13.5" thickTop="1">
      <c r="A25" s="1"/>
      <c r="B25" s="1"/>
      <c r="C25" s="1"/>
      <c r="D25" s="1"/>
      <c r="E25" s="166"/>
    </row>
  </sheetData>
  <sheetProtection/>
  <printOptions/>
  <pageMargins left="0.25" right="0.25" top="1" bottom="1" header="0.5" footer="0.5"/>
  <pageSetup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231" customWidth="1"/>
  </cols>
  <sheetData/>
  <sheetProtection/>
  <printOptions/>
  <pageMargins left="0" right="0" top="0.25" bottom="0.25" header="0.3" footer="0.3"/>
  <pageSetup horizontalDpi="600" verticalDpi="600" orientation="portrait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33:A133"/>
  <sheetViews>
    <sheetView zoomScalePageLayoutView="0" workbookViewId="0" topLeftCell="A1">
      <selection activeCell="A133" sqref="A133"/>
    </sheetView>
  </sheetViews>
  <sheetFormatPr defaultColWidth="9.140625" defaultRowHeight="12.75"/>
  <sheetData>
    <row r="133" ht="30">
      <c r="A133" s="238" t="s">
        <v>299</v>
      </c>
    </row>
  </sheetData>
  <sheetProtection/>
  <printOptions/>
  <pageMargins left="0.7" right="0.7" top="0.75" bottom="0.75" header="0.3" footer="0.3"/>
  <pageSetup horizontalDpi="600" verticalDpi="600" orientation="portrait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L29"/>
    </sheetView>
  </sheetViews>
  <sheetFormatPr defaultColWidth="9.140625" defaultRowHeight="12.75"/>
  <cols>
    <col min="1" max="1" width="9.140625" style="193" customWidth="1"/>
    <col min="2" max="2" width="9.28125" style="193" bestFit="1" customWidth="1"/>
    <col min="3" max="3" width="3.28125" style="193" customWidth="1"/>
    <col min="4" max="4" width="7.7109375" style="193" customWidth="1"/>
    <col min="5" max="5" width="19.57421875" style="193" customWidth="1"/>
    <col min="6" max="6" width="2.421875" style="193" customWidth="1"/>
    <col min="7" max="7" width="28.8515625" style="193" bestFit="1" customWidth="1"/>
    <col min="8" max="8" width="13.421875" style="193" customWidth="1"/>
    <col min="9" max="9" width="15.421875" style="193" customWidth="1"/>
    <col min="10" max="10" width="3.57421875" style="193" customWidth="1"/>
    <col min="11" max="11" width="13.57421875" style="193" customWidth="1"/>
    <col min="12" max="12" width="4.140625" style="193" customWidth="1"/>
    <col min="13" max="16384" width="9.140625" style="193" customWidth="1"/>
  </cols>
  <sheetData>
    <row r="1" spans="9:11" ht="12.75">
      <c r="I1" s="293" t="s">
        <v>293</v>
      </c>
      <c r="J1" s="293"/>
      <c r="K1" s="293"/>
    </row>
    <row r="2" spans="9:11" ht="12.75">
      <c r="I2" s="224" t="s">
        <v>300</v>
      </c>
      <c r="J2" s="224"/>
      <c r="K2" s="224" t="s">
        <v>301</v>
      </c>
    </row>
    <row r="3" spans="1:11" ht="12.75">
      <c r="A3" s="225" t="s">
        <v>292</v>
      </c>
      <c r="B3" s="225"/>
      <c r="I3" s="226">
        <f>'Allocation Method'!E41</f>
        <v>0.6731</v>
      </c>
      <c r="J3" s="226"/>
      <c r="K3" s="226">
        <f>'Allocation Method'!F41</f>
        <v>0.3269</v>
      </c>
    </row>
    <row r="4" ht="12.75">
      <c r="G4" s="224" t="s">
        <v>291</v>
      </c>
    </row>
    <row r="5" spans="1:11" s="221" customFormat="1" ht="51.75" thickBot="1">
      <c r="A5" s="223" t="s">
        <v>290</v>
      </c>
      <c r="B5" s="223" t="s">
        <v>305</v>
      </c>
      <c r="C5" s="223"/>
      <c r="D5" s="223" t="s">
        <v>289</v>
      </c>
      <c r="E5" s="223" t="s">
        <v>288</v>
      </c>
      <c r="F5" s="223"/>
      <c r="G5" s="223" t="s">
        <v>304</v>
      </c>
      <c r="H5" s="232" t="s">
        <v>287</v>
      </c>
      <c r="I5" s="239"/>
      <c r="J5" s="239"/>
      <c r="K5" s="240"/>
    </row>
    <row r="6" spans="1:11" s="221" customFormat="1" ht="12.75">
      <c r="A6" s="222"/>
      <c r="B6" s="222"/>
      <c r="C6" s="222"/>
      <c r="D6" s="222"/>
      <c r="E6" s="222"/>
      <c r="F6" s="222"/>
      <c r="G6" s="222"/>
      <c r="H6" s="233"/>
      <c r="I6" s="241"/>
      <c r="J6" s="241"/>
      <c r="K6" s="242"/>
    </row>
    <row r="7" ht="12.75">
      <c r="H7" s="234"/>
    </row>
    <row r="8" spans="1:12" ht="12.75">
      <c r="A8" s="193" t="s">
        <v>286</v>
      </c>
      <c r="B8" s="254">
        <f>ROUND('Att A Staff DR 151 (Rates)'!Z25,0)</f>
        <v>952</v>
      </c>
      <c r="E8" s="217">
        <f>'Att C Staff DR 151 (Partic)'!O22</f>
        <v>927</v>
      </c>
      <c r="G8" s="216">
        <f>(E8*12*B8)</f>
        <v>10590048</v>
      </c>
      <c r="H8" s="235">
        <f>G8</f>
        <v>10590048</v>
      </c>
      <c r="I8" s="215">
        <f>H8*I3</f>
        <v>7128161.308800001</v>
      </c>
      <c r="J8" s="248" t="s">
        <v>306</v>
      </c>
      <c r="K8" s="215">
        <f>H8*K3</f>
        <v>3461886.6912000002</v>
      </c>
      <c r="L8" s="193" t="s">
        <v>308</v>
      </c>
    </row>
    <row r="9" spans="1:11" ht="12.75">
      <c r="A9" s="193" t="s">
        <v>285</v>
      </c>
      <c r="B9" s="254">
        <f>ROUND('Att A Staff DR 151 (Rates)'!H25,0)</f>
        <v>998</v>
      </c>
      <c r="E9" s="220">
        <f>'Att C Staff DR 151 (Partic)'!O26</f>
        <v>1568</v>
      </c>
      <c r="F9" s="219"/>
      <c r="G9" s="216">
        <f>(E9*12*B9)</f>
        <v>18778368</v>
      </c>
      <c r="H9" s="236">
        <f>G9</f>
        <v>18778368</v>
      </c>
      <c r="I9" s="218">
        <f>H9*I3</f>
        <v>12639719.5008</v>
      </c>
      <c r="J9" s="249"/>
      <c r="K9" s="218">
        <f>H9*K3</f>
        <v>6138648.4992</v>
      </c>
    </row>
    <row r="10" spans="1:12" ht="12.75">
      <c r="A10" s="193" t="s">
        <v>284</v>
      </c>
      <c r="B10" s="254">
        <f>ROUND('Att A Staff DR 151 (Rates)'!Q25,0)</f>
        <v>988</v>
      </c>
      <c r="E10" s="217">
        <f>'Att C Staff DR 151 (Partic)'!O24</f>
        <v>323</v>
      </c>
      <c r="G10" s="216">
        <f>(E10*12*B10)</f>
        <v>3829488</v>
      </c>
      <c r="H10" s="235">
        <f>G10</f>
        <v>3829488</v>
      </c>
      <c r="I10" s="215">
        <f>H10*I3</f>
        <v>2577628.3728</v>
      </c>
      <c r="J10" s="248" t="s">
        <v>307</v>
      </c>
      <c r="K10" s="215">
        <f>H10*K3</f>
        <v>1251859.6272</v>
      </c>
      <c r="L10" s="193" t="s">
        <v>309</v>
      </c>
    </row>
    <row r="11" spans="4:11" ht="13.5" thickBot="1">
      <c r="D11" s="213" t="s">
        <v>1</v>
      </c>
      <c r="E11" s="214">
        <f>'Att C Staff DR 151 (Partic)'!O28</f>
        <v>2817</v>
      </c>
      <c r="F11" s="213"/>
      <c r="G11" s="212">
        <f>SUM(G8:G10)</f>
        <v>33197904</v>
      </c>
      <c r="H11" s="237">
        <f>SUM(H8:H10)</f>
        <v>33197904</v>
      </c>
      <c r="I11" s="212">
        <f>SUM(I8:I10)</f>
        <v>22345509.182400003</v>
      </c>
      <c r="J11" s="212"/>
      <c r="K11" s="212">
        <f>SUM(K8:K10)</f>
        <v>10852394.8176</v>
      </c>
    </row>
    <row r="12" ht="13.5" thickTop="1">
      <c r="B12" s="246"/>
    </row>
    <row r="13" ht="12.75"/>
    <row r="14" ht="12.75">
      <c r="A14" s="193" t="s">
        <v>302</v>
      </c>
    </row>
    <row r="18" spans="5:8" ht="12.75">
      <c r="E18" s="247"/>
      <c r="H18" s="225" t="s">
        <v>310</v>
      </c>
    </row>
    <row r="19" ht="12.75">
      <c r="B19" s="255"/>
    </row>
    <row r="20" spans="10:11" ht="12.75">
      <c r="J20" s="252" t="s">
        <v>306</v>
      </c>
      <c r="K20" s="250">
        <f>I8</f>
        <v>7128161.308800001</v>
      </c>
    </row>
    <row r="21" spans="10:11" ht="12.75">
      <c r="J21" s="252" t="s">
        <v>307</v>
      </c>
      <c r="K21" s="251">
        <f>I10</f>
        <v>2577628.3728</v>
      </c>
    </row>
    <row r="22" ht="13.5" thickBot="1">
      <c r="K22" s="253">
        <f>SUM(K20:K21)</f>
        <v>9705789.6816</v>
      </c>
    </row>
    <row r="23" ht="13.5" thickTop="1"/>
    <row r="25" ht="12.75">
      <c r="H25" s="225" t="s">
        <v>311</v>
      </c>
    </row>
    <row r="27" spans="10:11" ht="12.75">
      <c r="J27" s="252" t="s">
        <v>308</v>
      </c>
      <c r="K27" s="215">
        <f>K8</f>
        <v>3461886.6912000002</v>
      </c>
    </row>
    <row r="28" spans="10:11" ht="12.75">
      <c r="J28" s="252" t="s">
        <v>309</v>
      </c>
      <c r="K28" s="215">
        <f>K10</f>
        <v>1251859.6272</v>
      </c>
    </row>
    <row r="29" ht="13.5" thickBot="1">
      <c r="K29" s="253">
        <f>SUM(K27:K28)</f>
        <v>4713746.3184</v>
      </c>
    </row>
    <row r="30" ht="13.5" thickTop="1"/>
    <row r="33" ht="12.75">
      <c r="N33" s="193" t="s">
        <v>255</v>
      </c>
    </row>
  </sheetData>
  <sheetProtection/>
  <mergeCells count="1">
    <mergeCell ref="I1:K1"/>
  </mergeCells>
  <printOptions/>
  <pageMargins left="0.75" right="0.75" top="1" bottom="1" header="0.5" footer="0.5"/>
  <pageSetup horizontalDpi="300" verticalDpi="300" orientation="portrait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C1">
      <selection activeCell="H6" sqref="H6"/>
    </sheetView>
  </sheetViews>
  <sheetFormatPr defaultColWidth="9.140625" defaultRowHeight="12.75"/>
  <cols>
    <col min="1" max="1" width="14.57421875" style="244" customWidth="1"/>
    <col min="2" max="4" width="9.140625" style="244" customWidth="1"/>
    <col min="5" max="5" width="4.28125" style="244" customWidth="1"/>
    <col min="6" max="6" width="9.28125" style="244" bestFit="1" customWidth="1"/>
    <col min="7" max="8" width="11.421875" style="244" customWidth="1"/>
    <col min="9" max="9" width="3.57421875" style="244" customWidth="1"/>
    <col min="10" max="10" width="14.00390625" style="244" customWidth="1"/>
    <col min="11" max="12" width="9.28125" style="244" bestFit="1" customWidth="1"/>
    <col min="13" max="13" width="8.140625" style="244" customWidth="1"/>
    <col min="14" max="14" width="5.421875" style="244" customWidth="1"/>
    <col min="15" max="16" width="9.28125" style="244" bestFit="1" customWidth="1"/>
    <col min="17" max="17" width="11.57421875" style="244" customWidth="1"/>
    <col min="18" max="18" width="4.57421875" style="244" customWidth="1"/>
    <col min="19" max="19" width="14.28125" style="244" customWidth="1"/>
    <col min="20" max="22" width="9.28125" style="244" bestFit="1" customWidth="1"/>
    <col min="23" max="23" width="6.28125" style="244" customWidth="1"/>
    <col min="24" max="25" width="9.28125" style="244" bestFit="1" customWidth="1"/>
    <col min="26" max="26" width="11.28125" style="244" customWidth="1"/>
    <col min="27" max="27" width="6.57421875" style="244" customWidth="1"/>
    <col min="28" max="28" width="9.28125" style="244" bestFit="1" customWidth="1"/>
    <col min="29" max="29" width="11.57421875" style="244" customWidth="1"/>
    <col min="30" max="16384" width="9.140625" style="244" customWidth="1"/>
  </cols>
  <sheetData>
    <row r="1" spans="1:30" ht="18">
      <c r="A1" s="256"/>
      <c r="B1" s="256"/>
      <c r="C1" s="270" t="s">
        <v>316</v>
      </c>
      <c r="D1" s="256"/>
      <c r="E1" s="256"/>
      <c r="F1" s="256"/>
      <c r="G1" s="256"/>
      <c r="H1" s="256"/>
      <c r="I1" s="256"/>
      <c r="J1" s="256"/>
      <c r="K1" s="256"/>
      <c r="L1" s="270" t="s">
        <v>317</v>
      </c>
      <c r="M1" s="256"/>
      <c r="N1" s="256"/>
      <c r="O1" s="256"/>
      <c r="P1" s="256"/>
      <c r="Q1" s="256"/>
      <c r="R1" s="256"/>
      <c r="S1" s="256"/>
      <c r="T1" s="256"/>
      <c r="U1" s="270" t="s">
        <v>318</v>
      </c>
      <c r="V1" s="256"/>
      <c r="W1" s="256"/>
      <c r="X1" s="256"/>
      <c r="Y1" s="256"/>
      <c r="Z1" s="256"/>
      <c r="AA1" s="256"/>
      <c r="AB1" s="256"/>
      <c r="AC1" s="256"/>
      <c r="AD1" s="256"/>
    </row>
    <row r="2" spans="1:30" ht="18">
      <c r="A2" s="256"/>
      <c r="B2" s="256" t="s">
        <v>319</v>
      </c>
      <c r="C2" s="256" t="s">
        <v>320</v>
      </c>
      <c r="D2" s="256" t="s">
        <v>321</v>
      </c>
      <c r="E2" s="256"/>
      <c r="F2" s="256" t="s">
        <v>1</v>
      </c>
      <c r="G2" s="256" t="s">
        <v>322</v>
      </c>
      <c r="H2" s="256" t="s">
        <v>323</v>
      </c>
      <c r="I2" s="256"/>
      <c r="J2" s="256"/>
      <c r="K2" s="256" t="s">
        <v>319</v>
      </c>
      <c r="L2" s="256" t="s">
        <v>320</v>
      </c>
      <c r="M2" s="256" t="s">
        <v>321</v>
      </c>
      <c r="N2" s="256"/>
      <c r="O2" s="256" t="s">
        <v>1</v>
      </c>
      <c r="P2" s="256" t="s">
        <v>322</v>
      </c>
      <c r="Q2" s="256" t="s">
        <v>323</v>
      </c>
      <c r="R2" s="256"/>
      <c r="S2" s="256"/>
      <c r="T2" s="256" t="s">
        <v>319</v>
      </c>
      <c r="U2" s="256" t="s">
        <v>320</v>
      </c>
      <c r="V2" s="256" t="s">
        <v>321</v>
      </c>
      <c r="W2" s="256"/>
      <c r="X2" s="256" t="s">
        <v>1</v>
      </c>
      <c r="Y2" s="256" t="s">
        <v>322</v>
      </c>
      <c r="Z2" s="256" t="s">
        <v>323</v>
      </c>
      <c r="AA2" s="256"/>
      <c r="AB2" s="256"/>
      <c r="AC2" s="256"/>
      <c r="AD2" s="256"/>
    </row>
    <row r="3" spans="1:30" ht="18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 t="s">
        <v>324</v>
      </c>
      <c r="AD3" s="256"/>
    </row>
    <row r="4" spans="1:30" ht="18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</row>
    <row r="5" spans="1:30" s="245" customFormat="1" ht="18">
      <c r="A5" s="278">
        <v>2011</v>
      </c>
      <c r="B5" s="279"/>
      <c r="C5" s="279"/>
      <c r="D5" s="279"/>
      <c r="E5" s="279"/>
      <c r="F5" s="279"/>
      <c r="G5" s="279"/>
      <c r="H5" s="280"/>
      <c r="I5" s="281"/>
      <c r="J5" s="278">
        <v>2011</v>
      </c>
      <c r="K5" s="279"/>
      <c r="L5" s="279"/>
      <c r="M5" s="279"/>
      <c r="N5" s="279"/>
      <c r="O5" s="279"/>
      <c r="P5" s="279"/>
      <c r="Q5" s="280"/>
      <c r="R5" s="281"/>
      <c r="S5" s="278">
        <v>2011</v>
      </c>
      <c r="T5" s="279"/>
      <c r="U5" s="279"/>
      <c r="V5" s="279"/>
      <c r="W5" s="279"/>
      <c r="X5" s="279"/>
      <c r="Y5" s="279"/>
      <c r="Z5" s="280"/>
      <c r="AA5" s="281"/>
      <c r="AB5" s="256"/>
      <c r="AC5" s="281"/>
      <c r="AD5" s="281"/>
    </row>
    <row r="6" spans="1:30" ht="18">
      <c r="A6" s="282">
        <v>40544</v>
      </c>
      <c r="B6" s="279">
        <v>639</v>
      </c>
      <c r="C6" s="279">
        <v>849</v>
      </c>
      <c r="D6" s="279">
        <v>63</v>
      </c>
      <c r="E6" s="279"/>
      <c r="F6" s="279">
        <f>SUM(B6:D6)</f>
        <v>1551</v>
      </c>
      <c r="G6" s="283">
        <f>C6/F6</f>
        <v>0.5473887814313346</v>
      </c>
      <c r="H6" s="280">
        <f>((B6*B$23)+(C6*C$23)+(D6*D$23))/F6</f>
        <v>998.2591876208897</v>
      </c>
      <c r="I6" s="284"/>
      <c r="J6" s="282">
        <v>40544</v>
      </c>
      <c r="K6" s="279">
        <v>115</v>
      </c>
      <c r="L6" s="279">
        <v>183</v>
      </c>
      <c r="M6" s="279">
        <v>21</v>
      </c>
      <c r="N6" s="279"/>
      <c r="O6" s="279">
        <f>SUM(K6:M6)</f>
        <v>319</v>
      </c>
      <c r="P6" s="283">
        <f>L6/O6</f>
        <v>0.5736677115987461</v>
      </c>
      <c r="Q6" s="280">
        <f>((K6*K$23)+(L6*L$23)+(M6*M$23))/O6</f>
        <v>984.7648902821317</v>
      </c>
      <c r="R6" s="284"/>
      <c r="S6" s="282">
        <v>40544</v>
      </c>
      <c r="T6" s="279">
        <v>372</v>
      </c>
      <c r="U6" s="279">
        <v>475</v>
      </c>
      <c r="V6" s="279">
        <v>58</v>
      </c>
      <c r="W6" s="279"/>
      <c r="X6" s="279">
        <f>SUM(T6:V6)</f>
        <v>905</v>
      </c>
      <c r="Y6" s="283">
        <f>U6/X6</f>
        <v>0.5248618784530387</v>
      </c>
      <c r="Z6" s="280">
        <f>((T6*T$23)+(U6*U$23)+(V6*V$23))/X6</f>
        <v>951.0251933701658</v>
      </c>
      <c r="AA6" s="256"/>
      <c r="AB6" s="256">
        <f>SUM(F6,O6,X6)</f>
        <v>2775</v>
      </c>
      <c r="AC6" s="285">
        <f>((F6*H6)+(O6*Q6)+(X6*Z6))/AB6</f>
        <v>981.3037117117117</v>
      </c>
      <c r="AD6" s="256"/>
    </row>
    <row r="7" spans="1:30" ht="18">
      <c r="A7" s="282">
        <v>40575</v>
      </c>
      <c r="B7" s="279">
        <v>645</v>
      </c>
      <c r="C7" s="279">
        <v>855</v>
      </c>
      <c r="D7" s="279">
        <v>64</v>
      </c>
      <c r="E7" s="279"/>
      <c r="F7" s="279">
        <f>SUM(B7:D7)</f>
        <v>1564</v>
      </c>
      <c r="G7" s="283">
        <f>C7/F7</f>
        <v>0.5466751918158568</v>
      </c>
      <c r="H7" s="280">
        <f>((B7*B$23)+(C7*C$23)+(D7*D$23))/F7</f>
        <v>997.6278772378516</v>
      </c>
      <c r="I7" s="284"/>
      <c r="J7" s="282">
        <v>40575</v>
      </c>
      <c r="K7" s="279">
        <v>114</v>
      </c>
      <c r="L7" s="279">
        <v>182</v>
      </c>
      <c r="M7" s="279">
        <v>21</v>
      </c>
      <c r="N7" s="279"/>
      <c r="O7" s="279">
        <f>SUM(K7:M7)</f>
        <v>317</v>
      </c>
      <c r="P7" s="283">
        <f>L7/O7</f>
        <v>0.5741324921135647</v>
      </c>
      <c r="Q7" s="280">
        <f>((K7*K$23)+(L7*L$23)+(M7*M$23))/O7</f>
        <v>984.8580441640379</v>
      </c>
      <c r="R7" s="284"/>
      <c r="S7" s="282">
        <v>40575</v>
      </c>
      <c r="T7" s="279">
        <v>371</v>
      </c>
      <c r="U7" s="279">
        <v>471</v>
      </c>
      <c r="V7" s="279">
        <v>56</v>
      </c>
      <c r="W7" s="279"/>
      <c r="X7" s="279">
        <f>SUM(T7:V7)</f>
        <v>898</v>
      </c>
      <c r="Y7" s="283">
        <f>U7/X7</f>
        <v>0.5244988864142539</v>
      </c>
      <c r="Z7" s="280">
        <f>((T7*T$23)+(U7*U$23)+(V7*V$23))/X7</f>
        <v>951.4396436525612</v>
      </c>
      <c r="AA7" s="256"/>
      <c r="AB7" s="256">
        <f>SUM(F7,O7,X7)</f>
        <v>2779</v>
      </c>
      <c r="AC7" s="285">
        <f>((F7*H7)+(O7*Q7)+(X7*Z7))/AB7</f>
        <v>981.2460597337171</v>
      </c>
      <c r="AD7" s="256"/>
    </row>
    <row r="8" spans="1:30" ht="18">
      <c r="A8" s="282">
        <v>40603</v>
      </c>
      <c r="B8" s="279">
        <v>640</v>
      </c>
      <c r="C8" s="279">
        <v>861</v>
      </c>
      <c r="D8" s="279">
        <v>65</v>
      </c>
      <c r="E8" s="279"/>
      <c r="F8" s="279">
        <f>SUM(B8:D8)</f>
        <v>1566</v>
      </c>
      <c r="G8" s="283">
        <f>C8/F8</f>
        <v>0.5498084291187739</v>
      </c>
      <c r="H8" s="280">
        <f>((B8*B$23)+(C8*C$23)+(D8*D$23))/F8</f>
        <v>999.3390804597701</v>
      </c>
      <c r="I8" s="284"/>
      <c r="J8" s="282">
        <v>40603</v>
      </c>
      <c r="K8" s="279">
        <v>113</v>
      </c>
      <c r="L8" s="279">
        <v>184</v>
      </c>
      <c r="M8" s="279">
        <v>19</v>
      </c>
      <c r="N8" s="279"/>
      <c r="O8" s="279">
        <f>SUM(K8:M8)</f>
        <v>316</v>
      </c>
      <c r="P8" s="283">
        <f>L8/O8</f>
        <v>0.5822784810126582</v>
      </c>
      <c r="Q8" s="280">
        <f>((K8*K$23)+(L8*L$23)+(M8*M$23))/O8</f>
        <v>991.5822784810126</v>
      </c>
      <c r="R8" s="284"/>
      <c r="S8" s="282">
        <v>40603</v>
      </c>
      <c r="T8" s="279">
        <v>370</v>
      </c>
      <c r="U8" s="279">
        <v>469</v>
      </c>
      <c r="V8" s="279">
        <v>55</v>
      </c>
      <c r="W8" s="279"/>
      <c r="X8" s="279">
        <f>SUM(T8:V8)</f>
        <v>894</v>
      </c>
      <c r="Y8" s="283">
        <f>U8/X8</f>
        <v>0.5246085011185683</v>
      </c>
      <c r="Z8" s="280">
        <f>((T8*T$23)+(U8*U$23)+(V8*V$23))/X8</f>
        <v>951.8418344519017</v>
      </c>
      <c r="AA8" s="256"/>
      <c r="AB8" s="256">
        <f>SUM(F8,O8,X8)</f>
        <v>2776</v>
      </c>
      <c r="AC8" s="285">
        <f>((F8*H8)+(O8*Q8)+(X8*Z8))/AB8</f>
        <v>983.1597982708934</v>
      </c>
      <c r="AD8" s="256"/>
    </row>
    <row r="9" spans="1:30" ht="18">
      <c r="A9" s="282">
        <v>40634</v>
      </c>
      <c r="B9" s="279">
        <v>645</v>
      </c>
      <c r="C9" s="279">
        <v>862</v>
      </c>
      <c r="D9" s="279">
        <v>69</v>
      </c>
      <c r="E9" s="279"/>
      <c r="F9" s="279">
        <f>SUM(B9:D9)</f>
        <v>1576</v>
      </c>
      <c r="G9" s="283">
        <f>C9/F9</f>
        <v>0.5469543147208121</v>
      </c>
      <c r="H9" s="280">
        <f>((B9*B$23)+(C9*C$23)+(D9*D$23))/F9</f>
        <v>996.2214467005076</v>
      </c>
      <c r="I9" s="256"/>
      <c r="J9" s="282">
        <v>40634</v>
      </c>
      <c r="K9" s="279">
        <v>113</v>
      </c>
      <c r="L9" s="279">
        <v>183</v>
      </c>
      <c r="M9" s="279">
        <v>20</v>
      </c>
      <c r="N9" s="279"/>
      <c r="O9" s="279">
        <f>SUM(K9:M9)</f>
        <v>316</v>
      </c>
      <c r="P9" s="283">
        <f>L9/O9</f>
        <v>0.5791139240506329</v>
      </c>
      <c r="Q9" s="280">
        <f>((K9*K$23)+(L9*L$23)+(M9*M$23))/O9</f>
        <v>988.6708860759494</v>
      </c>
      <c r="R9" s="256"/>
      <c r="S9" s="282">
        <v>40634</v>
      </c>
      <c r="T9" s="279">
        <v>368</v>
      </c>
      <c r="U9" s="279">
        <v>471</v>
      </c>
      <c r="V9" s="279">
        <v>55</v>
      </c>
      <c r="W9" s="279"/>
      <c r="X9" s="279">
        <f>SUM(T9:V9)</f>
        <v>894</v>
      </c>
      <c r="Y9" s="283">
        <f>U9/X9</f>
        <v>0.5268456375838926</v>
      </c>
      <c r="Z9" s="280">
        <f>((T9*T$23)+(U9*U$23)+(V9*V$23))/X9</f>
        <v>953.4123042505593</v>
      </c>
      <c r="AA9" s="256"/>
      <c r="AB9" s="256">
        <f>SUM(F9,O9,X9)</f>
        <v>2786</v>
      </c>
      <c r="AC9" s="285">
        <f>((F9*H9)+(O9*Q9)+(X9*Z9))/AB9</f>
        <v>981.6279971284997</v>
      </c>
      <c r="AD9" s="256"/>
    </row>
    <row r="10" spans="1:30" ht="18">
      <c r="A10" s="282">
        <v>40664</v>
      </c>
      <c r="B10" s="279">
        <v>646</v>
      </c>
      <c r="C10" s="279">
        <v>858</v>
      </c>
      <c r="D10" s="279">
        <v>67</v>
      </c>
      <c r="E10" s="279"/>
      <c r="F10" s="279">
        <f>SUM(B10:D10)</f>
        <v>1571</v>
      </c>
      <c r="G10" s="283">
        <f>C10/F10</f>
        <v>0.5461489497135582</v>
      </c>
      <c r="H10" s="280">
        <f>((B10*B$23)+(C10*C$23)+(D10*D$23))/F10</f>
        <v>996.3271801400382</v>
      </c>
      <c r="I10" s="256"/>
      <c r="J10" s="282">
        <v>40664</v>
      </c>
      <c r="K10" s="279">
        <v>111</v>
      </c>
      <c r="L10" s="279">
        <v>182</v>
      </c>
      <c r="M10" s="279">
        <v>20</v>
      </c>
      <c r="N10" s="279"/>
      <c r="O10" s="279">
        <f>SUM(K10:M10)</f>
        <v>313</v>
      </c>
      <c r="P10" s="283">
        <f>L10/O10</f>
        <v>0.5814696485623003</v>
      </c>
      <c r="Q10" s="280">
        <f>((K10*K$23)+(L10*L$23)+(M10*M$23))/O10</f>
        <v>989.7124600638978</v>
      </c>
      <c r="R10" s="256"/>
      <c r="S10" s="282">
        <v>40664</v>
      </c>
      <c r="T10" s="279">
        <v>366</v>
      </c>
      <c r="U10" s="279">
        <v>472</v>
      </c>
      <c r="V10" s="279">
        <v>56</v>
      </c>
      <c r="W10" s="279"/>
      <c r="X10" s="279">
        <f>SUM(T10:V10)</f>
        <v>894</v>
      </c>
      <c r="Y10" s="283">
        <f>U10/X10</f>
        <v>0.5279642058165548</v>
      </c>
      <c r="Z10" s="280">
        <f>((T10*T$23)+(U10*U$23)+(V10*V$23))/X10</f>
        <v>953.7642058165549</v>
      </c>
      <c r="AA10" s="256"/>
      <c r="AB10" s="256">
        <f>SUM(F10,O10,X10)</f>
        <v>2778</v>
      </c>
      <c r="AC10" s="285">
        <f>((F10*H10)+(O10*Q10)+(X10*Z10))/AB10</f>
        <v>981.884521238301</v>
      </c>
      <c r="AD10" s="256"/>
    </row>
    <row r="11" spans="1:30" ht="18">
      <c r="A11" s="282">
        <v>40695</v>
      </c>
      <c r="B11" s="279"/>
      <c r="C11" s="279"/>
      <c r="D11" s="279"/>
      <c r="E11" s="279"/>
      <c r="F11" s="279"/>
      <c r="G11" s="283"/>
      <c r="H11" s="280"/>
      <c r="I11" s="256"/>
      <c r="J11" s="282">
        <v>40695</v>
      </c>
      <c r="K11" s="279"/>
      <c r="L11" s="279"/>
      <c r="M11" s="279"/>
      <c r="N11" s="279"/>
      <c r="O11" s="279"/>
      <c r="P11" s="283"/>
      <c r="Q11" s="280"/>
      <c r="R11" s="256"/>
      <c r="S11" s="282">
        <v>40695</v>
      </c>
      <c r="T11" s="279"/>
      <c r="U11" s="279"/>
      <c r="V11" s="279"/>
      <c r="W11" s="279"/>
      <c r="X11" s="279"/>
      <c r="Y11" s="283"/>
      <c r="Z11" s="280"/>
      <c r="AA11" s="256"/>
      <c r="AB11" s="256"/>
      <c r="AC11" s="285"/>
      <c r="AD11" s="256"/>
    </row>
    <row r="12" spans="1:30" ht="18">
      <c r="A12" s="282">
        <v>40725</v>
      </c>
      <c r="B12" s="279"/>
      <c r="C12" s="279"/>
      <c r="D12" s="279"/>
      <c r="E12" s="279"/>
      <c r="F12" s="279"/>
      <c r="G12" s="283"/>
      <c r="H12" s="280"/>
      <c r="I12" s="256"/>
      <c r="J12" s="282">
        <v>40725</v>
      </c>
      <c r="K12" s="279"/>
      <c r="L12" s="279"/>
      <c r="M12" s="279"/>
      <c r="N12" s="279"/>
      <c r="O12" s="279"/>
      <c r="P12" s="283"/>
      <c r="Q12" s="280"/>
      <c r="R12" s="256"/>
      <c r="S12" s="282">
        <v>40725</v>
      </c>
      <c r="T12" s="279"/>
      <c r="U12" s="279"/>
      <c r="V12" s="279"/>
      <c r="W12" s="279"/>
      <c r="X12" s="279"/>
      <c r="Y12" s="283"/>
      <c r="Z12" s="280"/>
      <c r="AA12" s="256"/>
      <c r="AB12" s="256"/>
      <c r="AC12" s="285"/>
      <c r="AD12" s="256"/>
    </row>
    <row r="13" spans="1:30" ht="18">
      <c r="A13" s="282">
        <v>40756</v>
      </c>
      <c r="B13" s="279"/>
      <c r="C13" s="279"/>
      <c r="D13" s="279"/>
      <c r="E13" s="286"/>
      <c r="F13" s="279"/>
      <c r="G13" s="283"/>
      <c r="H13" s="280"/>
      <c r="I13" s="256"/>
      <c r="J13" s="282">
        <v>40756</v>
      </c>
      <c r="K13" s="279"/>
      <c r="L13" s="279"/>
      <c r="M13" s="279"/>
      <c r="N13" s="286"/>
      <c r="O13" s="279"/>
      <c r="P13" s="283"/>
      <c r="Q13" s="280"/>
      <c r="R13" s="256"/>
      <c r="S13" s="282">
        <v>40756</v>
      </c>
      <c r="T13" s="279"/>
      <c r="U13" s="279"/>
      <c r="V13" s="279"/>
      <c r="W13" s="286"/>
      <c r="X13" s="279"/>
      <c r="Y13" s="283"/>
      <c r="Z13" s="280"/>
      <c r="AA13" s="256"/>
      <c r="AB13" s="256"/>
      <c r="AC13" s="285"/>
      <c r="AD13" s="256"/>
    </row>
    <row r="14" spans="1:30" ht="18">
      <c r="A14" s="282">
        <v>40787</v>
      </c>
      <c r="B14" s="279"/>
      <c r="C14" s="279"/>
      <c r="D14" s="279"/>
      <c r="E14" s="286"/>
      <c r="F14" s="279"/>
      <c r="G14" s="283"/>
      <c r="H14" s="280"/>
      <c r="I14" s="256"/>
      <c r="J14" s="282">
        <v>40787</v>
      </c>
      <c r="K14" s="279"/>
      <c r="L14" s="279"/>
      <c r="M14" s="279"/>
      <c r="N14" s="286"/>
      <c r="O14" s="279"/>
      <c r="P14" s="283"/>
      <c r="Q14" s="280"/>
      <c r="R14" s="256"/>
      <c r="S14" s="282">
        <v>40787</v>
      </c>
      <c r="T14" s="279"/>
      <c r="U14" s="279"/>
      <c r="V14" s="279"/>
      <c r="W14" s="286"/>
      <c r="X14" s="279"/>
      <c r="Y14" s="283"/>
      <c r="Z14" s="280"/>
      <c r="AA14" s="256"/>
      <c r="AB14" s="256"/>
      <c r="AC14" s="285"/>
      <c r="AD14" s="256"/>
    </row>
    <row r="15" spans="1:30" ht="18">
      <c r="A15" s="282">
        <v>40817</v>
      </c>
      <c r="B15" s="279"/>
      <c r="C15" s="279"/>
      <c r="D15" s="279"/>
      <c r="E15" s="286"/>
      <c r="F15" s="279"/>
      <c r="G15" s="283"/>
      <c r="H15" s="280"/>
      <c r="I15" s="256"/>
      <c r="J15" s="282">
        <v>40817</v>
      </c>
      <c r="K15" s="279"/>
      <c r="L15" s="279"/>
      <c r="M15" s="279"/>
      <c r="N15" s="286"/>
      <c r="O15" s="279"/>
      <c r="P15" s="283"/>
      <c r="Q15" s="280"/>
      <c r="R15" s="256"/>
      <c r="S15" s="282">
        <v>40817</v>
      </c>
      <c r="T15" s="279"/>
      <c r="U15" s="279"/>
      <c r="V15" s="279"/>
      <c r="W15" s="286"/>
      <c r="X15" s="279"/>
      <c r="Y15" s="283"/>
      <c r="Z15" s="280"/>
      <c r="AA15" s="256"/>
      <c r="AB15" s="256"/>
      <c r="AC15" s="285"/>
      <c r="AD15" s="256"/>
    </row>
    <row r="16" spans="1:30" s="245" customFormat="1" ht="18">
      <c r="A16" s="282">
        <v>40848</v>
      </c>
      <c r="B16" s="279"/>
      <c r="C16" s="279"/>
      <c r="D16" s="279"/>
      <c r="E16" s="279"/>
      <c r="F16" s="279"/>
      <c r="G16" s="283"/>
      <c r="H16" s="280"/>
      <c r="I16" s="281"/>
      <c r="J16" s="282">
        <v>40848</v>
      </c>
      <c r="K16" s="279"/>
      <c r="L16" s="279"/>
      <c r="M16" s="279"/>
      <c r="N16" s="279"/>
      <c r="O16" s="279"/>
      <c r="P16" s="283"/>
      <c r="Q16" s="280"/>
      <c r="R16" s="281"/>
      <c r="S16" s="282">
        <v>40848</v>
      </c>
      <c r="T16" s="279"/>
      <c r="U16" s="279"/>
      <c r="V16" s="279"/>
      <c r="W16" s="279"/>
      <c r="X16" s="279"/>
      <c r="Y16" s="283"/>
      <c r="Z16" s="280"/>
      <c r="AA16" s="281"/>
      <c r="AB16" s="256"/>
      <c r="AC16" s="285"/>
      <c r="AD16" s="281"/>
    </row>
    <row r="17" spans="1:30" ht="18">
      <c r="A17" s="282">
        <v>40878</v>
      </c>
      <c r="B17" s="256"/>
      <c r="C17" s="256"/>
      <c r="D17" s="256"/>
      <c r="E17" s="256"/>
      <c r="F17" s="279"/>
      <c r="G17" s="283"/>
      <c r="H17" s="280"/>
      <c r="I17" s="256"/>
      <c r="J17" s="282">
        <v>40878</v>
      </c>
      <c r="K17" s="256"/>
      <c r="L17" s="256"/>
      <c r="M17" s="256"/>
      <c r="N17" s="256"/>
      <c r="O17" s="279"/>
      <c r="P17" s="283"/>
      <c r="Q17" s="280"/>
      <c r="R17" s="256"/>
      <c r="S17" s="282">
        <v>40878</v>
      </c>
      <c r="T17" s="256"/>
      <c r="U17" s="256"/>
      <c r="V17" s="256"/>
      <c r="W17" s="256"/>
      <c r="X17" s="279"/>
      <c r="Y17" s="283"/>
      <c r="Z17" s="280"/>
      <c r="AA17" s="256"/>
      <c r="AB17" s="256"/>
      <c r="AC17" s="285"/>
      <c r="AD17" s="256"/>
    </row>
    <row r="18" spans="1:30" ht="18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</row>
    <row r="19" spans="1:30" ht="18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</row>
    <row r="20" spans="1:30" ht="18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</row>
    <row r="21" spans="1:30" ht="18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</row>
    <row r="22" spans="1:30" ht="18">
      <c r="A22" s="270" t="s">
        <v>325</v>
      </c>
      <c r="B22" s="256"/>
      <c r="C22" s="256"/>
      <c r="D22" s="256"/>
      <c r="E22" s="256"/>
      <c r="F22" s="256"/>
      <c r="G22" s="256"/>
      <c r="H22" s="256"/>
      <c r="I22" s="256"/>
      <c r="J22" s="270" t="s">
        <v>325</v>
      </c>
      <c r="K22" s="256"/>
      <c r="L22" s="256"/>
      <c r="M22" s="256"/>
      <c r="N22" s="256"/>
      <c r="O22" s="256"/>
      <c r="P22" s="256"/>
      <c r="Q22" s="256"/>
      <c r="R22" s="256"/>
      <c r="S22" s="270" t="s">
        <v>325</v>
      </c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</row>
    <row r="23" spans="1:30" ht="18">
      <c r="A23" s="287" t="s">
        <v>326</v>
      </c>
      <c r="B23" s="287">
        <v>665</v>
      </c>
      <c r="C23" s="287">
        <v>1315</v>
      </c>
      <c r="D23" s="287">
        <v>110</v>
      </c>
      <c r="E23" s="287"/>
      <c r="F23" s="287"/>
      <c r="G23" s="287"/>
      <c r="H23" s="287"/>
      <c r="I23" s="256"/>
      <c r="J23" s="287" t="s">
        <v>327</v>
      </c>
      <c r="K23" s="287">
        <v>700</v>
      </c>
      <c r="L23" s="287">
        <v>1240</v>
      </c>
      <c r="M23" s="287">
        <v>320</v>
      </c>
      <c r="N23" s="287"/>
      <c r="O23" s="287"/>
      <c r="P23" s="287"/>
      <c r="Q23" s="287"/>
      <c r="R23" s="256"/>
      <c r="S23" s="287" t="s">
        <v>327</v>
      </c>
      <c r="T23" s="287">
        <v>607.4</v>
      </c>
      <c r="U23" s="287">
        <v>1309.4</v>
      </c>
      <c r="V23" s="287">
        <v>220</v>
      </c>
      <c r="W23" s="287"/>
      <c r="X23" s="287"/>
      <c r="Y23" s="287"/>
      <c r="Z23" s="287"/>
      <c r="AA23" s="256"/>
      <c r="AB23" s="256"/>
      <c r="AC23" s="256"/>
      <c r="AD23" s="256"/>
    </row>
    <row r="24" spans="1:30" ht="18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</row>
    <row r="25" spans="1:30" s="291" customFormat="1" ht="18">
      <c r="A25" s="288"/>
      <c r="B25" s="288"/>
      <c r="C25" s="288"/>
      <c r="D25" s="288"/>
      <c r="E25" s="288"/>
      <c r="F25" s="288"/>
      <c r="G25" s="289" t="s">
        <v>328</v>
      </c>
      <c r="H25" s="290">
        <f>AVERAGE(H6:H10)</f>
        <v>997.5549544318113</v>
      </c>
      <c r="I25" s="288"/>
      <c r="J25" s="288"/>
      <c r="K25" s="288"/>
      <c r="L25" s="288"/>
      <c r="M25" s="288"/>
      <c r="N25" s="288"/>
      <c r="O25" s="288"/>
      <c r="P25" s="289" t="s">
        <v>328</v>
      </c>
      <c r="Q25" s="290">
        <f>AVERAGE(Q6:Q10)</f>
        <v>987.917711813406</v>
      </c>
      <c r="R25" s="288"/>
      <c r="S25" s="288"/>
      <c r="T25" s="288"/>
      <c r="U25" s="288"/>
      <c r="V25" s="288"/>
      <c r="W25" s="288"/>
      <c r="X25" s="288"/>
      <c r="Y25" s="289" t="s">
        <v>328</v>
      </c>
      <c r="Z25" s="290">
        <f>AVERAGE(Z6:Z10)</f>
        <v>952.2966363083485</v>
      </c>
      <c r="AA25" s="288"/>
      <c r="AB25" s="288"/>
      <c r="AC25" s="288"/>
      <c r="AD25" s="288"/>
    </row>
    <row r="28" spans="20:22" ht="12.75">
      <c r="T28" s="292"/>
      <c r="U28" s="292"/>
      <c r="V28" s="292"/>
    </row>
  </sheetData>
  <sheetProtection/>
  <printOptions/>
  <pageMargins left="0.75" right="0.75" top="1" bottom="1" header="0.5" footer="0.5"/>
  <pageSetup horizontalDpi="600" verticalDpi="600" orientation="landscape" scale="46" r:id="rId1"/>
  <headerFooter alignWithMargins="0">
    <oddFooter>&amp;RPSE Resp WUTC DR 151_Attach 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4">
      <selection activeCell="O22" sqref="O22"/>
    </sheetView>
  </sheetViews>
  <sheetFormatPr defaultColWidth="9.140625" defaultRowHeight="12.75"/>
  <cols>
    <col min="1" max="1" width="37.8515625" style="244" customWidth="1"/>
    <col min="2" max="2" width="10.7109375" style="244" customWidth="1"/>
    <col min="3" max="3" width="10.140625" style="244" customWidth="1"/>
    <col min="4" max="5" width="10.28125" style="244" customWidth="1"/>
    <col min="6" max="6" width="10.8515625" style="244" customWidth="1"/>
    <col min="7" max="7" width="10.140625" style="244" customWidth="1"/>
    <col min="8" max="8" width="11.140625" style="244" customWidth="1"/>
    <col min="9" max="9" width="10.7109375" style="244" customWidth="1"/>
    <col min="10" max="11" width="10.421875" style="244" customWidth="1"/>
    <col min="12" max="12" width="10.7109375" style="244" customWidth="1"/>
    <col min="13" max="13" width="10.28125" style="244" customWidth="1"/>
    <col min="14" max="14" width="2.57421875" style="244" customWidth="1"/>
    <col min="15" max="15" width="19.00390625" style="244" customWidth="1"/>
    <col min="16" max="16384" width="9.140625" style="244" customWidth="1"/>
  </cols>
  <sheetData>
    <row r="1" spans="1:15" ht="18">
      <c r="A1" s="256" t="s">
        <v>315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243" customFormat="1" ht="90">
      <c r="A2" s="257" t="s">
        <v>290</v>
      </c>
      <c r="B2" s="257">
        <v>40179</v>
      </c>
      <c r="C2" s="257">
        <v>40210</v>
      </c>
      <c r="D2" s="257">
        <v>40238</v>
      </c>
      <c r="E2" s="257">
        <v>40269</v>
      </c>
      <c r="F2" s="257">
        <v>40299</v>
      </c>
      <c r="G2" s="257">
        <v>40330</v>
      </c>
      <c r="H2" s="257">
        <v>40360</v>
      </c>
      <c r="I2" s="257">
        <v>40391</v>
      </c>
      <c r="J2" s="257">
        <v>40422</v>
      </c>
      <c r="K2" s="257">
        <v>40452</v>
      </c>
      <c r="L2" s="257">
        <v>40483</v>
      </c>
      <c r="M2" s="257">
        <v>40513</v>
      </c>
      <c r="N2" s="258"/>
      <c r="O2" s="259" t="s">
        <v>295</v>
      </c>
    </row>
    <row r="3" spans="1:15" s="243" customFormat="1" ht="18">
      <c r="A3" s="260" t="s">
        <v>312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58"/>
      <c r="O3" s="259"/>
    </row>
    <row r="4" spans="1:15" ht="18">
      <c r="A4" s="256" t="s">
        <v>286</v>
      </c>
      <c r="B4" s="262">
        <v>936</v>
      </c>
      <c r="C4" s="262">
        <v>936</v>
      </c>
      <c r="D4" s="263">
        <v>961</v>
      </c>
      <c r="E4" s="263">
        <v>952</v>
      </c>
      <c r="F4" s="263">
        <v>945</v>
      </c>
      <c r="G4" s="263">
        <v>938</v>
      </c>
      <c r="H4" s="263">
        <v>936</v>
      </c>
      <c r="I4" s="263">
        <v>917</v>
      </c>
      <c r="J4" s="263">
        <v>917</v>
      </c>
      <c r="K4" s="263">
        <v>926</v>
      </c>
      <c r="L4" s="263">
        <v>922</v>
      </c>
      <c r="M4" s="263">
        <v>915</v>
      </c>
      <c r="N4" s="262"/>
      <c r="O4" s="264">
        <f>ROUND(AVERAGE(B4:M4),0)</f>
        <v>933</v>
      </c>
    </row>
    <row r="5" spans="1:15" ht="18">
      <c r="A5" s="256"/>
      <c r="B5" s="262"/>
      <c r="C5" s="262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2"/>
      <c r="O5" s="264"/>
    </row>
    <row r="6" spans="1:15" ht="18">
      <c r="A6" s="256" t="s">
        <v>284</v>
      </c>
      <c r="B6" s="262">
        <v>330</v>
      </c>
      <c r="C6" s="262">
        <v>328</v>
      </c>
      <c r="D6" s="263">
        <v>319</v>
      </c>
      <c r="E6" s="263">
        <v>325</v>
      </c>
      <c r="F6" s="263">
        <v>324</v>
      </c>
      <c r="G6" s="263">
        <v>323</v>
      </c>
      <c r="H6" s="263">
        <v>323</v>
      </c>
      <c r="I6" s="263">
        <v>321</v>
      </c>
      <c r="J6" s="263">
        <v>320</v>
      </c>
      <c r="K6" s="263">
        <v>319</v>
      </c>
      <c r="L6" s="263">
        <v>319</v>
      </c>
      <c r="M6" s="263">
        <v>319</v>
      </c>
      <c r="N6" s="262"/>
      <c r="O6" s="264">
        <f>ROUND(AVERAGE(B6:M6),0)</f>
        <v>323</v>
      </c>
    </row>
    <row r="7" spans="1:15" ht="18">
      <c r="A7" s="256"/>
      <c r="B7" s="262"/>
      <c r="C7" s="262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2"/>
      <c r="O7" s="264"/>
    </row>
    <row r="8" spans="1:15" ht="18">
      <c r="A8" s="256" t="s">
        <v>294</v>
      </c>
      <c r="B8" s="262">
        <f>1587+12</f>
        <v>1599</v>
      </c>
      <c r="C8" s="262">
        <f>1591+12</f>
        <v>1603</v>
      </c>
      <c r="D8" s="263">
        <f>1598+12</f>
        <v>1610</v>
      </c>
      <c r="E8" s="263">
        <f>1598+13</f>
        <v>1611</v>
      </c>
      <c r="F8" s="263">
        <f>1589+13</f>
        <v>1602</v>
      </c>
      <c r="G8" s="263">
        <f>1585+13</f>
        <v>1598</v>
      </c>
      <c r="H8" s="263">
        <f>1552+13</f>
        <v>1565</v>
      </c>
      <c r="I8" s="263">
        <f>1553+13</f>
        <v>1566</v>
      </c>
      <c r="J8" s="263">
        <f>1551+13</f>
        <v>1564</v>
      </c>
      <c r="K8" s="263">
        <f>1551+13</f>
        <v>1564</v>
      </c>
      <c r="L8" s="263">
        <f>1551+13</f>
        <v>1564</v>
      </c>
      <c r="M8" s="263">
        <f>1556+13</f>
        <v>1569</v>
      </c>
      <c r="N8" s="262"/>
      <c r="O8" s="264">
        <f>ROUND(AVERAGE(B8:M8),0)</f>
        <v>1585</v>
      </c>
    </row>
    <row r="9" spans="1:15" ht="18">
      <c r="A9" s="256"/>
      <c r="B9" s="265"/>
      <c r="C9" s="265"/>
      <c r="D9" s="265"/>
      <c r="E9" s="265"/>
      <c r="F9" s="265"/>
      <c r="G9" s="266"/>
      <c r="H9" s="265"/>
      <c r="I9" s="266"/>
      <c r="J9" s="265"/>
      <c r="K9" s="265"/>
      <c r="L9" s="265"/>
      <c r="M9" s="265"/>
      <c r="N9" s="262"/>
      <c r="O9" s="262"/>
    </row>
    <row r="10" spans="1:15" ht="18.75" thickBot="1">
      <c r="A10" s="256" t="s">
        <v>303</v>
      </c>
      <c r="B10" s="267">
        <f>SUM(B4:B8)</f>
        <v>2865</v>
      </c>
      <c r="C10" s="267">
        <f aca="true" t="shared" si="0" ref="C10:M10">SUM(C4:C8)</f>
        <v>2867</v>
      </c>
      <c r="D10" s="267">
        <f t="shared" si="0"/>
        <v>2890</v>
      </c>
      <c r="E10" s="267">
        <f t="shared" si="0"/>
        <v>2888</v>
      </c>
      <c r="F10" s="267">
        <f t="shared" si="0"/>
        <v>2871</v>
      </c>
      <c r="G10" s="267">
        <f t="shared" si="0"/>
        <v>2859</v>
      </c>
      <c r="H10" s="267">
        <f t="shared" si="0"/>
        <v>2824</v>
      </c>
      <c r="I10" s="267">
        <f t="shared" si="0"/>
        <v>2804</v>
      </c>
      <c r="J10" s="267">
        <f t="shared" si="0"/>
        <v>2801</v>
      </c>
      <c r="K10" s="267">
        <f t="shared" si="0"/>
        <v>2809</v>
      </c>
      <c r="L10" s="267">
        <f t="shared" si="0"/>
        <v>2805</v>
      </c>
      <c r="M10" s="267">
        <f t="shared" si="0"/>
        <v>2803</v>
      </c>
      <c r="N10" s="262"/>
      <c r="O10" s="268">
        <f>SUM(O4:O9)</f>
        <v>2841</v>
      </c>
    </row>
    <row r="11" spans="1:15" ht="18.75" thickTop="1">
      <c r="A11" s="256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9"/>
    </row>
    <row r="12" spans="1:15" ht="18">
      <c r="A12" s="270" t="s">
        <v>313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71"/>
    </row>
    <row r="13" spans="1:15" ht="18.75">
      <c r="A13" s="256" t="s">
        <v>286</v>
      </c>
      <c r="B13" s="272">
        <v>-12</v>
      </c>
      <c r="C13" s="272">
        <v>-13</v>
      </c>
      <c r="D13" s="272">
        <v>-13</v>
      </c>
      <c r="E13" s="272">
        <v>-12</v>
      </c>
      <c r="F13" s="272">
        <v>-12</v>
      </c>
      <c r="G13" s="272">
        <v>-12</v>
      </c>
      <c r="H13" s="272">
        <v>-4</v>
      </c>
      <c r="I13" s="272">
        <v>-4</v>
      </c>
      <c r="J13" s="272">
        <v>0</v>
      </c>
      <c r="K13" s="272">
        <v>0</v>
      </c>
      <c r="L13" s="272">
        <v>0</v>
      </c>
      <c r="M13" s="272">
        <v>0</v>
      </c>
      <c r="N13" s="262"/>
      <c r="O13" s="264">
        <f>ROUND(AVERAGE(B13:M13),0)</f>
        <v>-7</v>
      </c>
    </row>
    <row r="14" spans="1:15" ht="18.75">
      <c r="A14" s="256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62"/>
      <c r="O14" s="264"/>
    </row>
    <row r="15" spans="1:15" ht="18.75">
      <c r="A15" s="256" t="s">
        <v>284</v>
      </c>
      <c r="B15" s="272">
        <v>0</v>
      </c>
      <c r="C15" s="272">
        <v>0</v>
      </c>
      <c r="D15" s="272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62"/>
      <c r="O15" s="264">
        <f>ROUND(AVERAGE(B15:M15),0)</f>
        <v>0</v>
      </c>
    </row>
    <row r="16" spans="1:15" ht="18.75">
      <c r="A16" s="256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62"/>
      <c r="O16" s="273"/>
    </row>
    <row r="17" spans="1:15" ht="18.75">
      <c r="A17" s="256" t="s">
        <v>294</v>
      </c>
      <c r="B17" s="274">
        <v>-33</v>
      </c>
      <c r="C17" s="274">
        <v>-34</v>
      </c>
      <c r="D17" s="274">
        <v>-35</v>
      </c>
      <c r="E17" s="274">
        <v>-31</v>
      </c>
      <c r="F17" s="274">
        <v>-31</v>
      </c>
      <c r="G17" s="274">
        <v>-31</v>
      </c>
      <c r="H17" s="274">
        <v>-2</v>
      </c>
      <c r="I17" s="274">
        <v>-1</v>
      </c>
      <c r="J17" s="274">
        <v>0</v>
      </c>
      <c r="K17" s="274">
        <v>0</v>
      </c>
      <c r="L17" s="274">
        <v>0</v>
      </c>
      <c r="M17" s="274">
        <v>0</v>
      </c>
      <c r="N17" s="262"/>
      <c r="O17" s="264">
        <f>ROUND(AVERAGE(B17:M17),0)</f>
        <v>-17</v>
      </c>
    </row>
    <row r="18" spans="1:15" ht="18.75" customHeight="1">
      <c r="A18" s="256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62"/>
      <c r="O18" s="276"/>
    </row>
    <row r="19" spans="1:15" s="277" customFormat="1" ht="18.75" customHeight="1" thickBot="1">
      <c r="A19" s="256" t="s">
        <v>303</v>
      </c>
      <c r="B19" s="267">
        <f>SUM(B13:B17)</f>
        <v>-45</v>
      </c>
      <c r="C19" s="267">
        <f aca="true" t="shared" si="1" ref="C19:M19">SUM(C13:C17)</f>
        <v>-47</v>
      </c>
      <c r="D19" s="267">
        <f t="shared" si="1"/>
        <v>-48</v>
      </c>
      <c r="E19" s="267">
        <f t="shared" si="1"/>
        <v>-43</v>
      </c>
      <c r="F19" s="267">
        <f t="shared" si="1"/>
        <v>-43</v>
      </c>
      <c r="G19" s="267">
        <f t="shared" si="1"/>
        <v>-43</v>
      </c>
      <c r="H19" s="267">
        <f t="shared" si="1"/>
        <v>-6</v>
      </c>
      <c r="I19" s="267">
        <f t="shared" si="1"/>
        <v>-5</v>
      </c>
      <c r="J19" s="267">
        <f t="shared" si="1"/>
        <v>0</v>
      </c>
      <c r="K19" s="267">
        <f t="shared" si="1"/>
        <v>0</v>
      </c>
      <c r="L19" s="267">
        <f t="shared" si="1"/>
        <v>0</v>
      </c>
      <c r="M19" s="267">
        <f t="shared" si="1"/>
        <v>0</v>
      </c>
      <c r="N19" s="267"/>
      <c r="O19" s="268">
        <f>ROUND(AVERAGE(B19:M19),0)</f>
        <v>-23</v>
      </c>
    </row>
    <row r="20" ht="18.75" customHeight="1" thickTop="1"/>
    <row r="21" ht="18.75" customHeight="1">
      <c r="A21" s="270" t="s">
        <v>314</v>
      </c>
    </row>
    <row r="22" spans="1:15" ht="18.75" customHeight="1">
      <c r="A22" s="256" t="s">
        <v>286</v>
      </c>
      <c r="B22" s="272">
        <f>B4+B13</f>
        <v>924</v>
      </c>
      <c r="C22" s="272">
        <f aca="true" t="shared" si="2" ref="C22:L22">C4+C13</f>
        <v>923</v>
      </c>
      <c r="D22" s="272">
        <f t="shared" si="2"/>
        <v>948</v>
      </c>
      <c r="E22" s="272">
        <f t="shared" si="2"/>
        <v>940</v>
      </c>
      <c r="F22" s="272">
        <f t="shared" si="2"/>
        <v>933</v>
      </c>
      <c r="G22" s="272">
        <f t="shared" si="2"/>
        <v>926</v>
      </c>
      <c r="H22" s="272">
        <f t="shared" si="2"/>
        <v>932</v>
      </c>
      <c r="I22" s="272">
        <f t="shared" si="2"/>
        <v>913</v>
      </c>
      <c r="J22" s="272">
        <f t="shared" si="2"/>
        <v>917</v>
      </c>
      <c r="K22" s="272">
        <f t="shared" si="2"/>
        <v>926</v>
      </c>
      <c r="L22" s="272">
        <f t="shared" si="2"/>
        <v>922</v>
      </c>
      <c r="M22" s="272">
        <f>M4+M13</f>
        <v>915</v>
      </c>
      <c r="O22" s="264">
        <f>ROUND(AVERAGE(B22:M22),0)</f>
        <v>927</v>
      </c>
    </row>
    <row r="23" spans="1:13" ht="18.75" customHeight="1">
      <c r="A23" s="256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5" ht="18.75" customHeight="1">
      <c r="A24" s="256" t="s">
        <v>284</v>
      </c>
      <c r="B24" s="272">
        <f>B6+B15</f>
        <v>330</v>
      </c>
      <c r="C24" s="272">
        <f aca="true" t="shared" si="3" ref="C24:M24">C6+C15</f>
        <v>328</v>
      </c>
      <c r="D24" s="272">
        <f t="shared" si="3"/>
        <v>319</v>
      </c>
      <c r="E24" s="272">
        <f t="shared" si="3"/>
        <v>325</v>
      </c>
      <c r="F24" s="272">
        <f t="shared" si="3"/>
        <v>324</v>
      </c>
      <c r="G24" s="272">
        <f t="shared" si="3"/>
        <v>323</v>
      </c>
      <c r="H24" s="272">
        <f t="shared" si="3"/>
        <v>323</v>
      </c>
      <c r="I24" s="272">
        <f t="shared" si="3"/>
        <v>321</v>
      </c>
      <c r="J24" s="272">
        <f t="shared" si="3"/>
        <v>320</v>
      </c>
      <c r="K24" s="272">
        <f t="shared" si="3"/>
        <v>319</v>
      </c>
      <c r="L24" s="272">
        <f t="shared" si="3"/>
        <v>319</v>
      </c>
      <c r="M24" s="272">
        <f t="shared" si="3"/>
        <v>319</v>
      </c>
      <c r="O24" s="264">
        <f>ROUND(AVERAGE(B24:M24),0)</f>
        <v>323</v>
      </c>
    </row>
    <row r="25" spans="1:13" ht="18.75" customHeight="1">
      <c r="A25" s="256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5" ht="18.75" customHeight="1">
      <c r="A26" s="256" t="s">
        <v>294</v>
      </c>
      <c r="B26" s="274">
        <f>B8+B17</f>
        <v>1566</v>
      </c>
      <c r="C26" s="274">
        <f aca="true" t="shared" si="4" ref="C26:L26">C8+C17</f>
        <v>1569</v>
      </c>
      <c r="D26" s="274">
        <f t="shared" si="4"/>
        <v>1575</v>
      </c>
      <c r="E26" s="274">
        <f t="shared" si="4"/>
        <v>1580</v>
      </c>
      <c r="F26" s="274">
        <f t="shared" si="4"/>
        <v>1571</v>
      </c>
      <c r="G26" s="274">
        <f t="shared" si="4"/>
        <v>1567</v>
      </c>
      <c r="H26" s="274">
        <f t="shared" si="4"/>
        <v>1563</v>
      </c>
      <c r="I26" s="274">
        <f t="shared" si="4"/>
        <v>1565</v>
      </c>
      <c r="J26" s="274">
        <f t="shared" si="4"/>
        <v>1564</v>
      </c>
      <c r="K26" s="274">
        <f t="shared" si="4"/>
        <v>1564</v>
      </c>
      <c r="L26" s="274">
        <f t="shared" si="4"/>
        <v>1564</v>
      </c>
      <c r="M26" s="274">
        <f>M8+M17</f>
        <v>1569</v>
      </c>
      <c r="O26" s="264">
        <f>ROUND(AVERAGE(B26:M26),0)</f>
        <v>1568</v>
      </c>
    </row>
    <row r="27" spans="1:15" ht="18.75" customHeight="1">
      <c r="A27" s="256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O27" s="276"/>
    </row>
    <row r="28" spans="1:15" ht="18.75" customHeight="1" thickBot="1">
      <c r="A28" s="256" t="s">
        <v>303</v>
      </c>
      <c r="B28" s="267">
        <f>SUM(B22:B27)</f>
        <v>2820</v>
      </c>
      <c r="C28" s="267">
        <f aca="true" t="shared" si="5" ref="C28:M28">SUM(C22:C27)</f>
        <v>2820</v>
      </c>
      <c r="D28" s="267">
        <f t="shared" si="5"/>
        <v>2842</v>
      </c>
      <c r="E28" s="267">
        <f t="shared" si="5"/>
        <v>2845</v>
      </c>
      <c r="F28" s="267">
        <f t="shared" si="5"/>
        <v>2828</v>
      </c>
      <c r="G28" s="267">
        <f t="shared" si="5"/>
        <v>2816</v>
      </c>
      <c r="H28" s="267">
        <f t="shared" si="5"/>
        <v>2818</v>
      </c>
      <c r="I28" s="267">
        <f t="shared" si="5"/>
        <v>2799</v>
      </c>
      <c r="J28" s="267">
        <f t="shared" si="5"/>
        <v>2801</v>
      </c>
      <c r="K28" s="267">
        <f t="shared" si="5"/>
        <v>2809</v>
      </c>
      <c r="L28" s="267">
        <f t="shared" si="5"/>
        <v>2805</v>
      </c>
      <c r="M28" s="267">
        <f t="shared" si="5"/>
        <v>2803</v>
      </c>
      <c r="O28" s="268">
        <f>ROUND(AVERAGE(B28:M28),0)</f>
        <v>2817</v>
      </c>
    </row>
    <row r="29" ht="18.75" customHeight="1" thickTop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Footer>&amp;RPSE Resp WUTC DR 151_Atach 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.7109375" style="0" bestFit="1" customWidth="1"/>
    <col min="6" max="6" width="15.7109375" style="0" customWidth="1"/>
    <col min="7" max="7" width="2.7109375" style="0" customWidth="1"/>
    <col min="8" max="8" width="15.7109375" style="0" customWidth="1"/>
    <col min="9" max="9" width="2.7109375" style="0" customWidth="1"/>
    <col min="10" max="10" width="15.7109375" style="0" customWidth="1"/>
  </cols>
  <sheetData>
    <row r="2" spans="2:10" ht="12.75">
      <c r="B2" s="29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>
      <c r="B3" s="29" t="s">
        <v>11</v>
      </c>
      <c r="C3" s="30"/>
      <c r="D3" s="30"/>
      <c r="E3" s="30"/>
      <c r="F3" s="30"/>
      <c r="G3" s="30"/>
      <c r="H3" s="30"/>
      <c r="I3" s="30"/>
      <c r="J3" s="30"/>
    </row>
    <row r="4" spans="2:10" ht="12.75">
      <c r="B4" s="29" t="s">
        <v>260</v>
      </c>
      <c r="C4" s="30"/>
      <c r="D4" s="30"/>
      <c r="E4" s="30"/>
      <c r="F4" s="30"/>
      <c r="G4" s="30"/>
      <c r="H4" s="30"/>
      <c r="I4" s="30"/>
      <c r="J4" s="30"/>
    </row>
    <row r="5" spans="2:10" ht="12.75">
      <c r="B5" s="29"/>
      <c r="C5" s="30"/>
      <c r="D5" s="30"/>
      <c r="E5" s="30"/>
      <c r="F5" s="30"/>
      <c r="G5" s="30"/>
      <c r="H5" s="30"/>
      <c r="I5" s="30"/>
      <c r="J5" s="30"/>
    </row>
    <row r="6" spans="2:10" ht="12.75">
      <c r="B6" s="29"/>
      <c r="C6" s="30"/>
      <c r="D6" s="30"/>
      <c r="E6" s="30"/>
      <c r="F6" s="30"/>
      <c r="G6" s="30"/>
      <c r="H6" s="30"/>
      <c r="I6" s="30"/>
      <c r="J6" s="30"/>
    </row>
    <row r="7" spans="2:10" ht="12.75">
      <c r="B7" s="29"/>
      <c r="C7" s="30"/>
      <c r="D7" s="30"/>
      <c r="E7" s="30"/>
      <c r="F7" s="26"/>
      <c r="G7" s="26"/>
      <c r="H7" s="36">
        <f>'Allocation Method'!E41</f>
        <v>0.6731</v>
      </c>
      <c r="I7" s="33"/>
      <c r="J7" s="163">
        <f>'Allocation Method'!F41</f>
        <v>0.3269</v>
      </c>
    </row>
    <row r="8" spans="2:10" ht="13.5" thickBot="1">
      <c r="B8" s="29"/>
      <c r="C8" s="30"/>
      <c r="D8" s="30"/>
      <c r="E8" s="30"/>
      <c r="F8" s="27" t="s">
        <v>1</v>
      </c>
      <c r="G8" s="28"/>
      <c r="H8" s="27" t="s">
        <v>6</v>
      </c>
      <c r="I8" s="28"/>
      <c r="J8" s="27" t="s">
        <v>7</v>
      </c>
    </row>
    <row r="9" spans="1:10" ht="12.75">
      <c r="A9" s="32">
        <v>1</v>
      </c>
      <c r="B9" t="s">
        <v>12</v>
      </c>
      <c r="F9" s="167">
        <f>'SAP KSB1 Rpt'!C75</f>
        <v>33155347.57</v>
      </c>
      <c r="G9" s="167"/>
      <c r="H9" s="167">
        <f>F9*H7</f>
        <v>22316864.449367</v>
      </c>
      <c r="I9" s="167"/>
      <c r="J9" s="167">
        <f>F9*J7</f>
        <v>10838483.120633</v>
      </c>
    </row>
    <row r="10" spans="1:10" ht="13.5" thickBot="1">
      <c r="A10" s="32">
        <v>2</v>
      </c>
      <c r="B10" t="s">
        <v>15</v>
      </c>
      <c r="F10" s="35">
        <f>'FERC.P354,5 '!D8</f>
        <v>0.6056</v>
      </c>
      <c r="H10" s="31">
        <f>'FERC.P354,5 '!D8</f>
        <v>0.6056</v>
      </c>
      <c r="J10" s="31">
        <f>'FERC.P354,5 '!D8</f>
        <v>0.6056</v>
      </c>
    </row>
    <row r="11" ht="12.75">
      <c r="A11" s="32">
        <v>3</v>
      </c>
    </row>
    <row r="12" spans="1:10" ht="13.5" thickBot="1">
      <c r="A12" s="32">
        <v>4</v>
      </c>
      <c r="B12" t="s">
        <v>14</v>
      </c>
      <c r="F12" s="168">
        <f>F9*F10</f>
        <v>20078878.488392003</v>
      </c>
      <c r="G12" s="168"/>
      <c r="H12" s="168">
        <f>H9*H10</f>
        <v>13515093.110536657</v>
      </c>
      <c r="I12" s="168"/>
      <c r="J12" s="168">
        <f>J9*J10</f>
        <v>6563785.377855346</v>
      </c>
    </row>
    <row r="13" ht="13.5" thickTop="1">
      <c r="F13" s="169" t="s">
        <v>255</v>
      </c>
    </row>
  </sheetData>
  <sheetProtection/>
  <printOptions/>
  <pageMargins left="0.75" right="0.75" top="1" bottom="1" header="0.5" footer="0.5"/>
  <pageSetup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26">
      <selection activeCell="C75" sqref="C75"/>
    </sheetView>
  </sheetViews>
  <sheetFormatPr defaultColWidth="11.421875" defaultRowHeight="12.75" outlineLevelRow="2"/>
  <cols>
    <col min="1" max="1" width="11.57421875" style="195" customWidth="1"/>
    <col min="2" max="2" width="17.57421875" style="195" bestFit="1" customWidth="1"/>
    <col min="3" max="3" width="19.00390625" style="195" bestFit="1" customWidth="1"/>
    <col min="4" max="4" width="12.8515625" style="195" customWidth="1"/>
    <col min="5" max="5" width="23.421875" style="195" bestFit="1" customWidth="1"/>
    <col min="6" max="6" width="11.8515625" style="195" bestFit="1" customWidth="1"/>
    <col min="7" max="16384" width="11.421875" style="195" customWidth="1"/>
  </cols>
  <sheetData>
    <row r="1" ht="12.75">
      <c r="A1" s="194" t="s">
        <v>253</v>
      </c>
    </row>
    <row r="2" ht="12.75">
      <c r="A2" s="196" t="s">
        <v>263</v>
      </c>
    </row>
    <row r="3" ht="12.75">
      <c r="A3" s="196" t="s">
        <v>264</v>
      </c>
    </row>
    <row r="4" ht="12.75">
      <c r="A4" s="196" t="s">
        <v>265</v>
      </c>
    </row>
    <row r="5" spans="1:6" ht="12.75">
      <c r="A5" s="197" t="s">
        <v>266</v>
      </c>
      <c r="B5" s="197" t="s">
        <v>267</v>
      </c>
      <c r="C5" s="197" t="s">
        <v>258</v>
      </c>
      <c r="D5" s="197" t="s">
        <v>268</v>
      </c>
      <c r="E5" s="197" t="s">
        <v>269</v>
      </c>
      <c r="F5" s="197" t="s">
        <v>259</v>
      </c>
    </row>
    <row r="6" spans="1:6" ht="12.75" outlineLevel="2">
      <c r="A6" s="198" t="s">
        <v>270</v>
      </c>
      <c r="B6" s="198" t="s">
        <v>271</v>
      </c>
      <c r="C6" s="199">
        <v>-362</v>
      </c>
      <c r="D6" s="198" t="s">
        <v>272</v>
      </c>
      <c r="E6" s="198" t="s">
        <v>273</v>
      </c>
      <c r="F6" s="200">
        <v>40193</v>
      </c>
    </row>
    <row r="7" spans="1:6" ht="12.75" outlineLevel="2">
      <c r="A7" s="198" t="s">
        <v>270</v>
      </c>
      <c r="B7" s="198" t="s">
        <v>271</v>
      </c>
      <c r="C7" s="199">
        <v>-700</v>
      </c>
      <c r="D7" s="198" t="s">
        <v>274</v>
      </c>
      <c r="E7" s="198" t="s">
        <v>275</v>
      </c>
      <c r="F7" s="200">
        <v>40203</v>
      </c>
    </row>
    <row r="8" spans="1:6" ht="12.75" outlineLevel="2">
      <c r="A8" s="198" t="s">
        <v>270</v>
      </c>
      <c r="B8" s="198" t="s">
        <v>271</v>
      </c>
      <c r="C8" s="199">
        <v>739727.24</v>
      </c>
      <c r="D8" s="198" t="s">
        <v>272</v>
      </c>
      <c r="E8" s="198" t="s">
        <v>273</v>
      </c>
      <c r="F8" s="200">
        <v>40191</v>
      </c>
    </row>
    <row r="9" spans="1:6" ht="12.75" outlineLevel="2">
      <c r="A9" s="198" t="s">
        <v>270</v>
      </c>
      <c r="B9" s="198" t="s">
        <v>271</v>
      </c>
      <c r="C9" s="199">
        <v>1285</v>
      </c>
      <c r="D9" s="198" t="s">
        <v>272</v>
      </c>
      <c r="E9" s="198" t="s">
        <v>273</v>
      </c>
      <c r="F9" s="200">
        <v>40191</v>
      </c>
    </row>
    <row r="10" spans="1:6" ht="12.75" outlineLevel="2">
      <c r="A10" s="198" t="s">
        <v>270</v>
      </c>
      <c r="B10" s="198" t="s">
        <v>271</v>
      </c>
      <c r="C10" s="199">
        <v>362</v>
      </c>
      <c r="D10" s="198" t="s">
        <v>272</v>
      </c>
      <c r="E10" s="198" t="s">
        <v>273</v>
      </c>
      <c r="F10" s="200">
        <v>40193</v>
      </c>
    </row>
    <row r="11" spans="1:6" ht="12.75" outlineLevel="2">
      <c r="A11" s="198" t="s">
        <v>270</v>
      </c>
      <c r="B11" s="198" t="s">
        <v>271</v>
      </c>
      <c r="C11" s="199">
        <v>1277972.75</v>
      </c>
      <c r="D11" s="198" t="s">
        <v>272</v>
      </c>
      <c r="E11" s="198" t="s">
        <v>273</v>
      </c>
      <c r="F11" s="200">
        <v>40200</v>
      </c>
    </row>
    <row r="12" spans="1:6" ht="12.75" outlineLevel="2">
      <c r="A12" s="198" t="s">
        <v>270</v>
      </c>
      <c r="B12" s="198" t="s">
        <v>271</v>
      </c>
      <c r="C12" s="199">
        <v>750009.24</v>
      </c>
      <c r="D12" s="198" t="s">
        <v>272</v>
      </c>
      <c r="E12" s="198" t="s">
        <v>273</v>
      </c>
      <c r="F12" s="200">
        <v>40205</v>
      </c>
    </row>
    <row r="13" spans="1:6" ht="12.75" outlineLevel="2">
      <c r="A13" s="198"/>
      <c r="B13" s="198"/>
      <c r="C13" s="201">
        <f>SUM(C6:C12)</f>
        <v>2768294.23</v>
      </c>
      <c r="D13" s="198"/>
      <c r="E13" s="198"/>
      <c r="F13" s="200"/>
    </row>
    <row r="14" spans="1:6" ht="12.75" outlineLevel="2">
      <c r="A14" s="198" t="s">
        <v>270</v>
      </c>
      <c r="B14" s="198" t="s">
        <v>271</v>
      </c>
      <c r="C14" s="199">
        <v>-700</v>
      </c>
      <c r="D14" s="198" t="s">
        <v>274</v>
      </c>
      <c r="E14" s="198" t="s">
        <v>275</v>
      </c>
      <c r="F14" s="200">
        <v>40220</v>
      </c>
    </row>
    <row r="15" spans="1:6" ht="12.75" outlineLevel="2">
      <c r="A15" s="198" t="s">
        <v>270</v>
      </c>
      <c r="B15" s="198" t="s">
        <v>271</v>
      </c>
      <c r="C15" s="199">
        <v>746584.24</v>
      </c>
      <c r="D15" s="198" t="s">
        <v>272</v>
      </c>
      <c r="E15" s="198" t="s">
        <v>273</v>
      </c>
      <c r="F15" s="200">
        <v>40219</v>
      </c>
    </row>
    <row r="16" spans="1:6" ht="12.75" outlineLevel="2">
      <c r="A16" s="198" t="s">
        <v>270</v>
      </c>
      <c r="B16" s="198" t="s">
        <v>271</v>
      </c>
      <c r="C16" s="199">
        <v>743314.24</v>
      </c>
      <c r="D16" s="198" t="s">
        <v>272</v>
      </c>
      <c r="E16" s="198" t="s">
        <v>273</v>
      </c>
      <c r="F16" s="200">
        <v>40233</v>
      </c>
    </row>
    <row r="17" spans="1:6" ht="12.75" outlineLevel="2">
      <c r="A17" s="198" t="s">
        <v>270</v>
      </c>
      <c r="B17" s="198" t="s">
        <v>271</v>
      </c>
      <c r="C17" s="199">
        <v>1282992.75</v>
      </c>
      <c r="D17" s="198" t="s">
        <v>272</v>
      </c>
      <c r="E17" s="198" t="s">
        <v>273</v>
      </c>
      <c r="F17" s="200">
        <v>40231</v>
      </c>
    </row>
    <row r="18" spans="1:6" ht="12.75" outlineLevel="2">
      <c r="A18" s="198"/>
      <c r="B18" s="198"/>
      <c r="C18" s="201">
        <f>SUM(C14:C17)</f>
        <v>2772191.23</v>
      </c>
      <c r="D18" s="198"/>
      <c r="E18" s="198"/>
      <c r="F18" s="200"/>
    </row>
    <row r="19" spans="1:6" ht="12.75" outlineLevel="2">
      <c r="A19" s="198" t="s">
        <v>270</v>
      </c>
      <c r="B19" s="198" t="s">
        <v>271</v>
      </c>
      <c r="C19" s="199">
        <v>642.5</v>
      </c>
      <c r="D19" s="198" t="s">
        <v>272</v>
      </c>
      <c r="E19" s="198" t="s">
        <v>273</v>
      </c>
      <c r="F19" s="200">
        <v>40263</v>
      </c>
    </row>
    <row r="20" spans="1:6" ht="12.75" outlineLevel="2">
      <c r="A20" s="198" t="s">
        <v>270</v>
      </c>
      <c r="B20" s="198" t="s">
        <v>271</v>
      </c>
      <c r="C20" s="199">
        <v>738819.99</v>
      </c>
      <c r="D20" s="198" t="s">
        <v>272</v>
      </c>
      <c r="E20" s="198" t="s">
        <v>273</v>
      </c>
      <c r="F20" s="200">
        <v>40261</v>
      </c>
    </row>
    <row r="21" spans="1:6" ht="12.75" outlineLevel="2">
      <c r="A21" s="198" t="s">
        <v>270</v>
      </c>
      <c r="B21" s="198" t="s">
        <v>271</v>
      </c>
      <c r="C21" s="199">
        <v>350</v>
      </c>
      <c r="D21" s="198" t="s">
        <v>272</v>
      </c>
      <c r="E21" s="198" t="s">
        <v>273</v>
      </c>
      <c r="F21" s="200">
        <v>40266</v>
      </c>
    </row>
    <row r="22" spans="1:6" ht="12.75" outlineLevel="2">
      <c r="A22" s="198" t="s">
        <v>270</v>
      </c>
      <c r="B22" s="198" t="s">
        <v>271</v>
      </c>
      <c r="C22" s="199">
        <v>1291145.75</v>
      </c>
      <c r="D22" s="198" t="s">
        <v>272</v>
      </c>
      <c r="E22" s="198" t="s">
        <v>273</v>
      </c>
      <c r="F22" s="200">
        <v>40259</v>
      </c>
    </row>
    <row r="23" spans="1:6" ht="12.75" outlineLevel="2">
      <c r="A23" s="198" t="s">
        <v>270</v>
      </c>
      <c r="B23" s="198" t="s">
        <v>271</v>
      </c>
      <c r="C23" s="199">
        <v>739218.49</v>
      </c>
      <c r="D23" s="198" t="s">
        <v>272</v>
      </c>
      <c r="E23" s="198" t="s">
        <v>273</v>
      </c>
      <c r="F23" s="200">
        <v>40247</v>
      </c>
    </row>
    <row r="24" spans="1:6" ht="12.75" outlineLevel="2">
      <c r="A24" s="198"/>
      <c r="B24" s="198"/>
      <c r="C24" s="201">
        <f>SUM(C19:C23)</f>
        <v>2770176.73</v>
      </c>
      <c r="D24" s="198"/>
      <c r="E24" s="198"/>
      <c r="F24" s="200"/>
    </row>
    <row r="25" spans="1:6" ht="12.75" outlineLevel="2">
      <c r="A25" s="198" t="s">
        <v>270</v>
      </c>
      <c r="B25" s="198" t="s">
        <v>271</v>
      </c>
      <c r="C25" s="199">
        <v>763312.24</v>
      </c>
      <c r="D25" s="198" t="s">
        <v>272</v>
      </c>
      <c r="E25" s="198" t="s">
        <v>273</v>
      </c>
      <c r="F25" s="200">
        <v>40275</v>
      </c>
    </row>
    <row r="26" spans="1:6" ht="12.75" outlineLevel="2">
      <c r="A26" s="198" t="s">
        <v>270</v>
      </c>
      <c r="B26" s="198" t="s">
        <v>271</v>
      </c>
      <c r="C26" s="199">
        <v>755118.24</v>
      </c>
      <c r="D26" s="198" t="s">
        <v>272</v>
      </c>
      <c r="E26" s="198" t="s">
        <v>273</v>
      </c>
      <c r="F26" s="200">
        <v>40289</v>
      </c>
    </row>
    <row r="27" spans="1:6" ht="12.75" outlineLevel="2">
      <c r="A27" s="198" t="s">
        <v>270</v>
      </c>
      <c r="B27" s="198" t="s">
        <v>271</v>
      </c>
      <c r="C27" s="199">
        <v>1298779.75</v>
      </c>
      <c r="D27" s="198" t="s">
        <v>272</v>
      </c>
      <c r="E27" s="198" t="s">
        <v>273</v>
      </c>
      <c r="F27" s="200">
        <v>40290</v>
      </c>
    </row>
    <row r="28" spans="1:6" ht="12.75" outlineLevel="2">
      <c r="A28" s="198"/>
      <c r="B28" s="198"/>
      <c r="C28" s="201">
        <f>SUM(C25:C27)</f>
        <v>2817210.23</v>
      </c>
      <c r="D28" s="198"/>
      <c r="E28" s="198"/>
      <c r="F28" s="200"/>
    </row>
    <row r="29" spans="1:6" ht="12.75" outlineLevel="2">
      <c r="A29" s="198" t="s">
        <v>270</v>
      </c>
      <c r="B29" s="198" t="s">
        <v>271</v>
      </c>
      <c r="C29" s="199">
        <v>742631.24</v>
      </c>
      <c r="D29" s="198" t="s">
        <v>272</v>
      </c>
      <c r="E29" s="198" t="s">
        <v>273</v>
      </c>
      <c r="F29" s="200">
        <v>40303</v>
      </c>
    </row>
    <row r="30" spans="1:6" ht="12.75" outlineLevel="2">
      <c r="A30" s="198" t="s">
        <v>270</v>
      </c>
      <c r="B30" s="198" t="s">
        <v>271</v>
      </c>
      <c r="C30" s="199">
        <v>743165.24</v>
      </c>
      <c r="D30" s="198" t="s">
        <v>272</v>
      </c>
      <c r="E30" s="198" t="s">
        <v>273</v>
      </c>
      <c r="F30" s="200">
        <v>40317</v>
      </c>
    </row>
    <row r="31" spans="1:6" ht="12.75" outlineLevel="2">
      <c r="A31" s="198" t="s">
        <v>270</v>
      </c>
      <c r="B31" s="198" t="s">
        <v>271</v>
      </c>
      <c r="C31" s="199">
        <v>1298094.75</v>
      </c>
      <c r="D31" s="198" t="s">
        <v>272</v>
      </c>
      <c r="E31" s="198" t="s">
        <v>273</v>
      </c>
      <c r="F31" s="200">
        <v>40319</v>
      </c>
    </row>
    <row r="32" spans="1:6" ht="12.75" outlineLevel="2">
      <c r="A32" s="198" t="s">
        <v>270</v>
      </c>
      <c r="B32" s="198" t="s">
        <v>271</v>
      </c>
      <c r="C32" s="199">
        <v>92.5</v>
      </c>
      <c r="D32" s="198" t="s">
        <v>272</v>
      </c>
      <c r="E32" s="198" t="s">
        <v>273</v>
      </c>
      <c r="F32" s="200">
        <v>40329</v>
      </c>
    </row>
    <row r="33" spans="1:6" ht="12.75" outlineLevel="2">
      <c r="A33" s="198"/>
      <c r="B33" s="198"/>
      <c r="C33" s="201">
        <f>SUM(C29:C32)</f>
        <v>2783983.73</v>
      </c>
      <c r="D33" s="198"/>
      <c r="E33" s="198"/>
      <c r="F33" s="200"/>
    </row>
    <row r="34" spans="1:6" ht="12.75" outlineLevel="2">
      <c r="A34" s="198" t="s">
        <v>270</v>
      </c>
      <c r="B34" s="198" t="s">
        <v>271</v>
      </c>
      <c r="C34" s="199">
        <v>-362</v>
      </c>
      <c r="D34" s="198" t="s">
        <v>276</v>
      </c>
      <c r="E34" s="198" t="s">
        <v>277</v>
      </c>
      <c r="F34" s="200">
        <v>40344</v>
      </c>
    </row>
    <row r="35" spans="1:6" ht="12.75" outlineLevel="2">
      <c r="A35" s="198" t="s">
        <v>270</v>
      </c>
      <c r="B35" s="198" t="s">
        <v>271</v>
      </c>
      <c r="C35" s="199">
        <v>550</v>
      </c>
      <c r="D35" s="198" t="s">
        <v>272</v>
      </c>
      <c r="E35" s="198" t="s">
        <v>273</v>
      </c>
      <c r="F35" s="200">
        <v>40347</v>
      </c>
    </row>
    <row r="36" spans="1:6" ht="12.75" outlineLevel="2">
      <c r="A36" s="198" t="s">
        <v>270</v>
      </c>
      <c r="B36" s="198" t="s">
        <v>271</v>
      </c>
      <c r="C36" s="199">
        <v>1299724.75</v>
      </c>
      <c r="D36" s="198" t="s">
        <v>272</v>
      </c>
      <c r="E36" s="198" t="s">
        <v>273</v>
      </c>
      <c r="F36" s="200">
        <v>40351</v>
      </c>
    </row>
    <row r="37" spans="1:6" ht="12.75" outlineLevel="2">
      <c r="A37" s="198" t="s">
        <v>270</v>
      </c>
      <c r="B37" s="198" t="s">
        <v>271</v>
      </c>
      <c r="C37" s="199">
        <v>744453.74</v>
      </c>
      <c r="D37" s="198" t="s">
        <v>272</v>
      </c>
      <c r="E37" s="198" t="s">
        <v>273</v>
      </c>
      <c r="F37" s="200">
        <v>40345</v>
      </c>
    </row>
    <row r="38" spans="1:6" ht="12.75" outlineLevel="2">
      <c r="A38" s="198" t="s">
        <v>270</v>
      </c>
      <c r="B38" s="198" t="s">
        <v>271</v>
      </c>
      <c r="C38" s="199">
        <v>731820.74</v>
      </c>
      <c r="D38" s="198" t="s">
        <v>272</v>
      </c>
      <c r="E38" s="198" t="s">
        <v>273</v>
      </c>
      <c r="F38" s="200">
        <v>40359</v>
      </c>
    </row>
    <row r="39" spans="1:6" ht="12.75" outlineLevel="2">
      <c r="A39" s="198"/>
      <c r="B39" s="198"/>
      <c r="C39" s="201">
        <f>SUM(C34:C38)</f>
        <v>2776187.23</v>
      </c>
      <c r="D39" s="198"/>
      <c r="E39" s="198"/>
      <c r="F39" s="200"/>
    </row>
    <row r="40" spans="1:6" ht="12.75" outlineLevel="2">
      <c r="A40" s="198" t="s">
        <v>270</v>
      </c>
      <c r="B40" s="198" t="s">
        <v>271</v>
      </c>
      <c r="C40" s="199">
        <v>1277231.75</v>
      </c>
      <c r="D40" s="198" t="s">
        <v>272</v>
      </c>
      <c r="E40" s="198" t="s">
        <v>273</v>
      </c>
      <c r="F40" s="200">
        <v>40381</v>
      </c>
    </row>
    <row r="41" spans="1:6" ht="12.75" outlineLevel="2">
      <c r="A41" s="198" t="s">
        <v>270</v>
      </c>
      <c r="B41" s="198" t="s">
        <v>271</v>
      </c>
      <c r="C41" s="199">
        <v>733821.74</v>
      </c>
      <c r="D41" s="198" t="s">
        <v>272</v>
      </c>
      <c r="E41" s="198" t="s">
        <v>273</v>
      </c>
      <c r="F41" s="200">
        <v>40373</v>
      </c>
    </row>
    <row r="42" spans="1:6" ht="12.75" outlineLevel="2">
      <c r="A42" s="198" t="s">
        <v>270</v>
      </c>
      <c r="B42" s="198" t="s">
        <v>271</v>
      </c>
      <c r="C42" s="199">
        <v>731824.74</v>
      </c>
      <c r="D42" s="198" t="s">
        <v>272</v>
      </c>
      <c r="E42" s="198" t="s">
        <v>273</v>
      </c>
      <c r="F42" s="200">
        <v>40387</v>
      </c>
    </row>
    <row r="43" spans="1:6" ht="12.75" outlineLevel="2">
      <c r="A43" s="198" t="s">
        <v>270</v>
      </c>
      <c r="B43" s="198" t="s">
        <v>271</v>
      </c>
      <c r="C43" s="199">
        <v>700</v>
      </c>
      <c r="D43" s="198" t="s">
        <v>272</v>
      </c>
      <c r="E43" s="198" t="s">
        <v>273</v>
      </c>
      <c r="F43" s="200">
        <v>40386</v>
      </c>
    </row>
    <row r="44" spans="1:6" ht="12.75" outlineLevel="2">
      <c r="A44" s="198" t="s">
        <v>270</v>
      </c>
      <c r="B44" s="198" t="s">
        <v>271</v>
      </c>
      <c r="C44" s="199">
        <v>13.07</v>
      </c>
      <c r="D44" s="198" t="s">
        <v>278</v>
      </c>
      <c r="E44" s="198" t="s">
        <v>279</v>
      </c>
      <c r="F44" s="200">
        <v>40388</v>
      </c>
    </row>
    <row r="45" spans="1:6" ht="12.75" outlineLevel="2">
      <c r="A45" s="198"/>
      <c r="B45" s="198"/>
      <c r="C45" s="201">
        <f>SUM(C40:C44)</f>
        <v>2743591.3</v>
      </c>
      <c r="D45" s="198"/>
      <c r="E45" s="198"/>
      <c r="F45" s="200"/>
    </row>
    <row r="46" spans="1:6" ht="12.75" outlineLevel="2">
      <c r="A46" s="198" t="s">
        <v>270</v>
      </c>
      <c r="B46" s="198" t="s">
        <v>271</v>
      </c>
      <c r="C46" s="199">
        <v>1274546.75</v>
      </c>
      <c r="D46" s="198" t="s">
        <v>272</v>
      </c>
      <c r="E46" s="198" t="s">
        <v>273</v>
      </c>
      <c r="F46" s="200">
        <v>40410</v>
      </c>
    </row>
    <row r="47" spans="1:6" ht="12.75" outlineLevel="2">
      <c r="A47" s="198" t="s">
        <v>270</v>
      </c>
      <c r="B47" s="198" t="s">
        <v>271</v>
      </c>
      <c r="C47" s="199">
        <v>728488.37</v>
      </c>
      <c r="D47" s="198" t="s">
        <v>272</v>
      </c>
      <c r="E47" s="198" t="s">
        <v>273</v>
      </c>
      <c r="F47" s="200">
        <v>40415</v>
      </c>
    </row>
    <row r="48" spans="1:6" ht="12.75" outlineLevel="2">
      <c r="A48" s="198" t="s">
        <v>270</v>
      </c>
      <c r="B48" s="198" t="s">
        <v>271</v>
      </c>
      <c r="C48" s="199">
        <v>730954.87</v>
      </c>
      <c r="D48" s="198" t="s">
        <v>272</v>
      </c>
      <c r="E48" s="198" t="s">
        <v>273</v>
      </c>
      <c r="F48" s="200">
        <v>40401</v>
      </c>
    </row>
    <row r="49" spans="1:6" ht="12.75" outlineLevel="2">
      <c r="A49" s="198"/>
      <c r="B49" s="198"/>
      <c r="C49" s="201">
        <f>SUM(C46:C48)</f>
        <v>2733989.99</v>
      </c>
      <c r="D49" s="198"/>
      <c r="E49" s="198"/>
      <c r="F49" s="200"/>
    </row>
    <row r="50" spans="1:6" ht="12.75" outlineLevel="2">
      <c r="A50" s="198" t="s">
        <v>270</v>
      </c>
      <c r="B50" s="198" t="s">
        <v>271</v>
      </c>
      <c r="C50" s="199">
        <v>729553.37</v>
      </c>
      <c r="D50" s="198" t="s">
        <v>272</v>
      </c>
      <c r="E50" s="198" t="s">
        <v>273</v>
      </c>
      <c r="F50" s="200">
        <v>40429</v>
      </c>
    </row>
    <row r="51" spans="1:6" ht="12.75" outlineLevel="2">
      <c r="A51" s="198" t="s">
        <v>270</v>
      </c>
      <c r="B51" s="198" t="s">
        <v>271</v>
      </c>
      <c r="C51" s="199">
        <v>4200</v>
      </c>
      <c r="D51" s="198" t="s">
        <v>280</v>
      </c>
      <c r="E51" s="198" t="s">
        <v>281</v>
      </c>
      <c r="F51" s="200">
        <v>40430</v>
      </c>
    </row>
    <row r="52" spans="1:6" ht="12.75" outlineLevel="2">
      <c r="A52" s="198" t="s">
        <v>270</v>
      </c>
      <c r="B52" s="198" t="s">
        <v>271</v>
      </c>
      <c r="C52" s="199">
        <v>1280066.75</v>
      </c>
      <c r="D52" s="198" t="s">
        <v>272</v>
      </c>
      <c r="E52" s="198" t="s">
        <v>273</v>
      </c>
      <c r="F52" s="200">
        <v>40443</v>
      </c>
    </row>
    <row r="53" spans="1:6" ht="12.75" outlineLevel="2">
      <c r="A53" s="198" t="s">
        <v>270</v>
      </c>
      <c r="B53" s="198" t="s">
        <v>271</v>
      </c>
      <c r="C53" s="199">
        <v>730885.87</v>
      </c>
      <c r="D53" s="198" t="s">
        <v>272</v>
      </c>
      <c r="E53" s="198" t="s">
        <v>273</v>
      </c>
      <c r="F53" s="200">
        <v>40443</v>
      </c>
    </row>
    <row r="54" spans="1:6" ht="12.75" outlineLevel="2">
      <c r="A54" s="198"/>
      <c r="B54" s="198"/>
      <c r="C54" s="201">
        <f>SUM(C50:C53)</f>
        <v>2744705.99</v>
      </c>
      <c r="D54" s="198"/>
      <c r="E54" s="198"/>
      <c r="F54" s="200"/>
    </row>
    <row r="55" spans="1:6" ht="12.75" outlineLevel="2">
      <c r="A55" s="198" t="s">
        <v>270</v>
      </c>
      <c r="B55" s="198" t="s">
        <v>271</v>
      </c>
      <c r="C55" s="199">
        <v>733003.49</v>
      </c>
      <c r="D55" s="198" t="s">
        <v>272</v>
      </c>
      <c r="E55" s="198" t="s">
        <v>273</v>
      </c>
      <c r="F55" s="200">
        <v>40457</v>
      </c>
    </row>
    <row r="56" spans="1:6" ht="12.75" outlineLevel="2">
      <c r="A56" s="198" t="s">
        <v>270</v>
      </c>
      <c r="B56" s="198" t="s">
        <v>271</v>
      </c>
      <c r="C56" s="199">
        <v>160</v>
      </c>
      <c r="D56" s="198" t="s">
        <v>272</v>
      </c>
      <c r="E56" s="198" t="s">
        <v>273</v>
      </c>
      <c r="F56" s="200">
        <v>40458</v>
      </c>
    </row>
    <row r="57" spans="1:6" ht="12.75" outlineLevel="2">
      <c r="A57" s="198" t="s">
        <v>270</v>
      </c>
      <c r="B57" s="198" t="s">
        <v>271</v>
      </c>
      <c r="C57" s="199">
        <v>1274943.75</v>
      </c>
      <c r="D57" s="198" t="s">
        <v>272</v>
      </c>
      <c r="E57" s="198" t="s">
        <v>273</v>
      </c>
      <c r="F57" s="200">
        <v>40473</v>
      </c>
    </row>
    <row r="58" spans="1:6" ht="12.75" outlineLevel="2">
      <c r="A58" s="198" t="s">
        <v>270</v>
      </c>
      <c r="B58" s="198" t="s">
        <v>271</v>
      </c>
      <c r="C58" s="199">
        <v>905</v>
      </c>
      <c r="D58" s="198" t="s">
        <v>272</v>
      </c>
      <c r="E58" s="198" t="s">
        <v>273</v>
      </c>
      <c r="F58" s="200">
        <v>40463</v>
      </c>
    </row>
    <row r="59" spans="1:6" ht="12.75" outlineLevel="2">
      <c r="A59" s="198" t="s">
        <v>270</v>
      </c>
      <c r="B59" s="198" t="s">
        <v>271</v>
      </c>
      <c r="C59" s="199">
        <v>735143.23</v>
      </c>
      <c r="D59" s="198" t="s">
        <v>272</v>
      </c>
      <c r="E59" s="198" t="s">
        <v>273</v>
      </c>
      <c r="F59" s="200">
        <v>40471</v>
      </c>
    </row>
    <row r="60" spans="1:6" ht="12.75" outlineLevel="2">
      <c r="A60" s="198" t="s">
        <v>270</v>
      </c>
      <c r="B60" s="198" t="s">
        <v>271</v>
      </c>
      <c r="C60" s="199">
        <v>642.5</v>
      </c>
      <c r="D60" s="198" t="s">
        <v>272</v>
      </c>
      <c r="E60" s="198" t="s">
        <v>273</v>
      </c>
      <c r="F60" s="200">
        <v>40476</v>
      </c>
    </row>
    <row r="61" spans="1:6" ht="12.75" outlineLevel="2">
      <c r="A61" s="198" t="s">
        <v>270</v>
      </c>
      <c r="B61" s="198" t="s">
        <v>271</v>
      </c>
      <c r="C61" s="199">
        <v>1285</v>
      </c>
      <c r="D61" s="198" t="s">
        <v>272</v>
      </c>
      <c r="E61" s="198" t="s">
        <v>273</v>
      </c>
      <c r="F61" s="200">
        <v>40476</v>
      </c>
    </row>
    <row r="62" spans="1:6" ht="12.75" outlineLevel="2">
      <c r="A62" s="198" t="s">
        <v>270</v>
      </c>
      <c r="B62" s="198" t="s">
        <v>271</v>
      </c>
      <c r="C62" s="199">
        <v>1525</v>
      </c>
      <c r="D62" s="198" t="s">
        <v>272</v>
      </c>
      <c r="E62" s="198" t="s">
        <v>273</v>
      </c>
      <c r="F62" s="200">
        <v>40482</v>
      </c>
    </row>
    <row r="63" spans="1:6" ht="12.75" outlineLevel="2">
      <c r="A63" s="198"/>
      <c r="B63" s="198"/>
      <c r="C63" s="201">
        <f>SUM(C55:C62)</f>
        <v>2747607.9699999997</v>
      </c>
      <c r="D63" s="198"/>
      <c r="E63" s="198"/>
      <c r="F63" s="200"/>
    </row>
    <row r="64" spans="1:6" ht="12.75" outlineLevel="2">
      <c r="A64" s="198" t="s">
        <v>270</v>
      </c>
      <c r="B64" s="198" t="s">
        <v>271</v>
      </c>
      <c r="C64" s="199">
        <v>642.5</v>
      </c>
      <c r="D64" s="198" t="s">
        <v>272</v>
      </c>
      <c r="E64" s="198" t="s">
        <v>273</v>
      </c>
      <c r="F64" s="200">
        <v>40501</v>
      </c>
    </row>
    <row r="65" spans="1:6" ht="12.75" outlineLevel="2">
      <c r="A65" s="198" t="s">
        <v>270</v>
      </c>
      <c r="B65" s="198" t="s">
        <v>271</v>
      </c>
      <c r="C65" s="199">
        <v>729431.86</v>
      </c>
      <c r="D65" s="198" t="s">
        <v>272</v>
      </c>
      <c r="E65" s="198" t="s">
        <v>273</v>
      </c>
      <c r="F65" s="200">
        <v>40499</v>
      </c>
    </row>
    <row r="66" spans="1:6" ht="12.75" outlineLevel="2">
      <c r="A66" s="198" t="s">
        <v>270</v>
      </c>
      <c r="B66" s="198" t="s">
        <v>271</v>
      </c>
      <c r="C66" s="199">
        <v>724</v>
      </c>
      <c r="D66" s="198" t="s">
        <v>272</v>
      </c>
      <c r="E66" s="198" t="s">
        <v>273</v>
      </c>
      <c r="F66" s="200">
        <v>40501</v>
      </c>
    </row>
    <row r="67" spans="1:6" ht="12.75" outlineLevel="2">
      <c r="A67" s="198" t="s">
        <v>270</v>
      </c>
      <c r="B67" s="198" t="s">
        <v>271</v>
      </c>
      <c r="C67" s="199">
        <v>1288347.75</v>
      </c>
      <c r="D67" s="198" t="s">
        <v>272</v>
      </c>
      <c r="E67" s="198" t="s">
        <v>273</v>
      </c>
      <c r="F67" s="200">
        <v>40504</v>
      </c>
    </row>
    <row r="68" spans="1:6" ht="12.75" outlineLevel="2">
      <c r="A68" s="198" t="s">
        <v>270</v>
      </c>
      <c r="B68" s="198" t="s">
        <v>271</v>
      </c>
      <c r="C68" s="199">
        <v>735350.86</v>
      </c>
      <c r="D68" s="198" t="s">
        <v>272</v>
      </c>
      <c r="E68" s="198" t="s">
        <v>273</v>
      </c>
      <c r="F68" s="200">
        <v>40512</v>
      </c>
    </row>
    <row r="69" spans="1:6" ht="12.75" outlineLevel="2">
      <c r="A69" s="198"/>
      <c r="B69" s="198"/>
      <c r="C69" s="201">
        <f>SUM(C64:C68)</f>
        <v>2754496.9699999997</v>
      </c>
      <c r="D69" s="198"/>
      <c r="E69" s="198"/>
      <c r="F69" s="200"/>
    </row>
    <row r="70" spans="1:6" ht="12.75" outlineLevel="2">
      <c r="A70" s="198" t="s">
        <v>270</v>
      </c>
      <c r="B70" s="198" t="s">
        <v>271</v>
      </c>
      <c r="C70" s="199">
        <v>730382.86</v>
      </c>
      <c r="D70" s="198" t="s">
        <v>272</v>
      </c>
      <c r="E70" s="198" t="s">
        <v>273</v>
      </c>
      <c r="F70" s="200">
        <v>40527</v>
      </c>
    </row>
    <row r="71" spans="1:6" ht="12.75" outlineLevel="2">
      <c r="A71" s="198" t="s">
        <v>270</v>
      </c>
      <c r="B71" s="198" t="s">
        <v>271</v>
      </c>
      <c r="C71" s="199">
        <v>1285349.75</v>
      </c>
      <c r="D71" s="198" t="s">
        <v>272</v>
      </c>
      <c r="E71" s="198" t="s">
        <v>273</v>
      </c>
      <c r="F71" s="200">
        <v>40534</v>
      </c>
    </row>
    <row r="72" spans="1:6" ht="12.75" outlineLevel="2">
      <c r="A72" s="198" t="s">
        <v>270</v>
      </c>
      <c r="B72" s="198" t="s">
        <v>271</v>
      </c>
      <c r="C72" s="199">
        <v>726479.36</v>
      </c>
      <c r="D72" s="198" t="s">
        <v>272</v>
      </c>
      <c r="E72" s="198" t="s">
        <v>273</v>
      </c>
      <c r="F72" s="200">
        <v>40540</v>
      </c>
    </row>
    <row r="73" spans="1:6" ht="12.75" outlineLevel="2">
      <c r="A73" s="198" t="s">
        <v>270</v>
      </c>
      <c r="B73" s="198" t="s">
        <v>271</v>
      </c>
      <c r="C73" s="199">
        <v>700</v>
      </c>
      <c r="D73" s="198" t="s">
        <v>274</v>
      </c>
      <c r="E73" s="198" t="s">
        <v>275</v>
      </c>
      <c r="F73" s="200">
        <v>40542</v>
      </c>
    </row>
    <row r="74" spans="1:6" ht="12.75" outlineLevel="2">
      <c r="A74" s="198"/>
      <c r="B74" s="198"/>
      <c r="C74" s="201">
        <f>SUM(C70:C73)</f>
        <v>2742911.9699999997</v>
      </c>
      <c r="D74" s="198"/>
      <c r="E74" s="198"/>
      <c r="F74" s="200"/>
    </row>
    <row r="75" spans="1:6" ht="13.5" outlineLevel="1" thickBot="1">
      <c r="A75" s="202" t="s">
        <v>254</v>
      </c>
      <c r="B75" s="203"/>
      <c r="C75" s="204">
        <f>C13+C18+C24+C28+C33+C39+C45+C49+C54+C63+C69+C74</f>
        <v>33155347.57</v>
      </c>
      <c r="D75" s="203"/>
      <c r="E75" s="203"/>
      <c r="F75" s="205"/>
    </row>
    <row r="76" ht="13.5" thickTop="1"/>
    <row r="77" ht="12.75">
      <c r="C77" s="206"/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00390625" style="53" customWidth="1"/>
    <col min="2" max="2" width="55.421875" style="39" bestFit="1" customWidth="1"/>
    <col min="3" max="3" width="10.140625" style="39" customWidth="1"/>
    <col min="4" max="4" width="16.00390625" style="39" customWidth="1"/>
    <col min="5" max="5" width="12.8515625" style="39" customWidth="1"/>
    <col min="6" max="6" width="17.28125" style="39" customWidth="1"/>
    <col min="7" max="7" width="13.00390625" style="39" customWidth="1"/>
    <col min="8" max="8" width="17.28125" style="39" customWidth="1"/>
    <col min="9" max="9" width="15.140625" style="39" customWidth="1"/>
    <col min="10" max="10" width="17.7109375" style="39" customWidth="1"/>
    <col min="11" max="11" width="13.57421875" style="39" customWidth="1"/>
    <col min="12" max="12" width="3.57421875" style="39" customWidth="1"/>
    <col min="13" max="13" width="19.00390625" style="39" customWidth="1"/>
    <col min="14" max="14" width="8.7109375" style="39" customWidth="1"/>
    <col min="15" max="15" width="12.140625" style="39" customWidth="1"/>
    <col min="16" max="16" width="12.7109375" style="39" hidden="1" customWidth="1"/>
    <col min="17" max="17" width="17.28125" style="39" hidden="1" customWidth="1"/>
    <col min="18" max="16384" width="9.140625" style="39" customWidth="1"/>
  </cols>
  <sheetData>
    <row r="1" spans="1:15" ht="13.5" thickBot="1">
      <c r="A1" s="38" t="s">
        <v>17</v>
      </c>
      <c r="O1" s="40"/>
    </row>
    <row r="2" spans="1:13" ht="12.75">
      <c r="A2" s="38" t="s">
        <v>18</v>
      </c>
      <c r="D2" s="38" t="s">
        <v>262</v>
      </c>
      <c r="H2" s="41"/>
      <c r="I2" s="42"/>
      <c r="J2" s="42"/>
      <c r="K2" s="42"/>
      <c r="L2" s="42"/>
      <c r="M2" s="43"/>
    </row>
    <row r="3" spans="1:17" ht="13.5" customHeight="1">
      <c r="A3" s="38"/>
      <c r="D3" s="44"/>
      <c r="H3" s="45" t="s">
        <v>19</v>
      </c>
      <c r="I3" s="46"/>
      <c r="J3" s="46"/>
      <c r="K3" s="47" t="s">
        <v>20</v>
      </c>
      <c r="L3" s="47"/>
      <c r="M3" s="48">
        <f>SUM(M29:M31)</f>
        <v>47628712.22244404</v>
      </c>
      <c r="N3" s="49"/>
      <c r="O3" s="50"/>
      <c r="P3" s="51">
        <v>26929101.874986053</v>
      </c>
      <c r="Q3" s="52">
        <f>M3-P3</f>
        <v>20699610.34745799</v>
      </c>
    </row>
    <row r="4" spans="4:17" ht="13.5" customHeight="1">
      <c r="D4" s="54" t="s">
        <v>6</v>
      </c>
      <c r="E4" s="54" t="s">
        <v>7</v>
      </c>
      <c r="F4" s="54" t="s">
        <v>1</v>
      </c>
      <c r="H4" s="45" t="s">
        <v>21</v>
      </c>
      <c r="I4" s="46"/>
      <c r="J4" s="46"/>
      <c r="K4" s="47" t="s">
        <v>22</v>
      </c>
      <c r="L4" s="47"/>
      <c r="M4" s="48">
        <f>SUM($M$61:$M$66)</f>
        <v>23754416.951529805</v>
      </c>
      <c r="N4" s="49"/>
      <c r="O4" s="50"/>
      <c r="P4" s="51">
        <v>17058458.588262837</v>
      </c>
      <c r="Q4" s="52">
        <f>M4-P4</f>
        <v>6695958.363266967</v>
      </c>
    </row>
    <row r="5" spans="2:17" ht="13.5" customHeight="1" thickBot="1">
      <c r="B5" s="38" t="s">
        <v>23</v>
      </c>
      <c r="D5" s="55">
        <v>0.6649</v>
      </c>
      <c r="E5" s="55">
        <v>0.3351</v>
      </c>
      <c r="F5" s="55">
        <f>+D5+E5</f>
        <v>1</v>
      </c>
      <c r="H5" s="45" t="s">
        <v>24</v>
      </c>
      <c r="I5" s="46"/>
      <c r="J5" s="46"/>
      <c r="K5" s="47" t="s">
        <v>25</v>
      </c>
      <c r="L5" s="47"/>
      <c r="M5" s="48">
        <f>SUM($M$30:$M$31)</f>
        <v>24954096.66760711</v>
      </c>
      <c r="N5" s="49"/>
      <c r="O5" s="50"/>
      <c r="P5" s="51">
        <v>18327028.33512972</v>
      </c>
      <c r="Q5" s="52">
        <f>M5-P5</f>
        <v>6627068.332477391</v>
      </c>
    </row>
    <row r="6" spans="2:17" ht="13.5" customHeight="1">
      <c r="B6" s="53"/>
      <c r="H6" s="45" t="s">
        <v>26</v>
      </c>
      <c r="I6" s="46"/>
      <c r="J6" s="46"/>
      <c r="K6" s="47" t="s">
        <v>27</v>
      </c>
      <c r="L6" s="47"/>
      <c r="M6" s="48">
        <f>SUM(M65:M66)</f>
        <v>22550435.78346507</v>
      </c>
      <c r="N6" s="49"/>
      <c r="O6" s="50"/>
      <c r="P6" s="51">
        <v>16460933.017452978</v>
      </c>
      <c r="Q6" s="52">
        <f>M6-P6</f>
        <v>6089502.766012091</v>
      </c>
    </row>
    <row r="7" spans="2:13" ht="13.5" customHeight="1" thickBot="1">
      <c r="B7" s="53"/>
      <c r="D7" s="56" t="s">
        <v>28</v>
      </c>
      <c r="E7" s="56" t="s">
        <v>29</v>
      </c>
      <c r="F7" s="56" t="s">
        <v>30</v>
      </c>
      <c r="G7" s="39" t="s">
        <v>1</v>
      </c>
      <c r="H7" s="57"/>
      <c r="I7" s="58"/>
      <c r="J7" s="58"/>
      <c r="K7" s="58"/>
      <c r="L7" s="58"/>
      <c r="M7" s="59"/>
    </row>
    <row r="8" spans="2:7" ht="13.5" customHeight="1" thickBot="1">
      <c r="B8" s="38" t="s">
        <v>31</v>
      </c>
      <c r="D8" s="60">
        <f>+K116</f>
        <v>0.6056</v>
      </c>
      <c r="E8" s="60">
        <f>+K118</f>
        <v>0.3878</v>
      </c>
      <c r="F8" s="60">
        <f>+K117</f>
        <v>0.0066</v>
      </c>
      <c r="G8" s="60">
        <f>ROUND(SUM(D8:F8),4)</f>
        <v>1</v>
      </c>
    </row>
    <row r="9" ht="6.75" customHeight="1"/>
    <row r="10" spans="4:15" ht="13.5" customHeight="1">
      <c r="D10" s="61" t="s">
        <v>32</v>
      </c>
      <c r="E10" s="62" t="s">
        <v>33</v>
      </c>
      <c r="F10" s="61" t="s">
        <v>34</v>
      </c>
      <c r="G10" s="61" t="s">
        <v>35</v>
      </c>
      <c r="H10" s="61" t="s">
        <v>36</v>
      </c>
      <c r="I10" s="61" t="s">
        <v>37</v>
      </c>
      <c r="J10" s="61" t="s">
        <v>38</v>
      </c>
      <c r="K10" s="61" t="s">
        <v>39</v>
      </c>
      <c r="L10" s="63" t="s">
        <v>40</v>
      </c>
      <c r="M10" s="63"/>
      <c r="N10" s="61" t="s">
        <v>41</v>
      </c>
      <c r="O10" s="61" t="s">
        <v>42</v>
      </c>
    </row>
    <row r="11" spans="1:15" s="70" customFormat="1" ht="63.75">
      <c r="A11" s="64" t="s">
        <v>43</v>
      </c>
      <c r="B11" s="65" t="s">
        <v>44</v>
      </c>
      <c r="C11" s="64" t="s">
        <v>45</v>
      </c>
      <c r="D11" s="66" t="s">
        <v>46</v>
      </c>
      <c r="E11" s="66" t="s">
        <v>47</v>
      </c>
      <c r="F11" s="66" t="s">
        <v>48</v>
      </c>
      <c r="G11" s="66" t="s">
        <v>49</v>
      </c>
      <c r="H11" s="66" t="s">
        <v>50</v>
      </c>
      <c r="I11" s="67" t="s">
        <v>51</v>
      </c>
      <c r="J11" s="66" t="s">
        <v>52</v>
      </c>
      <c r="K11" s="67" t="s">
        <v>53</v>
      </c>
      <c r="L11" s="68" t="s">
        <v>54</v>
      </c>
      <c r="M11" s="69"/>
      <c r="N11" s="66" t="s">
        <v>55</v>
      </c>
      <c r="O11" s="66" t="s">
        <v>56</v>
      </c>
    </row>
    <row r="12" spans="1:15" ht="12.75">
      <c r="A12" s="71">
        <v>1</v>
      </c>
      <c r="B12" s="72" t="s">
        <v>57</v>
      </c>
      <c r="C12" s="73"/>
      <c r="D12" s="74"/>
      <c r="E12" s="75"/>
      <c r="F12" s="74"/>
      <c r="G12" s="75"/>
      <c r="H12" s="74"/>
      <c r="I12" s="76"/>
      <c r="J12" s="74"/>
      <c r="K12" s="76"/>
      <c r="L12" s="77"/>
      <c r="M12" s="78"/>
      <c r="N12" s="76"/>
      <c r="O12" s="76"/>
    </row>
    <row r="13" spans="1:15" ht="12.75">
      <c r="A13" s="71">
        <v>2</v>
      </c>
      <c r="B13" s="79" t="s">
        <v>58</v>
      </c>
      <c r="C13" s="73"/>
      <c r="D13" s="80"/>
      <c r="E13" s="81"/>
      <c r="F13" s="80"/>
      <c r="G13" s="81"/>
      <c r="H13" s="80"/>
      <c r="I13" s="76"/>
      <c r="J13" s="82"/>
      <c r="K13" s="76"/>
      <c r="L13" s="83"/>
      <c r="M13" s="84"/>
      <c r="N13" s="76"/>
      <c r="O13" s="76"/>
    </row>
    <row r="14" spans="1:15" ht="12.75">
      <c r="A14" s="73">
        <v>3</v>
      </c>
      <c r="B14" s="76" t="s">
        <v>59</v>
      </c>
      <c r="C14" s="73" t="s">
        <v>60</v>
      </c>
      <c r="D14" s="85">
        <v>15807257.81</v>
      </c>
      <c r="E14" s="85"/>
      <c r="F14" s="86">
        <f aca="true" t="shared" si="0" ref="F14:F20">SUM(D14:E14)</f>
        <v>15807257.81</v>
      </c>
      <c r="G14" s="85"/>
      <c r="H14" s="86">
        <f aca="true" t="shared" si="1" ref="H14:H20">SUM(F14:G14)</f>
        <v>15807257.81</v>
      </c>
      <c r="I14" s="87"/>
      <c r="J14" s="86">
        <f aca="true" t="shared" si="2" ref="J14:J20">SUM(H14:I14)</f>
        <v>15807257.81</v>
      </c>
      <c r="K14" s="88">
        <f aca="true" t="shared" si="3" ref="K14:K20">J14/$J$74*$K$74</f>
        <v>2425454.625404696</v>
      </c>
      <c r="L14" s="89"/>
      <c r="M14" s="90">
        <f aca="true" t="shared" si="4" ref="M14:M20">SUM(J14:K14)</f>
        <v>18232712.435404696</v>
      </c>
      <c r="N14" s="91">
        <f aca="true" t="shared" si="5" ref="N14:N77">M14/$M$113</f>
        <v>0.08348467910314568</v>
      </c>
      <c r="O14" s="91">
        <f aca="true" t="shared" si="6" ref="O14:O74">M14/$M$74</f>
        <v>0.13785491893416205</v>
      </c>
    </row>
    <row r="15" spans="1:15" ht="12.75">
      <c r="A15" s="73">
        <v>4</v>
      </c>
      <c r="B15" s="76" t="s">
        <v>61</v>
      </c>
      <c r="C15" s="73" t="s">
        <v>62</v>
      </c>
      <c r="D15" s="85">
        <v>2275610.72</v>
      </c>
      <c r="E15" s="85"/>
      <c r="F15" s="86">
        <f t="shared" si="0"/>
        <v>2275610.72</v>
      </c>
      <c r="G15" s="85"/>
      <c r="H15" s="86">
        <f t="shared" si="1"/>
        <v>2275610.72</v>
      </c>
      <c r="I15" s="87"/>
      <c r="J15" s="86">
        <f t="shared" si="2"/>
        <v>2275610.72</v>
      </c>
      <c r="K15" s="88">
        <f t="shared" si="3"/>
        <v>349168.1234523062</v>
      </c>
      <c r="L15" s="89"/>
      <c r="M15" s="90">
        <f t="shared" si="4"/>
        <v>2624778.8434523065</v>
      </c>
      <c r="N15" s="91">
        <f t="shared" si="5"/>
        <v>0.01201844323704861</v>
      </c>
      <c r="O15" s="91">
        <f t="shared" si="6"/>
        <v>0.01984557569073457</v>
      </c>
    </row>
    <row r="16" spans="1:15" ht="12.75">
      <c r="A16" s="73">
        <v>5</v>
      </c>
      <c r="B16" s="76" t="s">
        <v>63</v>
      </c>
      <c r="C16" s="73" t="s">
        <v>64</v>
      </c>
      <c r="D16" s="85">
        <v>8068369.63</v>
      </c>
      <c r="E16" s="85"/>
      <c r="F16" s="86">
        <f t="shared" si="0"/>
        <v>8068369.63</v>
      </c>
      <c r="G16" s="85"/>
      <c r="H16" s="86">
        <f t="shared" si="1"/>
        <v>8068369.63</v>
      </c>
      <c r="I16" s="87"/>
      <c r="J16" s="86">
        <f t="shared" si="2"/>
        <v>8068369.63</v>
      </c>
      <c r="K16" s="88">
        <f t="shared" si="3"/>
        <v>1238005.0147710138</v>
      </c>
      <c r="L16" s="89"/>
      <c r="M16" s="90">
        <f t="shared" si="4"/>
        <v>9306374.644771013</v>
      </c>
      <c r="N16" s="91">
        <f t="shared" si="5"/>
        <v>0.042612403589697395</v>
      </c>
      <c r="O16" s="91">
        <f t="shared" si="6"/>
        <v>0.07036416149111349</v>
      </c>
    </row>
    <row r="17" spans="1:15" ht="12.75">
      <c r="A17" s="73">
        <v>6</v>
      </c>
      <c r="B17" s="76" t="s">
        <v>65</v>
      </c>
      <c r="C17" s="73" t="s">
        <v>66</v>
      </c>
      <c r="D17" s="85">
        <v>2173524.94</v>
      </c>
      <c r="E17" s="85"/>
      <c r="F17" s="86">
        <f t="shared" si="0"/>
        <v>2173524.94</v>
      </c>
      <c r="G17" s="85"/>
      <c r="H17" s="86">
        <f t="shared" si="1"/>
        <v>2173524.94</v>
      </c>
      <c r="I17" s="87">
        <f>+H101*$D$5</f>
        <v>10281495.589708</v>
      </c>
      <c r="J17" s="86">
        <f t="shared" si="2"/>
        <v>12455020.529708</v>
      </c>
      <c r="K17" s="88">
        <f t="shared" si="3"/>
        <v>1911089.6726299876</v>
      </c>
      <c r="L17" s="89"/>
      <c r="M17" s="92">
        <f t="shared" si="4"/>
        <v>14366110.202337988</v>
      </c>
      <c r="N17" s="91">
        <f t="shared" si="5"/>
        <v>0.06578012484163842</v>
      </c>
      <c r="O17" s="91">
        <f t="shared" si="6"/>
        <v>0.10862009502748918</v>
      </c>
    </row>
    <row r="18" spans="1:15" ht="12.75">
      <c r="A18" s="73">
        <v>7</v>
      </c>
      <c r="B18" s="76" t="s">
        <v>67</v>
      </c>
      <c r="C18" s="73" t="s">
        <v>68</v>
      </c>
      <c r="D18" s="85">
        <v>265785.6</v>
      </c>
      <c r="E18" s="85"/>
      <c r="F18" s="86">
        <f t="shared" si="0"/>
        <v>265785.6</v>
      </c>
      <c r="G18" s="85"/>
      <c r="H18" s="86">
        <f t="shared" si="1"/>
        <v>265785.6</v>
      </c>
      <c r="I18" s="87">
        <f>+H102*$D$5</f>
        <v>841651.151582</v>
      </c>
      <c r="J18" s="86">
        <f t="shared" si="2"/>
        <v>1107436.751582</v>
      </c>
      <c r="K18" s="88">
        <f t="shared" si="3"/>
        <v>169924.32360839145</v>
      </c>
      <c r="L18" s="89"/>
      <c r="M18" s="92">
        <f t="shared" si="4"/>
        <v>1277361.0751903914</v>
      </c>
      <c r="N18" s="91">
        <f t="shared" si="5"/>
        <v>0.005848832412562096</v>
      </c>
      <c r="O18" s="91">
        <f t="shared" si="6"/>
        <v>0.00965794355030187</v>
      </c>
    </row>
    <row r="19" spans="1:15" ht="12.75">
      <c r="A19" s="73">
        <v>8</v>
      </c>
      <c r="B19" s="76" t="s">
        <v>69</v>
      </c>
      <c r="C19" s="73" t="s">
        <v>70</v>
      </c>
      <c r="D19" s="85">
        <v>98539.91</v>
      </c>
      <c r="E19" s="85"/>
      <c r="F19" s="86">
        <f t="shared" si="0"/>
        <v>98539.91</v>
      </c>
      <c r="G19" s="85"/>
      <c r="H19" s="86">
        <f t="shared" si="1"/>
        <v>98539.91</v>
      </c>
      <c r="I19" s="87">
        <f>+H103*$D$5</f>
        <v>0</v>
      </c>
      <c r="J19" s="86">
        <f t="shared" si="2"/>
        <v>98539.91</v>
      </c>
      <c r="K19" s="88">
        <f t="shared" si="3"/>
        <v>15119.89513736301</v>
      </c>
      <c r="L19" s="89"/>
      <c r="M19" s="92">
        <f t="shared" si="4"/>
        <v>113659.80513736302</v>
      </c>
      <c r="N19" s="91">
        <f t="shared" si="5"/>
        <v>0.0005204301001530167</v>
      </c>
      <c r="O19" s="91">
        <f t="shared" si="6"/>
        <v>0.0008593654552933255</v>
      </c>
    </row>
    <row r="20" spans="1:15" ht="12.75">
      <c r="A20" s="73">
        <v>9</v>
      </c>
      <c r="B20" s="76" t="s">
        <v>71</v>
      </c>
      <c r="C20" s="73" t="s">
        <v>72</v>
      </c>
      <c r="D20" s="85">
        <v>5773932.97</v>
      </c>
      <c r="E20" s="85"/>
      <c r="F20" s="86">
        <f t="shared" si="0"/>
        <v>5773932.97</v>
      </c>
      <c r="G20" s="85"/>
      <c r="H20" s="86">
        <f t="shared" si="1"/>
        <v>5773932.97</v>
      </c>
      <c r="I20" s="87">
        <f>+H104*$D$5</f>
        <v>15366753.436970005</v>
      </c>
      <c r="J20" s="86">
        <f t="shared" si="2"/>
        <v>21140686.406970005</v>
      </c>
      <c r="K20" s="88">
        <f t="shared" si="3"/>
        <v>3243812.1935088234</v>
      </c>
      <c r="L20" s="89"/>
      <c r="M20" s="92">
        <f t="shared" si="4"/>
        <v>24384498.600478828</v>
      </c>
      <c r="N20" s="91">
        <f t="shared" si="5"/>
        <v>0.11165272572385056</v>
      </c>
      <c r="O20" s="91">
        <f t="shared" si="6"/>
        <v>0.1843676902012514</v>
      </c>
    </row>
    <row r="21" spans="1:15" ht="12.75">
      <c r="A21" s="71">
        <v>10</v>
      </c>
      <c r="B21" s="79" t="s">
        <v>73</v>
      </c>
      <c r="C21" s="73"/>
      <c r="D21" s="85">
        <f aca="true" t="shared" si="7" ref="D21:K21">SUM(D14:D20)</f>
        <v>34463021.580000006</v>
      </c>
      <c r="E21" s="85"/>
      <c r="F21" s="85">
        <f t="shared" si="7"/>
        <v>34463021.580000006</v>
      </c>
      <c r="G21" s="85">
        <f t="shared" si="7"/>
        <v>0</v>
      </c>
      <c r="H21" s="85">
        <f t="shared" si="7"/>
        <v>34463021.580000006</v>
      </c>
      <c r="I21" s="85">
        <f t="shared" si="7"/>
        <v>26489900.178260006</v>
      </c>
      <c r="J21" s="85">
        <f t="shared" si="7"/>
        <v>60952921.75826</v>
      </c>
      <c r="K21" s="85">
        <f t="shared" si="7"/>
        <v>9352573.848512582</v>
      </c>
      <c r="L21" s="93"/>
      <c r="M21" s="92">
        <f>SUM(M14:M20)</f>
        <v>70305495.60677259</v>
      </c>
      <c r="N21" s="91">
        <f t="shared" si="5"/>
        <v>0.3219176390080958</v>
      </c>
      <c r="O21" s="91">
        <f t="shared" si="6"/>
        <v>0.5315697503503459</v>
      </c>
    </row>
    <row r="22" spans="1:15" ht="12.75">
      <c r="A22" s="71">
        <v>11</v>
      </c>
      <c r="B22" s="79" t="s">
        <v>74</v>
      </c>
      <c r="C22" s="73"/>
      <c r="D22" s="94"/>
      <c r="E22" s="85"/>
      <c r="F22" s="94"/>
      <c r="G22" s="85"/>
      <c r="H22" s="95"/>
      <c r="I22" s="87"/>
      <c r="J22" s="96"/>
      <c r="K22" s="88"/>
      <c r="L22" s="97"/>
      <c r="M22" s="98"/>
      <c r="N22" s="91">
        <f t="shared" si="5"/>
        <v>0</v>
      </c>
      <c r="O22" s="91">
        <f t="shared" si="6"/>
        <v>0</v>
      </c>
    </row>
    <row r="23" spans="1:15" ht="12.75">
      <c r="A23" s="73">
        <v>12</v>
      </c>
      <c r="B23" s="76" t="s">
        <v>59</v>
      </c>
      <c r="C23" s="73" t="s">
        <v>75</v>
      </c>
      <c r="D23" s="85">
        <v>3851007.25</v>
      </c>
      <c r="E23" s="85"/>
      <c r="F23" s="86">
        <f>SUM(D23:E23)</f>
        <v>3851007.25</v>
      </c>
      <c r="G23" s="85"/>
      <c r="H23" s="86">
        <f>SUM(F23:G23)</f>
        <v>3851007.25</v>
      </c>
      <c r="I23" s="87"/>
      <c r="J23" s="86">
        <f>SUM(H23:I23)</f>
        <v>3851007.25</v>
      </c>
      <c r="K23" s="88">
        <f>J23/$J$74*$K$74</f>
        <v>590895.8694322401</v>
      </c>
      <c r="L23" s="89"/>
      <c r="M23" s="92">
        <f>SUM(J23:K23)</f>
        <v>4441903.11943224</v>
      </c>
      <c r="N23" s="91">
        <f t="shared" si="5"/>
        <v>0.020338765164363285</v>
      </c>
      <c r="O23" s="91">
        <f t="shared" si="6"/>
        <v>0.03358459124566023</v>
      </c>
    </row>
    <row r="24" spans="1:15" ht="12.75">
      <c r="A24" s="73">
        <v>13</v>
      </c>
      <c r="B24" s="76" t="s">
        <v>61</v>
      </c>
      <c r="C24" s="73" t="s">
        <v>76</v>
      </c>
      <c r="D24" s="85">
        <v>366490.89</v>
      </c>
      <c r="E24" s="85"/>
      <c r="F24" s="86">
        <f>SUM(D24:E24)</f>
        <v>366490.89</v>
      </c>
      <c r="G24" s="85"/>
      <c r="H24" s="86">
        <f>SUM(F24:G24)</f>
        <v>366490.89</v>
      </c>
      <c r="I24" s="87"/>
      <c r="J24" s="86">
        <f>SUM(H24:I24)</f>
        <v>366490.89</v>
      </c>
      <c r="K24" s="88">
        <f>J24/$J$74*$K$74</f>
        <v>56234.106826349256</v>
      </c>
      <c r="L24" s="89"/>
      <c r="M24" s="92">
        <f>SUM(J24:K24)</f>
        <v>422724.9968263493</v>
      </c>
      <c r="N24" s="91">
        <f t="shared" si="5"/>
        <v>0.0019355902657904626</v>
      </c>
      <c r="O24" s="91">
        <f t="shared" si="6"/>
        <v>0.003196162961237798</v>
      </c>
    </row>
    <row r="25" spans="1:15" ht="12.75">
      <c r="A25" s="73">
        <v>14</v>
      </c>
      <c r="B25" s="76" t="s">
        <v>63</v>
      </c>
      <c r="C25" s="73" t="s">
        <v>77</v>
      </c>
      <c r="D25" s="85">
        <v>10924040.95</v>
      </c>
      <c r="E25" s="85"/>
      <c r="F25" s="86">
        <f>SUM(D25:E25)</f>
        <v>10924040.95</v>
      </c>
      <c r="G25" s="85"/>
      <c r="H25" s="86">
        <f>SUM(F25:G25)</f>
        <v>10924040.95</v>
      </c>
      <c r="I25" s="87"/>
      <c r="J25" s="86">
        <f>SUM(H25:I25)</f>
        <v>10924040.95</v>
      </c>
      <c r="K25" s="88">
        <f>J25/$J$74*$K$74</f>
        <v>1676177.2325574418</v>
      </c>
      <c r="L25" s="89"/>
      <c r="M25" s="92">
        <f>SUM(J25:K25)</f>
        <v>12600218.182557441</v>
      </c>
      <c r="N25" s="91">
        <f t="shared" si="5"/>
        <v>0.05769438723542731</v>
      </c>
      <c r="O25" s="91">
        <f t="shared" si="6"/>
        <v>0.09526843920031672</v>
      </c>
    </row>
    <row r="26" spans="1:15" ht="12.75">
      <c r="A26" s="73">
        <v>15</v>
      </c>
      <c r="B26" s="76" t="s">
        <v>71</v>
      </c>
      <c r="C26" s="73" t="s">
        <v>78</v>
      </c>
      <c r="D26" s="85">
        <v>73791</v>
      </c>
      <c r="E26" s="85"/>
      <c r="F26" s="86">
        <f>SUM(D26:E26)</f>
        <v>73791</v>
      </c>
      <c r="G26" s="85"/>
      <c r="H26" s="86">
        <f>SUM(F26:G26)</f>
        <v>73791</v>
      </c>
      <c r="I26" s="87">
        <f>+H105*$D$5</f>
        <v>680612.3582840001</v>
      </c>
      <c r="J26" s="86">
        <f>SUM(H26:I26)</f>
        <v>754403.3582840001</v>
      </c>
      <c r="K26" s="88">
        <f>J26/$J$74*$K$74</f>
        <v>115755.12570012067</v>
      </c>
      <c r="L26" s="89"/>
      <c r="M26" s="92">
        <f>SUM(J26:K26)</f>
        <v>870158.4839841208</v>
      </c>
      <c r="N26" s="91">
        <f t="shared" si="5"/>
        <v>0.003984316763710403</v>
      </c>
      <c r="O26" s="91">
        <f t="shared" si="6"/>
        <v>0.006579143267601355</v>
      </c>
    </row>
    <row r="27" spans="1:15" ht="12.75">
      <c r="A27" s="71">
        <v>16</v>
      </c>
      <c r="B27" s="79" t="s">
        <v>79</v>
      </c>
      <c r="C27" s="73"/>
      <c r="D27" s="85">
        <f aca="true" t="shared" si="8" ref="D27:K27">SUM(D23:D26)</f>
        <v>15215330.09</v>
      </c>
      <c r="E27" s="85"/>
      <c r="F27" s="85">
        <f t="shared" si="8"/>
        <v>15215330.09</v>
      </c>
      <c r="G27" s="85">
        <f t="shared" si="8"/>
        <v>0</v>
      </c>
      <c r="H27" s="85">
        <f t="shared" si="8"/>
        <v>15215330.09</v>
      </c>
      <c r="I27" s="85">
        <f t="shared" si="8"/>
        <v>680612.3582840001</v>
      </c>
      <c r="J27" s="85">
        <f t="shared" si="8"/>
        <v>15895942.448284</v>
      </c>
      <c r="K27" s="85">
        <f t="shared" si="8"/>
        <v>2439062.334516152</v>
      </c>
      <c r="L27" s="89"/>
      <c r="M27" s="92">
        <f>SUM(M23:M26)</f>
        <v>18335004.782800153</v>
      </c>
      <c r="N27" s="91">
        <f t="shared" si="5"/>
        <v>0.08395305942929147</v>
      </c>
      <c r="O27" s="91">
        <f t="shared" si="6"/>
        <v>0.1386283366748161</v>
      </c>
    </row>
    <row r="28" spans="1:15" ht="12.75">
      <c r="A28" s="71">
        <v>17</v>
      </c>
      <c r="B28" s="79" t="s">
        <v>80</v>
      </c>
      <c r="C28" s="73"/>
      <c r="D28" s="94"/>
      <c r="E28" s="85"/>
      <c r="F28" s="94"/>
      <c r="G28" s="85"/>
      <c r="H28" s="95"/>
      <c r="I28" s="87"/>
      <c r="J28" s="96"/>
      <c r="K28" s="88"/>
      <c r="L28" s="97"/>
      <c r="M28" s="98"/>
      <c r="N28" s="91">
        <f t="shared" si="5"/>
        <v>0</v>
      </c>
      <c r="O28" s="91">
        <f t="shared" si="6"/>
        <v>0</v>
      </c>
    </row>
    <row r="29" spans="1:15" ht="12.75">
      <c r="A29" s="73">
        <v>18</v>
      </c>
      <c r="B29" s="76" t="s">
        <v>81</v>
      </c>
      <c r="C29" s="73"/>
      <c r="D29" s="85">
        <f aca="true" t="shared" si="9" ref="D29:J31">+D14+D23</f>
        <v>19658265.060000002</v>
      </c>
      <c r="E29" s="85"/>
      <c r="F29" s="85">
        <f t="shared" si="9"/>
        <v>19658265.060000002</v>
      </c>
      <c r="G29" s="85">
        <f t="shared" si="9"/>
        <v>0</v>
      </c>
      <c r="H29" s="85">
        <f t="shared" si="9"/>
        <v>19658265.060000002</v>
      </c>
      <c r="I29" s="85">
        <f t="shared" si="9"/>
        <v>0</v>
      </c>
      <c r="J29" s="85">
        <f t="shared" si="9"/>
        <v>19658265.060000002</v>
      </c>
      <c r="K29" s="85">
        <f>+K14+K23</f>
        <v>3016350.4948369362</v>
      </c>
      <c r="L29" s="99" t="s">
        <v>82</v>
      </c>
      <c r="M29" s="90">
        <f>+M14+M23</f>
        <v>22674615.554836936</v>
      </c>
      <c r="N29" s="91">
        <f t="shared" si="5"/>
        <v>0.10382344426750897</v>
      </c>
      <c r="O29" s="91">
        <f t="shared" si="6"/>
        <v>0.17143951017982229</v>
      </c>
    </row>
    <row r="30" spans="1:15" ht="12.75">
      <c r="A30" s="73">
        <v>19</v>
      </c>
      <c r="B30" s="76" t="s">
        <v>83</v>
      </c>
      <c r="C30" s="73"/>
      <c r="D30" s="85">
        <f t="shared" si="9"/>
        <v>2642101.6100000003</v>
      </c>
      <c r="E30" s="85"/>
      <c r="F30" s="85">
        <f t="shared" si="9"/>
        <v>2642101.6100000003</v>
      </c>
      <c r="G30" s="85">
        <f t="shared" si="9"/>
        <v>0</v>
      </c>
      <c r="H30" s="85">
        <f t="shared" si="9"/>
        <v>2642101.6100000003</v>
      </c>
      <c r="I30" s="85">
        <f t="shared" si="9"/>
        <v>0</v>
      </c>
      <c r="J30" s="85">
        <f t="shared" si="9"/>
        <v>2642101.6100000003</v>
      </c>
      <c r="K30" s="85">
        <f>+K15+K24</f>
        <v>405402.2302786555</v>
      </c>
      <c r="L30" s="99" t="s">
        <v>84</v>
      </c>
      <c r="M30" s="90">
        <f>+M15+M24</f>
        <v>3047503.8402786558</v>
      </c>
      <c r="N30" s="91">
        <f t="shared" si="5"/>
        <v>0.013954033502839072</v>
      </c>
      <c r="O30" s="91">
        <f t="shared" si="6"/>
        <v>0.023041738651972368</v>
      </c>
    </row>
    <row r="31" spans="1:15" ht="12.75">
      <c r="A31" s="73">
        <v>20</v>
      </c>
      <c r="B31" s="76" t="s">
        <v>85</v>
      </c>
      <c r="C31" s="73"/>
      <c r="D31" s="85">
        <f t="shared" si="9"/>
        <v>18992410.58</v>
      </c>
      <c r="E31" s="85"/>
      <c r="F31" s="85">
        <f t="shared" si="9"/>
        <v>18992410.58</v>
      </c>
      <c r="G31" s="85">
        <f t="shared" si="9"/>
        <v>0</v>
      </c>
      <c r="H31" s="85">
        <f t="shared" si="9"/>
        <v>18992410.58</v>
      </c>
      <c r="I31" s="85">
        <f t="shared" si="9"/>
        <v>0</v>
      </c>
      <c r="J31" s="85">
        <f t="shared" si="9"/>
        <v>18992410.58</v>
      </c>
      <c r="K31" s="85">
        <f>+K16+K25</f>
        <v>2914182.2473284556</v>
      </c>
      <c r="L31" s="99" t="s">
        <v>84</v>
      </c>
      <c r="M31" s="90">
        <f>+M16+M25</f>
        <v>21906592.827328455</v>
      </c>
      <c r="N31" s="91">
        <f t="shared" si="5"/>
        <v>0.10030679082512471</v>
      </c>
      <c r="O31" s="91">
        <f t="shared" si="6"/>
        <v>0.1656326006914302</v>
      </c>
    </row>
    <row r="32" spans="1:15" ht="12.75">
      <c r="A32" s="73">
        <v>21</v>
      </c>
      <c r="B32" s="76" t="s">
        <v>86</v>
      </c>
      <c r="C32" s="73"/>
      <c r="D32" s="85">
        <f aca="true" t="shared" si="10" ref="D32:J34">+D17</f>
        <v>2173524.94</v>
      </c>
      <c r="E32" s="85"/>
      <c r="F32" s="85">
        <f t="shared" si="10"/>
        <v>2173524.94</v>
      </c>
      <c r="G32" s="85">
        <f t="shared" si="10"/>
        <v>0</v>
      </c>
      <c r="H32" s="85">
        <f t="shared" si="10"/>
        <v>2173524.94</v>
      </c>
      <c r="I32" s="85">
        <f t="shared" si="10"/>
        <v>10281495.589708</v>
      </c>
      <c r="J32" s="85">
        <f t="shared" si="10"/>
        <v>12455020.529708</v>
      </c>
      <c r="K32" s="85">
        <f>+K17</f>
        <v>1911089.6726299876</v>
      </c>
      <c r="L32" s="99"/>
      <c r="M32" s="90">
        <f>+M17</f>
        <v>14366110.202337988</v>
      </c>
      <c r="N32" s="91">
        <f t="shared" si="5"/>
        <v>0.06578012484163842</v>
      </c>
      <c r="O32" s="91">
        <f t="shared" si="6"/>
        <v>0.10862009502748918</v>
      </c>
    </row>
    <row r="33" spans="1:15" ht="12.75">
      <c r="A33" s="73">
        <v>22</v>
      </c>
      <c r="B33" s="76" t="s">
        <v>87</v>
      </c>
      <c r="C33" s="73"/>
      <c r="D33" s="85">
        <f t="shared" si="10"/>
        <v>265785.6</v>
      </c>
      <c r="E33" s="85"/>
      <c r="F33" s="85">
        <f t="shared" si="10"/>
        <v>265785.6</v>
      </c>
      <c r="G33" s="85">
        <f t="shared" si="10"/>
        <v>0</v>
      </c>
      <c r="H33" s="85">
        <f t="shared" si="10"/>
        <v>265785.6</v>
      </c>
      <c r="I33" s="85">
        <f t="shared" si="10"/>
        <v>841651.151582</v>
      </c>
      <c r="J33" s="85">
        <f t="shared" si="10"/>
        <v>1107436.751582</v>
      </c>
      <c r="K33" s="85">
        <f>+K18</f>
        <v>169924.32360839145</v>
      </c>
      <c r="L33" s="93"/>
      <c r="M33" s="90">
        <f>+M18</f>
        <v>1277361.0751903914</v>
      </c>
      <c r="N33" s="91">
        <f t="shared" si="5"/>
        <v>0.005848832412562096</v>
      </c>
      <c r="O33" s="91">
        <f t="shared" si="6"/>
        <v>0.00965794355030187</v>
      </c>
    </row>
    <row r="34" spans="1:15" ht="12.75">
      <c r="A34" s="73">
        <v>23</v>
      </c>
      <c r="B34" s="76" t="s">
        <v>88</v>
      </c>
      <c r="C34" s="73"/>
      <c r="D34" s="85">
        <f t="shared" si="10"/>
        <v>98539.91</v>
      </c>
      <c r="E34" s="85"/>
      <c r="F34" s="85">
        <f t="shared" si="10"/>
        <v>98539.91</v>
      </c>
      <c r="G34" s="85">
        <f t="shared" si="10"/>
        <v>0</v>
      </c>
      <c r="H34" s="85">
        <f t="shared" si="10"/>
        <v>98539.91</v>
      </c>
      <c r="I34" s="85">
        <f t="shared" si="10"/>
        <v>0</v>
      </c>
      <c r="J34" s="85">
        <f t="shared" si="10"/>
        <v>98539.91</v>
      </c>
      <c r="K34" s="85">
        <f>+K19</f>
        <v>15119.89513736301</v>
      </c>
      <c r="L34" s="93"/>
      <c r="M34" s="90">
        <f>+M19</f>
        <v>113659.80513736302</v>
      </c>
      <c r="N34" s="91">
        <f t="shared" si="5"/>
        <v>0.0005204301001530167</v>
      </c>
      <c r="O34" s="91">
        <f t="shared" si="6"/>
        <v>0.0008593654552933255</v>
      </c>
    </row>
    <row r="35" spans="1:15" ht="13.5" thickBot="1">
      <c r="A35" s="73">
        <v>24</v>
      </c>
      <c r="B35" s="76" t="s">
        <v>89</v>
      </c>
      <c r="C35" s="73"/>
      <c r="D35" s="85">
        <f aca="true" t="shared" si="11" ref="D35:J35">+D20+D26</f>
        <v>5847723.97</v>
      </c>
      <c r="E35" s="85"/>
      <c r="F35" s="85">
        <f t="shared" si="11"/>
        <v>5847723.97</v>
      </c>
      <c r="G35" s="85">
        <f t="shared" si="11"/>
        <v>0</v>
      </c>
      <c r="H35" s="85">
        <f t="shared" si="11"/>
        <v>5847723.97</v>
      </c>
      <c r="I35" s="85">
        <f t="shared" si="11"/>
        <v>16047365.795254005</v>
      </c>
      <c r="J35" s="85">
        <f t="shared" si="11"/>
        <v>21895089.765254006</v>
      </c>
      <c r="K35" s="85">
        <f>+K20+K26</f>
        <v>3359567.319208944</v>
      </c>
      <c r="L35" s="93"/>
      <c r="M35" s="90">
        <f>+M20+M26</f>
        <v>25254657.08446295</v>
      </c>
      <c r="N35" s="91">
        <f t="shared" si="5"/>
        <v>0.11563704248756096</v>
      </c>
      <c r="O35" s="100">
        <f t="shared" si="6"/>
        <v>0.19094683346885274</v>
      </c>
    </row>
    <row r="36" spans="1:15" ht="14.25" thickBot="1" thickTop="1">
      <c r="A36" s="71">
        <v>25</v>
      </c>
      <c r="B36" s="79" t="s">
        <v>90</v>
      </c>
      <c r="C36" s="73"/>
      <c r="D36" s="85">
        <f aca="true" t="shared" si="12" ref="D36:K36">SUM(D29:D35)</f>
        <v>49678351.669999994</v>
      </c>
      <c r="E36" s="85"/>
      <c r="F36" s="85">
        <f t="shared" si="12"/>
        <v>49678351.669999994</v>
      </c>
      <c r="G36" s="85">
        <f t="shared" si="12"/>
        <v>0</v>
      </c>
      <c r="H36" s="85">
        <f t="shared" si="12"/>
        <v>49678351.669999994</v>
      </c>
      <c r="I36" s="85">
        <f t="shared" si="12"/>
        <v>27170512.536544006</v>
      </c>
      <c r="J36" s="85">
        <f t="shared" si="12"/>
        <v>76848864.206544</v>
      </c>
      <c r="K36" s="85">
        <f t="shared" si="12"/>
        <v>11791636.183028733</v>
      </c>
      <c r="L36" s="89"/>
      <c r="M36" s="90">
        <f>M27+M21</f>
        <v>88640500.38957274</v>
      </c>
      <c r="N36" s="101">
        <f t="shared" si="5"/>
        <v>0.40587069843738727</v>
      </c>
      <c r="O36" s="102">
        <f t="shared" si="6"/>
        <v>0.670198087025162</v>
      </c>
    </row>
    <row r="37" spans="1:15" ht="13.5" thickTop="1">
      <c r="A37" s="71">
        <v>26</v>
      </c>
      <c r="B37" s="72" t="s">
        <v>91</v>
      </c>
      <c r="C37" s="73"/>
      <c r="D37" s="103"/>
      <c r="E37" s="85"/>
      <c r="F37" s="103"/>
      <c r="G37" s="85"/>
      <c r="H37" s="103"/>
      <c r="I37" s="87"/>
      <c r="J37" s="104"/>
      <c r="K37" s="88"/>
      <c r="L37" s="105"/>
      <c r="M37" s="106"/>
      <c r="N37" s="91">
        <f t="shared" si="5"/>
        <v>0</v>
      </c>
      <c r="O37" s="107">
        <f t="shared" si="6"/>
        <v>0</v>
      </c>
    </row>
    <row r="38" spans="1:15" ht="12.75">
      <c r="A38" s="71">
        <v>27</v>
      </c>
      <c r="B38" s="79" t="s">
        <v>58</v>
      </c>
      <c r="C38" s="73"/>
      <c r="D38" s="108"/>
      <c r="E38" s="85"/>
      <c r="F38" s="108"/>
      <c r="G38" s="85"/>
      <c r="H38" s="108"/>
      <c r="I38" s="87"/>
      <c r="J38" s="109"/>
      <c r="K38" s="88"/>
      <c r="L38" s="97"/>
      <c r="M38" s="98"/>
      <c r="N38" s="91">
        <f t="shared" si="5"/>
        <v>0</v>
      </c>
      <c r="O38" s="91">
        <f t="shared" si="6"/>
        <v>0</v>
      </c>
    </row>
    <row r="39" spans="1:15" ht="12.75">
      <c r="A39" s="73">
        <v>28</v>
      </c>
      <c r="B39" s="76" t="s">
        <v>92</v>
      </c>
      <c r="C39" s="73" t="s">
        <v>93</v>
      </c>
      <c r="D39" s="85">
        <v>118238.97</v>
      </c>
      <c r="E39" s="85"/>
      <c r="F39" s="86">
        <f aca="true" t="shared" si="13" ref="F39:F48">SUM(D39:E39)</f>
        <v>118238.97</v>
      </c>
      <c r="G39" s="85"/>
      <c r="H39" s="86">
        <f aca="true" t="shared" si="14" ref="H39:H48">SUM(F39:G39)</f>
        <v>118238.97</v>
      </c>
      <c r="I39" s="87"/>
      <c r="J39" s="86">
        <f aca="true" t="shared" si="15" ref="J39:J48">SUM(H39:I39)</f>
        <v>118238.97</v>
      </c>
      <c r="K39" s="88">
        <f aca="true" t="shared" si="16" ref="K39:K48">J39/$J$74*$K$74</f>
        <v>18142.505179371594</v>
      </c>
      <c r="L39" s="89"/>
      <c r="M39" s="92">
        <f aca="true" t="shared" si="17" ref="M39:M48">SUM(J39:K39)</f>
        <v>136381.4751793716</v>
      </c>
      <c r="N39" s="91">
        <f t="shared" si="5"/>
        <v>0.0006244689994042977</v>
      </c>
      <c r="O39" s="91">
        <f t="shared" si="6"/>
        <v>0.0010311607376895702</v>
      </c>
    </row>
    <row r="40" spans="1:15" ht="12.75">
      <c r="A40" s="73">
        <v>29</v>
      </c>
      <c r="B40" s="76" t="s">
        <v>94</v>
      </c>
      <c r="C40" s="73"/>
      <c r="D40" s="85"/>
      <c r="E40" s="85"/>
      <c r="F40" s="86">
        <f t="shared" si="13"/>
        <v>0</v>
      </c>
      <c r="G40" s="85"/>
      <c r="H40" s="86">
        <f t="shared" si="14"/>
        <v>0</v>
      </c>
      <c r="I40" s="87"/>
      <c r="J40" s="86">
        <f t="shared" si="15"/>
        <v>0</v>
      </c>
      <c r="K40" s="88">
        <f t="shared" si="16"/>
        <v>0</v>
      </c>
      <c r="L40" s="89"/>
      <c r="M40" s="92">
        <f t="shared" si="17"/>
        <v>0</v>
      </c>
      <c r="N40" s="91">
        <f t="shared" si="5"/>
        <v>0</v>
      </c>
      <c r="O40" s="91">
        <f t="shared" si="6"/>
        <v>0</v>
      </c>
    </row>
    <row r="41" spans="1:15" ht="12.75">
      <c r="A41" s="73">
        <v>30</v>
      </c>
      <c r="B41" s="76" t="s">
        <v>95</v>
      </c>
      <c r="C41" s="73" t="s">
        <v>96</v>
      </c>
      <c r="D41" s="85">
        <v>387523.67</v>
      </c>
      <c r="E41" s="85"/>
      <c r="F41" s="86">
        <f t="shared" si="13"/>
        <v>387523.67</v>
      </c>
      <c r="G41" s="85"/>
      <c r="H41" s="86">
        <f t="shared" si="14"/>
        <v>387523.67</v>
      </c>
      <c r="I41" s="87"/>
      <c r="J41" s="86">
        <f t="shared" si="15"/>
        <v>387523.67</v>
      </c>
      <c r="K41" s="88">
        <f t="shared" si="16"/>
        <v>59461.3619359513</v>
      </c>
      <c r="L41" s="89"/>
      <c r="M41" s="92">
        <f t="shared" si="17"/>
        <v>446985.03193595127</v>
      </c>
      <c r="N41" s="91">
        <f t="shared" si="5"/>
        <v>0.0020466730930621367</v>
      </c>
      <c r="O41" s="91">
        <f t="shared" si="6"/>
        <v>0.0033795896008682207</v>
      </c>
    </row>
    <row r="42" spans="1:15" ht="12.75">
      <c r="A42" s="73">
        <v>31</v>
      </c>
      <c r="B42" s="76" t="s">
        <v>97</v>
      </c>
      <c r="C42" s="73" t="s">
        <v>98</v>
      </c>
      <c r="D42" s="85">
        <v>331624.21</v>
      </c>
      <c r="E42" s="85"/>
      <c r="F42" s="86">
        <f t="shared" si="13"/>
        <v>331624.21</v>
      </c>
      <c r="G42" s="85"/>
      <c r="H42" s="86">
        <f t="shared" si="14"/>
        <v>331624.21</v>
      </c>
      <c r="I42" s="87"/>
      <c r="J42" s="86">
        <f t="shared" si="15"/>
        <v>331624.21</v>
      </c>
      <c r="K42" s="88">
        <f t="shared" si="16"/>
        <v>50884.18773886489</v>
      </c>
      <c r="L42" s="89"/>
      <c r="M42" s="92">
        <f t="shared" si="17"/>
        <v>382508.39773886494</v>
      </c>
      <c r="N42" s="91">
        <f t="shared" si="5"/>
        <v>0.001751444879779828</v>
      </c>
      <c r="O42" s="91">
        <f t="shared" si="6"/>
        <v>0.0028920910341093207</v>
      </c>
    </row>
    <row r="43" spans="1:15" ht="12.75">
      <c r="A43" s="73">
        <v>32</v>
      </c>
      <c r="B43" s="76" t="s">
        <v>61</v>
      </c>
      <c r="C43" s="73" t="s">
        <v>99</v>
      </c>
      <c r="D43" s="85">
        <v>0</v>
      </c>
      <c r="E43" s="85"/>
      <c r="F43" s="86">
        <f t="shared" si="13"/>
        <v>0</v>
      </c>
      <c r="G43" s="85"/>
      <c r="H43" s="86">
        <f t="shared" si="14"/>
        <v>0</v>
      </c>
      <c r="I43" s="87"/>
      <c r="J43" s="86">
        <f t="shared" si="15"/>
        <v>0</v>
      </c>
      <c r="K43" s="88">
        <f t="shared" si="16"/>
        <v>0</v>
      </c>
      <c r="L43" s="89"/>
      <c r="M43" s="92">
        <f t="shared" si="17"/>
        <v>0</v>
      </c>
      <c r="N43" s="91">
        <f t="shared" si="5"/>
        <v>0</v>
      </c>
      <c r="O43" s="91">
        <f t="shared" si="6"/>
        <v>0</v>
      </c>
    </row>
    <row r="44" spans="1:15" ht="12.75">
      <c r="A44" s="73">
        <v>33</v>
      </c>
      <c r="B44" s="76" t="s">
        <v>63</v>
      </c>
      <c r="C44" s="73" t="s">
        <v>100</v>
      </c>
      <c r="D44" s="85">
        <v>14976862.67</v>
      </c>
      <c r="E44" s="85"/>
      <c r="F44" s="86">
        <f t="shared" si="13"/>
        <v>14976862.67</v>
      </c>
      <c r="G44" s="85"/>
      <c r="H44" s="86">
        <f t="shared" si="14"/>
        <v>14976862.67</v>
      </c>
      <c r="I44" s="87"/>
      <c r="J44" s="86">
        <f t="shared" si="15"/>
        <v>14976862.67</v>
      </c>
      <c r="K44" s="88">
        <f t="shared" si="16"/>
        <v>2298039.373661764</v>
      </c>
      <c r="L44" s="89"/>
      <c r="M44" s="92">
        <f t="shared" si="17"/>
        <v>17274902.043661766</v>
      </c>
      <c r="N44" s="91">
        <f t="shared" si="5"/>
        <v>0.07909901824880983</v>
      </c>
      <c r="O44" s="91">
        <f t="shared" si="6"/>
        <v>0.13061305218636957</v>
      </c>
    </row>
    <row r="45" spans="1:15" ht="12.75">
      <c r="A45" s="73">
        <v>34</v>
      </c>
      <c r="B45" s="76" t="s">
        <v>65</v>
      </c>
      <c r="C45" s="73" t="s">
        <v>101</v>
      </c>
      <c r="D45" s="85">
        <v>1548579.93</v>
      </c>
      <c r="E45" s="85"/>
      <c r="F45" s="86">
        <f t="shared" si="13"/>
        <v>1548579.93</v>
      </c>
      <c r="G45" s="85"/>
      <c r="H45" s="86">
        <f t="shared" si="14"/>
        <v>1548579.93</v>
      </c>
      <c r="I45" s="87">
        <f>+H101*$E$5</f>
        <v>5181725.330292</v>
      </c>
      <c r="J45" s="86">
        <f t="shared" si="15"/>
        <v>6730305.260292</v>
      </c>
      <c r="K45" s="88">
        <f t="shared" si="16"/>
        <v>1032693.3501162899</v>
      </c>
      <c r="L45" s="89"/>
      <c r="M45" s="92">
        <f t="shared" si="17"/>
        <v>7762998.61040829</v>
      </c>
      <c r="N45" s="91">
        <f t="shared" si="5"/>
        <v>0.035545531152546626</v>
      </c>
      <c r="O45" s="91">
        <f t="shared" si="6"/>
        <v>0.058694917057199446</v>
      </c>
    </row>
    <row r="46" spans="1:15" ht="12.75">
      <c r="A46" s="73">
        <v>35</v>
      </c>
      <c r="B46" s="76" t="s">
        <v>67</v>
      </c>
      <c r="C46" s="73" t="s">
        <v>102</v>
      </c>
      <c r="D46" s="85">
        <v>224575.46</v>
      </c>
      <c r="E46" s="85"/>
      <c r="F46" s="86">
        <f t="shared" si="13"/>
        <v>224575.46</v>
      </c>
      <c r="G46" s="85"/>
      <c r="H46" s="86">
        <f t="shared" si="14"/>
        <v>224575.46</v>
      </c>
      <c r="I46" s="87">
        <f>+H102*$E$5</f>
        <v>424180.028418</v>
      </c>
      <c r="J46" s="86">
        <f t="shared" si="15"/>
        <v>648755.4884179999</v>
      </c>
      <c r="K46" s="88">
        <f t="shared" si="16"/>
        <v>99544.59015305455</v>
      </c>
      <c r="L46" s="89"/>
      <c r="M46" s="92">
        <f t="shared" si="17"/>
        <v>748300.0785710545</v>
      </c>
      <c r="N46" s="91">
        <f t="shared" si="5"/>
        <v>0.0034263465819300933</v>
      </c>
      <c r="O46" s="91">
        <f t="shared" si="6"/>
        <v>0.005657789373649502</v>
      </c>
    </row>
    <row r="47" spans="1:15" ht="12.75">
      <c r="A47" s="73">
        <v>36</v>
      </c>
      <c r="B47" s="76" t="s">
        <v>69</v>
      </c>
      <c r="C47" s="73" t="s">
        <v>103</v>
      </c>
      <c r="D47" s="85">
        <v>125670.33</v>
      </c>
      <c r="E47" s="85"/>
      <c r="F47" s="86">
        <f t="shared" si="13"/>
        <v>125670.33</v>
      </c>
      <c r="G47" s="85"/>
      <c r="H47" s="86">
        <f t="shared" si="14"/>
        <v>125670.33</v>
      </c>
      <c r="I47" s="87">
        <f>+H103*$E$5</f>
        <v>0</v>
      </c>
      <c r="J47" s="86">
        <f t="shared" si="15"/>
        <v>125670.33</v>
      </c>
      <c r="K47" s="88">
        <f t="shared" si="16"/>
        <v>19282.767880321837</v>
      </c>
      <c r="L47" s="89"/>
      <c r="M47" s="92">
        <f t="shared" si="17"/>
        <v>144953.09788032185</v>
      </c>
      <c r="N47" s="91">
        <f t="shared" si="5"/>
        <v>0.0006637170911579143</v>
      </c>
      <c r="O47" s="91">
        <f t="shared" si="6"/>
        <v>0.0010959695453072005</v>
      </c>
    </row>
    <row r="48" spans="1:15" ht="12.75">
      <c r="A48" s="73">
        <v>37</v>
      </c>
      <c r="B48" s="76" t="s">
        <v>71</v>
      </c>
      <c r="C48" s="73" t="s">
        <v>104</v>
      </c>
      <c r="D48" s="86">
        <v>1588519.2</v>
      </c>
      <c r="E48" s="85"/>
      <c r="F48" s="86">
        <f t="shared" si="13"/>
        <v>1588519.2</v>
      </c>
      <c r="G48" s="85"/>
      <c r="H48" s="86">
        <f t="shared" si="14"/>
        <v>1588519.2</v>
      </c>
      <c r="I48" s="87">
        <f>+H104*$E$5</f>
        <v>7744621.8630300015</v>
      </c>
      <c r="J48" s="86">
        <f t="shared" si="15"/>
        <v>9333141.06303</v>
      </c>
      <c r="K48" s="88">
        <f t="shared" si="16"/>
        <v>1432070.6622852643</v>
      </c>
      <c r="L48" s="89"/>
      <c r="M48" s="92">
        <f t="shared" si="17"/>
        <v>10765211.725315265</v>
      </c>
      <c r="N48" s="91">
        <f t="shared" si="5"/>
        <v>0.049292185655283594</v>
      </c>
      <c r="O48" s="91">
        <f t="shared" si="6"/>
        <v>0.08139421904229066</v>
      </c>
    </row>
    <row r="49" spans="1:15" ht="12.75">
      <c r="A49" s="73">
        <v>38</v>
      </c>
      <c r="B49" s="79" t="s">
        <v>105</v>
      </c>
      <c r="C49" s="73"/>
      <c r="D49" s="85">
        <f aca="true" t="shared" si="18" ref="D49:K49">SUM(D39:D48)</f>
        <v>19301594.439999998</v>
      </c>
      <c r="E49" s="85"/>
      <c r="F49" s="85">
        <f t="shared" si="18"/>
        <v>19301594.439999998</v>
      </c>
      <c r="G49" s="85">
        <f t="shared" si="18"/>
        <v>0</v>
      </c>
      <c r="H49" s="85">
        <f t="shared" si="18"/>
        <v>19301594.439999998</v>
      </c>
      <c r="I49" s="85">
        <f>SUM(I39:I48)</f>
        <v>13350527.221740002</v>
      </c>
      <c r="J49" s="85">
        <f t="shared" si="18"/>
        <v>32652121.66174</v>
      </c>
      <c r="K49" s="85">
        <f t="shared" si="18"/>
        <v>5010118.798950882</v>
      </c>
      <c r="L49" s="93"/>
      <c r="M49" s="92">
        <f>SUM(M39:M48)</f>
        <v>37662240.460690886</v>
      </c>
      <c r="N49" s="91">
        <f t="shared" si="5"/>
        <v>0.17244938570197432</v>
      </c>
      <c r="O49" s="91">
        <f t="shared" si="6"/>
        <v>0.2847587885774835</v>
      </c>
    </row>
    <row r="50" spans="1:15" ht="12.75">
      <c r="A50" s="73">
        <v>39</v>
      </c>
      <c r="B50" s="79" t="s">
        <v>74</v>
      </c>
      <c r="C50" s="73"/>
      <c r="D50" s="95"/>
      <c r="E50" s="85"/>
      <c r="F50" s="95"/>
      <c r="G50" s="85"/>
      <c r="H50" s="95"/>
      <c r="I50" s="87"/>
      <c r="J50" s="96"/>
      <c r="K50" s="88"/>
      <c r="L50" s="97"/>
      <c r="M50" s="98"/>
      <c r="N50" s="91">
        <f t="shared" si="5"/>
        <v>0</v>
      </c>
      <c r="O50" s="91">
        <f t="shared" si="6"/>
        <v>0</v>
      </c>
    </row>
    <row r="51" spans="1:15" ht="12.75">
      <c r="A51" s="73">
        <v>40</v>
      </c>
      <c r="B51" s="76" t="s">
        <v>92</v>
      </c>
      <c r="C51" s="73" t="s">
        <v>106</v>
      </c>
      <c r="D51" s="85">
        <v>14.76</v>
      </c>
      <c r="E51" s="85"/>
      <c r="F51" s="86">
        <f aca="true" t="shared" si="19" ref="F51:F57">SUM(D51:E51)</f>
        <v>14.76</v>
      </c>
      <c r="G51" s="85"/>
      <c r="H51" s="86">
        <f aca="true" t="shared" si="20" ref="H51:H57">SUM(F51:G51)</f>
        <v>14.76</v>
      </c>
      <c r="I51" s="87"/>
      <c r="J51" s="86">
        <f aca="true" t="shared" si="21" ref="J51:J57">SUM(H51:I51)</f>
        <v>14.76</v>
      </c>
      <c r="K51" s="88">
        <f aca="true" t="shared" si="22" ref="K51:K57">J51/$J$74*$K$74</f>
        <v>2.264764116665806</v>
      </c>
      <c r="L51" s="89"/>
      <c r="M51" s="92">
        <f aca="true" t="shared" si="23" ref="M51:M57">SUM(J51:K51)</f>
        <v>17.024764116665807</v>
      </c>
      <c r="N51" s="91">
        <f t="shared" si="5"/>
        <v>7.795367661953951E-08</v>
      </c>
      <c r="O51" s="91">
        <f t="shared" si="6"/>
        <v>1.2872179526173186E-07</v>
      </c>
    </row>
    <row r="52" spans="1:15" ht="12.75">
      <c r="A52" s="73">
        <v>41</v>
      </c>
      <c r="B52" s="76" t="s">
        <v>94</v>
      </c>
      <c r="C52" s="73"/>
      <c r="D52" s="85"/>
      <c r="E52" s="85"/>
      <c r="F52" s="86">
        <f t="shared" si="19"/>
        <v>0</v>
      </c>
      <c r="G52" s="85"/>
      <c r="H52" s="86">
        <f t="shared" si="20"/>
        <v>0</v>
      </c>
      <c r="I52" s="87"/>
      <c r="J52" s="86">
        <f t="shared" si="21"/>
        <v>0</v>
      </c>
      <c r="K52" s="88">
        <f t="shared" si="22"/>
        <v>0</v>
      </c>
      <c r="L52" s="89"/>
      <c r="M52" s="92">
        <f t="shared" si="23"/>
        <v>0</v>
      </c>
      <c r="N52" s="91">
        <f t="shared" si="5"/>
        <v>0</v>
      </c>
      <c r="O52" s="91">
        <f t="shared" si="6"/>
        <v>0</v>
      </c>
    </row>
    <row r="53" spans="1:15" ht="12.75">
      <c r="A53" s="73">
        <v>42</v>
      </c>
      <c r="B53" s="76" t="s">
        <v>95</v>
      </c>
      <c r="C53" s="73"/>
      <c r="D53" s="85"/>
      <c r="E53" s="85"/>
      <c r="F53" s="86">
        <f t="shared" si="19"/>
        <v>0</v>
      </c>
      <c r="G53" s="85"/>
      <c r="H53" s="86">
        <f t="shared" si="20"/>
        <v>0</v>
      </c>
      <c r="I53" s="87"/>
      <c r="J53" s="86">
        <f t="shared" si="21"/>
        <v>0</v>
      </c>
      <c r="K53" s="88">
        <f t="shared" si="22"/>
        <v>0</v>
      </c>
      <c r="L53" s="89"/>
      <c r="M53" s="92">
        <f t="shared" si="23"/>
        <v>0</v>
      </c>
      <c r="N53" s="91">
        <f t="shared" si="5"/>
        <v>0</v>
      </c>
      <c r="O53" s="91">
        <f t="shared" si="6"/>
        <v>0</v>
      </c>
    </row>
    <row r="54" spans="1:15" ht="12.75">
      <c r="A54" s="73">
        <v>43</v>
      </c>
      <c r="B54" s="76" t="s">
        <v>97</v>
      </c>
      <c r="C54" s="73" t="s">
        <v>107</v>
      </c>
      <c r="D54" s="85">
        <v>206416.79</v>
      </c>
      <c r="E54" s="85"/>
      <c r="F54" s="86">
        <f t="shared" si="19"/>
        <v>206416.79</v>
      </c>
      <c r="G54" s="85"/>
      <c r="H54" s="86">
        <f t="shared" si="20"/>
        <v>206416.79</v>
      </c>
      <c r="I54" s="87"/>
      <c r="J54" s="86">
        <f t="shared" si="21"/>
        <v>206416.79</v>
      </c>
      <c r="K54" s="88">
        <f t="shared" si="22"/>
        <v>31672.448446432332</v>
      </c>
      <c r="L54" s="89"/>
      <c r="M54" s="92">
        <f t="shared" si="23"/>
        <v>238089.23844643234</v>
      </c>
      <c r="N54" s="91">
        <f t="shared" si="5"/>
        <v>0.0010901726081641867</v>
      </c>
      <c r="O54" s="91">
        <f t="shared" si="6"/>
        <v>0.0018001585217455218</v>
      </c>
    </row>
    <row r="55" spans="1:15" ht="12.75">
      <c r="A55" s="73">
        <v>44</v>
      </c>
      <c r="B55" s="76" t="s">
        <v>61</v>
      </c>
      <c r="C55" s="73" t="s">
        <v>108</v>
      </c>
      <c r="D55" s="85">
        <v>83053.83</v>
      </c>
      <c r="E55" s="85"/>
      <c r="F55" s="86">
        <f t="shared" si="19"/>
        <v>83053.83</v>
      </c>
      <c r="G55" s="85"/>
      <c r="H55" s="86">
        <f t="shared" si="20"/>
        <v>83053.83</v>
      </c>
      <c r="I55" s="85"/>
      <c r="J55" s="86">
        <f t="shared" si="21"/>
        <v>83053.83</v>
      </c>
      <c r="K55" s="88">
        <f t="shared" si="22"/>
        <v>12743.721811359215</v>
      </c>
      <c r="L55" s="89"/>
      <c r="M55" s="92">
        <f t="shared" si="23"/>
        <v>95797.55181135921</v>
      </c>
      <c r="N55" s="91">
        <f t="shared" si="5"/>
        <v>0.00043864169416220924</v>
      </c>
      <c r="O55" s="91">
        <f t="shared" si="6"/>
        <v>0.0007243115244554663</v>
      </c>
    </row>
    <row r="56" spans="1:15" ht="12.75">
      <c r="A56" s="73">
        <v>45</v>
      </c>
      <c r="B56" s="76" t="s">
        <v>63</v>
      </c>
      <c r="C56" s="73" t="s">
        <v>109</v>
      </c>
      <c r="D56" s="85">
        <v>4490688.13</v>
      </c>
      <c r="E56" s="85"/>
      <c r="F56" s="86">
        <f t="shared" si="19"/>
        <v>4490688.13</v>
      </c>
      <c r="G56" s="85"/>
      <c r="H56" s="86">
        <f t="shared" si="20"/>
        <v>4490688.13</v>
      </c>
      <c r="I56" s="87"/>
      <c r="J56" s="86">
        <f t="shared" si="21"/>
        <v>4490688.13</v>
      </c>
      <c r="K56" s="88">
        <f t="shared" si="22"/>
        <v>689048.0579919424</v>
      </c>
      <c r="L56" s="89"/>
      <c r="M56" s="92">
        <f t="shared" si="23"/>
        <v>5179736.187991942</v>
      </c>
      <c r="N56" s="91">
        <f t="shared" si="5"/>
        <v>0.023717184978673752</v>
      </c>
      <c r="O56" s="91">
        <f t="shared" si="6"/>
        <v>0.03916324106057923</v>
      </c>
    </row>
    <row r="57" spans="1:15" ht="12.75">
      <c r="A57" s="73">
        <v>46</v>
      </c>
      <c r="B57" s="76" t="s">
        <v>71</v>
      </c>
      <c r="C57" s="73" t="s">
        <v>110</v>
      </c>
      <c r="D57" s="86">
        <v>41717.91</v>
      </c>
      <c r="E57" s="85"/>
      <c r="F57" s="86">
        <f t="shared" si="19"/>
        <v>41717.91</v>
      </c>
      <c r="G57" s="85"/>
      <c r="H57" s="86">
        <f t="shared" si="20"/>
        <v>41717.91</v>
      </c>
      <c r="I57" s="87">
        <f>+H105*$E$5</f>
        <v>343018.801716</v>
      </c>
      <c r="J57" s="86">
        <f t="shared" si="21"/>
        <v>384736.711716</v>
      </c>
      <c r="K57" s="88">
        <f t="shared" si="22"/>
        <v>59033.73299853615</v>
      </c>
      <c r="L57" s="89"/>
      <c r="M57" s="92">
        <f t="shared" si="23"/>
        <v>443770.44471453613</v>
      </c>
      <c r="N57" s="91">
        <f t="shared" si="5"/>
        <v>0.0020319540114345567</v>
      </c>
      <c r="O57" s="91">
        <f t="shared" si="6"/>
        <v>0.0033552845687790586</v>
      </c>
    </row>
    <row r="58" spans="1:15" ht="12.75">
      <c r="A58" s="73">
        <v>47</v>
      </c>
      <c r="B58" s="79" t="s">
        <v>111</v>
      </c>
      <c r="C58" s="73"/>
      <c r="D58" s="85">
        <f aca="true" t="shared" si="24" ref="D58:K58">SUM(D51:D57)</f>
        <v>4821891.42</v>
      </c>
      <c r="E58" s="85"/>
      <c r="F58" s="85">
        <f t="shared" si="24"/>
        <v>4821891.42</v>
      </c>
      <c r="G58" s="85">
        <f t="shared" si="24"/>
        <v>0</v>
      </c>
      <c r="H58" s="85">
        <f t="shared" si="24"/>
        <v>4821891.42</v>
      </c>
      <c r="I58" s="85">
        <f t="shared" si="24"/>
        <v>343018.801716</v>
      </c>
      <c r="J58" s="85">
        <f t="shared" si="24"/>
        <v>5164910.221716</v>
      </c>
      <c r="K58" s="85">
        <f t="shared" si="24"/>
        <v>792500.2260123868</v>
      </c>
      <c r="L58" s="93"/>
      <c r="M58" s="92">
        <f>SUM(M51:M57)</f>
        <v>5957410.447728386</v>
      </c>
      <c r="N58" s="91">
        <f t="shared" si="5"/>
        <v>0.02727803124611132</v>
      </c>
      <c r="O58" s="91">
        <f t="shared" si="6"/>
        <v>0.045043124397354535</v>
      </c>
    </row>
    <row r="59" spans="1:15" ht="12.75">
      <c r="A59" s="73">
        <v>48</v>
      </c>
      <c r="B59" s="72" t="s">
        <v>112</v>
      </c>
      <c r="C59" s="73"/>
      <c r="D59" s="103"/>
      <c r="E59" s="85"/>
      <c r="F59" s="103"/>
      <c r="G59" s="85"/>
      <c r="H59" s="103"/>
      <c r="I59" s="87"/>
      <c r="J59" s="104"/>
      <c r="K59" s="88"/>
      <c r="L59" s="97"/>
      <c r="M59" s="98"/>
      <c r="N59" s="91">
        <f t="shared" si="5"/>
        <v>0</v>
      </c>
      <c r="O59" s="91">
        <f t="shared" si="6"/>
        <v>0</v>
      </c>
    </row>
    <row r="60" spans="1:15" ht="12.75">
      <c r="A60" s="73">
        <v>49</v>
      </c>
      <c r="B60" s="79" t="s">
        <v>80</v>
      </c>
      <c r="C60" s="73"/>
      <c r="D60" s="108"/>
      <c r="E60" s="85"/>
      <c r="F60" s="108"/>
      <c r="G60" s="85"/>
      <c r="H60" s="108"/>
      <c r="I60" s="87"/>
      <c r="J60" s="109"/>
      <c r="K60" s="88"/>
      <c r="L60" s="97"/>
      <c r="M60" s="98"/>
      <c r="N60" s="91">
        <f t="shared" si="5"/>
        <v>0</v>
      </c>
      <c r="O60" s="91">
        <f t="shared" si="6"/>
        <v>0</v>
      </c>
    </row>
    <row r="61" spans="1:15" ht="12.75">
      <c r="A61" s="73">
        <v>50</v>
      </c>
      <c r="B61" s="76" t="s">
        <v>113</v>
      </c>
      <c r="C61" s="73"/>
      <c r="D61" s="85">
        <f aca="true" t="shared" si="25" ref="D61:K66">+D39+D51</f>
        <v>118253.73</v>
      </c>
      <c r="E61" s="85"/>
      <c r="F61" s="85">
        <f t="shared" si="25"/>
        <v>118253.73</v>
      </c>
      <c r="G61" s="85">
        <f t="shared" si="25"/>
        <v>0</v>
      </c>
      <c r="H61" s="85">
        <f t="shared" si="25"/>
        <v>118253.73</v>
      </c>
      <c r="I61" s="85">
        <f t="shared" si="25"/>
        <v>0</v>
      </c>
      <c r="J61" s="85">
        <f t="shared" si="25"/>
        <v>118253.73</v>
      </c>
      <c r="K61" s="85">
        <f t="shared" si="25"/>
        <v>18144.76994348826</v>
      </c>
      <c r="L61" s="99" t="s">
        <v>114</v>
      </c>
      <c r="M61" s="92">
        <f aca="true" t="shared" si="26" ref="M61:M66">+M39+M51</f>
        <v>136398.49994348828</v>
      </c>
      <c r="N61" s="91">
        <f t="shared" si="5"/>
        <v>0.0006245469530809173</v>
      </c>
      <c r="O61" s="91">
        <f t="shared" si="6"/>
        <v>0.001031289459484832</v>
      </c>
    </row>
    <row r="62" spans="1:15" ht="12.75">
      <c r="A62" s="73">
        <v>51</v>
      </c>
      <c r="B62" s="76" t="s">
        <v>115</v>
      </c>
      <c r="C62" s="73"/>
      <c r="D62" s="85">
        <f t="shared" si="25"/>
        <v>0</v>
      </c>
      <c r="E62" s="85"/>
      <c r="F62" s="85">
        <f t="shared" si="25"/>
        <v>0</v>
      </c>
      <c r="G62" s="85">
        <f t="shared" si="25"/>
        <v>0</v>
      </c>
      <c r="H62" s="85">
        <f t="shared" si="25"/>
        <v>0</v>
      </c>
      <c r="I62" s="85">
        <f t="shared" si="25"/>
        <v>0</v>
      </c>
      <c r="J62" s="85">
        <f t="shared" si="25"/>
        <v>0</v>
      </c>
      <c r="K62" s="85">
        <f t="shared" si="25"/>
        <v>0</v>
      </c>
      <c r="L62" s="99" t="s">
        <v>114</v>
      </c>
      <c r="M62" s="92">
        <f t="shared" si="26"/>
        <v>0</v>
      </c>
      <c r="N62" s="91">
        <f t="shared" si="5"/>
        <v>0</v>
      </c>
      <c r="O62" s="91">
        <f t="shared" si="6"/>
        <v>0</v>
      </c>
    </row>
    <row r="63" spans="1:15" ht="12.75">
      <c r="A63" s="73">
        <v>52</v>
      </c>
      <c r="B63" s="110" t="s">
        <v>116</v>
      </c>
      <c r="C63" s="73"/>
      <c r="D63" s="85">
        <f t="shared" si="25"/>
        <v>387523.67</v>
      </c>
      <c r="E63" s="85"/>
      <c r="F63" s="85">
        <f t="shared" si="25"/>
        <v>387523.67</v>
      </c>
      <c r="G63" s="85">
        <f t="shared" si="25"/>
        <v>0</v>
      </c>
      <c r="H63" s="85">
        <f t="shared" si="25"/>
        <v>387523.67</v>
      </c>
      <c r="I63" s="85">
        <f t="shared" si="25"/>
        <v>0</v>
      </c>
      <c r="J63" s="85">
        <f t="shared" si="25"/>
        <v>387523.67</v>
      </c>
      <c r="K63" s="85">
        <f t="shared" si="25"/>
        <v>59461.3619359513</v>
      </c>
      <c r="L63" s="99" t="s">
        <v>114</v>
      </c>
      <c r="M63" s="92">
        <f t="shared" si="26"/>
        <v>446985.03193595127</v>
      </c>
      <c r="N63" s="91">
        <f t="shared" si="5"/>
        <v>0.0020466730930621367</v>
      </c>
      <c r="O63" s="91">
        <f t="shared" si="6"/>
        <v>0.0033795896008682207</v>
      </c>
    </row>
    <row r="64" spans="1:15" ht="12.75">
      <c r="A64" s="73">
        <v>53</v>
      </c>
      <c r="B64" s="76" t="s">
        <v>117</v>
      </c>
      <c r="C64" s="73"/>
      <c r="D64" s="85">
        <f t="shared" si="25"/>
        <v>538041</v>
      </c>
      <c r="E64" s="85"/>
      <c r="F64" s="85">
        <f t="shared" si="25"/>
        <v>538041</v>
      </c>
      <c r="G64" s="85">
        <f t="shared" si="25"/>
        <v>0</v>
      </c>
      <c r="H64" s="85">
        <f t="shared" si="25"/>
        <v>538041</v>
      </c>
      <c r="I64" s="85">
        <f t="shared" si="25"/>
        <v>0</v>
      </c>
      <c r="J64" s="85">
        <f t="shared" si="25"/>
        <v>538041</v>
      </c>
      <c r="K64" s="85">
        <f t="shared" si="25"/>
        <v>82556.63618529722</v>
      </c>
      <c r="L64" s="99" t="s">
        <v>114</v>
      </c>
      <c r="M64" s="92">
        <f t="shared" si="26"/>
        <v>620597.6361852973</v>
      </c>
      <c r="N64" s="91">
        <f t="shared" si="5"/>
        <v>0.002841617487944015</v>
      </c>
      <c r="O64" s="91">
        <f t="shared" si="6"/>
        <v>0.004692249555854843</v>
      </c>
    </row>
    <row r="65" spans="1:15" ht="12.75">
      <c r="A65" s="73">
        <v>54</v>
      </c>
      <c r="B65" s="76" t="s">
        <v>118</v>
      </c>
      <c r="C65" s="73"/>
      <c r="D65" s="85">
        <f t="shared" si="25"/>
        <v>83053.83</v>
      </c>
      <c r="E65" s="85"/>
      <c r="F65" s="85">
        <f t="shared" si="25"/>
        <v>83053.83</v>
      </c>
      <c r="G65" s="85">
        <f t="shared" si="25"/>
        <v>0</v>
      </c>
      <c r="H65" s="85">
        <f t="shared" si="25"/>
        <v>83053.83</v>
      </c>
      <c r="I65" s="85">
        <f t="shared" si="25"/>
        <v>0</v>
      </c>
      <c r="J65" s="85">
        <f t="shared" si="25"/>
        <v>83053.83</v>
      </c>
      <c r="K65" s="85">
        <f t="shared" si="25"/>
        <v>12743.721811359215</v>
      </c>
      <c r="L65" s="99" t="s">
        <v>119</v>
      </c>
      <c r="M65" s="92">
        <f t="shared" si="26"/>
        <v>95797.55181135921</v>
      </c>
      <c r="N65" s="91">
        <f t="shared" si="5"/>
        <v>0.00043864169416220924</v>
      </c>
      <c r="O65" s="91">
        <f t="shared" si="6"/>
        <v>0.0007243115244554663</v>
      </c>
    </row>
    <row r="66" spans="1:15" ht="12.75">
      <c r="A66" s="73">
        <v>55</v>
      </c>
      <c r="B66" s="76" t="s">
        <v>120</v>
      </c>
      <c r="C66" s="73"/>
      <c r="D66" s="85">
        <f t="shared" si="25"/>
        <v>19467550.8</v>
      </c>
      <c r="E66" s="85"/>
      <c r="F66" s="85">
        <f t="shared" si="25"/>
        <v>19467550.8</v>
      </c>
      <c r="G66" s="85">
        <f t="shared" si="25"/>
        <v>0</v>
      </c>
      <c r="H66" s="85">
        <f t="shared" si="25"/>
        <v>19467550.8</v>
      </c>
      <c r="I66" s="85">
        <f t="shared" si="25"/>
        <v>0</v>
      </c>
      <c r="J66" s="85">
        <f t="shared" si="25"/>
        <v>19467550.8</v>
      </c>
      <c r="K66" s="85">
        <f t="shared" si="25"/>
        <v>2987087.4316537064</v>
      </c>
      <c r="L66" s="99" t="s">
        <v>119</v>
      </c>
      <c r="M66" s="92">
        <f t="shared" si="26"/>
        <v>22454638.23165371</v>
      </c>
      <c r="N66" s="91">
        <f t="shared" si="5"/>
        <v>0.10281620322748358</v>
      </c>
      <c r="O66" s="91">
        <f t="shared" si="6"/>
        <v>0.16977629324694882</v>
      </c>
    </row>
    <row r="67" spans="1:15" ht="12.75">
      <c r="A67" s="73">
        <v>56</v>
      </c>
      <c r="B67" s="76" t="s">
        <v>121</v>
      </c>
      <c r="C67" s="73"/>
      <c r="D67" s="85">
        <f aca="true" t="shared" si="27" ref="D67:J69">+D45</f>
        <v>1548579.93</v>
      </c>
      <c r="E67" s="85"/>
      <c r="F67" s="85">
        <f t="shared" si="27"/>
        <v>1548579.93</v>
      </c>
      <c r="G67" s="85">
        <f t="shared" si="27"/>
        <v>0</v>
      </c>
      <c r="H67" s="85">
        <f t="shared" si="27"/>
        <v>1548579.93</v>
      </c>
      <c r="I67" s="85">
        <f t="shared" si="27"/>
        <v>5181725.330292</v>
      </c>
      <c r="J67" s="85">
        <f t="shared" si="27"/>
        <v>6730305.260292</v>
      </c>
      <c r="K67" s="85">
        <f>+K45</f>
        <v>1032693.3501162899</v>
      </c>
      <c r="L67" s="93"/>
      <c r="M67" s="92">
        <f>+M45</f>
        <v>7762998.61040829</v>
      </c>
      <c r="N67" s="91">
        <f t="shared" si="5"/>
        <v>0.035545531152546626</v>
      </c>
      <c r="O67" s="91">
        <f t="shared" si="6"/>
        <v>0.058694917057199446</v>
      </c>
    </row>
    <row r="68" spans="1:15" ht="12.75">
      <c r="A68" s="73">
        <v>57</v>
      </c>
      <c r="B68" s="76" t="s">
        <v>122</v>
      </c>
      <c r="C68" s="73"/>
      <c r="D68" s="85">
        <f t="shared" si="27"/>
        <v>224575.46</v>
      </c>
      <c r="E68" s="85"/>
      <c r="F68" s="85">
        <f t="shared" si="27"/>
        <v>224575.46</v>
      </c>
      <c r="G68" s="85">
        <f t="shared" si="27"/>
        <v>0</v>
      </c>
      <c r="H68" s="85">
        <f t="shared" si="27"/>
        <v>224575.46</v>
      </c>
      <c r="I68" s="85">
        <f t="shared" si="27"/>
        <v>424180.028418</v>
      </c>
      <c r="J68" s="85">
        <f t="shared" si="27"/>
        <v>648755.4884179999</v>
      </c>
      <c r="K68" s="85">
        <f>+K46</f>
        <v>99544.59015305455</v>
      </c>
      <c r="L68" s="93"/>
      <c r="M68" s="92">
        <f>+M46</f>
        <v>748300.0785710545</v>
      </c>
      <c r="N68" s="91">
        <f t="shared" si="5"/>
        <v>0.0034263465819300933</v>
      </c>
      <c r="O68" s="91">
        <f t="shared" si="6"/>
        <v>0.005657789373649502</v>
      </c>
    </row>
    <row r="69" spans="1:15" ht="12.75">
      <c r="A69" s="73">
        <v>58</v>
      </c>
      <c r="B69" s="76" t="s">
        <v>123</v>
      </c>
      <c r="C69" s="73"/>
      <c r="D69" s="85">
        <f t="shared" si="27"/>
        <v>125670.33</v>
      </c>
      <c r="E69" s="85"/>
      <c r="F69" s="85">
        <f t="shared" si="27"/>
        <v>125670.33</v>
      </c>
      <c r="G69" s="85">
        <f t="shared" si="27"/>
        <v>0</v>
      </c>
      <c r="H69" s="85">
        <f t="shared" si="27"/>
        <v>125670.33</v>
      </c>
      <c r="I69" s="85">
        <f t="shared" si="27"/>
        <v>0</v>
      </c>
      <c r="J69" s="85">
        <f t="shared" si="27"/>
        <v>125670.33</v>
      </c>
      <c r="K69" s="85">
        <f>+K47</f>
        <v>19282.767880321837</v>
      </c>
      <c r="L69" s="93"/>
      <c r="M69" s="92">
        <f>+M47</f>
        <v>144953.09788032185</v>
      </c>
      <c r="N69" s="91">
        <f t="shared" si="5"/>
        <v>0.0006637170911579143</v>
      </c>
      <c r="O69" s="91">
        <f t="shared" si="6"/>
        <v>0.0010959695453072005</v>
      </c>
    </row>
    <row r="70" spans="1:15" ht="13.5" thickBot="1">
      <c r="A70" s="73" t="s">
        <v>124</v>
      </c>
      <c r="B70" s="76" t="s">
        <v>125</v>
      </c>
      <c r="C70" s="73"/>
      <c r="D70" s="85">
        <f aca="true" t="shared" si="28" ref="D70:J70">+D48+D57</f>
        <v>1630237.1099999999</v>
      </c>
      <c r="E70" s="85"/>
      <c r="F70" s="85">
        <f t="shared" si="28"/>
        <v>1630237.1099999999</v>
      </c>
      <c r="G70" s="85">
        <f t="shared" si="28"/>
        <v>0</v>
      </c>
      <c r="H70" s="85">
        <f t="shared" si="28"/>
        <v>1630237.1099999999</v>
      </c>
      <c r="I70" s="85">
        <f t="shared" si="28"/>
        <v>8087640.664746001</v>
      </c>
      <c r="J70" s="85">
        <f t="shared" si="28"/>
        <v>9717877.774746</v>
      </c>
      <c r="K70" s="85">
        <f>+K48+K57</f>
        <v>1491104.3952838005</v>
      </c>
      <c r="L70" s="93"/>
      <c r="M70" s="92">
        <f>+M48+M57</f>
        <v>11208982.170029802</v>
      </c>
      <c r="N70" s="91">
        <f t="shared" si="5"/>
        <v>0.05132413966671816</v>
      </c>
      <c r="O70" s="100">
        <f t="shared" si="6"/>
        <v>0.08474950361106973</v>
      </c>
    </row>
    <row r="71" spans="1:15" ht="14.25" thickBot="1" thickTop="1">
      <c r="A71" s="71" t="s">
        <v>126</v>
      </c>
      <c r="B71" s="79" t="s">
        <v>127</v>
      </c>
      <c r="C71" s="73"/>
      <c r="D71" s="85">
        <f aca="true" t="shared" si="29" ref="D71:K71">SUM(D61:D70)</f>
        <v>24123485.86</v>
      </c>
      <c r="E71" s="85"/>
      <c r="F71" s="85">
        <f t="shared" si="29"/>
        <v>24123485.86</v>
      </c>
      <c r="G71" s="85">
        <f t="shared" si="29"/>
        <v>0</v>
      </c>
      <c r="H71" s="85">
        <f t="shared" si="29"/>
        <v>24123485.86</v>
      </c>
      <c r="I71" s="85">
        <f t="shared" si="29"/>
        <v>13693546.023456002</v>
      </c>
      <c r="J71" s="85">
        <f t="shared" si="29"/>
        <v>37817031.88345601</v>
      </c>
      <c r="K71" s="85">
        <f t="shared" si="29"/>
        <v>5802619.024963269</v>
      </c>
      <c r="L71" s="89"/>
      <c r="M71" s="90">
        <f>SUM(J71:K71)</f>
        <v>43619650.908419274</v>
      </c>
      <c r="N71" s="101">
        <f t="shared" si="5"/>
        <v>0.19972741694808566</v>
      </c>
      <c r="O71" s="102">
        <f t="shared" si="6"/>
        <v>0.3298019129748381</v>
      </c>
    </row>
    <row r="72" spans="1:15" ht="13.5" thickTop="1">
      <c r="A72" s="71" t="s">
        <v>128</v>
      </c>
      <c r="B72" s="72" t="s">
        <v>129</v>
      </c>
      <c r="C72" s="73"/>
      <c r="D72" s="95"/>
      <c r="E72" s="85"/>
      <c r="F72" s="95"/>
      <c r="G72" s="85"/>
      <c r="H72" s="95"/>
      <c r="I72" s="87"/>
      <c r="J72" s="96"/>
      <c r="K72" s="88"/>
      <c r="L72" s="111"/>
      <c r="M72" s="112"/>
      <c r="N72" s="91">
        <f t="shared" si="5"/>
        <v>0</v>
      </c>
      <c r="O72" s="107">
        <f t="shared" si="6"/>
        <v>0</v>
      </c>
    </row>
    <row r="73" spans="1:15" ht="13.5" thickBot="1">
      <c r="A73" s="73" t="s">
        <v>130</v>
      </c>
      <c r="B73" s="76" t="s">
        <v>131</v>
      </c>
      <c r="C73" s="73"/>
      <c r="D73" s="85"/>
      <c r="E73" s="85"/>
      <c r="F73" s="86">
        <f>SUM(D73:E73)</f>
        <v>0</v>
      </c>
      <c r="G73" s="85"/>
      <c r="H73" s="86">
        <f>SUM(F73:G73)</f>
        <v>0</v>
      </c>
      <c r="I73" s="87"/>
      <c r="J73" s="86">
        <f>SUM(H73:I73)</f>
        <v>0</v>
      </c>
      <c r="K73" s="86">
        <f>SUM(I73:J73)</f>
        <v>0</v>
      </c>
      <c r="L73" s="113"/>
      <c r="M73" s="92">
        <f>SUM(J73:K73)</f>
        <v>0</v>
      </c>
      <c r="N73" s="100">
        <f t="shared" si="5"/>
        <v>0</v>
      </c>
      <c r="O73" s="91">
        <f t="shared" si="6"/>
        <v>0</v>
      </c>
    </row>
    <row r="74" spans="1:16" ht="14.25" thickBot="1" thickTop="1">
      <c r="A74" s="71">
        <v>62</v>
      </c>
      <c r="B74" s="79" t="s">
        <v>132</v>
      </c>
      <c r="C74" s="73"/>
      <c r="D74" s="85">
        <f aca="true" t="shared" si="30" ref="D74:J74">+D36+D71+D73</f>
        <v>73801837.53</v>
      </c>
      <c r="E74" s="85">
        <f t="shared" si="30"/>
        <v>0</v>
      </c>
      <c r="F74" s="85">
        <f t="shared" si="30"/>
        <v>73801837.53</v>
      </c>
      <c r="G74" s="85">
        <f t="shared" si="30"/>
        <v>0</v>
      </c>
      <c r="H74" s="85">
        <f t="shared" si="30"/>
        <v>73801837.53</v>
      </c>
      <c r="I74" s="85">
        <f t="shared" si="30"/>
        <v>40864058.56000001</v>
      </c>
      <c r="J74" s="85">
        <f t="shared" si="30"/>
        <v>114665896.09</v>
      </c>
      <c r="K74" s="85">
        <f>J74/$J$116*$N$127</f>
        <v>17594255.207992002</v>
      </c>
      <c r="L74" s="114"/>
      <c r="M74" s="113">
        <f>SUM(J74:K74)</f>
        <v>132260151.297992</v>
      </c>
      <c r="N74" s="102">
        <f t="shared" si="5"/>
        <v>0.6055981153854729</v>
      </c>
      <c r="O74" s="115">
        <f t="shared" si="6"/>
        <v>1</v>
      </c>
      <c r="P74" s="39">
        <f>(87924877+296497)/141560129</f>
        <v>0.6232077819030527</v>
      </c>
    </row>
    <row r="75" spans="1:15" ht="13.5" thickTop="1">
      <c r="A75" s="71">
        <v>63</v>
      </c>
      <c r="B75" s="72" t="s">
        <v>133</v>
      </c>
      <c r="C75" s="73"/>
      <c r="D75" s="103"/>
      <c r="E75" s="85"/>
      <c r="F75" s="103"/>
      <c r="G75" s="85"/>
      <c r="H75" s="103"/>
      <c r="I75" s="87"/>
      <c r="J75" s="104"/>
      <c r="K75" s="88"/>
      <c r="L75" s="105"/>
      <c r="M75" s="106"/>
      <c r="N75" s="107">
        <f t="shared" si="5"/>
        <v>0</v>
      </c>
      <c r="O75" s="91"/>
    </row>
    <row r="76" spans="1:15" ht="12.75">
      <c r="A76" s="71">
        <v>64</v>
      </c>
      <c r="B76" s="79" t="s">
        <v>134</v>
      </c>
      <c r="C76" s="73"/>
      <c r="D76" s="108"/>
      <c r="E76" s="85"/>
      <c r="F76" s="108"/>
      <c r="G76" s="85"/>
      <c r="H76" s="108"/>
      <c r="I76" s="87"/>
      <c r="J76" s="109"/>
      <c r="K76" s="88"/>
      <c r="L76" s="116"/>
      <c r="M76" s="117"/>
      <c r="N76" s="91">
        <f t="shared" si="5"/>
        <v>0</v>
      </c>
      <c r="O76" s="91"/>
    </row>
    <row r="77" spans="1:15" ht="12.75">
      <c r="A77" s="73">
        <v>65</v>
      </c>
      <c r="B77" s="76" t="s">
        <v>135</v>
      </c>
      <c r="C77" s="73" t="s">
        <v>136</v>
      </c>
      <c r="D77" s="86">
        <v>19043382.43</v>
      </c>
      <c r="E77" s="85"/>
      <c r="F77" s="86">
        <f>SUM(D77:E77)</f>
        <v>19043382.43</v>
      </c>
      <c r="G77" s="85">
        <f>F77/$F$80*$F$109</f>
        <v>12600081.926795023</v>
      </c>
      <c r="H77" s="86">
        <f>SUM(F77:G77)</f>
        <v>31643464.35679502</v>
      </c>
      <c r="I77" s="87"/>
      <c r="J77" s="86">
        <f>SUM(H77:I77)</f>
        <v>31643464.35679502</v>
      </c>
      <c r="K77" s="88">
        <f>J77/$J$80*$K$80</f>
        <v>4854989.71254721</v>
      </c>
      <c r="L77" s="113"/>
      <c r="M77" s="92">
        <f>SUM(J77:K77)</f>
        <v>36498454.06934223</v>
      </c>
      <c r="N77" s="91">
        <f t="shared" si="5"/>
        <v>0.16712059363274354</v>
      </c>
      <c r="O77" s="91"/>
    </row>
    <row r="78" spans="1:15" ht="12.75">
      <c r="A78" s="73">
        <v>66</v>
      </c>
      <c r="B78" s="76" t="s">
        <v>137</v>
      </c>
      <c r="C78" s="73" t="s">
        <v>138</v>
      </c>
      <c r="D78" s="86">
        <v>7930797.65</v>
      </c>
      <c r="E78" s="85"/>
      <c r="F78" s="86">
        <f>SUM(D78:E78)</f>
        <v>7930797.65</v>
      </c>
      <c r="G78" s="85">
        <f>F78/$F$80*$F$109</f>
        <v>5247423.901828003</v>
      </c>
      <c r="H78" s="86">
        <f>SUM(F78:G78)</f>
        <v>13178221.551828004</v>
      </c>
      <c r="I78" s="87"/>
      <c r="J78" s="86">
        <f>SUM(H78:I78)</f>
        <v>13178221.551828004</v>
      </c>
      <c r="K78" s="88">
        <f>J78/$J$80*$K$80</f>
        <v>2021906.6200333405</v>
      </c>
      <c r="L78" s="113"/>
      <c r="M78" s="92">
        <f>SUM(J78:K78)</f>
        <v>15200128.171861345</v>
      </c>
      <c r="N78" s="91">
        <f aca="true" t="shared" si="31" ref="N78:N109">M78/$M$113</f>
        <v>0.06959895996003308</v>
      </c>
      <c r="O78" s="91"/>
    </row>
    <row r="79" spans="1:15" ht="12.75">
      <c r="A79" s="73">
        <v>67</v>
      </c>
      <c r="B79" s="76" t="s">
        <v>139</v>
      </c>
      <c r="C79" s="73" t="s">
        <v>140</v>
      </c>
      <c r="D79" s="86">
        <v>3652305.83</v>
      </c>
      <c r="E79" s="85"/>
      <c r="F79" s="86">
        <f>SUM(D79:E79)</f>
        <v>3652305.83</v>
      </c>
      <c r="G79" s="85">
        <f>F79/$F$80*$F$109</f>
        <v>2416553.5113769756</v>
      </c>
      <c r="H79" s="86">
        <f>SUM(F79:G79)</f>
        <v>6068859.341376975</v>
      </c>
      <c r="I79" s="87"/>
      <c r="J79" s="86">
        <f>SUM(H79:I79)</f>
        <v>6068859.341376975</v>
      </c>
      <c r="K79" s="88">
        <f>J79/$J$80*$K$80</f>
        <v>931132.2343551866</v>
      </c>
      <c r="L79" s="113"/>
      <c r="M79" s="92">
        <f>SUM(J79:K79)</f>
        <v>6999991.575732162</v>
      </c>
      <c r="N79" s="91">
        <f t="shared" si="31"/>
        <v>0.03205184376680767</v>
      </c>
      <c r="O79" s="91"/>
    </row>
    <row r="80" spans="1:15" ht="12.75">
      <c r="A80" s="73">
        <v>68</v>
      </c>
      <c r="B80" s="76" t="s">
        <v>141</v>
      </c>
      <c r="C80" s="73"/>
      <c r="D80" s="85">
        <f>SUM(D77:D79)</f>
        <v>30626485.909999996</v>
      </c>
      <c r="E80" s="85"/>
      <c r="F80" s="85">
        <f>SUM(F77:F79)</f>
        <v>30626485.909999996</v>
      </c>
      <c r="G80" s="85">
        <f>SUM(G77:G79)</f>
        <v>20264059.340000004</v>
      </c>
      <c r="H80" s="85">
        <f>SUM(H77:H79)</f>
        <v>50890545.25</v>
      </c>
      <c r="I80" s="85">
        <f>SUM(I77:I79)</f>
        <v>0</v>
      </c>
      <c r="J80" s="85">
        <f>SUM(J77:J79)</f>
        <v>50890545.25</v>
      </c>
      <c r="K80" s="85">
        <f>J80/$J$118*$O$125</f>
        <v>7808028.566935738</v>
      </c>
      <c r="L80" s="114"/>
      <c r="M80" s="92">
        <f>SUM(M77:M79)</f>
        <v>58698573.81693574</v>
      </c>
      <c r="N80" s="91">
        <f t="shared" si="31"/>
        <v>0.2687713973595843</v>
      </c>
      <c r="O80" s="91"/>
    </row>
    <row r="81" spans="1:15" ht="12.75">
      <c r="A81" s="71">
        <v>69</v>
      </c>
      <c r="B81" s="79" t="s">
        <v>142</v>
      </c>
      <c r="C81" s="73"/>
      <c r="D81" s="95"/>
      <c r="E81" s="85"/>
      <c r="F81" s="95"/>
      <c r="G81" s="85"/>
      <c r="H81" s="95"/>
      <c r="I81" s="87"/>
      <c r="J81" s="96"/>
      <c r="K81" s="88"/>
      <c r="L81" s="111"/>
      <c r="M81" s="112"/>
      <c r="N81" s="91">
        <f t="shared" si="31"/>
        <v>0</v>
      </c>
      <c r="O81" s="91"/>
    </row>
    <row r="82" spans="1:15" ht="12.75">
      <c r="A82" s="73">
        <v>70</v>
      </c>
      <c r="B82" s="76" t="s">
        <v>135</v>
      </c>
      <c r="C82" s="73" t="s">
        <v>143</v>
      </c>
      <c r="D82" s="86">
        <v>4377661.22</v>
      </c>
      <c r="E82" s="85"/>
      <c r="F82" s="86">
        <f>SUM(D82:E82)</f>
        <v>4377661.22</v>
      </c>
      <c r="G82" s="85"/>
      <c r="H82" s="86">
        <f>SUM(F82:G82)</f>
        <v>4377661.22</v>
      </c>
      <c r="I82" s="87"/>
      <c r="J82" s="86">
        <f>SUM(H82:I82)</f>
        <v>4377661.22</v>
      </c>
      <c r="K82" s="88">
        <f>J82/$J$85*$K$85</f>
        <v>671655.2887027037</v>
      </c>
      <c r="L82" s="113"/>
      <c r="M82" s="92">
        <f>SUM(J82:K82)</f>
        <v>5049316.508702704</v>
      </c>
      <c r="N82" s="91">
        <f t="shared" si="31"/>
        <v>0.023120014090756133</v>
      </c>
      <c r="O82" s="91"/>
    </row>
    <row r="83" spans="1:15" ht="12.75">
      <c r="A83" s="73">
        <v>71</v>
      </c>
      <c r="B83" s="76" t="s">
        <v>137</v>
      </c>
      <c r="C83" s="73" t="s">
        <v>144</v>
      </c>
      <c r="D83" s="86">
        <v>735754.26</v>
      </c>
      <c r="E83" s="85"/>
      <c r="F83" s="86">
        <f>SUM(D83:E83)</f>
        <v>735754.26</v>
      </c>
      <c r="G83" s="85"/>
      <c r="H83" s="86">
        <f>SUM(F83:G83)</f>
        <v>735754.26</v>
      </c>
      <c r="I83" s="87"/>
      <c r="J83" s="86">
        <f>SUM(H83:I83)</f>
        <v>735754.26</v>
      </c>
      <c r="K83" s="88">
        <f>J83/$J$85*$K$85</f>
        <v>112885.21771781694</v>
      </c>
      <c r="L83" s="113"/>
      <c r="M83" s="92">
        <f>SUM(J83:K83)</f>
        <v>848639.477717817</v>
      </c>
      <c r="N83" s="91">
        <f t="shared" si="31"/>
        <v>0.003885784669863935</v>
      </c>
      <c r="O83" s="91"/>
    </row>
    <row r="84" spans="1:15" ht="12.75">
      <c r="A84" s="118">
        <v>72</v>
      </c>
      <c r="B84" s="76" t="s">
        <v>139</v>
      </c>
      <c r="C84" s="73" t="s">
        <v>145</v>
      </c>
      <c r="D84" s="86">
        <v>564721.38</v>
      </c>
      <c r="E84" s="85"/>
      <c r="F84" s="86">
        <f>SUM(D84:E84)</f>
        <v>564721.38</v>
      </c>
      <c r="G84" s="85"/>
      <c r="H84" s="86">
        <f>SUM(F84:G84)</f>
        <v>564721.38</v>
      </c>
      <c r="I84" s="87"/>
      <c r="J84" s="86">
        <f>SUM(H84:I84)</f>
        <v>564721.38</v>
      </c>
      <c r="K84" s="88">
        <f>J84/$J$85*$K$85</f>
        <v>86644.0052025061</v>
      </c>
      <c r="L84" s="113"/>
      <c r="M84" s="92">
        <f>SUM(J84:K84)</f>
        <v>651365.3852025061</v>
      </c>
      <c r="N84" s="91">
        <f t="shared" si="31"/>
        <v>0.0029824980981400036</v>
      </c>
      <c r="O84" s="91"/>
    </row>
    <row r="85" spans="1:15" ht="12.75">
      <c r="A85" s="71">
        <v>73</v>
      </c>
      <c r="B85" s="79" t="s">
        <v>146</v>
      </c>
      <c r="C85" s="73"/>
      <c r="D85" s="85">
        <f>SUM(D82:D84)</f>
        <v>5678136.859999999</v>
      </c>
      <c r="E85" s="85"/>
      <c r="F85" s="85">
        <f>SUM(F82:F84)</f>
        <v>5678136.859999999</v>
      </c>
      <c r="G85" s="85">
        <f>SUM(G82:G84)</f>
        <v>0</v>
      </c>
      <c r="H85" s="85">
        <f>SUM(H82:H84)</f>
        <v>5678136.859999999</v>
      </c>
      <c r="I85" s="85">
        <f>SUM(I82:I84)</f>
        <v>0</v>
      </c>
      <c r="J85" s="85">
        <f>SUM(J82:J84)</f>
        <v>5678136.859999999</v>
      </c>
      <c r="K85" s="85">
        <f>J85/$J$118*$O$125</f>
        <v>871184.5116230266</v>
      </c>
      <c r="L85" s="114"/>
      <c r="M85" s="92">
        <f>SUM(M82:M84)</f>
        <v>6549321.371623026</v>
      </c>
      <c r="N85" s="91">
        <f t="shared" si="31"/>
        <v>0.029988296858760068</v>
      </c>
      <c r="O85" s="91"/>
    </row>
    <row r="86" spans="1:15" ht="12.75">
      <c r="A86" s="71">
        <v>74</v>
      </c>
      <c r="B86" s="79" t="s">
        <v>147</v>
      </c>
      <c r="C86" s="73"/>
      <c r="D86" s="95"/>
      <c r="E86" s="85"/>
      <c r="F86" s="95"/>
      <c r="G86" s="85"/>
      <c r="H86" s="95"/>
      <c r="I86" s="87"/>
      <c r="J86" s="96"/>
      <c r="K86" s="88"/>
      <c r="L86" s="111"/>
      <c r="M86" s="112"/>
      <c r="N86" s="91">
        <f t="shared" si="31"/>
        <v>0</v>
      </c>
      <c r="O86" s="91"/>
    </row>
    <row r="87" spans="1:15" ht="12.75">
      <c r="A87" s="118">
        <v>74.01</v>
      </c>
      <c r="B87" s="76" t="s">
        <v>148</v>
      </c>
      <c r="C87" s="73" t="s">
        <v>149</v>
      </c>
      <c r="D87" s="86">
        <v>161647.1</v>
      </c>
      <c r="E87" s="85"/>
      <c r="F87" s="86">
        <f aca="true" t="shared" si="32" ref="F87:F96">SUM(D87:E87)</f>
        <v>161647.1</v>
      </c>
      <c r="G87" s="85"/>
      <c r="H87" s="86">
        <f aca="true" t="shared" si="33" ref="H87:H96">SUM(F87:G87)</f>
        <v>161647.1</v>
      </c>
      <c r="I87" s="87"/>
      <c r="J87" s="86">
        <f aca="true" t="shared" si="34" ref="J87:J96">SUM(H87:I87)</f>
        <v>161647.1</v>
      </c>
      <c r="K87" s="87">
        <f>J87/$J$117*$F$8*$J$108</f>
        <v>24898.382557891735</v>
      </c>
      <c r="L87" s="113"/>
      <c r="M87" s="92">
        <f aca="true" t="shared" si="35" ref="M87:M96">SUM(J87:K87)</f>
        <v>186545.48255789175</v>
      </c>
      <c r="N87" s="91">
        <f t="shared" si="31"/>
        <v>0.0008541619797197979</v>
      </c>
      <c r="O87" s="91"/>
    </row>
    <row r="88" spans="1:15" ht="12.75">
      <c r="A88" s="73">
        <v>74.02</v>
      </c>
      <c r="B88" s="76" t="s">
        <v>150</v>
      </c>
      <c r="C88" s="73" t="s">
        <v>151</v>
      </c>
      <c r="D88" s="86">
        <v>3134892.07</v>
      </c>
      <c r="E88" s="85"/>
      <c r="F88" s="86">
        <f t="shared" si="32"/>
        <v>3134892.07</v>
      </c>
      <c r="G88" s="85"/>
      <c r="H88" s="86">
        <f t="shared" si="33"/>
        <v>3134892.07</v>
      </c>
      <c r="I88" s="87"/>
      <c r="J88" s="86">
        <f t="shared" si="34"/>
        <v>3134892.07</v>
      </c>
      <c r="K88" s="85">
        <f>J88/$J$118*$O$125</f>
        <v>480979.85031552217</v>
      </c>
      <c r="L88" s="113"/>
      <c r="M88" s="92">
        <f t="shared" si="35"/>
        <v>3615871.920315522</v>
      </c>
      <c r="N88" s="91">
        <f t="shared" si="31"/>
        <v>0.016556500192447428</v>
      </c>
      <c r="O88" s="91"/>
    </row>
    <row r="89" spans="1:15" ht="12.75">
      <c r="A89" s="118">
        <v>74.03</v>
      </c>
      <c r="B89" s="76" t="s">
        <v>152</v>
      </c>
      <c r="C89" s="73" t="s">
        <v>153</v>
      </c>
      <c r="D89" s="86">
        <v>8987537.93</v>
      </c>
      <c r="F89" s="86">
        <f t="shared" si="32"/>
        <v>8987537.93</v>
      </c>
      <c r="G89" s="85"/>
      <c r="H89" s="86">
        <f t="shared" si="33"/>
        <v>8987537.93</v>
      </c>
      <c r="I89" s="87"/>
      <c r="J89" s="86">
        <f t="shared" si="34"/>
        <v>8987537.93</v>
      </c>
      <c r="K89" s="85">
        <f>J89/$J$118*$O$125</f>
        <v>1378938.9081827234</v>
      </c>
      <c r="L89" s="113"/>
      <c r="M89" s="92">
        <f t="shared" si="35"/>
        <v>10366476.838182723</v>
      </c>
      <c r="N89" s="91">
        <f t="shared" si="31"/>
        <v>0.04746644227138371</v>
      </c>
      <c r="O89" s="91"/>
    </row>
    <row r="90" spans="1:15" ht="12.75">
      <c r="A90" s="73">
        <v>74.04</v>
      </c>
      <c r="B90" s="76" t="s">
        <v>154</v>
      </c>
      <c r="C90" s="73" t="s">
        <v>155</v>
      </c>
      <c r="D90" s="86">
        <v>21049.69</v>
      </c>
      <c r="E90" s="85"/>
      <c r="F90" s="86">
        <f t="shared" si="32"/>
        <v>21049.69</v>
      </c>
      <c r="G90" s="85"/>
      <c r="H90" s="86">
        <f t="shared" si="33"/>
        <v>21049.69</v>
      </c>
      <c r="I90" s="87"/>
      <c r="J90" s="86">
        <f t="shared" si="34"/>
        <v>21049.69</v>
      </c>
      <c r="K90" s="85">
        <f>J90/$J$118*$O$125</f>
        <v>3229.60935155517</v>
      </c>
      <c r="L90" s="113"/>
      <c r="M90" s="92">
        <f t="shared" si="35"/>
        <v>24279.299351555168</v>
      </c>
      <c r="N90" s="91">
        <f t="shared" si="31"/>
        <v>0.00011117103515973956</v>
      </c>
      <c r="O90" s="91"/>
    </row>
    <row r="91" spans="1:15" ht="12.75">
      <c r="A91" s="118">
        <v>74.05</v>
      </c>
      <c r="B91" s="76" t="s">
        <v>156</v>
      </c>
      <c r="C91" s="73" t="s">
        <v>157</v>
      </c>
      <c r="D91" s="86">
        <v>3026289.8</v>
      </c>
      <c r="E91" s="85"/>
      <c r="F91" s="86">
        <f t="shared" si="32"/>
        <v>3026289.8</v>
      </c>
      <c r="G91" s="85"/>
      <c r="H91" s="86">
        <f t="shared" si="33"/>
        <v>3026289.8</v>
      </c>
      <c r="I91" s="87"/>
      <c r="J91" s="86">
        <f t="shared" si="34"/>
        <v>3026289.8</v>
      </c>
      <c r="K91" s="85">
        <f>J91/$J$118*$O$125</f>
        <v>464317.23405884</v>
      </c>
      <c r="L91" s="113"/>
      <c r="M91" s="92">
        <f t="shared" si="35"/>
        <v>3490607.03405884</v>
      </c>
      <c r="N91" s="91">
        <f t="shared" si="31"/>
        <v>0.01598293227878231</v>
      </c>
      <c r="O91" s="91"/>
    </row>
    <row r="92" spans="1:15" ht="12.75">
      <c r="A92" s="73">
        <v>74.06</v>
      </c>
      <c r="B92" s="119" t="s">
        <v>158</v>
      </c>
      <c r="C92" s="73" t="s">
        <v>159</v>
      </c>
      <c r="D92" s="86">
        <v>1083227.88</v>
      </c>
      <c r="E92" s="85"/>
      <c r="F92" s="86">
        <f t="shared" si="32"/>
        <v>1083227.88</v>
      </c>
      <c r="G92" s="85"/>
      <c r="H92" s="86">
        <f t="shared" si="33"/>
        <v>1083227.88</v>
      </c>
      <c r="I92" s="87"/>
      <c r="J92" s="86">
        <f t="shared" si="34"/>
        <v>1083227.88</v>
      </c>
      <c r="K92" s="87">
        <f>J92/$J$117*$F$8*$J$108</f>
        <v>166848.78450410828</v>
      </c>
      <c r="L92" s="113"/>
      <c r="M92" s="92">
        <f t="shared" si="35"/>
        <v>1250076.6645041083</v>
      </c>
      <c r="N92" s="91">
        <f t="shared" si="31"/>
        <v>0.005723901452413805</v>
      </c>
      <c r="O92" s="91"/>
    </row>
    <row r="93" spans="1:15" ht="12.75">
      <c r="A93" s="118">
        <v>74.07</v>
      </c>
      <c r="B93" s="76" t="s">
        <v>160</v>
      </c>
      <c r="C93" s="73" t="s">
        <v>161</v>
      </c>
      <c r="D93" s="86">
        <v>10577.99</v>
      </c>
      <c r="E93" s="85">
        <v>1672983.7499999972</v>
      </c>
      <c r="F93" s="86">
        <f t="shared" si="32"/>
        <v>1683561.7399999972</v>
      </c>
      <c r="G93" s="85"/>
      <c r="H93" s="86">
        <f t="shared" si="33"/>
        <v>1683561.7399999972</v>
      </c>
      <c r="I93" s="87"/>
      <c r="J93" s="86">
        <f t="shared" si="34"/>
        <v>1683561.7399999972</v>
      </c>
      <c r="K93" s="85">
        <f>J93/$J$118*$O$125</f>
        <v>258305.3118323588</v>
      </c>
      <c r="L93" s="113"/>
      <c r="M93" s="92">
        <f t="shared" si="35"/>
        <v>1941867.051832356</v>
      </c>
      <c r="N93" s="91">
        <f t="shared" si="31"/>
        <v>0.008891499180801808</v>
      </c>
      <c r="O93" s="91"/>
    </row>
    <row r="94" spans="1:15" ht="12.75">
      <c r="A94" s="118">
        <v>74.0799999999999</v>
      </c>
      <c r="B94" s="76" t="s">
        <v>162</v>
      </c>
      <c r="C94" s="73" t="s">
        <v>163</v>
      </c>
      <c r="D94" s="86">
        <v>5235.18</v>
      </c>
      <c r="E94" s="85"/>
      <c r="F94" s="86">
        <f t="shared" si="32"/>
        <v>5235.18</v>
      </c>
      <c r="G94" s="85"/>
      <c r="H94" s="86">
        <f t="shared" si="33"/>
        <v>5235.18</v>
      </c>
      <c r="I94" s="87"/>
      <c r="J94" s="86">
        <f t="shared" si="34"/>
        <v>5235.18</v>
      </c>
      <c r="K94" s="85">
        <f>J94/$J$118*$O$125</f>
        <v>803.2225788158682</v>
      </c>
      <c r="L94" s="113"/>
      <c r="M94" s="92">
        <f t="shared" si="35"/>
        <v>6038.402578815869</v>
      </c>
      <c r="N94" s="91">
        <f t="shared" si="31"/>
        <v>2.7648881282696582E-05</v>
      </c>
      <c r="O94" s="91"/>
    </row>
    <row r="95" spans="1:15" ht="12.75">
      <c r="A95" s="73" t="s">
        <v>164</v>
      </c>
      <c r="B95" s="76" t="s">
        <v>165</v>
      </c>
      <c r="C95" s="73" t="s">
        <v>166</v>
      </c>
      <c r="D95" s="86">
        <v>5289</v>
      </c>
      <c r="E95" s="85"/>
      <c r="F95" s="86">
        <f t="shared" si="32"/>
        <v>5289</v>
      </c>
      <c r="G95" s="85"/>
      <c r="H95" s="86">
        <f t="shared" si="33"/>
        <v>5289</v>
      </c>
      <c r="I95" s="87"/>
      <c r="J95" s="86">
        <f t="shared" si="34"/>
        <v>5289</v>
      </c>
      <c r="K95" s="85">
        <f>J95/$J$118*$O$125</f>
        <v>811.4800674202468</v>
      </c>
      <c r="L95" s="113"/>
      <c r="M95" s="92">
        <f t="shared" si="35"/>
        <v>6100.480067420247</v>
      </c>
      <c r="N95" s="91">
        <f t="shared" si="31"/>
        <v>2.7933124191371114E-05</v>
      </c>
      <c r="O95" s="91"/>
    </row>
    <row r="96" spans="1:15" ht="12.75">
      <c r="A96" s="118" t="s">
        <v>167</v>
      </c>
      <c r="B96" s="76" t="s">
        <v>168</v>
      </c>
      <c r="C96" s="73" t="s">
        <v>169</v>
      </c>
      <c r="D96" s="86">
        <v>0</v>
      </c>
      <c r="E96" s="85"/>
      <c r="F96" s="86">
        <f t="shared" si="32"/>
        <v>0</v>
      </c>
      <c r="G96" s="85"/>
      <c r="H96" s="86">
        <f t="shared" si="33"/>
        <v>0</v>
      </c>
      <c r="I96" s="87"/>
      <c r="J96" s="86">
        <f t="shared" si="34"/>
        <v>0</v>
      </c>
      <c r="K96" s="85">
        <f>J96/$J$116*$N$127</f>
        <v>0</v>
      </c>
      <c r="L96" s="113"/>
      <c r="M96" s="92">
        <f t="shared" si="35"/>
        <v>0</v>
      </c>
      <c r="N96" s="91">
        <f t="shared" si="31"/>
        <v>0</v>
      </c>
      <c r="O96" s="91"/>
    </row>
    <row r="97" spans="1:15" ht="12.75">
      <c r="A97" s="71" t="s">
        <v>170</v>
      </c>
      <c r="B97" s="79" t="s">
        <v>171</v>
      </c>
      <c r="C97" s="73"/>
      <c r="D97" s="86">
        <f aca="true" t="shared" si="36" ref="D97:K97">SUM(D87:D96)</f>
        <v>16435746.639999999</v>
      </c>
      <c r="E97" s="85">
        <f t="shared" si="36"/>
        <v>1672983.7499999972</v>
      </c>
      <c r="F97" s="86">
        <f t="shared" si="36"/>
        <v>18108730.389999997</v>
      </c>
      <c r="G97" s="86"/>
      <c r="H97" s="86">
        <f t="shared" si="36"/>
        <v>18108730.389999997</v>
      </c>
      <c r="I97" s="85"/>
      <c r="J97" s="86">
        <f t="shared" si="36"/>
        <v>18108730.389999997</v>
      </c>
      <c r="K97" s="86">
        <f t="shared" si="36"/>
        <v>2779132.7834492354</v>
      </c>
      <c r="L97" s="113"/>
      <c r="M97" s="92">
        <f>SUM(M87:M96)</f>
        <v>20887863.17344923</v>
      </c>
      <c r="N97" s="91">
        <f t="shared" si="31"/>
        <v>0.09564219039618266</v>
      </c>
      <c r="O97" s="91"/>
    </row>
    <row r="98" spans="1:15" ht="12.75">
      <c r="A98" s="71" t="s">
        <v>172</v>
      </c>
      <c r="B98" s="79" t="s">
        <v>173</v>
      </c>
      <c r="C98" s="73"/>
      <c r="D98" s="86">
        <f>D74+D80+D85+D97</f>
        <v>126542206.94</v>
      </c>
      <c r="E98" s="85">
        <f>+E74+E77+E78+E79+E82+E83+E84+E97</f>
        <v>1672983.7499999972</v>
      </c>
      <c r="F98" s="86">
        <f>F74+F80+F85+F97</f>
        <v>128215190.69</v>
      </c>
      <c r="G98" s="86">
        <f>G74+G80+G85+G97</f>
        <v>20264059.340000004</v>
      </c>
      <c r="H98" s="86">
        <f>+H74+H77+H78+H79+H85+H97</f>
        <v>148479250.02999997</v>
      </c>
      <c r="I98" s="85">
        <f>+I74+I77+I78+I79+I85+I97</f>
        <v>40864058.56000001</v>
      </c>
      <c r="J98" s="86">
        <f>+J74+J77+J78+J79+J85+J97</f>
        <v>189343308.58999997</v>
      </c>
      <c r="K98" s="86">
        <f>+K74+K77+K78+K79+K85+K97</f>
        <v>29052601.07</v>
      </c>
      <c r="L98" s="113"/>
      <c r="M98" s="92">
        <f>+M74+M77+M78+M79+M85+M97</f>
        <v>218395909.66000003</v>
      </c>
      <c r="N98" s="91">
        <f t="shared" si="31"/>
        <v>1</v>
      </c>
      <c r="O98" s="91"/>
    </row>
    <row r="99" spans="1:15" ht="12.75">
      <c r="A99" s="73" t="s">
        <v>174</v>
      </c>
      <c r="B99" s="76"/>
      <c r="C99" s="73"/>
      <c r="D99" s="103"/>
      <c r="E99" s="85"/>
      <c r="F99" s="103"/>
      <c r="G99" s="85"/>
      <c r="H99" s="103"/>
      <c r="I99" s="87"/>
      <c r="J99" s="104"/>
      <c r="K99" s="88"/>
      <c r="L99" s="105"/>
      <c r="M99" s="106"/>
      <c r="N99" s="91">
        <f t="shared" si="31"/>
        <v>0</v>
      </c>
      <c r="O99" s="91"/>
    </row>
    <row r="100" spans="1:15" ht="12.75">
      <c r="A100" s="71" t="s">
        <v>175</v>
      </c>
      <c r="B100" s="79" t="s">
        <v>176</v>
      </c>
      <c r="C100" s="73"/>
      <c r="D100" s="108"/>
      <c r="E100" s="85"/>
      <c r="F100" s="108"/>
      <c r="G100" s="85"/>
      <c r="H100" s="108"/>
      <c r="I100" s="87"/>
      <c r="J100" s="109"/>
      <c r="K100" s="88"/>
      <c r="L100" s="116"/>
      <c r="M100" s="117"/>
      <c r="N100" s="91">
        <f t="shared" si="31"/>
        <v>0</v>
      </c>
      <c r="O100" s="91"/>
    </row>
    <row r="101" spans="1:15" ht="12.75">
      <c r="A101" s="73" t="s">
        <v>177</v>
      </c>
      <c r="B101" s="76" t="s">
        <v>178</v>
      </c>
      <c r="C101" s="73" t="s">
        <v>179</v>
      </c>
      <c r="D101" s="86">
        <v>15463220.92</v>
      </c>
      <c r="E101" s="86"/>
      <c r="F101" s="86">
        <f>SUM(D101:E101)</f>
        <v>15463220.92</v>
      </c>
      <c r="G101" s="86"/>
      <c r="H101" s="86">
        <f>SUM(F101:G101)</f>
        <v>15463220.92</v>
      </c>
      <c r="I101" s="87">
        <f>-H101</f>
        <v>-15463220.92</v>
      </c>
      <c r="J101" s="86">
        <f>SUM(H101:I101)</f>
        <v>0</v>
      </c>
      <c r="K101" s="88"/>
      <c r="L101" s="113"/>
      <c r="M101" s="92">
        <f>SUM(J101:K101)</f>
        <v>0</v>
      </c>
      <c r="N101" s="91">
        <f t="shared" si="31"/>
        <v>0</v>
      </c>
      <c r="O101" s="91"/>
    </row>
    <row r="102" spans="1:15" ht="12.75">
      <c r="A102" s="73" t="s">
        <v>180</v>
      </c>
      <c r="B102" s="76" t="s">
        <v>181</v>
      </c>
      <c r="C102" s="73" t="s">
        <v>182</v>
      </c>
      <c r="D102" s="86">
        <v>1265831.18</v>
      </c>
      <c r="E102" s="86"/>
      <c r="F102" s="86">
        <f>SUM(D102:E102)</f>
        <v>1265831.18</v>
      </c>
      <c r="G102" s="86"/>
      <c r="H102" s="86">
        <f>SUM(F102:G102)</f>
        <v>1265831.18</v>
      </c>
      <c r="I102" s="87">
        <f>-H102</f>
        <v>-1265831.18</v>
      </c>
      <c r="J102" s="86">
        <f>SUM(H102:I102)</f>
        <v>0</v>
      </c>
      <c r="K102" s="88"/>
      <c r="L102" s="113"/>
      <c r="M102" s="92">
        <f>SUM(J102:K102)</f>
        <v>0</v>
      </c>
      <c r="N102" s="91">
        <f t="shared" si="31"/>
        <v>0</v>
      </c>
      <c r="O102" s="91"/>
    </row>
    <row r="103" spans="1:15" ht="12.75">
      <c r="A103" s="73" t="s">
        <v>183</v>
      </c>
      <c r="B103" s="76" t="s">
        <v>184</v>
      </c>
      <c r="C103" s="73" t="s">
        <v>185</v>
      </c>
      <c r="D103" s="86">
        <v>0</v>
      </c>
      <c r="E103" s="86"/>
      <c r="F103" s="86">
        <f>SUM(D103:E103)</f>
        <v>0</v>
      </c>
      <c r="G103" s="86"/>
      <c r="H103" s="86">
        <f>SUM(F103:G103)</f>
        <v>0</v>
      </c>
      <c r="I103" s="87">
        <f>-H103</f>
        <v>0</v>
      </c>
      <c r="J103" s="86">
        <f>SUM(H103:I103)</f>
        <v>0</v>
      </c>
      <c r="K103" s="88"/>
      <c r="L103" s="113"/>
      <c r="M103" s="92">
        <f>SUM(J103:K103)</f>
        <v>0</v>
      </c>
      <c r="N103" s="91">
        <f t="shared" si="31"/>
        <v>0</v>
      </c>
      <c r="O103" s="91"/>
    </row>
    <row r="104" spans="1:15" ht="12.75">
      <c r="A104" s="73" t="s">
        <v>186</v>
      </c>
      <c r="B104" s="76" t="s">
        <v>187</v>
      </c>
      <c r="C104" s="73" t="s">
        <v>188</v>
      </c>
      <c r="D104" s="86">
        <v>22764791.67</v>
      </c>
      <c r="E104" s="85">
        <v>346583.6300000027</v>
      </c>
      <c r="F104" s="86">
        <f>SUM(D104:E104)</f>
        <v>23111375.300000004</v>
      </c>
      <c r="G104" s="86"/>
      <c r="H104" s="86">
        <f>SUM(F104:G104)</f>
        <v>23111375.300000004</v>
      </c>
      <c r="I104" s="87">
        <f>-H104</f>
        <v>-23111375.300000004</v>
      </c>
      <c r="J104" s="86">
        <f>SUM(H104:I104)</f>
        <v>0</v>
      </c>
      <c r="K104" s="88"/>
      <c r="L104" s="113"/>
      <c r="M104" s="92">
        <f>SUM(J104:K104)</f>
        <v>0</v>
      </c>
      <c r="N104" s="91">
        <f t="shared" si="31"/>
        <v>0</v>
      </c>
      <c r="O104" s="91"/>
    </row>
    <row r="105" spans="1:15" ht="12.75">
      <c r="A105" s="73" t="s">
        <v>189</v>
      </c>
      <c r="B105" s="76" t="s">
        <v>190</v>
      </c>
      <c r="C105" s="73" t="s">
        <v>191</v>
      </c>
      <c r="D105" s="86">
        <v>1023631.16</v>
      </c>
      <c r="E105" s="86"/>
      <c r="F105" s="86">
        <f>SUM(D105:E105)</f>
        <v>1023631.16</v>
      </c>
      <c r="G105" s="86"/>
      <c r="H105" s="86">
        <f>SUM(F105:G105)</f>
        <v>1023631.16</v>
      </c>
      <c r="I105" s="87">
        <f>-H105</f>
        <v>-1023631.16</v>
      </c>
      <c r="J105" s="86">
        <f>SUM(H105:I105)</f>
        <v>0</v>
      </c>
      <c r="K105" s="88"/>
      <c r="L105" s="113"/>
      <c r="M105" s="92">
        <f>SUM(J105:K105)</f>
        <v>0</v>
      </c>
      <c r="N105" s="91">
        <f t="shared" si="31"/>
        <v>0</v>
      </c>
      <c r="O105" s="91"/>
    </row>
    <row r="106" spans="1:15" ht="12.75">
      <c r="A106" s="73" t="s">
        <v>192</v>
      </c>
      <c r="B106" s="76" t="s">
        <v>193</v>
      </c>
      <c r="C106" s="73"/>
      <c r="D106" s="86">
        <f>SUM(D101:D105)</f>
        <v>40517474.93</v>
      </c>
      <c r="E106" s="86"/>
      <c r="F106" s="86">
        <f>SUM(F101:F105)</f>
        <v>40864058.56</v>
      </c>
      <c r="G106" s="86"/>
      <c r="H106" s="86">
        <f>SUM(H101:H105)</f>
        <v>40864058.56</v>
      </c>
      <c r="I106" s="87">
        <f>SUM(I101:I105)</f>
        <v>-40864058.56</v>
      </c>
      <c r="J106" s="86">
        <f>SUM(J101:J105)</f>
        <v>0</v>
      </c>
      <c r="K106" s="86">
        <f>SUM(K101:K105)</f>
        <v>0</v>
      </c>
      <c r="L106" s="113"/>
      <c r="M106" s="92">
        <f>SUM(M101:M105)</f>
        <v>0</v>
      </c>
      <c r="N106" s="91">
        <f t="shared" si="31"/>
        <v>0</v>
      </c>
      <c r="O106" s="91"/>
    </row>
    <row r="107" spans="1:15" ht="12.75">
      <c r="A107" s="71" t="s">
        <v>194</v>
      </c>
      <c r="B107" s="79" t="s">
        <v>195</v>
      </c>
      <c r="C107" s="73"/>
      <c r="D107" s="86"/>
      <c r="E107" s="86"/>
      <c r="F107" s="86"/>
      <c r="G107" s="86"/>
      <c r="H107" s="86"/>
      <c r="I107" s="87"/>
      <c r="J107" s="86"/>
      <c r="K107" s="88"/>
      <c r="L107" s="113"/>
      <c r="M107" s="92"/>
      <c r="N107" s="91">
        <f t="shared" si="31"/>
        <v>0</v>
      </c>
      <c r="O107" s="91"/>
    </row>
    <row r="108" spans="1:15" ht="12.75">
      <c r="A108" s="73" t="s">
        <v>196</v>
      </c>
      <c r="B108" s="76" t="s">
        <v>197</v>
      </c>
      <c r="C108" s="73" t="s">
        <v>197</v>
      </c>
      <c r="D108" s="86">
        <v>29052601.07</v>
      </c>
      <c r="E108" s="86"/>
      <c r="F108" s="86">
        <f>SUM(D108:E108)</f>
        <v>29052601.07</v>
      </c>
      <c r="G108" s="86"/>
      <c r="H108" s="86">
        <f>SUM(F108:G108)</f>
        <v>29052601.07</v>
      </c>
      <c r="I108" s="87"/>
      <c r="J108" s="86">
        <f>SUM(H108:I108)</f>
        <v>29052601.07</v>
      </c>
      <c r="K108" s="88">
        <f>-J108</f>
        <v>-29052601.07</v>
      </c>
      <c r="L108" s="113"/>
      <c r="M108" s="92">
        <f>SUM(J108:K108)</f>
        <v>0</v>
      </c>
      <c r="N108" s="91">
        <f t="shared" si="31"/>
        <v>0</v>
      </c>
      <c r="O108" s="91"/>
    </row>
    <row r="109" spans="1:15" ht="12.75">
      <c r="A109" s="73" t="s">
        <v>198</v>
      </c>
      <c r="B109" s="76" t="s">
        <v>199</v>
      </c>
      <c r="C109" s="73" t="s">
        <v>200</v>
      </c>
      <c r="D109" s="86">
        <v>20264059.34</v>
      </c>
      <c r="E109" s="86"/>
      <c r="F109" s="86">
        <f>SUM(D109:E109)</f>
        <v>20264059.34</v>
      </c>
      <c r="G109" s="86">
        <f>-F109</f>
        <v>-20264059.34</v>
      </c>
      <c r="H109" s="86">
        <f>SUM(F109:G109)</f>
        <v>0</v>
      </c>
      <c r="I109" s="87"/>
      <c r="J109" s="86">
        <f>SUM(H109:I109)</f>
        <v>0</v>
      </c>
      <c r="K109" s="88"/>
      <c r="L109" s="113"/>
      <c r="M109" s="92">
        <f>SUM(J109:K109)</f>
        <v>0</v>
      </c>
      <c r="N109" s="91">
        <f t="shared" si="31"/>
        <v>0</v>
      </c>
      <c r="O109" s="91"/>
    </row>
    <row r="110" spans="1:15" ht="12.75">
      <c r="A110" s="73" t="s">
        <v>201</v>
      </c>
      <c r="B110" s="76" t="s">
        <v>202</v>
      </c>
      <c r="C110" s="73" t="s">
        <v>203</v>
      </c>
      <c r="D110" s="86">
        <v>2019567.38</v>
      </c>
      <c r="E110" s="86">
        <f>-D110</f>
        <v>-2019567.38</v>
      </c>
      <c r="F110" s="86">
        <f>SUM(D110:E110)</f>
        <v>0</v>
      </c>
      <c r="G110" s="86"/>
      <c r="H110" s="86">
        <f>SUM(F110:G110)</f>
        <v>0</v>
      </c>
      <c r="I110" s="87"/>
      <c r="J110" s="86">
        <f>SUM(H110:I110)</f>
        <v>0</v>
      </c>
      <c r="K110" s="88">
        <f>-J110</f>
        <v>0</v>
      </c>
      <c r="L110" s="113"/>
      <c r="M110" s="92">
        <f>SUM(J110:K110)</f>
        <v>0</v>
      </c>
      <c r="N110" s="91">
        <f>M110/$M$113</f>
        <v>0</v>
      </c>
      <c r="O110" s="91"/>
    </row>
    <row r="111" spans="1:15" ht="12.75">
      <c r="A111" s="73"/>
      <c r="B111" s="76"/>
      <c r="C111" s="73"/>
      <c r="D111" s="86"/>
      <c r="E111" s="86"/>
      <c r="F111" s="86"/>
      <c r="G111" s="86"/>
      <c r="H111" s="86"/>
      <c r="I111" s="87"/>
      <c r="J111" s="86"/>
      <c r="K111" s="88"/>
      <c r="L111" s="113"/>
      <c r="M111" s="92"/>
      <c r="N111" s="91">
        <f>M111/$M$113</f>
        <v>0</v>
      </c>
      <c r="O111" s="91"/>
    </row>
    <row r="112" spans="1:15" ht="12.75">
      <c r="A112" s="73"/>
      <c r="B112" s="76"/>
      <c r="C112" s="73"/>
      <c r="D112" s="86">
        <f aca="true" t="shared" si="37" ref="D112:K112">SUM(D108:D111)</f>
        <v>51336227.79</v>
      </c>
      <c r="E112" s="86">
        <f t="shared" si="37"/>
        <v>-2019567.38</v>
      </c>
      <c r="F112" s="86">
        <f t="shared" si="37"/>
        <v>49316660.41</v>
      </c>
      <c r="G112" s="86">
        <f t="shared" si="37"/>
        <v>-20264059.34</v>
      </c>
      <c r="H112" s="86">
        <f t="shared" si="37"/>
        <v>29052601.07</v>
      </c>
      <c r="I112" s="85">
        <f t="shared" si="37"/>
        <v>0</v>
      </c>
      <c r="J112" s="86">
        <f t="shared" si="37"/>
        <v>29052601.07</v>
      </c>
      <c r="K112" s="86">
        <f t="shared" si="37"/>
        <v>-29052601.07</v>
      </c>
      <c r="L112" s="113"/>
      <c r="M112" s="92">
        <f>SUM(M108:M111)</f>
        <v>0</v>
      </c>
      <c r="N112" s="91">
        <f>M112/$M$113</f>
        <v>0</v>
      </c>
      <c r="O112" s="91"/>
    </row>
    <row r="113" spans="1:15" ht="13.5" thickBot="1">
      <c r="A113" s="53" t="s">
        <v>204</v>
      </c>
      <c r="C113" s="53"/>
      <c r="D113" s="120">
        <f aca="true" t="shared" si="38" ref="D113:K113">+D98+D106+D112</f>
        <v>218395909.66</v>
      </c>
      <c r="E113" s="120">
        <f>E110+E104+E98</f>
        <v>0</v>
      </c>
      <c r="F113" s="120">
        <f t="shared" si="38"/>
        <v>218395909.66</v>
      </c>
      <c r="G113" s="120">
        <f t="shared" si="38"/>
        <v>0</v>
      </c>
      <c r="H113" s="120">
        <f t="shared" si="38"/>
        <v>218395909.65999997</v>
      </c>
      <c r="I113" s="121">
        <f t="shared" si="38"/>
        <v>7.450580596923828E-09</v>
      </c>
      <c r="J113" s="120">
        <f t="shared" si="38"/>
        <v>218395909.65999997</v>
      </c>
      <c r="K113" s="120">
        <f t="shared" si="38"/>
        <v>0</v>
      </c>
      <c r="L113" s="120"/>
      <c r="M113" s="120">
        <f>+M98+M106+M112</f>
        <v>218395909.66000003</v>
      </c>
      <c r="N113" s="122">
        <f>M113/$M$113</f>
        <v>1</v>
      </c>
      <c r="O113" s="122"/>
    </row>
    <row r="114" spans="2:9" ht="12.75">
      <c r="B114" s="123"/>
      <c r="C114" s="53"/>
      <c r="D114" s="124"/>
      <c r="F114" s="123"/>
      <c r="G114" s="123"/>
      <c r="I114" s="125"/>
    </row>
    <row r="115" spans="3:14" ht="12.75">
      <c r="C115" s="53"/>
      <c r="D115" s="124"/>
      <c r="F115" s="123"/>
      <c r="G115" s="123" t="s">
        <v>205</v>
      </c>
      <c r="I115" s="125" t="s">
        <v>206</v>
      </c>
      <c r="K115" s="39" t="s">
        <v>207</v>
      </c>
      <c r="N115" s="39" t="s">
        <v>208</v>
      </c>
    </row>
    <row r="116" spans="3:16" ht="12.75">
      <c r="C116" s="53"/>
      <c r="D116" s="124"/>
      <c r="E116" s="126" t="str">
        <f>"Utility O&amp;M (Lines "&amp;A74&amp;" + "&amp;A96&amp;" + "&amp;A106&amp;")"</f>
        <v>Utility O&amp;M (Lines 62 + 74.10 + 84)</v>
      </c>
      <c r="F116" s="123">
        <f>F74+F106+F96</f>
        <v>114665896.09</v>
      </c>
      <c r="G116" s="127">
        <f>ROUND(F116/F$119,4)</f>
        <v>0.6056</v>
      </c>
      <c r="H116" s="123">
        <f>H74+H106+H96</f>
        <v>114665896.09</v>
      </c>
      <c r="I116" s="127">
        <f>ROUND(H116/H$119,4)</f>
        <v>0.6056</v>
      </c>
      <c r="J116" s="123">
        <f>J74+J106+J96</f>
        <v>114665896.09</v>
      </c>
      <c r="K116" s="127">
        <f>ROUND(J116/J$119,4)</f>
        <v>0.6056</v>
      </c>
      <c r="M116" s="123">
        <f>M74+M106+M96</f>
        <v>132260151.297992</v>
      </c>
      <c r="O116" s="128">
        <f>ROUND(M116/M$119,4)</f>
        <v>0.6056</v>
      </c>
      <c r="P116" s="129"/>
    </row>
    <row r="117" spans="4:16" ht="12.75">
      <c r="D117" s="124"/>
      <c r="E117" s="126" t="str">
        <f>"Non-Utility (Line "&amp;A87&amp;" + Line "&amp;A92&amp;")"</f>
        <v>Non-Utility (Line 74.01 + Line 74.06)</v>
      </c>
      <c r="F117" s="51">
        <f>F92+F87</f>
        <v>1244874.98</v>
      </c>
      <c r="G117" s="127">
        <f>ROUND(F117/F$119,4)</f>
        <v>0.0066</v>
      </c>
      <c r="H117" s="51">
        <f>H92+H87</f>
        <v>1244874.98</v>
      </c>
      <c r="I117" s="127">
        <f>ROUND(H117/H$119,4)</f>
        <v>0.0066</v>
      </c>
      <c r="J117" s="51">
        <f>J92+J87</f>
        <v>1244874.98</v>
      </c>
      <c r="K117" s="127">
        <f>ROUND(J117/J$119,4)</f>
        <v>0.0066</v>
      </c>
      <c r="M117" s="51">
        <f>M92+M87</f>
        <v>1436622.147062</v>
      </c>
      <c r="O117" s="128">
        <f>ROUND(M117/M$119,4)</f>
        <v>0.0066</v>
      </c>
      <c r="P117" s="191"/>
    </row>
    <row r="118" spans="4:16" ht="12.75">
      <c r="D118" s="124"/>
      <c r="E118" s="126" t="str">
        <f>"Capital (Lines "&amp;A80&amp;" + "&amp;A85&amp;" + "&amp;A88&amp;" thru "&amp;A91&amp;" + "&amp;A93&amp;" thru "&amp;A95&amp;" + "&amp;A109&amp;")"</f>
        <v>Capital (Lines 68 + 73 + 74.02 thru 74.05 + 74.07 thru 74.09 + 87)</v>
      </c>
      <c r="F118" s="130">
        <f>F80+F85+SUM(F88:F91)+SUM(F93:F95)+F109</f>
        <v>73432537.51999998</v>
      </c>
      <c r="G118" s="131">
        <f>ROUND(F118/F$119,4)</f>
        <v>0.3878</v>
      </c>
      <c r="H118" s="130">
        <f>H80+H85+SUM(H88:H91)+SUM(H93:H95)+H109</f>
        <v>73432537.52</v>
      </c>
      <c r="I118" s="131">
        <f>ROUND(H118/H$119,4)</f>
        <v>0.3878</v>
      </c>
      <c r="J118" s="130">
        <f>J80+J85+SUM(J88:J91)+SUM(J93:J95)+J109</f>
        <v>73432537.52</v>
      </c>
      <c r="K118" s="127">
        <f>ROUND(J118/J$119,4)</f>
        <v>0.3878</v>
      </c>
      <c r="L118" s="132"/>
      <c r="M118" s="130">
        <f>M80+M85+SUM(M88:M91)+SUM(M93:M95)+M109</f>
        <v>84699136.214946</v>
      </c>
      <c r="O118" s="128">
        <f>ROUND(M118/M$119,4)</f>
        <v>0.3878</v>
      </c>
      <c r="P118" s="191"/>
    </row>
    <row r="119" spans="5:16" ht="12.75">
      <c r="E119" s="126" t="s">
        <v>209</v>
      </c>
      <c r="F119" s="133">
        <f>SUM(F116:F118)</f>
        <v>189343308.58999997</v>
      </c>
      <c r="G119" s="134">
        <f>ROUND(F119/F$119,4)</f>
        <v>1</v>
      </c>
      <c r="H119" s="133">
        <f>SUM(H116:H118)</f>
        <v>189343308.59</v>
      </c>
      <c r="I119" s="134">
        <f>ROUND(H119/H$119,4)</f>
        <v>1</v>
      </c>
      <c r="J119" s="133">
        <f>SUM(J116:J118)</f>
        <v>189343308.59</v>
      </c>
      <c r="K119" s="134">
        <f>ROUND(J119/J$119,4)</f>
        <v>1</v>
      </c>
      <c r="L119" s="135"/>
      <c r="M119" s="133">
        <f>SUM(M116:M118)</f>
        <v>218395909.66000003</v>
      </c>
      <c r="N119" s="294">
        <f>ROUND(M119/M$119,4)</f>
        <v>1</v>
      </c>
      <c r="O119" s="294"/>
      <c r="P119" s="191"/>
    </row>
    <row r="120" spans="5:15" ht="12.75">
      <c r="E120" s="126" t="s">
        <v>197</v>
      </c>
      <c r="F120" s="136">
        <f>F108</f>
        <v>29052601.07</v>
      </c>
      <c r="G120" s="137"/>
      <c r="H120" s="136">
        <f>H108</f>
        <v>29052601.07</v>
      </c>
      <c r="I120" s="137"/>
      <c r="J120" s="136">
        <f>J108</f>
        <v>29052601.07</v>
      </c>
      <c r="K120" s="137"/>
      <c r="M120" s="136">
        <f>M108</f>
        <v>0</v>
      </c>
      <c r="N120" s="295"/>
      <c r="O120" s="295"/>
    </row>
    <row r="121" spans="5:13" ht="13.5" thickBot="1">
      <c r="E121" s="39" t="s">
        <v>210</v>
      </c>
      <c r="F121" s="138">
        <f>SUM(F119:F120)</f>
        <v>218395909.65999997</v>
      </c>
      <c r="H121" s="138">
        <f>SUM(H119:H120)</f>
        <v>218395909.66</v>
      </c>
      <c r="J121" s="138">
        <f>SUM(J119:J120)</f>
        <v>218395909.66</v>
      </c>
      <c r="M121" s="138">
        <f>SUM(M119:M120)</f>
        <v>218395909.66000003</v>
      </c>
    </row>
    <row r="122" spans="6:13" ht="13.5" thickTop="1">
      <c r="F122" s="136"/>
      <c r="H122" s="136"/>
      <c r="J122" s="136"/>
      <c r="M122" s="136"/>
    </row>
    <row r="123" spans="8:11" ht="12.75">
      <c r="H123" s="39" t="s">
        <v>211</v>
      </c>
      <c r="K123" s="39" t="s">
        <v>212</v>
      </c>
    </row>
    <row r="124" spans="1:15" ht="12.75">
      <c r="A124" s="53" t="s">
        <v>57</v>
      </c>
      <c r="C124" s="39" t="s">
        <v>91</v>
      </c>
      <c r="H124" s="139" t="s">
        <v>213</v>
      </c>
      <c r="I124" s="135"/>
      <c r="J124" s="135"/>
      <c r="K124" s="139" t="s">
        <v>214</v>
      </c>
      <c r="L124" s="135"/>
      <c r="M124" s="135"/>
      <c r="N124" s="135"/>
      <c r="O124" s="140"/>
    </row>
    <row r="125" spans="1:16" ht="12.75">
      <c r="A125" s="141" t="s">
        <v>215</v>
      </c>
      <c r="B125" s="39" t="str">
        <f>"Col-2 L25 = Col-1 L84 x "&amp;FIXED(D5*100)&amp;"% (Electric 4 Factor)"</f>
        <v>Col-2 L25 = Col-1 L84 x 66.49% (Electric 4 Factor)</v>
      </c>
      <c r="C125" s="142" t="s">
        <v>215</v>
      </c>
      <c r="D125" s="39" t="str">
        <f>"Col-2 L59b = Col-1 L84 x "&amp;FIXED(E5*100)&amp;"% (Gas 4 Factor)"</f>
        <v>Col-2 L59b = Col-1 L84 x 33.51% (Gas 4 Factor)</v>
      </c>
      <c r="H125" s="143" t="s">
        <v>216</v>
      </c>
      <c r="I125" s="144">
        <f>H106*D5</f>
        <v>27170512.536544003</v>
      </c>
      <c r="J125" s="46"/>
      <c r="K125" s="143" t="s">
        <v>29</v>
      </c>
      <c r="L125" s="46"/>
      <c r="M125" s="145">
        <f>E8</f>
        <v>0.3878</v>
      </c>
      <c r="O125" s="146">
        <f>H108*E8</f>
        <v>11266598.694946</v>
      </c>
      <c r="P125" s="192"/>
    </row>
    <row r="126" spans="1:16" ht="12.75">
      <c r="A126" s="141" t="s">
        <v>217</v>
      </c>
      <c r="B126" s="39" t="s">
        <v>218</v>
      </c>
      <c r="C126" s="142" t="s">
        <v>217</v>
      </c>
      <c r="D126" s="39" t="s">
        <v>219</v>
      </c>
      <c r="H126" s="143" t="s">
        <v>220</v>
      </c>
      <c r="I126" s="144">
        <f>H106*E5</f>
        <v>13693546.023456002</v>
      </c>
      <c r="J126" s="144"/>
      <c r="K126" s="143" t="s">
        <v>221</v>
      </c>
      <c r="L126" s="46"/>
      <c r="M126" s="145">
        <f>F8</f>
        <v>0.0066</v>
      </c>
      <c r="N126" s="296">
        <f>H108*F8</f>
        <v>191747.167062</v>
      </c>
      <c r="O126" s="297"/>
      <c r="P126" s="191"/>
    </row>
    <row r="127" spans="1:16" ht="13.5" thickBot="1">
      <c r="A127" s="141" t="s">
        <v>222</v>
      </c>
      <c r="B127" s="39" t="str">
        <f>"Col-4 L62 = Col-3 L86 x "&amp;FIXED(D8*100)&amp;"% (O&amp;M Direct Labor Split)"</f>
        <v>Col-4 L62 = Col-3 L86 x 60.56% (O&amp;M Direct Labor Split)</v>
      </c>
      <c r="C127" s="142" t="s">
        <v>222</v>
      </c>
      <c r="D127" s="39" t="str">
        <f>"Col-4 L62 = Col-3 L86 x "&amp;FIXED(D8*100)&amp;"% (O&amp;M Direct Labor Split)"</f>
        <v>Col-4 L62 = Col-3 L86 x 60.56% (O&amp;M Direct Labor Split)</v>
      </c>
      <c r="H127" s="143"/>
      <c r="I127" s="147">
        <f>SUM(I125:I126)</f>
        <v>40864058.56</v>
      </c>
      <c r="J127" s="144"/>
      <c r="K127" s="143" t="s">
        <v>28</v>
      </c>
      <c r="L127" s="46"/>
      <c r="M127" s="145">
        <f>D8</f>
        <v>0.6056</v>
      </c>
      <c r="N127" s="296">
        <f>H108*D8</f>
        <v>17594255.207992002</v>
      </c>
      <c r="O127" s="297"/>
      <c r="P127" s="191"/>
    </row>
    <row r="128" spans="1:16" ht="14.25" thickBot="1" thickTop="1">
      <c r="A128" s="141" t="s">
        <v>223</v>
      </c>
      <c r="B128" s="39" t="s">
        <v>224</v>
      </c>
      <c r="C128" s="142" t="s">
        <v>223</v>
      </c>
      <c r="D128" s="39" t="s">
        <v>225</v>
      </c>
      <c r="H128" s="143" t="s">
        <v>226</v>
      </c>
      <c r="I128" s="144"/>
      <c r="J128" s="144"/>
      <c r="K128" s="143"/>
      <c r="L128" s="46"/>
      <c r="M128" s="148">
        <f>SUM(M125:M127)</f>
        <v>1</v>
      </c>
      <c r="N128" s="298">
        <f>SUM(N125:O127)</f>
        <v>29052601.07</v>
      </c>
      <c r="O128" s="299"/>
      <c r="P128" s="191"/>
    </row>
    <row r="129" spans="1:15" ht="13.5" thickTop="1">
      <c r="A129" s="141" t="s">
        <v>227</v>
      </c>
      <c r="B129" s="39" t="s">
        <v>228</v>
      </c>
      <c r="C129" s="142" t="s">
        <v>227</v>
      </c>
      <c r="D129" s="39" t="s">
        <v>228</v>
      </c>
      <c r="H129" s="143" t="s">
        <v>6</v>
      </c>
      <c r="I129" s="149">
        <f>SUM(H17:H20)+H26</f>
        <v>8385574.42</v>
      </c>
      <c r="J129" s="46"/>
      <c r="K129" s="143"/>
      <c r="L129" s="46"/>
      <c r="M129" s="150"/>
      <c r="N129" s="300"/>
      <c r="O129" s="301"/>
    </row>
    <row r="130" spans="1:15" ht="12.75">
      <c r="A130" s="141" t="s">
        <v>229</v>
      </c>
      <c r="B130" s="39" t="s">
        <v>230</v>
      </c>
      <c r="C130" s="142" t="s">
        <v>229</v>
      </c>
      <c r="D130" s="39" t="s">
        <v>231</v>
      </c>
      <c r="H130" s="143" t="s">
        <v>7</v>
      </c>
      <c r="I130" s="149">
        <f>SUM(H45:H48)+H57</f>
        <v>3529062.83</v>
      </c>
      <c r="J130" s="46"/>
      <c r="K130" s="143"/>
      <c r="L130" s="46"/>
      <c r="M130" s="46"/>
      <c r="N130" s="46"/>
      <c r="O130" s="151"/>
    </row>
    <row r="131" spans="1:15" ht="12.75">
      <c r="A131" s="141"/>
      <c r="C131" s="142"/>
      <c r="H131" s="152"/>
      <c r="I131" s="153">
        <f>SUM(I129:I130)</f>
        <v>11914637.25</v>
      </c>
      <c r="J131" s="132"/>
      <c r="K131" s="152"/>
      <c r="L131" s="132"/>
      <c r="M131" s="132"/>
      <c r="N131" s="132"/>
      <c r="O131" s="154"/>
    </row>
    <row r="132" spans="3:18" ht="12.75">
      <c r="C132" s="141"/>
      <c r="G132" s="155"/>
      <c r="H132" s="46"/>
      <c r="I132" s="149"/>
      <c r="J132" s="46"/>
      <c r="K132" s="46"/>
      <c r="L132" s="46"/>
      <c r="M132" s="46"/>
      <c r="N132" s="46"/>
      <c r="O132" s="46"/>
      <c r="P132" s="46"/>
      <c r="Q132" s="46"/>
      <c r="R132" s="46"/>
    </row>
  </sheetData>
  <sheetProtection/>
  <mergeCells count="6">
    <mergeCell ref="N119:O119"/>
    <mergeCell ref="N120:O120"/>
    <mergeCell ref="N126:O126"/>
    <mergeCell ref="N127:O127"/>
    <mergeCell ref="N128:O128"/>
    <mergeCell ref="N129:O129"/>
  </mergeCells>
  <printOptions horizontalCentered="1"/>
  <pageMargins left="0" right="0" top="0.36" bottom="0.26" header="0.16" footer="0"/>
  <pageSetup fitToHeight="2" fitToWidth="2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D45" sqref="D45:D46"/>
    </sheetView>
  </sheetViews>
  <sheetFormatPr defaultColWidth="9.140625" defaultRowHeight="15" customHeight="1"/>
  <cols>
    <col min="1" max="1" width="4.7109375" style="173" customWidth="1"/>
    <col min="2" max="2" width="1.7109375" style="173" customWidth="1"/>
    <col min="3" max="3" width="49.57421875" style="173" bestFit="1" customWidth="1"/>
    <col min="4" max="4" width="10.00390625" style="190" customWidth="1"/>
    <col min="5" max="5" width="14.140625" style="173" customWidth="1"/>
    <col min="6" max="6" width="16.00390625" style="173" customWidth="1"/>
    <col min="7" max="7" width="14.421875" style="173" customWidth="1"/>
    <col min="8" max="8" width="9.140625" style="173" customWidth="1"/>
    <col min="9" max="9" width="9.00390625" style="173" hidden="1" customWidth="1"/>
    <col min="10" max="11" width="9.140625" style="173" customWidth="1"/>
    <col min="12" max="12" width="12.421875" style="173" bestFit="1" customWidth="1"/>
    <col min="13" max="13" width="12.7109375" style="173" customWidth="1"/>
    <col min="14" max="14" width="12.57421875" style="173" bestFit="1" customWidth="1"/>
    <col min="15" max="16384" width="9.140625" style="173" customWidth="1"/>
  </cols>
  <sheetData>
    <row r="1" ht="15" customHeight="1">
      <c r="G1" s="211"/>
    </row>
    <row r="2" spans="1:7" ht="14.25" customHeight="1">
      <c r="A2" s="174" t="s">
        <v>232</v>
      </c>
      <c r="B2" s="174"/>
      <c r="C2" s="174"/>
      <c r="D2" s="174"/>
      <c r="E2" s="174"/>
      <c r="F2" s="174"/>
      <c r="G2" s="174"/>
    </row>
    <row r="3" spans="1:7" ht="15" customHeight="1">
      <c r="A3" s="174"/>
      <c r="B3" s="174"/>
      <c r="C3" s="174"/>
      <c r="D3" s="174"/>
      <c r="E3" s="174"/>
      <c r="F3" s="174"/>
      <c r="G3" s="174"/>
    </row>
    <row r="4" spans="1:7" ht="15" customHeight="1">
      <c r="A4" s="174" t="s">
        <v>256</v>
      </c>
      <c r="B4" s="174"/>
      <c r="C4" s="174"/>
      <c r="D4" s="174"/>
      <c r="E4" s="174"/>
      <c r="F4" s="174"/>
      <c r="G4" s="174"/>
    </row>
    <row r="5" spans="1:7" ht="15" customHeight="1">
      <c r="A5" s="174" t="s">
        <v>233</v>
      </c>
      <c r="B5" s="174"/>
      <c r="C5" s="174"/>
      <c r="D5" s="174"/>
      <c r="E5" s="174"/>
      <c r="F5" s="174"/>
      <c r="G5" s="174"/>
    </row>
    <row r="6" spans="3:4" s="175" customFormat="1" ht="15" customHeight="1">
      <c r="C6" s="176"/>
      <c r="D6" s="176"/>
    </row>
    <row r="7" spans="1:7" s="175" customFormat="1" ht="15" customHeight="1">
      <c r="A7" s="177" t="s">
        <v>234</v>
      </c>
      <c r="B7" s="177"/>
      <c r="C7" s="177" t="s">
        <v>44</v>
      </c>
      <c r="D7" s="177"/>
      <c r="E7" s="177" t="s">
        <v>6</v>
      </c>
      <c r="F7" s="177" t="s">
        <v>7</v>
      </c>
      <c r="G7" s="177" t="s">
        <v>1</v>
      </c>
    </row>
    <row r="8" s="175" customFormat="1" ht="29.25" customHeight="1">
      <c r="D8" s="176"/>
    </row>
    <row r="9" spans="1:9" s="175" customFormat="1" ht="15" customHeight="1">
      <c r="A9" s="178">
        <v>1</v>
      </c>
      <c r="B9" s="178" t="s">
        <v>235</v>
      </c>
      <c r="C9" s="179" t="s">
        <v>236</v>
      </c>
      <c r="D9" s="180">
        <v>40543</v>
      </c>
      <c r="E9" s="156">
        <v>1078501</v>
      </c>
      <c r="F9" s="156">
        <v>750811</v>
      </c>
      <c r="G9" s="156">
        <f>SUM(E9:F9)</f>
        <v>1829312</v>
      </c>
      <c r="I9" s="175" t="s">
        <v>237</v>
      </c>
    </row>
    <row r="10" spans="2:7" s="175" customFormat="1" ht="18.75" customHeight="1" thickBot="1">
      <c r="B10" s="176"/>
      <c r="C10" s="181" t="s">
        <v>238</v>
      </c>
      <c r="D10" s="176"/>
      <c r="E10" s="207">
        <f>ROUND(+E9/G9,4)</f>
        <v>0.5896</v>
      </c>
      <c r="F10" s="207">
        <f>ROUND(+F9/G9,4)</f>
        <v>0.4104</v>
      </c>
      <c r="G10" s="208">
        <f>SUM(E10:F10)</f>
        <v>1</v>
      </c>
    </row>
    <row r="11" spans="1:4" s="175" customFormat="1" ht="15" customHeight="1" thickTop="1">
      <c r="A11" s="176"/>
      <c r="B11" s="176"/>
      <c r="D11" s="180"/>
    </row>
    <row r="12" spans="1:8" s="175" customFormat="1" ht="15" customHeight="1">
      <c r="A12" s="178">
        <v>2</v>
      </c>
      <c r="B12" s="178" t="s">
        <v>235</v>
      </c>
      <c r="C12" s="179" t="s">
        <v>239</v>
      </c>
      <c r="D12" s="180">
        <v>40543</v>
      </c>
      <c r="E12" s="171">
        <v>706127</v>
      </c>
      <c r="F12" s="171">
        <v>408431</v>
      </c>
      <c r="G12" s="171">
        <f>SUM(E12:F12)</f>
        <v>1114558</v>
      </c>
      <c r="H12" s="182"/>
    </row>
    <row r="13" spans="2:7" s="175" customFormat="1" ht="18.75" customHeight="1" thickBot="1">
      <c r="B13" s="176"/>
      <c r="C13" s="181" t="s">
        <v>238</v>
      </c>
      <c r="D13" s="176"/>
      <c r="E13" s="207">
        <f>ROUND(+E12/G12,4)</f>
        <v>0.6335</v>
      </c>
      <c r="F13" s="207">
        <f>ROUND(+F12/G12,4)</f>
        <v>0.3665</v>
      </c>
      <c r="G13" s="208">
        <f>SUM(E13:F13)</f>
        <v>1</v>
      </c>
    </row>
    <row r="14" spans="1:4" s="175" customFormat="1" ht="15" customHeight="1" thickTop="1">
      <c r="A14" s="176"/>
      <c r="B14" s="176"/>
      <c r="D14" s="176"/>
    </row>
    <row r="15" spans="1:4" s="175" customFormat="1" ht="15" customHeight="1">
      <c r="A15" s="178">
        <v>3</v>
      </c>
      <c r="B15" s="178" t="s">
        <v>235</v>
      </c>
      <c r="C15" s="179" t="s">
        <v>240</v>
      </c>
      <c r="D15" s="176"/>
    </row>
    <row r="16" spans="1:7" s="175" customFormat="1" ht="15" customHeight="1">
      <c r="A16" s="176"/>
      <c r="B16" s="176"/>
      <c r="C16" s="183" t="s">
        <v>63</v>
      </c>
      <c r="D16" s="180">
        <v>40543</v>
      </c>
      <c r="E16" s="157">
        <v>3457231764</v>
      </c>
      <c r="F16" s="157">
        <v>2533527615</v>
      </c>
      <c r="G16" s="157">
        <f>SUM(E16:F16)</f>
        <v>5990759379</v>
      </c>
    </row>
    <row r="17" spans="1:7" s="175" customFormat="1" ht="15" customHeight="1">
      <c r="A17" s="176"/>
      <c r="B17" s="176"/>
      <c r="C17" s="183" t="s">
        <v>241</v>
      </c>
      <c r="D17" s="180">
        <v>40543</v>
      </c>
      <c r="E17" s="158">
        <v>425086614</v>
      </c>
      <c r="F17" s="158">
        <v>0</v>
      </c>
      <c r="G17" s="158">
        <f>SUM(E17:F17)</f>
        <v>425086614</v>
      </c>
    </row>
    <row r="18" spans="1:7" s="175" customFormat="1" ht="15" customHeight="1">
      <c r="A18" s="176"/>
      <c r="B18" s="176"/>
      <c r="C18" s="183" t="s">
        <v>242</v>
      </c>
      <c r="D18" s="180">
        <v>40543</v>
      </c>
      <c r="E18" s="158">
        <v>136171270.25833333</v>
      </c>
      <c r="F18" s="158">
        <v>47516627.65083333</v>
      </c>
      <c r="G18" s="158">
        <f>SUM(E18:F18)</f>
        <v>183687897.90916666</v>
      </c>
    </row>
    <row r="19" spans="1:7" s="175" customFormat="1" ht="15" customHeight="1">
      <c r="A19" s="176"/>
      <c r="B19" s="176"/>
      <c r="C19" s="183" t="s">
        <v>1</v>
      </c>
      <c r="D19" s="184"/>
      <c r="E19" s="159">
        <f>SUM(E16:E18)</f>
        <v>4018489648.258333</v>
      </c>
      <c r="F19" s="159">
        <f>SUM(F16:F18)</f>
        <v>2581044242.650833</v>
      </c>
      <c r="G19" s="159">
        <f>SUM(E19:F19)</f>
        <v>6599533890.909166</v>
      </c>
    </row>
    <row r="20" spans="2:7" s="175" customFormat="1" ht="18.75" customHeight="1" thickBot="1">
      <c r="B20" s="176"/>
      <c r="C20" s="181" t="s">
        <v>238</v>
      </c>
      <c r="D20" s="176"/>
      <c r="E20" s="207">
        <f>ROUND(+E19/G19,4)</f>
        <v>0.6089</v>
      </c>
      <c r="F20" s="207">
        <f>ROUND(+F19/G19,4)</f>
        <v>0.3911</v>
      </c>
      <c r="G20" s="208">
        <f>SUM(E20:F20)</f>
        <v>1</v>
      </c>
    </row>
    <row r="21" spans="1:4" s="175" customFormat="1" ht="15" customHeight="1" thickTop="1">
      <c r="A21" s="176"/>
      <c r="B21" s="176"/>
      <c r="D21" s="176"/>
    </row>
    <row r="22" spans="1:4" s="175" customFormat="1" ht="15" customHeight="1">
      <c r="A22" s="178">
        <v>4</v>
      </c>
      <c r="B22" s="178" t="s">
        <v>235</v>
      </c>
      <c r="C22" s="179" t="s">
        <v>243</v>
      </c>
      <c r="D22" s="176" t="s">
        <v>244</v>
      </c>
    </row>
    <row r="23" spans="1:7" s="175" customFormat="1" ht="15" customHeight="1">
      <c r="A23" s="176"/>
      <c r="B23" s="176"/>
      <c r="C23" s="183" t="s">
        <v>245</v>
      </c>
      <c r="D23" s="180">
        <v>40543</v>
      </c>
      <c r="E23" s="156">
        <f>+E9</f>
        <v>1078501</v>
      </c>
      <c r="F23" s="156">
        <f>+F9</f>
        <v>750811</v>
      </c>
      <c r="G23" s="156">
        <f>SUM(E23:F23)</f>
        <v>1829312</v>
      </c>
    </row>
    <row r="24" spans="1:7" s="175" customFormat="1" ht="15" customHeight="1">
      <c r="A24" s="176"/>
      <c r="B24" s="176"/>
      <c r="C24" s="181" t="s">
        <v>246</v>
      </c>
      <c r="D24" s="176"/>
      <c r="E24" s="210">
        <f>+E23/G23</f>
        <v>0.5895664599587167</v>
      </c>
      <c r="F24" s="210">
        <f>+F23/G23</f>
        <v>0.4104335400412833</v>
      </c>
      <c r="G24" s="185">
        <f>SUM(E24:F24)</f>
        <v>1</v>
      </c>
    </row>
    <row r="25" spans="1:4" s="175" customFormat="1" ht="15" customHeight="1">
      <c r="A25" s="176"/>
      <c r="B25" s="176"/>
      <c r="D25" s="176"/>
    </row>
    <row r="26" spans="1:7" s="175" customFormat="1" ht="15" customHeight="1">
      <c r="A26" s="176"/>
      <c r="B26" s="176"/>
      <c r="C26" s="175" t="s">
        <v>247</v>
      </c>
      <c r="D26" s="180">
        <v>40543</v>
      </c>
      <c r="E26" s="156">
        <v>47628712.22244404</v>
      </c>
      <c r="F26" s="156">
        <v>23754416.951529805</v>
      </c>
      <c r="G26" s="186">
        <f>SUM(E26:F26)</f>
        <v>71383129.17397384</v>
      </c>
    </row>
    <row r="27" spans="1:7" s="175" customFormat="1" ht="15" customHeight="1">
      <c r="A27" s="176"/>
      <c r="B27" s="176"/>
      <c r="C27" s="181" t="s">
        <v>246</v>
      </c>
      <c r="D27" s="176"/>
      <c r="E27" s="210">
        <f>+E26/G26</f>
        <v>0.6672264549563818</v>
      </c>
      <c r="F27" s="210">
        <f>+F26/G26</f>
        <v>0.3327735450436182</v>
      </c>
      <c r="G27" s="185">
        <f>SUM(E27:F27)</f>
        <v>1</v>
      </c>
    </row>
    <row r="28" spans="1:4" s="175" customFormat="1" ht="15" customHeight="1">
      <c r="A28" s="176"/>
      <c r="B28" s="176"/>
      <c r="D28" s="176"/>
    </row>
    <row r="29" spans="1:7" s="175" customFormat="1" ht="15" customHeight="1">
      <c r="A29" s="176"/>
      <c r="B29" s="176"/>
      <c r="C29" s="175" t="s">
        <v>248</v>
      </c>
      <c r="D29" s="180">
        <v>40543</v>
      </c>
      <c r="E29" s="156">
        <v>69836081.47239268</v>
      </c>
      <c r="F29" s="156">
        <v>27914823.18653493</v>
      </c>
      <c r="G29" s="160">
        <f>SUM(E29:F29)</f>
        <v>97750904.6589276</v>
      </c>
    </row>
    <row r="30" spans="1:7" s="175" customFormat="1" ht="15" customHeight="1">
      <c r="A30" s="176"/>
      <c r="B30" s="176"/>
      <c r="C30" s="181" t="s">
        <v>246</v>
      </c>
      <c r="D30" s="176"/>
      <c r="E30" s="210">
        <f>+E29/G29</f>
        <v>0.7144290041720298</v>
      </c>
      <c r="F30" s="210">
        <f>+F29/G29</f>
        <v>0.28557099582797024</v>
      </c>
      <c r="G30" s="185">
        <f>SUM(E30:F30)</f>
        <v>1</v>
      </c>
    </row>
    <row r="31" spans="1:4" s="175" customFormat="1" ht="15" customHeight="1">
      <c r="A31" s="176"/>
      <c r="B31" s="176"/>
      <c r="D31" s="176"/>
    </row>
    <row r="32" spans="1:7" s="175" customFormat="1" ht="15" customHeight="1">
      <c r="A32" s="176"/>
      <c r="B32" s="176"/>
      <c r="C32" s="175" t="s">
        <v>249</v>
      </c>
      <c r="D32" s="180">
        <v>40543</v>
      </c>
      <c r="E32" s="156">
        <v>3879978868.59125</v>
      </c>
      <c r="F32" s="156">
        <v>1750859729.093334</v>
      </c>
      <c r="G32" s="156">
        <f>SUM(E32:F32)</f>
        <v>5630838597.684584</v>
      </c>
    </row>
    <row r="33" spans="1:7" s="175" customFormat="1" ht="15" customHeight="1">
      <c r="A33" s="176"/>
      <c r="B33" s="176"/>
      <c r="C33" s="181" t="s">
        <v>246</v>
      </c>
      <c r="D33" s="176"/>
      <c r="E33" s="210">
        <f>+E32/G32</f>
        <v>0.6890587967104417</v>
      </c>
      <c r="F33" s="210">
        <f>+F32/G32</f>
        <v>0.3109412032895584</v>
      </c>
      <c r="G33" s="185">
        <f>SUM(E33:F33)</f>
        <v>1</v>
      </c>
    </row>
    <row r="34" spans="1:7" s="175" customFormat="1" ht="15" customHeight="1">
      <c r="A34" s="176"/>
      <c r="D34" s="176"/>
      <c r="E34" s="187"/>
      <c r="F34" s="187"/>
      <c r="G34" s="187"/>
    </row>
    <row r="35" spans="1:12" s="175" customFormat="1" ht="15" customHeight="1">
      <c r="A35" s="176"/>
      <c r="C35" s="175" t="s">
        <v>250</v>
      </c>
      <c r="D35" s="176"/>
      <c r="E35" s="209">
        <f>+E33+E30+E27+E24</f>
        <v>2.66028071579757</v>
      </c>
      <c r="F35" s="209">
        <f>+F33+F30+F27+F24</f>
        <v>1.3397192842024301</v>
      </c>
      <c r="G35" s="209">
        <f>+G33+G30+G27+G24</f>
        <v>4</v>
      </c>
      <c r="L35" s="161"/>
    </row>
    <row r="36" spans="3:12" s="175" customFormat="1" ht="18.75" customHeight="1" thickBot="1">
      <c r="C36" s="175" t="s">
        <v>238</v>
      </c>
      <c r="D36" s="176"/>
      <c r="E36" s="207">
        <f>ROUND(+E35/4,4)</f>
        <v>0.6651</v>
      </c>
      <c r="F36" s="207">
        <f>ROUND(+F35/4,4)</f>
        <v>0.3349</v>
      </c>
      <c r="G36" s="208">
        <f>+G35/4</f>
        <v>1</v>
      </c>
      <c r="L36" s="161"/>
    </row>
    <row r="37" spans="4:12" s="175" customFormat="1" ht="15" customHeight="1" thickTop="1">
      <c r="D37" s="176"/>
      <c r="L37" s="161"/>
    </row>
    <row r="38" spans="1:13" s="175" customFormat="1" ht="15" customHeight="1">
      <c r="A38" s="178">
        <v>5</v>
      </c>
      <c r="B38" s="178" t="s">
        <v>235</v>
      </c>
      <c r="C38" s="179" t="s">
        <v>251</v>
      </c>
      <c r="D38" s="176"/>
      <c r="L38" s="161"/>
      <c r="M38" s="161"/>
    </row>
    <row r="39" spans="3:12" s="175" customFormat="1" ht="15" customHeight="1">
      <c r="C39" s="181" t="s">
        <v>252</v>
      </c>
      <c r="D39" s="180">
        <v>40543</v>
      </c>
      <c r="E39" s="156">
        <v>49678351.67</v>
      </c>
      <c r="F39" s="156">
        <v>24123485.86</v>
      </c>
      <c r="G39" s="156">
        <f>SUM(E39:F39)</f>
        <v>73801837.53</v>
      </c>
      <c r="L39" s="161"/>
    </row>
    <row r="40" spans="3:13" s="175" customFormat="1" ht="15" customHeight="1">
      <c r="C40" s="175" t="s">
        <v>1</v>
      </c>
      <c r="D40" s="176"/>
      <c r="E40" s="162">
        <f>SUM(E39:E39)</f>
        <v>49678351.67</v>
      </c>
      <c r="F40" s="162">
        <f>SUM(F39:F39)</f>
        <v>24123485.86</v>
      </c>
      <c r="G40" s="162">
        <f>SUM(G39:G39)</f>
        <v>73801837.53</v>
      </c>
      <c r="L40" s="161"/>
      <c r="M40" s="161"/>
    </row>
    <row r="41" spans="3:13" s="175" customFormat="1" ht="18.75" customHeight="1" thickBot="1">
      <c r="C41" s="175" t="s">
        <v>238</v>
      </c>
      <c r="D41" s="176"/>
      <c r="E41" s="207">
        <f>ROUND(+E40/G40,4)</f>
        <v>0.6731</v>
      </c>
      <c r="F41" s="207">
        <f>ROUND(+F40/G40,4)</f>
        <v>0.3269</v>
      </c>
      <c r="G41" s="188">
        <f>SUM(E41:F41)</f>
        <v>1</v>
      </c>
      <c r="L41" s="161"/>
      <c r="M41" s="189"/>
    </row>
    <row r="42" s="175" customFormat="1" ht="15" customHeight="1" thickTop="1">
      <c r="D42" s="176"/>
    </row>
    <row r="43" s="175" customFormat="1" ht="15" customHeight="1">
      <c r="D43" s="176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3" sqref="U43"/>
    </sheetView>
  </sheetViews>
  <sheetFormatPr defaultColWidth="9.140625" defaultRowHeight="12.75"/>
  <cols>
    <col min="1" max="16384" width="9.140625" style="231" customWidth="1"/>
  </cols>
  <sheetData/>
  <sheetProtection/>
  <printOptions/>
  <pageMargins left="0" right="0" top="0.25" bottom="0.2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wgho</dc:creator>
  <cp:keywords/>
  <dc:description/>
  <cp:lastModifiedBy>Neal Edward Pedersen</cp:lastModifiedBy>
  <cp:lastPrinted>2011-12-29T18:07:36Z</cp:lastPrinted>
  <dcterms:created xsi:type="dcterms:W3CDTF">2005-11-14T23:45:42Z</dcterms:created>
  <dcterms:modified xsi:type="dcterms:W3CDTF">2012-01-12T19:32:10Z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