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ATECASE\UE-190529\Liu Exhibits\"/>
    </mc:Choice>
  </mc:AlternateContent>
  <xr:revisionPtr revIDLastSave="0" documentId="13_ncr:1_{B034D1AB-9BD0-463A-ADB1-73EBEF3BFDCA}" xr6:coauthVersionLast="45" xr6:coauthVersionMax="45" xr10:uidLastSave="{00000000-0000-0000-0000-000000000000}"/>
  <bookViews>
    <workbookView xWindow="-120" yWindow="-120" windowWidth="20730" windowHeight="11160" tabRatio="842" activeTab="1" xr2:uid="{00000000-000D-0000-FFFF-FFFF00000000}"/>
  </bookViews>
  <sheets>
    <sheet name="RJA-3_Electric_Attrition" sheetId="63" r:id="rId1"/>
    <sheet name="RJA-4_Gas_Attrition" sheetId="6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FDS_HYPERLINK_TOGGLE_STATE__">"ON"</definedName>
    <definedName name="__FDS_UNIQUE_RANGE_ID_GENERATOR_COUNTER">59</definedName>
    <definedName name="_1__FDSAUDITLINK__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0__FDSAUDITLINK__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0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9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0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6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7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0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2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7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__FDSAUDITLINK__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0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1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2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5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6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8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__FDSAUDITLINK__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0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5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0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1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2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6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9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__FDSAUDITLINK__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0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__FDSAUDITLINK__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0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3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4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5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7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9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__FDSAUDITLINK__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0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5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7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8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9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0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2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5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7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9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FDSAUDITLINK__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0__FDSAUDITLINK__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0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2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3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6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8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0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5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6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__FDSAUDITLINK__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0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3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6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7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9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0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1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4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6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__FDSAUDITLINK__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0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1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FDSAUDITLINK__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0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1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6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9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0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1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3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4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5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6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7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__FDSAUDITLINK__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0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__FDSAUDITLINK__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9__FDSAUDITLINK__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3__FDSAUDITLINK__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0__FDSAUDITLINK__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1__FDSAUDITLINK__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2__FDSAUDITLINK__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3__FDSAUDITLINK__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4__FDSAUDITLINK__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5__FDSAUDITLINK__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6__FDSAUDITLINK__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7__FDSAUDITLINK__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8__FDSAUDITLINK__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9__FDSAUDITLINK__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88__FDSAUDITLINK__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3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8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4__FDSAUDITLINK__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0__FDSAUDITLINK__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00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3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4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1__FDSAUDITLINK__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2__FDSAUDITLINK__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3__FDSAUDITLINK__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4__FDSAUDITLINK__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5__FDSAUDITLINK__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6__FDSAUDITLINK__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7__FDSAUDITLINK__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8__FDSAUDITLINK__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9__FDSAUDITLINK__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5__FDSAUDITLINK__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0__FDSAUDITLINK__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1__FDSAUDITLINK__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2__FDSAUDITLINK__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3__FDSAUDITLINK__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4__FDSAUDITLINK__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5__FDSAUDITLINK__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6__FDSAUDITLINK__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7__FDSAUDITLINK__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8__FDSAUDITLINK__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9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0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2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9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FDSAUDITLINK__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0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3__FDSAUDITLINK__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5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0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3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6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8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9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9__FDSAUDITLINK__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0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1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2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3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4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5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6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7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8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9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GSRATES_1">"CT300001Latest          "</definedName>
    <definedName name="_GSRATES_COUNT">1</definedName>
    <definedName name="_Order1">255</definedName>
    <definedName name="_Order2">255</definedName>
    <definedName name="_Regression_Int">1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ccessDatabase">"I:\COMTREL\FINICLE\TradeSummary.mdb"</definedName>
    <definedName name="anscount">1</definedName>
    <definedName name="AS2DocOpenMode">"AS2DocumentEdit"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-2060790043</definedName>
    <definedName name="CIQWBGuid">"b8d3fceb-6199-4dec-8317-9bf11e617481"</definedName>
    <definedName name="ev.Calculation">-4135</definedName>
    <definedName name="ev.Initialized">FALSE</definedName>
    <definedName name="FDD_57_10">"A34334"</definedName>
    <definedName name="hn.NoUpload">0</definedName>
    <definedName name="HTML_CodePage">1252</definedName>
    <definedName name="HTML_Control">{"'Sheet1'!$A$1:$J$121"}</definedName>
    <definedName name="html_control_1">{"'IG3Q99'!$A$306:$I$356"}</definedName>
    <definedName name="HTML_Control_a">{"'IG3Q99'!$A$306:$I$356"}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0">"Dave_LeVee"</definedName>
    <definedName name="HTML1_11">1</definedName>
    <definedName name="HTML1_12">"G:\MONET\WEB\FORECAST\hub71.htm"</definedName>
    <definedName name="HTML1_2">1</definedName>
    <definedName name="HTML1_3">"MONET71"</definedName>
    <definedName name="HTML1_4">"Market Hubs by Condition"</definedName>
    <definedName name="HTML1_5">""</definedName>
    <definedName name="HTML1_6">1</definedName>
    <definedName name="HTML1_7">1</definedName>
    <definedName name="HTML1_8">"4/10/96"</definedName>
    <definedName name="HTML1_9">"Resource Forecasting Department"</definedName>
    <definedName name="HTML2_10">"Dave_LeVee"</definedName>
    <definedName name="HTML2_11">1</definedName>
    <definedName name="HTML2_12">"G:\MONET\WEB\FORECAST\mc71.htm"</definedName>
    <definedName name="HTML2_2">1</definedName>
    <definedName name="HTML2_3">"MONET71"</definedName>
    <definedName name="HTML2_4">"FlatMarginalCost"</definedName>
    <definedName name="HTML2_5">""</definedName>
    <definedName name="HTML2_6">1</definedName>
    <definedName name="HTML2_7">1</definedName>
    <definedName name="HTML2_8">"4/10/96"</definedName>
    <definedName name="HTML2_9">"Resource Forecasting Department"</definedName>
    <definedName name="HTML3_10">"dave_levee@pgn.com"</definedName>
    <definedName name="HTML3_11">1</definedName>
    <definedName name="HTML3_12">"G:\MONET\WEB\FORECAST\Hub84.htm"</definedName>
    <definedName name="HTML3_2">1</definedName>
    <definedName name="HTML3_3">"MONET84"</definedName>
    <definedName name="HTML3_4">"Market Hubs by Condition"</definedName>
    <definedName name="HTML3_5">""</definedName>
    <definedName name="HTML3_6">1</definedName>
    <definedName name="HTML3_7">1</definedName>
    <definedName name="HTML3_8">"4/15/96"</definedName>
    <definedName name="HTML3_9">"Resource Forecasting Department"</definedName>
    <definedName name="HTML4_10">"dave_levee@pgn.com"</definedName>
    <definedName name="HTML4_11">1</definedName>
    <definedName name="HTML4_12">"G:\MONET\WEB\FORECAST\mc84.htm"</definedName>
    <definedName name="HTML4_2">1</definedName>
    <definedName name="HTML4_3">"MONET84"</definedName>
    <definedName name="HTML4_4">"ConditionMarginalCost"</definedName>
    <definedName name="HTML4_5">""</definedName>
    <definedName name="HTML4_6">1</definedName>
    <definedName name="HTML4_7">1</definedName>
    <definedName name="HTML4_8">"4/15/96"</definedName>
    <definedName name="HTML4_9">"Resource Forecasting Department"</definedName>
    <definedName name="HTML5_10">"dave_levee@pgn.com"</definedName>
    <definedName name="HTML5_11">1</definedName>
    <definedName name="HTML5_12">"G:\MONET\WEB\FORECAST\mc84.htm"</definedName>
    <definedName name="HTML5_2">1</definedName>
    <definedName name="HTML5_3">"MONET84"</definedName>
    <definedName name="HTML5_4">"ConditionMarginalCost"</definedName>
    <definedName name="HTML5_5">""</definedName>
    <definedName name="HTML5_6">1</definedName>
    <definedName name="HTML5_7">1</definedName>
    <definedName name="HTML5_8">"4/15/96"</definedName>
    <definedName name="HTML5_9">"Resource Forecasting Department"</definedName>
    <definedName name="HTMLCount">5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ONDRATING_FITCH">"IQ_BONDRATING_FITCH"</definedName>
    <definedName name="IQ_BONDRATING_SP">"IQ_BONDRATING_SP"</definedName>
    <definedName name="IQ_BOOK_VALUE">"IQ_BOOK_VALUE"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CE_FDIC">"c6296"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DA_BR">"c248"</definedName>
    <definedName name="IQ_DA_CF_BR">"c251"</definedName>
    <definedName name="IQ_DA_SUPPL_BR">"c260"</definedName>
    <definedName name="IQ_DA_SUPPL_CF_BR">"c263"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IT_10K">"IQ_EBIT_10K"</definedName>
    <definedName name="IQ_EBIT_10Q">"IQ_EBIT_10Q"</definedName>
    <definedName name="IQ_EBIT_10Q1">"IQ_EBIT_10Q1"</definedName>
    <definedName name="IQ_EBIT_GROWTH_1">"IQ_EBIT_GROWTH_1"</definedName>
    <definedName name="IQ_EBIT_GROWTH_2">"IQ_EBIT_GROWTH_2"</definedName>
    <definedName name="IQ_EBITDA_10K">"IQ_EBITDA_10K"</definedName>
    <definedName name="IQ_EBITDA_10Q">"IQ_EBITDA_10Q"</definedName>
    <definedName name="IQ_EBITDA_10Q1">"IQ_EBITDA_10Q1"</definedName>
    <definedName name="IQ_EBITDA_GROWTH_1">"IQ_EBITDA_GROWTH_1"</definedName>
    <definedName name="IQ_EBITDA_GROWTH_2">"IQ_EBITDA_GROWTH_2"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EST_1">"IQ_EPS_EST_1"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EPS_SURPRISE">"c1635"</definedName>
    <definedName name="IQ_ESTIMATED_ASSESSABLE_DEPOSITS_FDIC">"c6490"</definedName>
    <definedName name="IQ_ESTIMATED_INSURED_DEPOSITS_FDIC">"c6491"</definedName>
    <definedName name="IQ_EV_OVER_REVENUE_EST">"IQ_EV_OVER_REVENUE_EST"</definedName>
    <definedName name="IQ_EV_OVER_REVENUE_EST_1">"IQ_EV_OVER_REVENUE_EST_1"</definedName>
    <definedName name="IQ_EXPENSE_CODE_">"019802400"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_CONTRACTS_FDIC">"c6517"</definedName>
    <definedName name="IQ_FX_CONTRACTS_SPOT_FDIC">"c6356"</definedName>
    <definedName name="IQ_FY_DATE">"IQ_FY_DATE"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TEST">"1"</definedName>
    <definedName name="IQ_LATESTK">1000</definedName>
    <definedName name="IQ_LATESTKFR">"100"</definedName>
    <definedName name="IQ_LATESTQ">500</definedName>
    <definedName name="IQ_LATESTQFR">"50"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_DATE">"IQ_LTM_DATE"</definedName>
    <definedName name="IQ_LTMMONTH">120000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41198.5202083333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_10K">"IQ_NET_INC_10K"</definedName>
    <definedName name="IQ_NET_INC_10Q">"IQ_NET_INC_10Q"</definedName>
    <definedName name="IQ_NET_INC_10Q1">"IQ_NET_INC_10Q1"</definedName>
    <definedName name="IQ_NET_INC_GROWTH_1">"IQ_NET_INC_GROWTH_1"</definedName>
    <definedName name="IQ_NET_INC_GROWTH_2">"IQ_NET_INC_GROWTH_2"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RETURN_ASSETS_FDIC">"c6731"</definedName>
    <definedName name="IQ_PRICE_OVER_EPS_EST">"IQ_PRICE_OVER_EPS_EST"</definedName>
    <definedName name="IQ_PRICE_OVER_EPS_EST_1">"IQ_PRICE_OVER_EPS_EST_1"</definedName>
    <definedName name="IQ_PRICEDATETIME">"IQ_PRICEDATETIME"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ENUE_10K">"IQ_REVENUE_10K"</definedName>
    <definedName name="IQ_REVENUE_10Q">"IQ_REVENUE_10Q"</definedName>
    <definedName name="IQ_REVENUE_10Q1">"IQ_REVENUE_10Q1"</definedName>
    <definedName name="IQ_REVENUE_EST_1">"IQ_REVENUE_EST_1"</definedName>
    <definedName name="IQ_REVENUE_GROWTH_1">"IQ_REVENUE_GROWTH_1"</definedName>
    <definedName name="IQ_REVENUE_GROWTH_2">"IQ_REVENUE_GROWTH_2"</definedName>
    <definedName name="IQ_REVOLVING_SECURED_1_–4_NON_ACCRUAL_FFIEC">"c15565"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MONTH">130000</definedName>
    <definedName name="limcount">1</definedName>
    <definedName name="_xlnm.Print_Area" localSheetId="0">'RJA-3_Electric_Attrition'!$A$1:$M$116</definedName>
    <definedName name="_xlnm.Print_Area" localSheetId="1">'RJA-4_Gas_Attrition'!$A$1:$M$113</definedName>
    <definedName name="_xlnm.Print_Titles" localSheetId="0">'RJA-3_Electric_Attrition'!$4:$6</definedName>
    <definedName name="_xlnm.Print_Titles" localSheetId="1">'RJA-4_Gas_Attrition'!$A:$B,'RJA-4_Gas_Attrition'!$4:$6</definedName>
    <definedName name="SAPBEXhrIndnt">"Wide"</definedName>
    <definedName name="SAPBEXrevision">12</definedName>
    <definedName name="SAPBEXsysID">"BW1"</definedName>
    <definedName name="SAPBEXwbID">"EXVQ7024UZF98DYY6FAM7GVXF"</definedName>
    <definedName name="SAPsysID">"708C5W7SBKP804JT78WJ0JNKI"</definedName>
    <definedName name="SAPwbID">"ARS"</definedName>
    <definedName name="sencount">1</definedName>
    <definedName name="solver_eval">0</definedName>
    <definedName name="solver_lin">0</definedName>
    <definedName name="solver_ntri">1000</definedName>
    <definedName name="solver_num">0</definedName>
    <definedName name="solver_rel1">1</definedName>
    <definedName name="solver_rhs1">0.15</definedName>
    <definedName name="solver_rsmp">1</definedName>
    <definedName name="solver_seed">0</definedName>
    <definedName name="solver_tmp">0.15</definedName>
    <definedName name="solver_typ">3</definedName>
    <definedName name="solver_val">0.6</definedName>
    <definedName name="TextRefCopyRangeCount">1</definedName>
    <definedName name="TP_Footer_Path">"S:\74639\03RET\(417) 2004 Cost Projection\"</definedName>
    <definedName name="TP_Footer_User">"Mary Lou Barrios"</definedName>
    <definedName name="UNI_AA_VERSION">"150.2.0"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CLOSEST">512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MRECORD">64</definedName>
    <definedName name="UNI_PRES_OUTLIERS">32</definedName>
    <definedName name="UNI_PRES_POST">256</definedName>
    <definedName name="UNI_PRES_PRIOR">2048</definedName>
    <definedName name="UNI_PRES_RECENT">1024</definedName>
    <definedName name="UNI_PRES_STATIC">128</definedName>
    <definedName name="UNI_RET_ATTRIB">64</definedName>
    <definedName name="UNI_RET_CONF">32</definedName>
    <definedName name="UNI_RET_DESC">4</definedName>
    <definedName name="UNI_RET_END">16384</definedName>
    <definedName name="UNI_RET_EQUIP">1</definedName>
    <definedName name="UNI_RET_EVENT">4096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3._.Scenarios.">{"full model","100% Stock",FALSE,"PROFORMA";"full model","50/50",FALSE,"PROFORMA";"full model","100% Cash",FALSE,"PROFORMA"}</definedName>
    <definedName name="wrn.BV._.Matrix.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NPV._.Matrix.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1" i="63" l="1"/>
  <c r="J101" i="63"/>
  <c r="J100" i="63"/>
  <c r="K99" i="63"/>
  <c r="K98" i="63"/>
  <c r="J98" i="63"/>
  <c r="K97" i="63"/>
  <c r="J97" i="63"/>
  <c r="I93" i="63"/>
  <c r="K92" i="63"/>
  <c r="K94" i="63" s="1"/>
  <c r="K51" i="63" s="1"/>
  <c r="I92" i="63"/>
  <c r="J91" i="63"/>
  <c r="J94" i="63" s="1"/>
  <c r="J51" i="63" s="1"/>
  <c r="I91" i="63"/>
  <c r="I90" i="63"/>
  <c r="I89" i="63"/>
  <c r="I94" i="63" s="1"/>
  <c r="I51" i="63" s="1"/>
  <c r="K86" i="63"/>
  <c r="J86" i="63"/>
  <c r="I86" i="63"/>
  <c r="K78" i="63"/>
  <c r="J78" i="63"/>
  <c r="I78" i="63"/>
  <c r="I69" i="63"/>
  <c r="K68" i="63"/>
  <c r="K70" i="63" s="1"/>
  <c r="K48" i="63" s="1"/>
  <c r="I68" i="63"/>
  <c r="J67" i="63"/>
  <c r="J70" i="63" s="1"/>
  <c r="J48" i="63" s="1"/>
  <c r="I67" i="63"/>
  <c r="I66" i="63"/>
  <c r="I65" i="63"/>
  <c r="I70" i="63" s="1"/>
  <c r="I48" i="63" s="1"/>
  <c r="I61" i="63"/>
  <c r="I101" i="63" s="1"/>
  <c r="K60" i="63"/>
  <c r="K62" i="63" s="1"/>
  <c r="K47" i="63" s="1"/>
  <c r="I60" i="63"/>
  <c r="I100" i="63" s="1"/>
  <c r="J59" i="63"/>
  <c r="I59" i="63"/>
  <c r="I99" i="63" s="1"/>
  <c r="I58" i="63"/>
  <c r="I57" i="63"/>
  <c r="K53" i="63"/>
  <c r="J53" i="63"/>
  <c r="K52" i="63"/>
  <c r="J52" i="63"/>
  <c r="K50" i="63"/>
  <c r="J50" i="63"/>
  <c r="K49" i="63"/>
  <c r="J49" i="63"/>
  <c r="I37" i="63"/>
  <c r="I36" i="63"/>
  <c r="I31" i="63"/>
  <c r="I30" i="63" s="1"/>
  <c r="H27" i="63"/>
  <c r="H26" i="63"/>
  <c r="H25" i="63"/>
  <c r="H24" i="63"/>
  <c r="K21" i="63"/>
  <c r="K38" i="63" s="1"/>
  <c r="J21" i="63"/>
  <c r="J38" i="63" s="1"/>
  <c r="K12" i="63"/>
  <c r="J12" i="63"/>
  <c r="I8" i="63"/>
  <c r="L12" i="63"/>
  <c r="L21" i="63"/>
  <c r="L38" i="63" s="1"/>
  <c r="L49" i="63"/>
  <c r="L50" i="63"/>
  <c r="L52" i="63"/>
  <c r="L53" i="63"/>
  <c r="L62" i="63"/>
  <c r="L47" i="63" s="1"/>
  <c r="L70" i="63"/>
  <c r="L48" i="63" s="1"/>
  <c r="L78" i="63"/>
  <c r="L86" i="63"/>
  <c r="L94" i="63"/>
  <c r="L51" i="63" s="1"/>
  <c r="L97" i="63"/>
  <c r="L98" i="63"/>
  <c r="L99" i="63"/>
  <c r="L100" i="63"/>
  <c r="L101" i="63"/>
  <c r="C107" i="63"/>
  <c r="C53" i="63" s="1"/>
  <c r="C106" i="63"/>
  <c r="C105" i="63"/>
  <c r="C104" i="63"/>
  <c r="C49" i="63" s="1"/>
  <c r="F93" i="63"/>
  <c r="F101" i="63" s="1"/>
  <c r="E93" i="63"/>
  <c r="E101" i="63" s="1"/>
  <c r="D93" i="63"/>
  <c r="D101" i="63" s="1"/>
  <c r="E92" i="63"/>
  <c r="E100" i="63" s="1"/>
  <c r="D92" i="63"/>
  <c r="D100" i="63" s="1"/>
  <c r="F91" i="63"/>
  <c r="F99" i="63" s="1"/>
  <c r="D91" i="63"/>
  <c r="D99" i="63" s="1"/>
  <c r="F90" i="63"/>
  <c r="F98" i="63" s="1"/>
  <c r="E90" i="63"/>
  <c r="E98" i="63" s="1"/>
  <c r="D90" i="63"/>
  <c r="D98" i="63" s="1"/>
  <c r="F89" i="63"/>
  <c r="F97" i="63" s="1"/>
  <c r="E89" i="63"/>
  <c r="E97" i="63" s="1"/>
  <c r="D89" i="63"/>
  <c r="D97" i="63" s="1"/>
  <c r="F86" i="63"/>
  <c r="E86" i="63"/>
  <c r="D86" i="63"/>
  <c r="C85" i="63"/>
  <c r="C84" i="63"/>
  <c r="C83" i="63"/>
  <c r="C82" i="63"/>
  <c r="C81" i="63"/>
  <c r="D78" i="63"/>
  <c r="C77" i="63"/>
  <c r="F76" i="63"/>
  <c r="F92" i="63" s="1"/>
  <c r="C76" i="63"/>
  <c r="C92" i="63" s="1"/>
  <c r="E75" i="63"/>
  <c r="E91" i="63" s="1"/>
  <c r="C75" i="63"/>
  <c r="C91" i="63" s="1"/>
  <c r="C74" i="63"/>
  <c r="C73" i="63"/>
  <c r="D70" i="63"/>
  <c r="C69" i="63"/>
  <c r="F68" i="63"/>
  <c r="F70" i="63" s="1"/>
  <c r="F48" i="63" s="1"/>
  <c r="C68" i="63"/>
  <c r="E67" i="63"/>
  <c r="E70" i="63" s="1"/>
  <c r="E48" i="63" s="1"/>
  <c r="C67" i="63"/>
  <c r="C66" i="63"/>
  <c r="C65" i="63"/>
  <c r="C70" i="63" s="1"/>
  <c r="C48" i="63" s="1"/>
  <c r="D62" i="63"/>
  <c r="C61" i="63"/>
  <c r="F60" i="63"/>
  <c r="F62" i="63" s="1"/>
  <c r="F47" i="63" s="1"/>
  <c r="C60" i="63"/>
  <c r="E59" i="63"/>
  <c r="E62" i="63" s="1"/>
  <c r="E47" i="63" s="1"/>
  <c r="C59" i="63"/>
  <c r="C58" i="63"/>
  <c r="C57" i="63"/>
  <c r="F53" i="63"/>
  <c r="E53" i="63"/>
  <c r="D53" i="63"/>
  <c r="F52" i="63"/>
  <c r="E52" i="63"/>
  <c r="D52" i="63"/>
  <c r="C52" i="63"/>
  <c r="F50" i="63"/>
  <c r="E50" i="63"/>
  <c r="D50" i="63"/>
  <c r="C50" i="63"/>
  <c r="F49" i="63"/>
  <c r="E49" i="63"/>
  <c r="D49" i="63"/>
  <c r="D48" i="63"/>
  <c r="D47" i="63"/>
  <c r="C37" i="63"/>
  <c r="C36" i="63"/>
  <c r="C35" i="63"/>
  <c r="C34" i="63"/>
  <c r="C33" i="63"/>
  <c r="C32" i="63"/>
  <c r="F31" i="63"/>
  <c r="C31" i="63"/>
  <c r="E30" i="63"/>
  <c r="E38" i="63" s="1"/>
  <c r="D30" i="63"/>
  <c r="C30" i="63"/>
  <c r="C29" i="63"/>
  <c r="C28" i="63"/>
  <c r="C27" i="63"/>
  <c r="C26" i="63"/>
  <c r="C25" i="63"/>
  <c r="C24" i="63"/>
  <c r="D23" i="63"/>
  <c r="D38" i="63" s="1"/>
  <c r="C23" i="63"/>
  <c r="F21" i="63"/>
  <c r="F38" i="63" s="1"/>
  <c r="C20" i="63"/>
  <c r="C19" i="63"/>
  <c r="C18" i="63"/>
  <c r="C17" i="63"/>
  <c r="F12" i="63"/>
  <c r="E12" i="63"/>
  <c r="D12" i="63"/>
  <c r="C11" i="63"/>
  <c r="C10" i="63"/>
  <c r="C9" i="63"/>
  <c r="C8" i="63"/>
  <c r="L98" i="62"/>
  <c r="K98" i="62"/>
  <c r="J98" i="62"/>
  <c r="K97" i="62"/>
  <c r="J97" i="62"/>
  <c r="L96" i="62"/>
  <c r="L95" i="62"/>
  <c r="K95" i="62"/>
  <c r="J95" i="62"/>
  <c r="L94" i="62"/>
  <c r="K94" i="62"/>
  <c r="J94" i="62"/>
  <c r="J91" i="62"/>
  <c r="J47" i="62" s="1"/>
  <c r="I90" i="62"/>
  <c r="L89" i="62"/>
  <c r="L91" i="62" s="1"/>
  <c r="L47" i="62" s="1"/>
  <c r="I89" i="62"/>
  <c r="K88" i="62"/>
  <c r="K91" i="62" s="1"/>
  <c r="K47" i="62" s="1"/>
  <c r="I88" i="62"/>
  <c r="I91" i="62" s="1"/>
  <c r="I87" i="62"/>
  <c r="I86" i="62"/>
  <c r="L83" i="62"/>
  <c r="K83" i="62"/>
  <c r="J83" i="62"/>
  <c r="I83" i="62"/>
  <c r="L75" i="62"/>
  <c r="K75" i="62"/>
  <c r="J75" i="62"/>
  <c r="I75" i="62"/>
  <c r="J67" i="62"/>
  <c r="J46" i="62" s="1"/>
  <c r="I66" i="62"/>
  <c r="L65" i="62"/>
  <c r="L67" i="62" s="1"/>
  <c r="L46" i="62" s="1"/>
  <c r="I65" i="62"/>
  <c r="K64" i="62"/>
  <c r="K67" i="62" s="1"/>
  <c r="K46" i="62" s="1"/>
  <c r="I64" i="62"/>
  <c r="I63" i="62"/>
  <c r="I62" i="62"/>
  <c r="I58" i="62"/>
  <c r="L57" i="62"/>
  <c r="L59" i="62" s="1"/>
  <c r="L45" i="62" s="1"/>
  <c r="I57" i="62"/>
  <c r="I97" i="62" s="1"/>
  <c r="K56" i="62"/>
  <c r="J56" i="62"/>
  <c r="J59" i="62" s="1"/>
  <c r="J45" i="62" s="1"/>
  <c r="I56" i="62"/>
  <c r="I55" i="62"/>
  <c r="I95" i="62" s="1"/>
  <c r="I54" i="62"/>
  <c r="L50" i="62"/>
  <c r="K50" i="62"/>
  <c r="J50" i="62"/>
  <c r="L48" i="62"/>
  <c r="K48" i="62"/>
  <c r="J48" i="62"/>
  <c r="I35" i="62"/>
  <c r="I34" i="62"/>
  <c r="I30" i="62"/>
  <c r="I29" i="62" s="1"/>
  <c r="H26" i="62"/>
  <c r="H25" i="62"/>
  <c r="L20" i="62"/>
  <c r="L36" i="62" s="1"/>
  <c r="K20" i="62"/>
  <c r="K36" i="62" s="1"/>
  <c r="J20" i="62"/>
  <c r="J36" i="62" s="1"/>
  <c r="L11" i="62"/>
  <c r="K11" i="62"/>
  <c r="J11" i="62"/>
  <c r="I8" i="62"/>
  <c r="C103" i="62"/>
  <c r="C50" i="62" s="1"/>
  <c r="C102" i="62"/>
  <c r="C48" i="62" s="1"/>
  <c r="F90" i="62"/>
  <c r="F98" i="62" s="1"/>
  <c r="E90" i="62"/>
  <c r="E98" i="62" s="1"/>
  <c r="D90" i="62"/>
  <c r="D98" i="62" s="1"/>
  <c r="E89" i="62"/>
  <c r="E97" i="62" s="1"/>
  <c r="D89" i="62"/>
  <c r="D97" i="62" s="1"/>
  <c r="F88" i="62"/>
  <c r="F96" i="62" s="1"/>
  <c r="F87" i="62"/>
  <c r="F95" i="62" s="1"/>
  <c r="E87" i="62"/>
  <c r="E95" i="62" s="1"/>
  <c r="D87" i="62"/>
  <c r="D95" i="62" s="1"/>
  <c r="F86" i="62"/>
  <c r="F94" i="62" s="1"/>
  <c r="E86" i="62"/>
  <c r="E94" i="62" s="1"/>
  <c r="D86" i="62"/>
  <c r="D94" i="62" s="1"/>
  <c r="F83" i="62"/>
  <c r="E83" i="62"/>
  <c r="D83" i="62"/>
  <c r="F73" i="62"/>
  <c r="F75" i="62" s="1"/>
  <c r="E72" i="62"/>
  <c r="E88" i="62" s="1"/>
  <c r="D72" i="62"/>
  <c r="D88" i="62" s="1"/>
  <c r="F65" i="62"/>
  <c r="F67" i="62" s="1"/>
  <c r="F46" i="62" s="1"/>
  <c r="E64" i="62"/>
  <c r="E67" i="62" s="1"/>
  <c r="E46" i="62" s="1"/>
  <c r="D64" i="62"/>
  <c r="D67" i="62" s="1"/>
  <c r="D46" i="62" s="1"/>
  <c r="F57" i="62"/>
  <c r="F59" i="62" s="1"/>
  <c r="F45" i="62" s="1"/>
  <c r="E56" i="62"/>
  <c r="D56" i="62"/>
  <c r="F50" i="62"/>
  <c r="E50" i="62"/>
  <c r="D50" i="62"/>
  <c r="F48" i="62"/>
  <c r="E48" i="62"/>
  <c r="D48" i="62"/>
  <c r="C34" i="62"/>
  <c r="C33" i="62"/>
  <c r="C32" i="62"/>
  <c r="C31" i="62"/>
  <c r="C30" i="62"/>
  <c r="F29" i="62"/>
  <c r="E29" i="62"/>
  <c r="D29" i="62"/>
  <c r="C29" i="62"/>
  <c r="C28" i="62"/>
  <c r="C27" i="62"/>
  <c r="C26" i="62"/>
  <c r="C25" i="62"/>
  <c r="C24" i="62"/>
  <c r="C23" i="62"/>
  <c r="C22" i="62"/>
  <c r="F20" i="62"/>
  <c r="F36" i="62" s="1"/>
  <c r="E20" i="62"/>
  <c r="D20" i="62"/>
  <c r="D36" i="62" s="1"/>
  <c r="C18" i="62"/>
  <c r="C20" i="62" s="1"/>
  <c r="F11" i="62"/>
  <c r="E11" i="62"/>
  <c r="D11" i="62"/>
  <c r="C10" i="62"/>
  <c r="C11" i="62" s="1"/>
  <c r="C9" i="62"/>
  <c r="C8" i="62"/>
  <c r="J49" i="62" l="1"/>
  <c r="J51" i="62" s="1"/>
  <c r="D96" i="62"/>
  <c r="C62" i="63"/>
  <c r="C47" i="63" s="1"/>
  <c r="C93" i="63"/>
  <c r="C101" i="63" s="1"/>
  <c r="L54" i="63"/>
  <c r="F89" i="62"/>
  <c r="L102" i="63"/>
  <c r="L108" i="63" s="1"/>
  <c r="J99" i="63"/>
  <c r="J102" i="63" s="1"/>
  <c r="J108" i="63" s="1"/>
  <c r="D38" i="62"/>
  <c r="C36" i="62"/>
  <c r="C38" i="62" s="1"/>
  <c r="C39" i="62" s="1"/>
  <c r="I96" i="62"/>
  <c r="I98" i="62"/>
  <c r="C78" i="63"/>
  <c r="C100" i="63"/>
  <c r="F78" i="63"/>
  <c r="F97" i="62"/>
  <c r="F99" i="62" s="1"/>
  <c r="F104" i="62" s="1"/>
  <c r="E36" i="62"/>
  <c r="E38" i="62" s="1"/>
  <c r="I59" i="62"/>
  <c r="I45" i="62" s="1"/>
  <c r="K96" i="62"/>
  <c r="K99" i="62" s="1"/>
  <c r="K104" i="62" s="1"/>
  <c r="I67" i="62"/>
  <c r="I46" i="62" s="1"/>
  <c r="C21" i="63"/>
  <c r="C38" i="63" s="1"/>
  <c r="F100" i="63"/>
  <c r="C90" i="63"/>
  <c r="C98" i="63" s="1"/>
  <c r="I98" i="63"/>
  <c r="I102" i="63" s="1"/>
  <c r="K100" i="63"/>
  <c r="I97" i="63"/>
  <c r="C12" i="63"/>
  <c r="C40" i="63" s="1"/>
  <c r="C99" i="63"/>
  <c r="K54" i="63"/>
  <c r="K102" i="63"/>
  <c r="K108" i="63" s="1"/>
  <c r="I62" i="63"/>
  <c r="J62" i="63"/>
  <c r="J47" i="63" s="1"/>
  <c r="J54" i="63" s="1"/>
  <c r="D102" i="63"/>
  <c r="D108" i="63" s="1"/>
  <c r="F102" i="63"/>
  <c r="F108" i="63" s="1"/>
  <c r="E78" i="63"/>
  <c r="D94" i="63"/>
  <c r="D51" i="63" s="1"/>
  <c r="D54" i="63" s="1"/>
  <c r="C89" i="63"/>
  <c r="E94" i="63"/>
  <c r="E51" i="63" s="1"/>
  <c r="E54" i="63" s="1"/>
  <c r="E99" i="63"/>
  <c r="E102" i="63" s="1"/>
  <c r="E108" i="63" s="1"/>
  <c r="C86" i="63"/>
  <c r="F94" i="63"/>
  <c r="F51" i="63" s="1"/>
  <c r="F54" i="63" s="1"/>
  <c r="L49" i="62"/>
  <c r="L51" i="62" s="1"/>
  <c r="L97" i="62"/>
  <c r="L99" i="62" s="1"/>
  <c r="L104" i="62" s="1"/>
  <c r="K59" i="62"/>
  <c r="K45" i="62" s="1"/>
  <c r="K49" i="62" s="1"/>
  <c r="K51" i="62" s="1"/>
  <c r="J96" i="62"/>
  <c r="J99" i="62" s="1"/>
  <c r="J104" i="62" s="1"/>
  <c r="I94" i="62"/>
  <c r="D99" i="62"/>
  <c r="D104" i="62" s="1"/>
  <c r="E96" i="62"/>
  <c r="E99" i="62" s="1"/>
  <c r="E104" i="62" s="1"/>
  <c r="F38" i="62"/>
  <c r="D59" i="62"/>
  <c r="D45" i="62" s="1"/>
  <c r="D75" i="62"/>
  <c r="F91" i="62"/>
  <c r="F47" i="62" s="1"/>
  <c r="F49" i="62" s="1"/>
  <c r="F51" i="62" s="1"/>
  <c r="F40" i="62" s="1"/>
  <c r="E59" i="62"/>
  <c r="E45" i="62" s="1"/>
  <c r="E75" i="62"/>
  <c r="D91" i="62"/>
  <c r="D47" i="62" s="1"/>
  <c r="E91" i="62"/>
  <c r="E47" i="62" s="1"/>
  <c r="I99" i="62" l="1"/>
  <c r="I47" i="63"/>
  <c r="C94" i="63"/>
  <c r="C51" i="63" s="1"/>
  <c r="C54" i="63" s="1"/>
  <c r="C42" i="63" s="1"/>
  <c r="C44" i="63" s="1"/>
  <c r="C97" i="63"/>
  <c r="C102" i="63" s="1"/>
  <c r="C108" i="63" s="1"/>
  <c r="C41" i="63"/>
  <c r="D49" i="62"/>
  <c r="D51" i="62" s="1"/>
  <c r="D40" i="62" s="1"/>
  <c r="E49" i="62"/>
  <c r="E51" i="62" s="1"/>
  <c r="E40" i="62" s="1"/>
  <c r="H59" i="63" l="1"/>
  <c r="C62" i="62" l="1"/>
  <c r="C64" i="62"/>
  <c r="C54" i="62"/>
  <c r="C70" i="62"/>
  <c r="C55" i="62"/>
  <c r="H10" i="62" l="1"/>
  <c r="C73" i="62"/>
  <c r="C66" i="62"/>
  <c r="C72" i="62"/>
  <c r="C74" i="62"/>
  <c r="C63" i="62"/>
  <c r="C58" i="62"/>
  <c r="C56" i="62"/>
  <c r="C65" i="62"/>
  <c r="C57" i="62"/>
  <c r="C71" i="62"/>
  <c r="C78" i="62"/>
  <c r="C82" i="62"/>
  <c r="H60" i="63" l="1"/>
  <c r="H23" i="63"/>
  <c r="C67" i="62"/>
  <c r="C46" i="62" s="1"/>
  <c r="C81" i="62"/>
  <c r="C89" i="62" s="1"/>
  <c r="C97" i="62" s="1"/>
  <c r="C80" i="62"/>
  <c r="C88" i="62" s="1"/>
  <c r="C96" i="62" s="1"/>
  <c r="C59" i="62"/>
  <c r="C45" i="62" s="1"/>
  <c r="C101" i="62"/>
  <c r="C86" i="62"/>
  <c r="C79" i="62"/>
  <c r="C87" i="62" s="1"/>
  <c r="C95" i="62" s="1"/>
  <c r="C75" i="62"/>
  <c r="C90" i="62"/>
  <c r="C98" i="62" s="1"/>
  <c r="H57" i="62"/>
  <c r="H35" i="63"/>
  <c r="H58" i="63"/>
  <c r="H57" i="63" l="1"/>
  <c r="C91" i="62"/>
  <c r="C47" i="62" s="1"/>
  <c r="C49" i="62" s="1"/>
  <c r="C51" i="62" s="1"/>
  <c r="C94" i="62"/>
  <c r="C99" i="62" s="1"/>
  <c r="C104" i="62" s="1"/>
  <c r="C83" i="62"/>
  <c r="H22" i="62"/>
  <c r="H29" i="63" l="1"/>
  <c r="H61" i="63"/>
  <c r="C52" i="62"/>
  <c r="C40" i="62"/>
  <c r="H11" i="63" l="1"/>
  <c r="H9" i="63"/>
  <c r="H54" i="62"/>
  <c r="H58" i="62"/>
  <c r="H24" i="62"/>
  <c r="H28" i="62"/>
  <c r="H56" i="62" l="1"/>
  <c r="H33" i="62" l="1"/>
  <c r="M113" i="63" l="1"/>
  <c r="M106" i="62" l="1"/>
  <c r="M110" i="63"/>
  <c r="AC96" i="63" l="1"/>
  <c r="AG108" i="63" l="1"/>
  <c r="AK107" i="63"/>
  <c r="AJ107" i="63"/>
  <c r="AI107" i="63"/>
  <c r="AG107" i="63"/>
  <c r="AE107" i="63"/>
  <c r="AD107" i="63"/>
  <c r="AC107" i="63"/>
  <c r="AK106" i="63"/>
  <c r="AJ106" i="63"/>
  <c r="AI106" i="63"/>
  <c r="AG106" i="63"/>
  <c r="AE106" i="63"/>
  <c r="AD106" i="63"/>
  <c r="AC106" i="63"/>
  <c r="AK105" i="63"/>
  <c r="AJ105" i="63"/>
  <c r="AI105" i="63"/>
  <c r="AG105" i="63"/>
  <c r="AE105" i="63"/>
  <c r="AD105" i="63"/>
  <c r="AC105" i="63"/>
  <c r="AK104" i="63"/>
  <c r="AJ104" i="63"/>
  <c r="AI104" i="63"/>
  <c r="AG104" i="63"/>
  <c r="AE104" i="63"/>
  <c r="AD104" i="63"/>
  <c r="AC104" i="63"/>
  <c r="AL103" i="63"/>
  <c r="AK103" i="63"/>
  <c r="AJ103" i="63"/>
  <c r="AI103" i="63"/>
  <c r="AH103" i="63"/>
  <c r="AG103" i="63"/>
  <c r="AF103" i="63"/>
  <c r="AE103" i="63"/>
  <c r="AD103" i="63"/>
  <c r="AC103" i="63"/>
  <c r="AB103" i="63"/>
  <c r="AG102" i="63"/>
  <c r="AG101" i="63"/>
  <c r="AG100" i="63"/>
  <c r="AG99" i="63"/>
  <c r="AG98" i="63"/>
  <c r="AG97" i="63"/>
  <c r="AL96" i="63"/>
  <c r="AK96" i="63"/>
  <c r="AJ96" i="63"/>
  <c r="AI96" i="63"/>
  <c r="AH96" i="63"/>
  <c r="AG96" i="63"/>
  <c r="AF96" i="63"/>
  <c r="AE96" i="63"/>
  <c r="AD96" i="63"/>
  <c r="AB96" i="63"/>
  <c r="AL95" i="63"/>
  <c r="AK95" i="63"/>
  <c r="AJ95" i="63"/>
  <c r="AI95" i="63"/>
  <c r="AH95" i="63"/>
  <c r="AG95" i="63"/>
  <c r="AF95" i="63"/>
  <c r="AE95" i="63"/>
  <c r="AD95" i="63"/>
  <c r="AC95" i="63"/>
  <c r="AB95" i="63"/>
  <c r="AG94" i="63"/>
  <c r="AK93" i="63"/>
  <c r="AJ93" i="63"/>
  <c r="AI93" i="63"/>
  <c r="AG93" i="63"/>
  <c r="AK92" i="63"/>
  <c r="AI92" i="63"/>
  <c r="AG92" i="63"/>
  <c r="AK91" i="63"/>
  <c r="AJ91" i="63"/>
  <c r="AG91" i="63"/>
  <c r="AK90" i="63"/>
  <c r="AJ90" i="63"/>
  <c r="AI90" i="63"/>
  <c r="AG90" i="63"/>
  <c r="AK89" i="63"/>
  <c r="AJ89" i="63"/>
  <c r="AI89" i="63"/>
  <c r="AG89" i="63"/>
  <c r="AL88" i="63"/>
  <c r="AK88" i="63"/>
  <c r="AJ88" i="63"/>
  <c r="AI88" i="63"/>
  <c r="AH88" i="63"/>
  <c r="AG88" i="63"/>
  <c r="AF88" i="63"/>
  <c r="AE88" i="63"/>
  <c r="AD88" i="63"/>
  <c r="AC88" i="63"/>
  <c r="AB88" i="63"/>
  <c r="AL87" i="63"/>
  <c r="AK87" i="63"/>
  <c r="AJ87" i="63"/>
  <c r="AI87" i="63"/>
  <c r="AH87" i="63"/>
  <c r="AG87" i="63"/>
  <c r="AF87" i="63"/>
  <c r="AE87" i="63"/>
  <c r="AD87" i="63"/>
  <c r="AC87" i="63"/>
  <c r="AB87" i="63"/>
  <c r="AG86" i="63"/>
  <c r="AK85" i="63"/>
  <c r="AJ85" i="63"/>
  <c r="AI85" i="63"/>
  <c r="AH85" i="63"/>
  <c r="AG85" i="63"/>
  <c r="AE85" i="63"/>
  <c r="AD85" i="63"/>
  <c r="AC85" i="63"/>
  <c r="AK84" i="63"/>
  <c r="AJ84" i="63"/>
  <c r="AI84" i="63"/>
  <c r="AH84" i="63"/>
  <c r="AG84" i="63"/>
  <c r="AE84" i="63"/>
  <c r="AD84" i="63"/>
  <c r="AC84" i="63"/>
  <c r="AK83" i="63"/>
  <c r="AJ83" i="63"/>
  <c r="AI83" i="63"/>
  <c r="AH83" i="63"/>
  <c r="AG83" i="63"/>
  <c r="AE83" i="63"/>
  <c r="AD83" i="63"/>
  <c r="AC83" i="63"/>
  <c r="AK82" i="63"/>
  <c r="AJ82" i="63"/>
  <c r="AI82" i="63"/>
  <c r="AH82" i="63"/>
  <c r="AG82" i="63"/>
  <c r="AE82" i="63"/>
  <c r="AD82" i="63"/>
  <c r="AC82" i="63"/>
  <c r="AK81" i="63"/>
  <c r="AJ81" i="63"/>
  <c r="AI81" i="63"/>
  <c r="AH81" i="63"/>
  <c r="AG81" i="63"/>
  <c r="AE81" i="63"/>
  <c r="AD81" i="63"/>
  <c r="AC81" i="63"/>
  <c r="AL80" i="63"/>
  <c r="AK80" i="63"/>
  <c r="AJ80" i="63"/>
  <c r="AI80" i="63"/>
  <c r="AH80" i="63"/>
  <c r="AG80" i="63"/>
  <c r="AF80" i="63"/>
  <c r="AE80" i="63"/>
  <c r="AD80" i="63"/>
  <c r="AC80" i="63"/>
  <c r="AB80" i="63"/>
  <c r="AL79" i="63"/>
  <c r="AK79" i="63"/>
  <c r="AJ79" i="63"/>
  <c r="AI79" i="63"/>
  <c r="AH79" i="63"/>
  <c r="AG79" i="63"/>
  <c r="AF79" i="63"/>
  <c r="AE79" i="63"/>
  <c r="AD79" i="63"/>
  <c r="AC79" i="63"/>
  <c r="AB79" i="63"/>
  <c r="AG78" i="63"/>
  <c r="AK77" i="63"/>
  <c r="AJ77" i="63"/>
  <c r="AI77" i="63"/>
  <c r="AH77" i="63"/>
  <c r="AG77" i="63"/>
  <c r="AE77" i="63"/>
  <c r="AD77" i="63"/>
  <c r="AC77" i="63"/>
  <c r="AK76" i="63"/>
  <c r="AJ76" i="63"/>
  <c r="AI76" i="63"/>
  <c r="AH76" i="63"/>
  <c r="AG76" i="63"/>
  <c r="AD76" i="63"/>
  <c r="AC76" i="63"/>
  <c r="AK75" i="63"/>
  <c r="AJ75" i="63"/>
  <c r="AI75" i="63"/>
  <c r="AH75" i="63"/>
  <c r="AG75" i="63"/>
  <c r="AE75" i="63"/>
  <c r="AC75" i="63"/>
  <c r="AK74" i="63"/>
  <c r="AJ74" i="63"/>
  <c r="AI74" i="63"/>
  <c r="AH74" i="63"/>
  <c r="AG74" i="63"/>
  <c r="AE74" i="63"/>
  <c r="AD74" i="63"/>
  <c r="AC74" i="63"/>
  <c r="AK73" i="63"/>
  <c r="AJ73" i="63"/>
  <c r="AI73" i="63"/>
  <c r="AH73" i="63"/>
  <c r="AG73" i="63"/>
  <c r="AE73" i="63"/>
  <c r="AD73" i="63"/>
  <c r="AC73" i="63"/>
  <c r="AL72" i="63"/>
  <c r="AK72" i="63"/>
  <c r="AJ72" i="63"/>
  <c r="AI72" i="63"/>
  <c r="AH72" i="63"/>
  <c r="AG72" i="63"/>
  <c r="AF72" i="63"/>
  <c r="AE72" i="63"/>
  <c r="AD72" i="63"/>
  <c r="AC72" i="63"/>
  <c r="AB72" i="63"/>
  <c r="AL71" i="63"/>
  <c r="AK71" i="63"/>
  <c r="AJ71" i="63"/>
  <c r="AI71" i="63"/>
  <c r="AH71" i="63"/>
  <c r="AG71" i="63"/>
  <c r="AF71" i="63"/>
  <c r="AE71" i="63"/>
  <c r="AD71" i="63"/>
  <c r="AC71" i="63"/>
  <c r="AB71" i="63"/>
  <c r="AG70" i="63"/>
  <c r="AK69" i="63"/>
  <c r="AJ69" i="63"/>
  <c r="AI69" i="63"/>
  <c r="AG69" i="63"/>
  <c r="AE69" i="63"/>
  <c r="AD69" i="63"/>
  <c r="AC69" i="63"/>
  <c r="AK68" i="63"/>
  <c r="AI68" i="63"/>
  <c r="AG68" i="63"/>
  <c r="AD68" i="63"/>
  <c r="AC68" i="63"/>
  <c r="AK67" i="63"/>
  <c r="AJ67" i="63"/>
  <c r="AG67" i="63"/>
  <c r="AE67" i="63"/>
  <c r="AC67" i="63"/>
  <c r="AK66" i="63"/>
  <c r="AJ66" i="63"/>
  <c r="AI66" i="63"/>
  <c r="AG66" i="63"/>
  <c r="AE66" i="63"/>
  <c r="AD66" i="63"/>
  <c r="AC66" i="63"/>
  <c r="AK65" i="63"/>
  <c r="AJ65" i="63"/>
  <c r="AI65" i="63"/>
  <c r="AG65" i="63"/>
  <c r="AE65" i="63"/>
  <c r="AD65" i="63"/>
  <c r="AC65" i="63"/>
  <c r="AL64" i="63"/>
  <c r="AK64" i="63"/>
  <c r="AJ64" i="63"/>
  <c r="AI64" i="63"/>
  <c r="AH64" i="63"/>
  <c r="AG64" i="63"/>
  <c r="AF64" i="63"/>
  <c r="AE64" i="63"/>
  <c r="AD64" i="63"/>
  <c r="AC64" i="63"/>
  <c r="AB64" i="63"/>
  <c r="AL63" i="63"/>
  <c r="AK63" i="63"/>
  <c r="AJ63" i="63"/>
  <c r="AI63" i="63"/>
  <c r="AG63" i="63"/>
  <c r="AF63" i="63"/>
  <c r="AE63" i="63"/>
  <c r="AD63" i="63"/>
  <c r="AC63" i="63"/>
  <c r="AB63" i="63"/>
  <c r="AG62" i="63"/>
  <c r="AK61" i="63"/>
  <c r="AJ61" i="63"/>
  <c r="AI61" i="63"/>
  <c r="AE61" i="63"/>
  <c r="AD61" i="63"/>
  <c r="AC61" i="63"/>
  <c r="AK60" i="63"/>
  <c r="AI60" i="63"/>
  <c r="AD60" i="63"/>
  <c r="AC60" i="63"/>
  <c r="AK59" i="63"/>
  <c r="AJ59" i="63"/>
  <c r="AE59" i="63"/>
  <c r="AC59" i="63"/>
  <c r="AK58" i="63"/>
  <c r="AJ58" i="63"/>
  <c r="AI58" i="63"/>
  <c r="AE58" i="63"/>
  <c r="AD58" i="63"/>
  <c r="AC58" i="63"/>
  <c r="AK57" i="63"/>
  <c r="AJ57" i="63"/>
  <c r="AI57" i="63"/>
  <c r="AE57" i="63"/>
  <c r="AD57" i="63"/>
  <c r="AC57" i="63"/>
  <c r="AL56" i="63"/>
  <c r="AK56" i="63"/>
  <c r="AJ56" i="63"/>
  <c r="AI56" i="63"/>
  <c r="AH56" i="63"/>
  <c r="AG56" i="63"/>
  <c r="AF56" i="63"/>
  <c r="AE56" i="63"/>
  <c r="AD56" i="63"/>
  <c r="AC56" i="63"/>
  <c r="AB56" i="63"/>
  <c r="AL55" i="63"/>
  <c r="AK55" i="63"/>
  <c r="AJ55" i="63"/>
  <c r="AI55" i="63"/>
  <c r="AH55" i="63"/>
  <c r="AG55" i="63"/>
  <c r="AF55" i="63"/>
  <c r="AE55" i="63"/>
  <c r="AD55" i="63"/>
  <c r="AC55" i="63"/>
  <c r="AB55" i="63"/>
  <c r="AG54" i="63"/>
  <c r="AG53" i="63"/>
  <c r="AG52" i="63"/>
  <c r="AG51" i="63"/>
  <c r="AG50" i="63"/>
  <c r="AG49" i="63"/>
  <c r="AG48" i="63"/>
  <c r="AG47" i="63"/>
  <c r="AL46" i="63"/>
  <c r="AK46" i="63"/>
  <c r="AJ46" i="63"/>
  <c r="AI46" i="63"/>
  <c r="AH46" i="63"/>
  <c r="AG46" i="63"/>
  <c r="AF46" i="63"/>
  <c r="AE46" i="63"/>
  <c r="AD46" i="63"/>
  <c r="AC46" i="63"/>
  <c r="AB46" i="63"/>
  <c r="AL45" i="63"/>
  <c r="AK45" i="63"/>
  <c r="AJ45" i="63"/>
  <c r="AI45" i="63"/>
  <c r="AH45" i="63"/>
  <c r="AG45" i="63"/>
  <c r="AF45" i="63"/>
  <c r="AE45" i="63"/>
  <c r="AD45" i="63"/>
  <c r="AC45" i="63"/>
  <c r="AB45" i="63"/>
  <c r="AK44" i="63"/>
  <c r="AJ44" i="63"/>
  <c r="AI44" i="63"/>
  <c r="AG44" i="63"/>
  <c r="AE44" i="63"/>
  <c r="AD44" i="63"/>
  <c r="AC44" i="63"/>
  <c r="AL43" i="63"/>
  <c r="AK43" i="63"/>
  <c r="AJ43" i="63"/>
  <c r="AI43" i="63"/>
  <c r="AH43" i="63"/>
  <c r="AG43" i="63"/>
  <c r="AF43" i="63"/>
  <c r="AE43" i="63"/>
  <c r="AD43" i="63"/>
  <c r="AC43" i="63"/>
  <c r="AB43" i="63"/>
  <c r="AK42" i="63"/>
  <c r="AJ42" i="63"/>
  <c r="AI42" i="63"/>
  <c r="AG42" i="63"/>
  <c r="AE42" i="63"/>
  <c r="AD42" i="63"/>
  <c r="AC42" i="63"/>
  <c r="AL41" i="63"/>
  <c r="AK41" i="63"/>
  <c r="AJ41" i="63"/>
  <c r="AI41" i="63"/>
  <c r="AH41" i="63"/>
  <c r="AG41" i="63"/>
  <c r="AF41" i="63"/>
  <c r="AE41" i="63"/>
  <c r="AD41" i="63"/>
  <c r="AC41" i="63"/>
  <c r="AK40" i="63"/>
  <c r="AJ40" i="63"/>
  <c r="AI40" i="63"/>
  <c r="AG40" i="63"/>
  <c r="AE40" i="63"/>
  <c r="AD40" i="63"/>
  <c r="AC40" i="63"/>
  <c r="AK39" i="63"/>
  <c r="AJ39" i="63"/>
  <c r="AI39" i="63"/>
  <c r="AG39" i="63"/>
  <c r="AE39" i="63"/>
  <c r="AD39" i="63"/>
  <c r="AC39" i="63"/>
  <c r="AB39" i="63"/>
  <c r="AG38" i="63"/>
  <c r="AK37" i="63"/>
  <c r="AJ37" i="63"/>
  <c r="AI37" i="63"/>
  <c r="AG37" i="63"/>
  <c r="AE37" i="63"/>
  <c r="AD37" i="63"/>
  <c r="AC37" i="63"/>
  <c r="AK36" i="63"/>
  <c r="AJ36" i="63"/>
  <c r="AI36" i="63"/>
  <c r="AG36" i="63"/>
  <c r="AE36" i="63"/>
  <c r="AD36" i="63"/>
  <c r="AC36" i="63"/>
  <c r="AK35" i="63"/>
  <c r="AJ35" i="63"/>
  <c r="AI35" i="63"/>
  <c r="AE35" i="63"/>
  <c r="AD35" i="63"/>
  <c r="AC35" i="63"/>
  <c r="AK34" i="63"/>
  <c r="AJ34" i="63"/>
  <c r="AI34" i="63"/>
  <c r="AG34" i="63"/>
  <c r="AE34" i="63"/>
  <c r="AD34" i="63"/>
  <c r="AC34" i="63"/>
  <c r="AK33" i="63"/>
  <c r="AJ33" i="63"/>
  <c r="AI33" i="63"/>
  <c r="AE33" i="63"/>
  <c r="AD33" i="63"/>
  <c r="AC33" i="63"/>
  <c r="AK32" i="63"/>
  <c r="AJ32" i="63"/>
  <c r="AI32" i="63"/>
  <c r="AG32" i="63"/>
  <c r="AE32" i="63"/>
  <c r="AD32" i="63"/>
  <c r="AC32" i="63"/>
  <c r="AK31" i="63"/>
  <c r="AJ31" i="63"/>
  <c r="AI31" i="63"/>
  <c r="AG31" i="63"/>
  <c r="AD31" i="63"/>
  <c r="AC31" i="63"/>
  <c r="AK30" i="63"/>
  <c r="AJ30" i="63"/>
  <c r="AI30" i="63"/>
  <c r="AG30" i="63"/>
  <c r="AE30" i="63"/>
  <c r="AK29" i="63"/>
  <c r="AJ29" i="63"/>
  <c r="AI29" i="63"/>
  <c r="AE29" i="63"/>
  <c r="AD29" i="63"/>
  <c r="AC29" i="63"/>
  <c r="AK28" i="63"/>
  <c r="AJ28" i="63"/>
  <c r="AI28" i="63"/>
  <c r="AG28" i="63"/>
  <c r="AE28" i="63"/>
  <c r="AD28" i="63"/>
  <c r="AC28" i="63"/>
  <c r="AK27" i="63"/>
  <c r="AJ27" i="63"/>
  <c r="AI27" i="63"/>
  <c r="AE27" i="63"/>
  <c r="AD27" i="63"/>
  <c r="AC27" i="63"/>
  <c r="AK26" i="63"/>
  <c r="AJ26" i="63"/>
  <c r="AI26" i="63"/>
  <c r="AE26" i="63"/>
  <c r="AD26" i="63"/>
  <c r="AC26" i="63"/>
  <c r="AK25" i="63"/>
  <c r="AJ25" i="63"/>
  <c r="AI25" i="63"/>
  <c r="AE25" i="63"/>
  <c r="AD25" i="63"/>
  <c r="AC25" i="63"/>
  <c r="AK24" i="63"/>
  <c r="AJ24" i="63"/>
  <c r="AI24" i="63"/>
  <c r="AE24" i="63"/>
  <c r="AD24" i="63"/>
  <c r="AC24" i="63"/>
  <c r="AK23" i="63"/>
  <c r="AJ23" i="63"/>
  <c r="AI23" i="63"/>
  <c r="AE23" i="63"/>
  <c r="AD23" i="63"/>
  <c r="AC23" i="63"/>
  <c r="AL22" i="63"/>
  <c r="AK22" i="63"/>
  <c r="AJ22" i="63"/>
  <c r="AI22" i="63"/>
  <c r="AH22" i="63"/>
  <c r="AG22" i="63"/>
  <c r="AF22" i="63"/>
  <c r="AE22" i="63"/>
  <c r="AD22" i="63"/>
  <c r="AC22" i="63"/>
  <c r="AB22" i="63"/>
  <c r="AG21" i="63"/>
  <c r="AD21" i="63"/>
  <c r="AC21" i="63"/>
  <c r="AK20" i="63"/>
  <c r="AJ20" i="63"/>
  <c r="AI20" i="63"/>
  <c r="AG20" i="63"/>
  <c r="AE20" i="63"/>
  <c r="AD20" i="63"/>
  <c r="AC20" i="63"/>
  <c r="AK19" i="63"/>
  <c r="AJ19" i="63"/>
  <c r="AI19" i="63"/>
  <c r="AG19" i="63"/>
  <c r="AE19" i="63"/>
  <c r="AD19" i="63"/>
  <c r="AC19" i="63"/>
  <c r="AK18" i="63"/>
  <c r="AJ18" i="63"/>
  <c r="AI18" i="63"/>
  <c r="AG18" i="63"/>
  <c r="AE18" i="63"/>
  <c r="AD18" i="63"/>
  <c r="AC18" i="63"/>
  <c r="AK17" i="63"/>
  <c r="AJ17" i="63"/>
  <c r="AI17" i="63"/>
  <c r="AG17" i="63"/>
  <c r="AE17" i="63"/>
  <c r="AD17" i="63"/>
  <c r="AC17" i="63"/>
  <c r="AL16" i="63"/>
  <c r="AK16" i="63"/>
  <c r="AJ16" i="63"/>
  <c r="AI16" i="63"/>
  <c r="AH16" i="63"/>
  <c r="AG16" i="63"/>
  <c r="AF16" i="63"/>
  <c r="AE16" i="63"/>
  <c r="AD16" i="63"/>
  <c r="AC16" i="63"/>
  <c r="AB16" i="63"/>
  <c r="AL15" i="63"/>
  <c r="AK15" i="63"/>
  <c r="AJ15" i="63"/>
  <c r="AI15" i="63"/>
  <c r="AH15" i="63"/>
  <c r="AG15" i="63"/>
  <c r="AF15" i="63"/>
  <c r="AE15" i="63"/>
  <c r="AD15" i="63"/>
  <c r="AC15" i="63"/>
  <c r="AB15" i="63"/>
  <c r="AL14" i="63"/>
  <c r="AK14" i="63"/>
  <c r="AJ14" i="63"/>
  <c r="AI14" i="63"/>
  <c r="AH14" i="63"/>
  <c r="AG14" i="63"/>
  <c r="AF14" i="63"/>
  <c r="AE14" i="63"/>
  <c r="AD14" i="63"/>
  <c r="AC14" i="63"/>
  <c r="AB14" i="63"/>
  <c r="AL13" i="63"/>
  <c r="AK13" i="63"/>
  <c r="AJ13" i="63"/>
  <c r="AI13" i="63"/>
  <c r="AH13" i="63"/>
  <c r="AG13" i="63"/>
  <c r="AF13" i="63"/>
  <c r="AE13" i="63"/>
  <c r="AD13" i="63"/>
  <c r="AC13" i="63"/>
  <c r="AB13" i="63"/>
  <c r="AK11" i="63"/>
  <c r="AJ11" i="63"/>
  <c r="AI11" i="63"/>
  <c r="AE11" i="63"/>
  <c r="AD11" i="63"/>
  <c r="AC11" i="63"/>
  <c r="AK10" i="63"/>
  <c r="AJ10" i="63"/>
  <c r="AI10" i="63"/>
  <c r="AG10" i="63"/>
  <c r="AE10" i="63"/>
  <c r="AD10" i="63"/>
  <c r="AC10" i="63"/>
  <c r="AK9" i="63"/>
  <c r="AJ9" i="63"/>
  <c r="AI9" i="63"/>
  <c r="AE9" i="63"/>
  <c r="AD9" i="63"/>
  <c r="AC9" i="63"/>
  <c r="AK8" i="63"/>
  <c r="AJ8" i="63"/>
  <c r="AI8" i="63"/>
  <c r="AG8" i="63"/>
  <c r="AE8" i="63"/>
  <c r="AD8" i="63"/>
  <c r="AC8" i="63"/>
  <c r="AC30" i="63" l="1"/>
  <c r="AC12" i="63"/>
  <c r="AK86" i="63" l="1"/>
  <c r="AJ86" i="63"/>
  <c r="AI86" i="63"/>
  <c r="AH86" i="63"/>
  <c r="M85" i="63"/>
  <c r="M84" i="63"/>
  <c r="M83" i="63"/>
  <c r="M82" i="63"/>
  <c r="M81" i="63"/>
  <c r="AK78" i="63"/>
  <c r="AJ78" i="63"/>
  <c r="AI78" i="63"/>
  <c r="AH78" i="63"/>
  <c r="M77" i="63"/>
  <c r="M76" i="63"/>
  <c r="M75" i="63"/>
  <c r="M74" i="63"/>
  <c r="M73" i="63"/>
  <c r="M82" i="62"/>
  <c r="M81" i="62"/>
  <c r="M80" i="62"/>
  <c r="M79" i="62"/>
  <c r="M78" i="62"/>
  <c r="M74" i="62"/>
  <c r="M73" i="62"/>
  <c r="M72" i="62"/>
  <c r="M71" i="62"/>
  <c r="M70" i="62"/>
  <c r="AL76" i="63" l="1"/>
  <c r="AL83" i="63"/>
  <c r="AL75" i="63"/>
  <c r="M86" i="63"/>
  <c r="AL86" i="63" s="1"/>
  <c r="AL82" i="63"/>
  <c r="AL73" i="63"/>
  <c r="AL77" i="63"/>
  <c r="AL84" i="63"/>
  <c r="AL74" i="63"/>
  <c r="AL81" i="63"/>
  <c r="AL85" i="63"/>
  <c r="M75" i="62"/>
  <c r="M78" i="63"/>
  <c r="AL78" i="63" s="1"/>
  <c r="M83" i="62"/>
  <c r="M8" i="63" l="1"/>
  <c r="AH8" i="63"/>
  <c r="AL8" i="63" l="1"/>
  <c r="AD12" i="63" l="1"/>
  <c r="AE12" i="63"/>
  <c r="AE21" i="63"/>
  <c r="AC38" i="63"/>
  <c r="AC49" i="63"/>
  <c r="AD49" i="63"/>
  <c r="AE49" i="63"/>
  <c r="AC50" i="63"/>
  <c r="AD50" i="63"/>
  <c r="AE50" i="63"/>
  <c r="AC52" i="63"/>
  <c r="AD52" i="63"/>
  <c r="AE52" i="63"/>
  <c r="AC53" i="63"/>
  <c r="AD53" i="63"/>
  <c r="AE53" i="63"/>
  <c r="AC78" i="63"/>
  <c r="AC86" i="63"/>
  <c r="AD86" i="63"/>
  <c r="AE86" i="63"/>
  <c r="AE101" i="63" l="1"/>
  <c r="AE93" i="63"/>
  <c r="AC100" i="63"/>
  <c r="AC92" i="63"/>
  <c r="AD98" i="63"/>
  <c r="AD90" i="63"/>
  <c r="AC97" i="63"/>
  <c r="AC89" i="63"/>
  <c r="AD101" i="63"/>
  <c r="AD93" i="63"/>
  <c r="AE99" i="63"/>
  <c r="AE91" i="63"/>
  <c r="AC98" i="63"/>
  <c r="AC90" i="63"/>
  <c r="AC48" i="63"/>
  <c r="AC70" i="63"/>
  <c r="AC101" i="63"/>
  <c r="AC93" i="63"/>
  <c r="AC99" i="63"/>
  <c r="AC91" i="63"/>
  <c r="AE97" i="63"/>
  <c r="AE89" i="63"/>
  <c r="AC47" i="63"/>
  <c r="AC62" i="63"/>
  <c r="AD100" i="63"/>
  <c r="AD92" i="63"/>
  <c r="AE98" i="63"/>
  <c r="AE90" i="63"/>
  <c r="AD97" i="63"/>
  <c r="AD89" i="63"/>
  <c r="AC108" i="63" l="1"/>
  <c r="AC102" i="63"/>
  <c r="AC94" i="63"/>
  <c r="AC54" i="63" l="1"/>
  <c r="AC51" i="63"/>
  <c r="M8" i="62" l="1"/>
  <c r="AJ50" i="63"/>
  <c r="AI50" i="63"/>
  <c r="AJ49" i="63"/>
  <c r="AI49" i="63"/>
  <c r="A103" i="63"/>
  <c r="A95" i="63"/>
  <c r="AK101" i="63"/>
  <c r="AJ101" i="63"/>
  <c r="AI101" i="63"/>
  <c r="AK100" i="63"/>
  <c r="AI100" i="63"/>
  <c r="AK99" i="63"/>
  <c r="AJ99" i="63"/>
  <c r="AK98" i="63"/>
  <c r="AJ98" i="63"/>
  <c r="AI98" i="63"/>
  <c r="AJ97" i="63"/>
  <c r="AI97" i="63"/>
  <c r="A87" i="63"/>
  <c r="A79" i="63"/>
  <c r="A71" i="63"/>
  <c r="A63" i="63"/>
  <c r="A55" i="63"/>
  <c r="AK53" i="63"/>
  <c r="AJ53" i="63"/>
  <c r="AI53" i="63"/>
  <c r="AK52" i="63"/>
  <c r="AJ52" i="63"/>
  <c r="AI52" i="63"/>
  <c r="AK50" i="63"/>
  <c r="AK49" i="63"/>
  <c r="A45" i="63"/>
  <c r="A43" i="63"/>
  <c r="A39" i="63"/>
  <c r="A22" i="63"/>
  <c r="A15" i="63"/>
  <c r="A13" i="63"/>
  <c r="AK12" i="63"/>
  <c r="AJ12" i="63"/>
  <c r="AI12" i="63"/>
  <c r="A7" i="63"/>
  <c r="A119" i="62"/>
  <c r="A118" i="62"/>
  <c r="A117" i="62"/>
  <c r="A116" i="62"/>
  <c r="A115" i="62"/>
  <c r="A114" i="62"/>
  <c r="A113" i="62"/>
  <c r="A100" i="62"/>
  <c r="A92" i="62"/>
  <c r="A84" i="62"/>
  <c r="A76" i="62"/>
  <c r="A68" i="62"/>
  <c r="A60" i="62"/>
  <c r="A43" i="62"/>
  <c r="A41" i="62"/>
  <c r="A37" i="62"/>
  <c r="A21" i="62"/>
  <c r="A19" i="62"/>
  <c r="G18" i="62"/>
  <c r="I18" i="62" s="1"/>
  <c r="I20" i="62" s="1"/>
  <c r="A17" i="62"/>
  <c r="A15" i="62"/>
  <c r="A13" i="62"/>
  <c r="A12" i="62"/>
  <c r="A7" i="62"/>
  <c r="AB75" i="63"/>
  <c r="AB77" i="63"/>
  <c r="AB74" i="63"/>
  <c r="AB73" i="63"/>
  <c r="AB57" i="63"/>
  <c r="AB65" i="63"/>
  <c r="AB67" i="63"/>
  <c r="AB59" i="63"/>
  <c r="AB60" i="63"/>
  <c r="AK48" i="63" l="1"/>
  <c r="AK70" i="63"/>
  <c r="G61" i="63"/>
  <c r="AF61" i="63" s="1"/>
  <c r="AB61" i="63"/>
  <c r="AD67" i="63"/>
  <c r="AK38" i="63"/>
  <c r="AK21" i="63"/>
  <c r="AI38" i="63"/>
  <c r="AI21" i="63"/>
  <c r="G69" i="63"/>
  <c r="AF69" i="63" s="1"/>
  <c r="AB69" i="63"/>
  <c r="G85" i="63"/>
  <c r="AB85" i="63"/>
  <c r="G58" i="63"/>
  <c r="AB58" i="63"/>
  <c r="G66" i="63"/>
  <c r="AF66" i="63" s="1"/>
  <c r="AB66" i="63"/>
  <c r="AJ38" i="63"/>
  <c r="AJ21" i="63"/>
  <c r="AK47" i="63"/>
  <c r="AK62" i="63"/>
  <c r="G67" i="63"/>
  <c r="AF67" i="63" s="1"/>
  <c r="G57" i="63"/>
  <c r="AD75" i="63"/>
  <c r="G74" i="63"/>
  <c r="G65" i="63"/>
  <c r="AF65" i="63" s="1"/>
  <c r="G77" i="63"/>
  <c r="G73" i="63"/>
  <c r="A8" i="63"/>
  <c r="AK94" i="63"/>
  <c r="A8" i="62"/>
  <c r="G20" i="62"/>
  <c r="AF58" i="63" l="1"/>
  <c r="AF57" i="63"/>
  <c r="AK97" i="63"/>
  <c r="AF73" i="63"/>
  <c r="G84" i="63"/>
  <c r="AB84" i="63"/>
  <c r="G83" i="63"/>
  <c r="AB83" i="63"/>
  <c r="G93" i="63"/>
  <c r="AF77" i="63"/>
  <c r="AB78" i="63"/>
  <c r="AB76" i="63"/>
  <c r="AB68" i="63"/>
  <c r="AB101" i="63"/>
  <c r="AB93" i="63"/>
  <c r="AF74" i="63"/>
  <c r="AB47" i="63"/>
  <c r="AB62" i="63"/>
  <c r="AD38" i="63"/>
  <c r="AD30" i="63"/>
  <c r="G82" i="63"/>
  <c r="G90" i="63" s="1"/>
  <c r="AB82" i="63"/>
  <c r="AB81" i="63"/>
  <c r="AD59" i="63"/>
  <c r="AF85" i="63"/>
  <c r="AD48" i="63"/>
  <c r="AD70" i="63"/>
  <c r="G59" i="63"/>
  <c r="G75" i="63"/>
  <c r="AD91" i="63"/>
  <c r="AD78" i="63"/>
  <c r="AB86" i="63"/>
  <c r="G81" i="63"/>
  <c r="A9" i="63"/>
  <c r="A9" i="62"/>
  <c r="M18" i="62"/>
  <c r="M20" i="62" s="1"/>
  <c r="AF59" i="63" l="1"/>
  <c r="AB89" i="63"/>
  <c r="AB97" i="63"/>
  <c r="G98" i="63"/>
  <c r="AF98" i="63" s="1"/>
  <c r="AF90" i="63"/>
  <c r="AK54" i="63"/>
  <c r="AK51" i="63"/>
  <c r="G86" i="63"/>
  <c r="AF86" i="63" s="1"/>
  <c r="AF81" i="63"/>
  <c r="AF83" i="63"/>
  <c r="AB100" i="63"/>
  <c r="AB92" i="63"/>
  <c r="AB48" i="63"/>
  <c r="AB70" i="63"/>
  <c r="AB99" i="63"/>
  <c r="AB91" i="63"/>
  <c r="AB98" i="63"/>
  <c r="AB90" i="63"/>
  <c r="AE38" i="63"/>
  <c r="AE31" i="63"/>
  <c r="AD47" i="63"/>
  <c r="AD62" i="63"/>
  <c r="AF82" i="63"/>
  <c r="G101" i="63"/>
  <c r="AF101" i="63" s="1"/>
  <c r="AF93" i="63"/>
  <c r="AF84" i="63"/>
  <c r="AK108" i="63"/>
  <c r="AK102" i="63"/>
  <c r="G91" i="63"/>
  <c r="AF91" i="63" s="1"/>
  <c r="AF75" i="63"/>
  <c r="G99" i="63"/>
  <c r="AF99" i="63" s="1"/>
  <c r="G89" i="63"/>
  <c r="AF89" i="63" s="1"/>
  <c r="A10" i="63"/>
  <c r="A10" i="62"/>
  <c r="AB102" i="63" l="1"/>
  <c r="AB94" i="63"/>
  <c r="G60" i="63"/>
  <c r="G62" i="63" s="1"/>
  <c r="I63" i="63" s="1"/>
  <c r="AE60" i="63"/>
  <c r="AD94" i="63"/>
  <c r="AD99" i="63"/>
  <c r="A11" i="63"/>
  <c r="G97" i="63"/>
  <c r="AF97" i="63" s="1"/>
  <c r="A11" i="62"/>
  <c r="A12" i="63"/>
  <c r="AF60" i="63" l="1"/>
  <c r="AB51" i="63"/>
  <c r="AE47" i="63"/>
  <c r="AE62" i="63"/>
  <c r="G47" i="63"/>
  <c r="AF62" i="63"/>
  <c r="AD108" i="63"/>
  <c r="AD102" i="63"/>
  <c r="AD54" i="63"/>
  <c r="AD51" i="63"/>
  <c r="A14" i="62"/>
  <c r="A16" i="62" s="1"/>
  <c r="A18" i="62" s="1"/>
  <c r="A14" i="63"/>
  <c r="AF47" i="63" l="1"/>
  <c r="A16" i="63"/>
  <c r="A20" i="62"/>
  <c r="A22" i="62" l="1"/>
  <c r="A17" i="63"/>
  <c r="A18" i="63" s="1"/>
  <c r="A19" i="63" s="1"/>
  <c r="A20" i="63" s="1"/>
  <c r="G66" i="62" l="1"/>
  <c r="G63" i="62"/>
  <c r="A21" i="63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23" i="62"/>
  <c r="A24" i="62" s="1"/>
  <c r="A25" i="62" s="1"/>
  <c r="A26" i="62" s="1"/>
  <c r="G57" i="62" l="1"/>
  <c r="AG59" i="63"/>
  <c r="G55" i="62"/>
  <c r="G79" i="62"/>
  <c r="G71" i="62"/>
  <c r="G74" i="62"/>
  <c r="G58" i="62"/>
  <c r="A27" i="62"/>
  <c r="A35" i="63"/>
  <c r="A36" i="63" s="1"/>
  <c r="G101" i="62" l="1"/>
  <c r="I101" i="62" s="1"/>
  <c r="AG23" i="63"/>
  <c r="G87" i="62"/>
  <c r="G54" i="62"/>
  <c r="G70" i="62"/>
  <c r="G81" i="62"/>
  <c r="G62" i="62"/>
  <c r="A37" i="63"/>
  <c r="A28" i="62"/>
  <c r="I47" i="62" l="1"/>
  <c r="M101" i="62"/>
  <c r="G95" i="62"/>
  <c r="AG35" i="63"/>
  <c r="AG33" i="63"/>
  <c r="A38" i="63"/>
  <c r="A40" i="63" s="1"/>
  <c r="G82" i="62"/>
  <c r="G78" i="62"/>
  <c r="A29" i="62"/>
  <c r="A41" i="63" l="1"/>
  <c r="A42" i="63" s="1"/>
  <c r="G90" i="62"/>
  <c r="AG29" i="63"/>
  <c r="AG58" i="63"/>
  <c r="AG60" i="63"/>
  <c r="AG61" i="63"/>
  <c r="AG25" i="63"/>
  <c r="AG24" i="63"/>
  <c r="G86" i="62"/>
  <c r="A30" i="62"/>
  <c r="A44" i="63" l="1"/>
  <c r="A46" i="63" s="1"/>
  <c r="A47" i="63" s="1"/>
  <c r="G94" i="62"/>
  <c r="G98" i="62"/>
  <c r="AG57" i="63"/>
  <c r="AG27" i="63"/>
  <c r="AG26" i="63"/>
  <c r="AG11" i="63"/>
  <c r="A31" i="62"/>
  <c r="A32" i="62" s="1"/>
  <c r="A33" i="62" s="1"/>
  <c r="A34" i="62" s="1"/>
  <c r="A48" i="63" l="1"/>
  <c r="A49" i="63"/>
  <c r="AG9" i="63"/>
  <c r="A35" i="62"/>
  <c r="A50" i="63" l="1"/>
  <c r="A51" i="63" s="1"/>
  <c r="A36" i="62"/>
  <c r="A38" i="62" s="1"/>
  <c r="A52" i="63" l="1"/>
  <c r="A53" i="63" s="1"/>
  <c r="A54" i="63" s="1"/>
  <c r="A39" i="62"/>
  <c r="A40" i="62" s="1"/>
  <c r="A42" i="62" l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1" i="62" s="1"/>
  <c r="A56" i="63"/>
  <c r="A62" i="62" l="1"/>
  <c r="A63" i="62" s="1"/>
  <c r="A64" i="62" s="1"/>
  <c r="A65" i="62" s="1"/>
  <c r="A66" i="62" s="1"/>
  <c r="A67" i="62" s="1"/>
  <c r="A69" i="62" s="1"/>
  <c r="A70" i="62" s="1"/>
  <c r="A71" i="62" s="1"/>
  <c r="A72" i="62" s="1"/>
  <c r="A73" i="62" s="1"/>
  <c r="A74" i="62" s="1"/>
  <c r="A75" i="62" s="1"/>
  <c r="A77" i="62" s="1"/>
  <c r="A78" i="62" s="1"/>
  <c r="A79" i="62" s="1"/>
  <c r="A80" i="62" s="1"/>
  <c r="A81" i="62" s="1"/>
  <c r="A82" i="62" s="1"/>
  <c r="A57" i="63"/>
  <c r="A83" i="62" l="1"/>
  <c r="A85" i="62" s="1"/>
  <c r="A86" i="62" s="1"/>
  <c r="A87" i="62" s="1"/>
  <c r="A88" i="62" s="1"/>
  <c r="A89" i="62" s="1"/>
  <c r="A90" i="62" s="1"/>
  <c r="A91" i="62" s="1"/>
  <c r="A93" i="62" s="1"/>
  <c r="A94" i="62" s="1"/>
  <c r="A95" i="62" s="1"/>
  <c r="A96" i="62" s="1"/>
  <c r="A97" i="62" s="1"/>
  <c r="A98" i="62" s="1"/>
  <c r="A99" i="62" s="1"/>
  <c r="A101" i="62" s="1"/>
  <c r="A102" i="62" s="1"/>
  <c r="A103" i="62" s="1"/>
  <c r="A104" i="62" s="1"/>
  <c r="A58" i="63"/>
  <c r="A105" i="62" l="1"/>
  <c r="A106" i="62" s="1"/>
  <c r="A107" i="62" s="1"/>
  <c r="A108" i="62" s="1"/>
  <c r="A109" i="62" s="1"/>
  <c r="A110" i="62" s="1"/>
  <c r="A111" i="62" s="1"/>
  <c r="A112" i="62" s="1"/>
  <c r="A59" i="63"/>
  <c r="A60" i="63" l="1"/>
  <c r="A61" i="63" l="1"/>
  <c r="G35" i="62"/>
  <c r="AE68" i="63" l="1"/>
  <c r="G68" i="63"/>
  <c r="AF68" i="63" s="1"/>
  <c r="A62" i="63"/>
  <c r="A64" i="63" s="1"/>
  <c r="A65" i="63" s="1"/>
  <c r="A66" i="63" s="1"/>
  <c r="A67" i="63" s="1"/>
  <c r="A68" i="63" s="1"/>
  <c r="A69" i="63" s="1"/>
  <c r="A70" i="63" s="1"/>
  <c r="A72" i="63" s="1"/>
  <c r="A73" i="63" s="1"/>
  <c r="A74" i="63" s="1"/>
  <c r="A75" i="63" s="1"/>
  <c r="A76" i="63" s="1"/>
  <c r="A77" i="63" s="1"/>
  <c r="A78" i="63" s="1"/>
  <c r="A80" i="63" s="1"/>
  <c r="A81" i="63" s="1"/>
  <c r="A82" i="63" s="1"/>
  <c r="A83" i="63" s="1"/>
  <c r="A84" i="63" s="1"/>
  <c r="A85" i="63" s="1"/>
  <c r="A86" i="63" s="1"/>
  <c r="A88" i="63" s="1"/>
  <c r="A89" i="63" s="1"/>
  <c r="A90" i="63" s="1"/>
  <c r="A91" i="63" s="1"/>
  <c r="A92" i="63" s="1"/>
  <c r="A93" i="63" s="1"/>
  <c r="A94" i="63" s="1"/>
  <c r="A96" i="63" s="1"/>
  <c r="A97" i="63" s="1"/>
  <c r="A98" i="63" s="1"/>
  <c r="A99" i="63" s="1"/>
  <c r="A100" i="63" s="1"/>
  <c r="A101" i="63" s="1"/>
  <c r="A102" i="63" s="1"/>
  <c r="G65" i="62"/>
  <c r="G70" i="63" l="1"/>
  <c r="AE48" i="63"/>
  <c r="AE70" i="63"/>
  <c r="A104" i="63"/>
  <c r="A105" i="63"/>
  <c r="AE78" i="63" l="1"/>
  <c r="AE76" i="63"/>
  <c r="G48" i="63"/>
  <c r="AF70" i="63"/>
  <c r="G76" i="63"/>
  <c r="A106" i="63"/>
  <c r="A107" i="63" s="1"/>
  <c r="A108" i="63" s="1"/>
  <c r="A109" i="63" l="1"/>
  <c r="A110" i="63" s="1"/>
  <c r="A111" i="63" s="1"/>
  <c r="A112" i="63" s="1"/>
  <c r="A113" i="63" s="1"/>
  <c r="A114" i="63" s="1"/>
  <c r="A115" i="63" s="1"/>
  <c r="A116" i="63" s="1"/>
  <c r="AF48" i="63"/>
  <c r="AE92" i="63"/>
  <c r="G92" i="63"/>
  <c r="AF92" i="63" s="1"/>
  <c r="AF76" i="63"/>
  <c r="G73" i="62"/>
  <c r="G78" i="63"/>
  <c r="AF78" i="63" s="1"/>
  <c r="G89" i="62" l="1"/>
  <c r="G100" i="63"/>
  <c r="AF100" i="63" s="1"/>
  <c r="G94" i="63"/>
  <c r="G51" i="63" s="1"/>
  <c r="AE100" i="63"/>
  <c r="AE94" i="63"/>
  <c r="AF51" i="63" l="1"/>
  <c r="AF94" i="63"/>
  <c r="G102" i="63"/>
  <c r="AF102" i="63" s="1"/>
  <c r="G97" i="62"/>
  <c r="AE108" i="63"/>
  <c r="AE102" i="63"/>
  <c r="AE54" i="63"/>
  <c r="AE51" i="63"/>
  <c r="G72" i="62" l="1"/>
  <c r="G75" i="62" l="1"/>
  <c r="M55" i="62" l="1"/>
  <c r="M63" i="62"/>
  <c r="AJ60" i="63" l="1"/>
  <c r="AI59" i="63"/>
  <c r="AI62" i="63" l="1"/>
  <c r="AJ62" i="63"/>
  <c r="AJ47" i="63" l="1"/>
  <c r="AI47" i="63"/>
  <c r="AJ68" i="63" l="1"/>
  <c r="AJ70" i="63" l="1"/>
  <c r="AJ48" i="63" l="1"/>
  <c r="M59" i="63" l="1"/>
  <c r="AH59" i="63"/>
  <c r="AH67" i="63" l="1"/>
  <c r="AL59" i="63"/>
  <c r="M66" i="62"/>
  <c r="M30" i="62" l="1"/>
  <c r="M31" i="63"/>
  <c r="AH31" i="63"/>
  <c r="M65" i="62"/>
  <c r="AL31" i="63" l="1"/>
  <c r="AH61" i="63"/>
  <c r="M61" i="63"/>
  <c r="M58" i="62"/>
  <c r="AH60" i="63" l="1"/>
  <c r="M60" i="63"/>
  <c r="M68" i="63"/>
  <c r="AH68" i="63"/>
  <c r="AH69" i="63"/>
  <c r="M69" i="63"/>
  <c r="AH58" i="63"/>
  <c r="M58" i="63"/>
  <c r="AL61" i="63"/>
  <c r="M54" i="62"/>
  <c r="M57" i="62"/>
  <c r="M66" i="63"/>
  <c r="AH66" i="63"/>
  <c r="AL68" i="63" l="1"/>
  <c r="AL66" i="63"/>
  <c r="AL69" i="63"/>
  <c r="M57" i="63"/>
  <c r="AH57" i="63"/>
  <c r="AL58" i="63"/>
  <c r="AL60" i="63"/>
  <c r="M62" i="62"/>
  <c r="AH63" i="63" l="1"/>
  <c r="AL57" i="63"/>
  <c r="M62" i="63"/>
  <c r="AH62" i="63"/>
  <c r="M47" i="63" l="1"/>
  <c r="AL62" i="63"/>
  <c r="AH47" i="63"/>
  <c r="AL47" i="63" l="1"/>
  <c r="M56" i="62" l="1"/>
  <c r="M59" i="62" l="1"/>
  <c r="M29" i="62"/>
  <c r="M45" i="62" l="1"/>
  <c r="M64" i="62" l="1"/>
  <c r="AI67" i="63"/>
  <c r="M67" i="63"/>
  <c r="M67" i="62" l="1"/>
  <c r="AL67" i="63"/>
  <c r="AI70" i="63"/>
  <c r="M46" i="62" l="1"/>
  <c r="AI48" i="63"/>
  <c r="M90" i="62" l="1"/>
  <c r="M88" i="62"/>
  <c r="M87" i="62"/>
  <c r="M89" i="62"/>
  <c r="M86" i="62"/>
  <c r="M95" i="62" l="1"/>
  <c r="M96" i="62"/>
  <c r="M97" i="62"/>
  <c r="M98" i="62"/>
  <c r="M91" i="62"/>
  <c r="M47" i="62" s="1"/>
  <c r="M94" i="62"/>
  <c r="M99" i="62" l="1"/>
  <c r="AH30" i="63" l="1"/>
  <c r="M30" i="63"/>
  <c r="M65" i="63"/>
  <c r="AH65" i="63"/>
  <c r="AL30" i="63" l="1"/>
  <c r="AH70" i="63"/>
  <c r="M70" i="63"/>
  <c r="AL65" i="63"/>
  <c r="AH48" i="63" l="1"/>
  <c r="AL70" i="63"/>
  <c r="M48" i="63"/>
  <c r="AL48" i="63" l="1"/>
  <c r="M93" i="63" l="1"/>
  <c r="M92" i="63"/>
  <c r="AH90" i="63"/>
  <c r="AH92" i="63"/>
  <c r="AH100" i="63"/>
  <c r="M91" i="63" l="1"/>
  <c r="AH94" i="63"/>
  <c r="AI91" i="63"/>
  <c r="AH93" i="63"/>
  <c r="AJ94" i="63"/>
  <c r="AH101" i="63"/>
  <c r="AJ92" i="63"/>
  <c r="M90" i="63"/>
  <c r="AH98" i="63"/>
  <c r="AH97" i="63"/>
  <c r="AH89" i="63"/>
  <c r="M89" i="63"/>
  <c r="AH99" i="63"/>
  <c r="AH91" i="63"/>
  <c r="AL92" i="63"/>
  <c r="M100" i="63"/>
  <c r="AI99" i="63"/>
  <c r="AL93" i="63"/>
  <c r="M101" i="63"/>
  <c r="M99" i="63" l="1"/>
  <c r="AL91" i="63"/>
  <c r="AL101" i="63"/>
  <c r="AL89" i="63"/>
  <c r="AL100" i="63"/>
  <c r="M98" i="63"/>
  <c r="AJ100" i="63"/>
  <c r="AJ51" i="63"/>
  <c r="AH102" i="63"/>
  <c r="AL90" i="63"/>
  <c r="AI94" i="63"/>
  <c r="M97" i="63"/>
  <c r="M94" i="63"/>
  <c r="AJ102" i="63"/>
  <c r="AJ108" i="63"/>
  <c r="AI108" i="63"/>
  <c r="AI102" i="63"/>
  <c r="AI51" i="63"/>
  <c r="AI54" i="63" l="1"/>
  <c r="AH51" i="63"/>
  <c r="AL99" i="63"/>
  <c r="AL94" i="63"/>
  <c r="M102" i="63"/>
  <c r="AL97" i="63"/>
  <c r="AL98" i="63"/>
  <c r="M51" i="63"/>
  <c r="AJ54" i="63" l="1"/>
  <c r="AL102" i="63"/>
  <c r="AL51" i="63"/>
  <c r="AB104" i="63" l="1"/>
  <c r="G104" i="63"/>
  <c r="I104" i="63" s="1"/>
  <c r="I49" i="63" l="1"/>
  <c r="AB49" i="63"/>
  <c r="G49" i="63"/>
  <c r="AF49" i="63" s="1"/>
  <c r="AF104" i="63"/>
  <c r="M104" i="63" l="1"/>
  <c r="AH104" i="63"/>
  <c r="AH49" i="63" l="1"/>
  <c r="M49" i="63"/>
  <c r="AL104" i="63"/>
  <c r="AL49" i="63" l="1"/>
  <c r="G9" i="62"/>
  <c r="I9" i="62" s="1"/>
  <c r="M9" i="62" l="1"/>
  <c r="G31" i="62" l="1"/>
  <c r="I31" i="62" s="1"/>
  <c r="M31" i="62" l="1"/>
  <c r="G27" i="62"/>
  <c r="I27" i="62" s="1"/>
  <c r="M27" i="62" l="1"/>
  <c r="G32" i="62"/>
  <c r="I32" i="62" s="1"/>
  <c r="M32" i="62" l="1"/>
  <c r="G10" i="62"/>
  <c r="I10" i="62" s="1"/>
  <c r="I11" i="62" s="1"/>
  <c r="M10" i="62" l="1"/>
  <c r="G30" i="62"/>
  <c r="M11" i="62" l="1"/>
  <c r="G29" i="62"/>
  <c r="G26" i="62" l="1"/>
  <c r="I26" i="62" s="1"/>
  <c r="G24" i="62"/>
  <c r="I24" i="62" s="1"/>
  <c r="G28" i="62"/>
  <c r="I28" i="62" s="1"/>
  <c r="M26" i="62" l="1"/>
  <c r="M24" i="62"/>
  <c r="M28" i="62"/>
  <c r="G23" i="62"/>
  <c r="I23" i="62" s="1"/>
  <c r="M23" i="62" l="1"/>
  <c r="G8" i="62"/>
  <c r="G11" i="62" l="1"/>
  <c r="H11" i="62" s="1"/>
  <c r="G33" i="62"/>
  <c r="I33" i="62" s="1"/>
  <c r="G25" i="62"/>
  <c r="I25" i="62" s="1"/>
  <c r="M25" i="62" l="1"/>
  <c r="M33" i="62"/>
  <c r="M111" i="62"/>
  <c r="G22" i="62" l="1"/>
  <c r="G37" i="62" l="1"/>
  <c r="I22" i="62"/>
  <c r="G102" i="62"/>
  <c r="I102" i="62" s="1"/>
  <c r="I37" i="62" l="1"/>
  <c r="I36" i="62"/>
  <c r="I38" i="62" s="1"/>
  <c r="I48" i="62"/>
  <c r="I49" i="62" s="1"/>
  <c r="M22" i="62"/>
  <c r="G48" i="62"/>
  <c r="M34" i="62" l="1"/>
  <c r="M102" i="62"/>
  <c r="M39" i="62"/>
  <c r="G103" i="62" l="1"/>
  <c r="I103" i="62" s="1"/>
  <c r="M48" i="62"/>
  <c r="I50" i="62" l="1"/>
  <c r="I51" i="62" s="1"/>
  <c r="I40" i="62" s="1"/>
  <c r="I104" i="62"/>
  <c r="G50" i="62"/>
  <c r="M49" i="62"/>
  <c r="M103" i="62" l="1"/>
  <c r="M50" i="62" l="1"/>
  <c r="M104" i="62"/>
  <c r="M51" i="62" l="1"/>
  <c r="M40" i="62" l="1"/>
  <c r="M107" i="62"/>
  <c r="M35" i="62" l="1"/>
  <c r="M36" i="62" l="1"/>
  <c r="M38" i="62" l="1"/>
  <c r="M108" i="62" l="1"/>
  <c r="G105" i="63" l="1"/>
  <c r="I105" i="63" s="1"/>
  <c r="AB105" i="63"/>
  <c r="I50" i="63" l="1"/>
  <c r="AB50" i="63"/>
  <c r="AF105" i="63"/>
  <c r="G50" i="63"/>
  <c r="AF50" i="63" l="1"/>
  <c r="AH105" i="63"/>
  <c r="M105" i="63"/>
  <c r="M50" i="63" l="1"/>
  <c r="AL105" i="63"/>
  <c r="AH50" i="63"/>
  <c r="G107" i="63"/>
  <c r="I107" i="63" s="1"/>
  <c r="I53" i="63" s="1"/>
  <c r="AB107" i="63"/>
  <c r="AB53" i="63" l="1"/>
  <c r="AL50" i="63"/>
  <c r="AF107" i="63"/>
  <c r="G53" i="63"/>
  <c r="AF53" i="63" s="1"/>
  <c r="AH107" i="63" l="1"/>
  <c r="M107" i="63"/>
  <c r="AH53" i="63" l="1"/>
  <c r="AB106" i="63"/>
  <c r="G106" i="63"/>
  <c r="I106" i="63" s="1"/>
  <c r="M53" i="63"/>
  <c r="AL107" i="63"/>
  <c r="I52" i="63" l="1"/>
  <c r="I54" i="63" s="1"/>
  <c r="I42" i="63" s="1"/>
  <c r="I108" i="63"/>
  <c r="AB108" i="63"/>
  <c r="AL53" i="63"/>
  <c r="AB52" i="63"/>
  <c r="AF106" i="63"/>
  <c r="G52" i="63"/>
  <c r="G108" i="63"/>
  <c r="AF108" i="63" s="1"/>
  <c r="AB54" i="63" l="1"/>
  <c r="AF52" i="63"/>
  <c r="G54" i="63"/>
  <c r="AH106" i="63"/>
  <c r="M106" i="63"/>
  <c r="AH108" i="63"/>
  <c r="AB42" i="63" l="1"/>
  <c r="AF54" i="63"/>
  <c r="G42" i="63"/>
  <c r="AF42" i="63" s="1"/>
  <c r="AH52" i="63"/>
  <c r="AL106" i="63"/>
  <c r="M52" i="63"/>
  <c r="M108" i="63"/>
  <c r="AL108" i="63" s="1"/>
  <c r="AL52" i="63" l="1"/>
  <c r="M54" i="63"/>
  <c r="AH54" i="63"/>
  <c r="AH42" i="63"/>
  <c r="M42" i="63" l="1"/>
  <c r="AL54" i="63"/>
  <c r="M111" i="63"/>
  <c r="AL42" i="63" l="1"/>
  <c r="G32" i="63"/>
  <c r="I32" i="63" s="1"/>
  <c r="AB32" i="63"/>
  <c r="AF32" i="63" l="1"/>
  <c r="AB30" i="63"/>
  <c r="G30" i="63"/>
  <c r="AB10" i="63"/>
  <c r="G10" i="63"/>
  <c r="I10" i="63" s="1"/>
  <c r="AH37" i="63" l="1"/>
  <c r="M37" i="63"/>
  <c r="AF30" i="63"/>
  <c r="AF10" i="63"/>
  <c r="AB20" i="63"/>
  <c r="G20" i="63"/>
  <c r="I20" i="63" s="1"/>
  <c r="AH32" i="63"/>
  <c r="M32" i="63"/>
  <c r="G23" i="63"/>
  <c r="I23" i="63" s="1"/>
  <c r="AB23" i="63"/>
  <c r="AL32" i="63" l="1"/>
  <c r="AL37" i="63"/>
  <c r="G27" i="63"/>
  <c r="I27" i="63" s="1"/>
  <c r="AB27" i="63"/>
  <c r="AB33" i="63"/>
  <c r="G33" i="63"/>
  <c r="I33" i="63" s="1"/>
  <c r="AB9" i="63"/>
  <c r="G9" i="63"/>
  <c r="I9" i="63" s="1"/>
  <c r="AF20" i="63"/>
  <c r="AB19" i="63"/>
  <c r="G19" i="63"/>
  <c r="I19" i="63" s="1"/>
  <c r="G24" i="63"/>
  <c r="I24" i="63" s="1"/>
  <c r="AB24" i="63"/>
  <c r="G28" i="63"/>
  <c r="I28" i="63" s="1"/>
  <c r="AB28" i="63"/>
  <c r="AF23" i="63"/>
  <c r="M10" i="63"/>
  <c r="AH10" i="63"/>
  <c r="AL10" i="63" l="1"/>
  <c r="G17" i="63"/>
  <c r="I17" i="63" s="1"/>
  <c r="AB17" i="63"/>
  <c r="AB25" i="63"/>
  <c r="G25" i="63"/>
  <c r="I25" i="63" s="1"/>
  <c r="AF28" i="63"/>
  <c r="AF27" i="63"/>
  <c r="G11" i="63"/>
  <c r="I11" i="63" s="1"/>
  <c r="I12" i="63" s="1"/>
  <c r="AB11" i="63"/>
  <c r="M20" i="63"/>
  <c r="AL20" i="63" s="1"/>
  <c r="AH20" i="63"/>
  <c r="AF33" i="63"/>
  <c r="M23" i="63"/>
  <c r="AH23" i="63"/>
  <c r="AF24" i="63"/>
  <c r="AF19" i="63"/>
  <c r="AF9" i="63"/>
  <c r="G34" i="63"/>
  <c r="I34" i="63" s="1"/>
  <c r="AB34" i="63"/>
  <c r="AL23" i="63" l="1"/>
  <c r="AH27" i="63"/>
  <c r="M27" i="63"/>
  <c r="AF25" i="63"/>
  <c r="AF17" i="63"/>
  <c r="AF34" i="63"/>
  <c r="AF11" i="63"/>
  <c r="M19" i="63"/>
  <c r="AL19" i="63" s="1"/>
  <c r="AH19" i="63"/>
  <c r="AH9" i="63"/>
  <c r="M9" i="63"/>
  <c r="AH33" i="63"/>
  <c r="M33" i="63"/>
  <c r="AH28" i="63"/>
  <c r="M28" i="63"/>
  <c r="M24" i="63"/>
  <c r="AH24" i="63"/>
  <c r="AH12" i="63" l="1"/>
  <c r="AL33" i="63"/>
  <c r="AL24" i="63"/>
  <c r="AL28" i="63"/>
  <c r="AL27" i="63"/>
  <c r="AH25" i="63"/>
  <c r="M25" i="63"/>
  <c r="AH17" i="63"/>
  <c r="M17" i="63"/>
  <c r="AH34" i="63"/>
  <c r="M34" i="63"/>
  <c r="AL9" i="63"/>
  <c r="M11" i="63"/>
  <c r="AH11" i="63"/>
  <c r="AL25" i="63" l="1"/>
  <c r="AL34" i="63"/>
  <c r="AL11" i="63"/>
  <c r="M12" i="63"/>
  <c r="AL17" i="63"/>
  <c r="G37" i="63" l="1"/>
  <c r="AB37" i="63"/>
  <c r="AL12" i="63"/>
  <c r="AF37" i="63" l="1"/>
  <c r="AB31" i="63" l="1"/>
  <c r="G31" i="63"/>
  <c r="AF31" i="63" l="1"/>
  <c r="AB18" i="63" l="1"/>
  <c r="G18" i="63"/>
  <c r="I18" i="63" s="1"/>
  <c r="I21" i="63" s="1"/>
  <c r="AF18" i="63" l="1"/>
  <c r="G21" i="63"/>
  <c r="AB21" i="63"/>
  <c r="M18" i="63" l="1"/>
  <c r="AH18" i="63"/>
  <c r="AF21" i="63"/>
  <c r="AL18" i="63" l="1"/>
  <c r="M21" i="63"/>
  <c r="AH21" i="63"/>
  <c r="AL21" i="63" l="1"/>
  <c r="AB29" i="63" l="1"/>
  <c r="G29" i="63"/>
  <c r="I29" i="63" s="1"/>
  <c r="AF29" i="63" l="1"/>
  <c r="G35" i="63" l="1"/>
  <c r="I35" i="63" s="1"/>
  <c r="AB35" i="63"/>
  <c r="M29" i="63"/>
  <c r="AH29" i="63"/>
  <c r="AL29" i="63" l="1"/>
  <c r="G26" i="63"/>
  <c r="AB26" i="63"/>
  <c r="AF35" i="63"/>
  <c r="G39" i="63" l="1"/>
  <c r="I26" i="63"/>
  <c r="AF26" i="63"/>
  <c r="AH35" i="63"/>
  <c r="M35" i="63"/>
  <c r="I39" i="63" l="1"/>
  <c r="I38" i="63"/>
  <c r="I40" i="63" s="1"/>
  <c r="I44" i="63" s="1"/>
  <c r="AH39" i="63"/>
  <c r="AL35" i="63"/>
  <c r="M26" i="63"/>
  <c r="AH26" i="63"/>
  <c r="G8" i="63"/>
  <c r="AB8" i="63"/>
  <c r="AL39" i="63" l="1"/>
  <c r="G36" i="63"/>
  <c r="AB36" i="63"/>
  <c r="AB38" i="63"/>
  <c r="AL26" i="63"/>
  <c r="G12" i="63"/>
  <c r="H12" i="63" s="1"/>
  <c r="AF8" i="63"/>
  <c r="AB12" i="63"/>
  <c r="AH36" i="63" l="1"/>
  <c r="M36" i="63"/>
  <c r="AF12" i="63"/>
  <c r="AF36" i="63"/>
  <c r="G38" i="63"/>
  <c r="AB41" i="63" l="1"/>
  <c r="AB40" i="63"/>
  <c r="AB44" i="63"/>
  <c r="AF38" i="63"/>
  <c r="AH38" i="63"/>
  <c r="AL36" i="63"/>
  <c r="M38" i="63"/>
  <c r="G40" i="63"/>
  <c r="AF40" i="63" s="1"/>
  <c r="M115" i="63"/>
  <c r="AG12" i="63"/>
  <c r="M40" i="63" l="1"/>
  <c r="AL38" i="63"/>
  <c r="AH44" i="63"/>
  <c r="AH40" i="63"/>
  <c r="AF39" i="63"/>
  <c r="G44" i="63"/>
  <c r="AF44" i="63" s="1"/>
  <c r="AL40" i="63" l="1"/>
  <c r="M44" i="63"/>
  <c r="M112" i="63"/>
  <c r="AL44" i="63" l="1"/>
  <c r="M114" i="63"/>
  <c r="M116" i="63" l="1"/>
  <c r="G46" i="62" l="1"/>
  <c r="G64" i="62"/>
  <c r="G80" i="62"/>
  <c r="G56" i="62"/>
  <c r="G47" i="62" l="1"/>
  <c r="G45" i="62"/>
  <c r="G83" i="62"/>
  <c r="G88" i="62"/>
  <c r="G59" i="62"/>
  <c r="G67" i="62"/>
  <c r="G96" i="62" l="1"/>
  <c r="G91" i="62"/>
  <c r="G49" i="62"/>
  <c r="G99" i="62" l="1"/>
  <c r="G51" i="62"/>
  <c r="G104" i="62" l="1"/>
  <c r="G40" i="62"/>
  <c r="M109" i="62" l="1"/>
  <c r="M110" i="62" l="1"/>
  <c r="M112" i="62" l="1"/>
  <c r="G34" i="62" l="1"/>
  <c r="G36" i="62" l="1"/>
  <c r="G38" i="6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Liu, Jing (UTC)</author>
  </authors>
  <commentList>
    <comment ref="C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expense.</t>
        </r>
      </text>
    </comment>
    <comment ref="C3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Added FIT for EIM</t>
        </r>
      </text>
    </comment>
    <comment ref="C5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include Staff 12.01 smart burn and 12.02 colstrip outage.</t>
        </r>
      </text>
    </comment>
    <comment ref="C5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Removes Shuffleton property.</t>
        </r>
      </text>
    </comment>
    <comment ref="C6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and 12.03 green direct.</t>
        </r>
      </text>
    </comment>
    <comment ref="C6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Revmoved smart burn and colstrip outage.</t>
        </r>
      </text>
    </comment>
    <comment ref="C6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and green direct.</t>
        </r>
      </text>
    </comment>
    <comment ref="C8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smart burn and colstrip outage.</t>
        </r>
      </text>
    </comment>
    <comment ref="C8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 and Tacoma LNG.</t>
        </r>
      </text>
    </comment>
    <comment ref="C10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Include GTZ and AMI deferral and reg assets/liab adjustments.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Liu, Jing (UTC)</author>
  </authors>
  <commentList>
    <comment ref="C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Tacoma LNG. </t>
        </r>
      </text>
    </comment>
    <comment ref="C5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Tacoma LNG. </t>
        </r>
      </text>
    </comment>
    <comment ref="C5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Direct.</t>
        </r>
      </text>
    </comment>
    <comment ref="C6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tocoma LNG</t>
        </r>
      </text>
    </comment>
    <comment ref="J6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Copied from pro forma accumulated depreciation in SEF-8.02G.</t>
        </r>
      </text>
    </comment>
    <comment ref="C8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>Removed Tacoma LNG.</t>
        </r>
      </text>
    </comment>
    <comment ref="C8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Direct.</t>
        </r>
      </text>
    </comment>
    <comment ref="J8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Copied from pro forma ADIT in SEF-8.02G.</t>
        </r>
      </text>
    </comment>
    <comment ref="C10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Added AMI/GTZ deferral.</t>
        </r>
      </text>
    </comment>
  </commentList>
</comments>
</file>

<file path=xl/sharedStrings.xml><?xml version="1.0" encoding="utf-8"?>
<sst xmlns="http://schemas.openxmlformats.org/spreadsheetml/2006/main" count="609" uniqueCount="122">
  <si>
    <t>Total</t>
  </si>
  <si>
    <t>Depreciation</t>
  </si>
  <si>
    <t xml:space="preserve">12 ME Dec 2018 </t>
  </si>
  <si>
    <t>12 ME April 2021</t>
  </si>
  <si>
    <t>Colstrip</t>
  </si>
  <si>
    <t>AMI</t>
  </si>
  <si>
    <t>GTZ</t>
  </si>
  <si>
    <t>Escalation Base</t>
  </si>
  <si>
    <t>Escalation Factor</t>
  </si>
  <si>
    <t>Trended Costs</t>
  </si>
  <si>
    <t>Other Adjustments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</si>
  <si>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</si>
  <si>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</si>
  <si>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</si>
  <si>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</si>
  <si>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</si>
  <si>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</si>
  <si>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</si>
  <si>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</si>
  <si>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>Fuel</t>
  </si>
  <si>
    <t>Purchased and Interchanged</t>
  </si>
  <si>
    <t>Wheeling</t>
  </si>
  <si>
    <t>Residential Exchange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</si>
  <si>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</si>
  <si>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</si>
  <si>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</si>
  <si>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</si>
  <si>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</si>
  <si>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</si>
  <si>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</si>
  <si>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</si>
  <si>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Amortization</t>
  </si>
  <si>
    <t>Amortiz Of Property Gain/Loss</t>
  </si>
  <si>
    <t>Other Operating Expenses</t>
  </si>
  <si>
    <t>Asc 815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</si>
  <si>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</si>
  <si>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</si>
  <si>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</si>
  <si>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</si>
  <si>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</si>
  <si>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</si>
  <si>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</si>
  <si>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</si>
  <si>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Gross Utility Plant in Service</t>
  </si>
  <si>
    <t xml:space="preserve"> Accumulated Depreciation </t>
  </si>
  <si>
    <t xml:space="preserve">  Non-plant DFIT</t>
  </si>
  <si>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</si>
  <si>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</si>
  <si>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</si>
  <si>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</si>
  <si>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</si>
  <si>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Gross Plant</t>
  </si>
  <si>
    <t>Total Production</t>
  </si>
  <si>
    <t>Transmission</t>
  </si>
  <si>
    <t>Distribution</t>
  </si>
  <si>
    <t>Intangible Plant</t>
  </si>
  <si>
    <t>General Plant</t>
  </si>
  <si>
    <t xml:space="preserve">Accumulated Depreciation </t>
  </si>
  <si>
    <t>Deferred Federal Income Taxes (w/o Bonus)</t>
  </si>
  <si>
    <t>Bonus DFIT</t>
  </si>
  <si>
    <t>Total DFIT</t>
  </si>
  <si>
    <t>Net Plant after Deferred Income Taxes</t>
  </si>
  <si>
    <t>Non-plant DFIT</t>
  </si>
  <si>
    <t>Deferred Debits</t>
  </si>
  <si>
    <t>Allowance for Working Capital</t>
  </si>
  <si>
    <t>Other</t>
  </si>
  <si>
    <t>Proposed Rate of Return</t>
  </si>
  <si>
    <t>Return on Plant in Service at Proposed Rate</t>
  </si>
  <si>
    <t>Operating Income Deficiency</t>
  </si>
  <si>
    <t>Revenue Conversion Factor</t>
  </si>
  <si>
    <t>Revenue Requirement</t>
  </si>
  <si>
    <t>Revenue Growth Factor</t>
  </si>
  <si>
    <t>Attrition Adjusted Revenue Requirement</t>
  </si>
  <si>
    <t>ADIT (w/o Bonus)</t>
  </si>
  <si>
    <t>Bonus ADIT</t>
  </si>
  <si>
    <t>Total ADIT</t>
  </si>
  <si>
    <t>Municipal Additions</t>
  </si>
  <si>
    <t>Gas Costs:</t>
  </si>
  <si>
    <t xml:space="preserve"> Purchased Gas</t>
  </si>
  <si>
    <t>Amortization of Property Loss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</si>
  <si>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</si>
  <si>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</si>
  <si>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</si>
  <si>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</si>
  <si>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</si>
  <si>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>Production</t>
  </si>
  <si>
    <t>Accumulated Depreciation</t>
  </si>
  <si>
    <t>Non Plant ADIT</t>
  </si>
  <si>
    <t>Depreciation and Other Liabilities</t>
  </si>
  <si>
    <t>Total Ratebase</t>
  </si>
  <si>
    <t>CRM</t>
  </si>
  <si>
    <t>12 ME Apr 2021</t>
  </si>
  <si>
    <t>Net Plant After ADIT</t>
  </si>
  <si>
    <t>g</t>
  </si>
  <si>
    <t>a</t>
  </si>
  <si>
    <t>b</t>
  </si>
  <si>
    <t>c</t>
  </si>
  <si>
    <t>Attrition Base Year (SEF-9 page 1)</t>
  </si>
  <si>
    <t>ptnoi</t>
  </si>
  <si>
    <t>d</t>
  </si>
  <si>
    <t>f</t>
  </si>
  <si>
    <t>h</t>
  </si>
  <si>
    <t>i</t>
  </si>
  <si>
    <t>j</t>
  </si>
  <si>
    <t>n</t>
  </si>
  <si>
    <t>LINE NO.</t>
  </si>
  <si>
    <t>Line Description</t>
  </si>
  <si>
    <t>e = ∑ a thru d</t>
  </si>
  <si>
    <t>j = ∑ g thru i</t>
  </si>
  <si>
    <t>Rate Year Revenue &amp; Costs</t>
  </si>
  <si>
    <t>Attrition Base Year (SEF-9 page 2)</t>
  </si>
  <si>
    <t>k = ∑ g thru j</t>
  </si>
  <si>
    <t>in column g</t>
  </si>
  <si>
    <t>ELECTRIC ATTRITION</t>
  </si>
  <si>
    <t>GAS ATTRITION</t>
  </si>
  <si>
    <t xml:space="preserve"> $                        -</t>
  </si>
  <si>
    <t xml:space="preserve"> $                             -</t>
  </si>
  <si>
    <t>As-Filed</t>
  </si>
  <si>
    <t>Diff</t>
  </si>
  <si>
    <t>PSE's Comparison (AWEC 2 - As-Filed)</t>
  </si>
  <si>
    <t>Converted to Hard Code</t>
  </si>
  <si>
    <t>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</si>
</sst>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#,##0;\(#,##0\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_);_(&quot;$&quot;* \(#,##0.0000\);_(&quot;$&quot;* &quot;-&quot;??_);_(@_)"/>
    <numFmt numFmtId="169" formatCode="_(* #,##0.000000_);_(* \(#,##0.000000\);_(* &quot;-&quot;??????_);_(@_)"/>
    <numFmt numFmtId="170" formatCode="_(* #,##0.0000_);_(* \(#,##0.0000\);_(* &quot;-&quot;??_);_(@_)"/>
    <numFmt numFmtId="171" formatCode="_(* #,##0.00000_);_(* \(#,##0.00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1"/>
      <color rgb="FFCC00FF"/>
      <name val="Calibri"/>
      <family val="2"/>
      <scheme val="minor"/>
    </font>
    <font>
      <sz val="11"/>
      <color rgb="FF92D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NumberFormat="1" applyFont="1" applyFill="1" applyAlignment="1"/>
    <xf numFmtId="0" fontId="5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 applyProtection="1">
      <protection locked="0"/>
    </xf>
    <xf numFmtId="41" fontId="5" fillId="0" borderId="1" xfId="0" applyNumberFormat="1" applyFont="1" applyFill="1" applyBorder="1" applyAlignment="1" applyProtection="1">
      <protection locked="0"/>
    </xf>
    <xf numFmtId="0" fontId="5" fillId="0" borderId="2" xfId="0" applyNumberFormat="1" applyFont="1" applyFill="1" applyBorder="1" applyAlignment="1">
      <alignment horizontal="left"/>
    </xf>
    <xf numFmtId="41" fontId="5" fillId="0" borderId="2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Alignment="1" applyProtection="1">
      <protection locked="0"/>
    </xf>
    <xf numFmtId="165" fontId="5" fillId="0" borderId="0" xfId="0" applyNumberFormat="1" applyFont="1" applyFill="1" applyAlignment="1"/>
    <xf numFmtId="0" fontId="5" fillId="0" borderId="0" xfId="0" quotePrefix="1" applyNumberFormat="1" applyFont="1" applyFill="1" applyAlignment="1">
      <alignment horizontal="left"/>
    </xf>
    <xf numFmtId="42" fontId="5" fillId="0" borderId="2" xfId="0" applyNumberFormat="1" applyFont="1" applyFill="1" applyBorder="1" applyAlignment="1"/>
    <xf numFmtId="42" fontId="5" fillId="0" borderId="0" xfId="0" applyNumberFormat="1" applyFont="1" applyFill="1" applyAlignment="1"/>
    <xf numFmtId="42" fontId="5" fillId="0" borderId="0" xfId="0" applyNumberFormat="1" applyFont="1" applyFill="1" applyAlignment="1">
      <alignment horizontal="left"/>
    </xf>
    <xf numFmtId="10" fontId="5" fillId="0" borderId="0" xfId="0" applyNumberFormat="1" applyFont="1" applyFill="1" applyAlignment="1"/>
    <xf numFmtId="164" fontId="5" fillId="0" borderId="0" xfId="0" applyNumberFormat="1" applyFont="1" applyFill="1" applyAlignment="1" applyProtection="1">
      <alignment horizontal="left"/>
    </xf>
    <xf numFmtId="0" fontId="5" fillId="0" borderId="3" xfId="0" applyNumberFormat="1" applyFont="1" applyFill="1" applyBorder="1" applyAlignment="1"/>
    <xf numFmtId="42" fontId="5" fillId="0" borderId="3" xfId="0" applyNumberFormat="1" applyFont="1" applyFill="1" applyBorder="1" applyAlignment="1" applyProtection="1"/>
    <xf numFmtId="41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5" fillId="0" borderId="0" xfId="0" applyNumberFormat="1" applyFont="1" applyFill="1" applyAlignment="1">
      <alignment horizontal="left" indent="1"/>
    </xf>
    <xf numFmtId="0" fontId="6" fillId="0" borderId="0" xfId="0" applyNumberFormat="1" applyFont="1" applyFill="1" applyBorder="1" applyAlignment="1"/>
    <xf numFmtId="42" fontId="5" fillId="0" borderId="0" xfId="0" applyNumberFormat="1" applyFont="1" applyFill="1" applyBorder="1" applyAlignment="1"/>
    <xf numFmtId="0" fontId="5" fillId="0" borderId="3" xfId="0" applyNumberFormat="1" applyFont="1" applyFill="1" applyBorder="1" applyAlignment="1">
      <alignment horizontal="left"/>
    </xf>
    <xf numFmtId="42" fontId="5" fillId="0" borderId="3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wrapText="1"/>
    </xf>
    <xf numFmtId="41" fontId="5" fillId="0" borderId="0" xfId="0" applyNumberFormat="1" applyFont="1" applyFill="1" applyAlignment="1">
      <alignment horizontal="right"/>
    </xf>
    <xf numFmtId="41" fontId="5" fillId="0" borderId="1" xfId="0" applyNumberFormat="1" applyFont="1" applyFill="1" applyBorder="1" applyAlignment="1">
      <alignment horizontal="right"/>
    </xf>
    <xf numFmtId="42" fontId="5" fillId="0" borderId="2" xfId="0" applyNumberFormat="1" applyFont="1" applyFill="1" applyBorder="1" applyAlignment="1" applyProtection="1">
      <protection locked="0"/>
    </xf>
    <xf numFmtId="168" fontId="5" fillId="0" borderId="0" xfId="0" applyNumberFormat="1" applyFont="1" applyFill="1" applyAlignment="1"/>
    <xf numFmtId="42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alignment horizontal="left"/>
      <protection locked="0"/>
    </xf>
    <xf numFmtId="41" fontId="9" fillId="0" borderId="0" xfId="0" applyNumberFormat="1" applyFont="1" applyFill="1" applyBorder="1" applyAlignment="1" applyProtection="1">
      <protection locked="0"/>
    </xf>
    <xf numFmtId="42" fontId="9" fillId="0" borderId="2" xfId="0" applyNumberFormat="1" applyFont="1" applyFill="1" applyBorder="1" applyAlignment="1" applyProtection="1"/>
    <xf numFmtId="42" fontId="9" fillId="0" borderId="3" xfId="0" applyNumberFormat="1" applyFont="1" applyFill="1" applyBorder="1" applyAlignment="1" applyProtection="1"/>
    <xf numFmtId="170" fontId="0" fillId="0" borderId="0" xfId="0" applyNumberFormat="1" applyFont="1" applyFill="1"/>
    <xf numFmtId="0" fontId="0" fillId="0" borderId="0" xfId="0" applyFont="1" applyFill="1"/>
    <xf numFmtId="42" fontId="0" fillId="0" borderId="0" xfId="0" applyNumberFormat="1" applyFont="1" applyFill="1"/>
    <xf numFmtId="42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42" fontId="0" fillId="0" borderId="2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2" xfId="0" applyFill="1" applyBorder="1" applyAlignment="1">
      <alignment horizontal="left"/>
    </xf>
    <xf numFmtId="42" fontId="0" fillId="0" borderId="0" xfId="0" applyNumberFormat="1" applyFill="1"/>
    <xf numFmtId="0" fontId="0" fillId="0" borderId="0" xfId="0" applyFont="1" applyFill="1" applyAlignment="1">
      <alignment horizontal="left" indent="1"/>
    </xf>
    <xf numFmtId="10" fontId="0" fillId="0" borderId="0" xfId="0" applyNumberFormat="1" applyFont="1" applyFill="1"/>
    <xf numFmtId="167" fontId="0" fillId="0" borderId="0" xfId="0" applyNumberFormat="1" applyFill="1"/>
    <xf numFmtId="0" fontId="4" fillId="0" borderId="4" xfId="0" applyNumberFormat="1" applyFont="1" applyFill="1" applyBorder="1" applyAlignment="1">
      <alignment horizontal="centerContinuous" wrapText="1"/>
    </xf>
    <xf numFmtId="0" fontId="3" fillId="0" borderId="4" xfId="0" applyFont="1" applyFill="1" applyBorder="1" applyAlignment="1">
      <alignment horizontal="centerContinuous"/>
    </xf>
    <xf numFmtId="42" fontId="5" fillId="0" borderId="5" xfId="0" applyNumberFormat="1" applyFont="1" applyFill="1" applyBorder="1" applyAlignment="1" applyProtection="1"/>
    <xf numFmtId="169" fontId="0" fillId="0" borderId="0" xfId="0" applyNumberFormat="1" applyFont="1" applyFill="1"/>
    <xf numFmtId="171" fontId="0" fillId="0" borderId="0" xfId="0" applyNumberFormat="1" applyFont="1" applyFill="1"/>
    <xf numFmtId="41" fontId="5" fillId="0" borderId="0" xfId="0" applyNumberFormat="1" applyFont="1" applyFill="1" applyAlignment="1" applyProtection="1">
      <alignment horizontal="center"/>
      <protection locked="0"/>
    </xf>
    <xf numFmtId="10" fontId="5" fillId="0" borderId="0" xfId="0" applyNumberFormat="1" applyFont="1" applyFill="1"/>
    <xf numFmtId="41" fontId="0" fillId="0" borderId="0" xfId="0" applyNumberFormat="1" applyFont="1" applyFill="1"/>
    <xf numFmtId="0" fontId="5" fillId="0" borderId="0" xfId="0" applyFont="1" applyFill="1" applyAlignment="1">
      <alignment horizontal="center"/>
    </xf>
    <xf numFmtId="10" fontId="5" fillId="0" borderId="0" xfId="0" applyNumberFormat="1" applyFont="1" applyFill="1" applyBorder="1"/>
    <xf numFmtId="10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/>
    <xf numFmtId="0" fontId="2" fillId="0" borderId="0" xfId="0" applyFont="1" applyFill="1"/>
    <xf numFmtId="42" fontId="5" fillId="0" borderId="0" xfId="0" applyNumberFormat="1" applyFont="1" applyFill="1" applyBorder="1" applyAlignment="1" applyProtection="1">
      <alignment horizontal="center"/>
    </xf>
    <xf numFmtId="42" fontId="5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/>
    <xf numFmtId="42" fontId="12" fillId="0" borderId="0" xfId="0" applyNumberFormat="1" applyFont="1" applyFill="1" applyAlignment="1"/>
    <xf numFmtId="0" fontId="12" fillId="0" borderId="0" xfId="0" applyFont="1" applyFill="1" applyBorder="1" applyAlignment="1">
      <alignment horizontal="center"/>
    </xf>
    <xf numFmtId="0" fontId="0" fillId="0" borderId="0" xfId="0" applyFill="1"/>
    <xf numFmtId="0" fontId="14" fillId="0" borderId="0" xfId="0" applyNumberFormat="1" applyFont="1" applyFill="1" applyBorder="1" applyAlignment="1">
      <alignment horizontal="center" wrapText="1"/>
    </xf>
    <xf numFmtId="42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Alignment="1">
      <alignment horizontal="right"/>
    </xf>
    <xf numFmtId="0" fontId="11" fillId="0" borderId="4" xfId="0" applyNumberFormat="1" applyFont="1" applyFill="1" applyBorder="1" applyAlignment="1">
      <alignment horizontal="centerContinuous" wrapText="1"/>
    </xf>
    <xf numFmtId="0" fontId="11" fillId="0" borderId="4" xfId="0" applyFont="1" applyFill="1" applyBorder="1" applyAlignment="1">
      <alignment horizontal="centerContinuous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2" fontId="10" fillId="0" borderId="0" xfId="0" applyNumberFormat="1" applyFont="1" applyFill="1" applyAlignment="1" applyProtection="1">
      <protection locked="0"/>
    </xf>
    <xf numFmtId="10" fontId="10" fillId="0" borderId="0" xfId="0" applyNumberFormat="1" applyFont="1" applyFill="1" applyBorder="1"/>
    <xf numFmtId="41" fontId="10" fillId="0" borderId="0" xfId="0" applyNumberFormat="1" applyFont="1" applyFill="1" applyAlignment="1" applyProtection="1">
      <protection locked="0"/>
    </xf>
    <xf numFmtId="10" fontId="10" fillId="0" borderId="0" xfId="0" applyNumberFormat="1" applyFont="1" applyFill="1" applyBorder="1" applyAlignment="1">
      <alignment horizontal="center"/>
    </xf>
    <xf numFmtId="41" fontId="10" fillId="0" borderId="1" xfId="0" applyNumberFormat="1" applyFont="1" applyFill="1" applyBorder="1" applyAlignment="1" applyProtection="1">
      <protection locked="0"/>
    </xf>
    <xf numFmtId="41" fontId="10" fillId="0" borderId="2" xfId="0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/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Alignment="1" applyProtection="1">
      <protection locked="0"/>
    </xf>
    <xf numFmtId="165" fontId="10" fillId="0" borderId="0" xfId="0" applyNumberFormat="1" applyFont="1" applyFill="1" applyAlignment="1"/>
    <xf numFmtId="41" fontId="10" fillId="0" borderId="0" xfId="0" applyNumberFormat="1" applyFont="1" applyFill="1" applyAlignment="1" applyProtection="1">
      <alignment horizontal="center"/>
      <protection locked="0"/>
    </xf>
    <xf numFmtId="42" fontId="10" fillId="0" borderId="2" xfId="0" applyNumberFormat="1" applyFont="1" applyFill="1" applyBorder="1" applyAlignment="1"/>
    <xf numFmtId="42" fontId="12" fillId="0" borderId="0" xfId="0" applyNumberFormat="1" applyFont="1" applyFill="1"/>
    <xf numFmtId="0" fontId="16" fillId="0" borderId="0" xfId="0" applyNumberFormat="1" applyFont="1" applyFill="1" applyAlignment="1">
      <alignment horizontal="left"/>
    </xf>
    <xf numFmtId="42" fontId="16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/>
    <xf numFmtId="10" fontId="10" fillId="0" borderId="0" xfId="0" applyNumberFormat="1" applyFont="1" applyFill="1" applyAlignment="1"/>
    <xf numFmtId="42" fontId="10" fillId="0" borderId="0" xfId="0" applyNumberFormat="1" applyFont="1" applyFill="1" applyBorder="1" applyAlignment="1"/>
    <xf numFmtId="42" fontId="10" fillId="0" borderId="3" xfId="0" applyNumberFormat="1" applyFont="1" applyFill="1" applyBorder="1" applyAlignment="1" applyProtection="1"/>
    <xf numFmtId="41" fontId="10" fillId="0" borderId="0" xfId="0" applyNumberFormat="1" applyFont="1" applyFill="1"/>
    <xf numFmtId="42" fontId="10" fillId="0" borderId="5" xfId="0" applyNumberFormat="1" applyFont="1" applyFill="1" applyBorder="1" applyAlignment="1" applyProtection="1"/>
    <xf numFmtId="42" fontId="10" fillId="0" borderId="0" xfId="0" applyNumberFormat="1" applyFont="1" applyFill="1"/>
    <xf numFmtId="4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166" fontId="5" fillId="0" borderId="0" xfId="1" applyNumberFormat="1" applyFont="1" applyFill="1" applyBorder="1" applyAlignment="1"/>
    <xf numFmtId="42" fontId="10" fillId="0" borderId="3" xfId="0" applyNumberFormat="1" applyFont="1" applyFill="1" applyBorder="1" applyAlignment="1"/>
    <xf numFmtId="0" fontId="16" fillId="0" borderId="0" xfId="0" applyNumberFormat="1" applyFont="1" applyFill="1" applyAlignment="1"/>
    <xf numFmtId="0" fontId="13" fillId="0" borderId="0" xfId="0" applyFont="1" applyFill="1"/>
    <xf numFmtId="0" fontId="14" fillId="0" borderId="0" xfId="0" applyFont="1" applyFill="1"/>
    <xf numFmtId="0" fontId="3" fillId="0" borderId="4" xfId="0" applyFont="1" applyFill="1" applyBorder="1" applyAlignment="1">
      <alignment horizontal="centerContinuous" wrapText="1"/>
    </xf>
    <xf numFmtId="0" fontId="0" fillId="0" borderId="0" xfId="0" applyFont="1" applyFill="1" applyAlignment="1">
      <alignment horizontal="center"/>
    </xf>
    <xf numFmtId="6" fontId="13" fillId="0" borderId="0" xfId="0" applyNumberFormat="1" applyFont="1" applyFill="1"/>
    <xf numFmtId="0" fontId="0" fillId="0" borderId="0" xfId="0" applyNumberFormat="1" applyFont="1" applyFill="1" applyAlignment="1"/>
    <xf numFmtId="42" fontId="13" fillId="0" borderId="0" xfId="0" applyNumberFormat="1" applyFont="1" applyFill="1"/>
    <xf numFmtId="6" fontId="12" fillId="0" borderId="0" xfId="0" applyNumberFormat="1" applyFont="1" applyFill="1"/>
    <xf numFmtId="42" fontId="0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37" fontId="2" fillId="0" borderId="0" xfId="0" applyNumberFormat="1" applyFont="1" applyFill="1"/>
    <xf numFmtId="0" fontId="0" fillId="0" borderId="3" xfId="0" applyFill="1" applyBorder="1" applyAlignment="1">
      <alignment horizontal="left"/>
    </xf>
    <xf numFmtId="42" fontId="0" fillId="0" borderId="3" xfId="0" applyNumberFormat="1" applyFont="1" applyFill="1" applyBorder="1"/>
    <xf numFmtId="0" fontId="15" fillId="0" borderId="0" xfId="0" applyFont="1" applyFill="1" applyAlignment="1">
      <alignment horizontal="left" indent="1"/>
    </xf>
    <xf numFmtId="166" fontId="0" fillId="0" borderId="0" xfId="1" applyNumberFormat="1" applyFont="1" applyFill="1"/>
    <xf numFmtId="42" fontId="5" fillId="0" borderId="5" xfId="0" applyNumberFormat="1" applyFont="1" applyFill="1" applyBorder="1" applyAlignment="1" applyProtection="1">
      <protection locked="0"/>
    </xf>
    <xf numFmtId="42" fontId="5" fillId="0" borderId="5" xfId="0" applyNumberFormat="1" applyFont="1" applyFill="1" applyBorder="1" applyAlignment="1"/>
    <xf numFmtId="42" fontId="12" fillId="0" borderId="0" xfId="0" applyNumberFormat="1" applyFont="1"/>
    <xf numFmtId="42" fontId="9" fillId="0" borderId="5" xfId="0" applyNumberFormat="1" applyFont="1" applyFill="1" applyBorder="1" applyAlignment="1" applyProtection="1"/>
    <xf numFmtId="42" fontId="0" fillId="0" borderId="5" xfId="0" applyNumberFormat="1" applyFont="1" applyFill="1" applyBorder="1"/>
    <xf numFmtId="43" fontId="0" fillId="0" borderId="0" xfId="0" applyNumberFormat="1" applyFont="1" applyFill="1"/>
    <xf numFmtId="41" fontId="5" fillId="0" borderId="5" xfId="0" applyNumberFormat="1" applyFont="1" applyFill="1" applyBorder="1" applyAlignment="1" applyProtection="1">
      <protection locked="0"/>
    </xf>
    <xf numFmtId="9" fontId="0" fillId="0" borderId="0" xfId="2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  <color rgb="FFFF99FF"/>
      <color rgb="FFCC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5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SEF-9.01E-9.01G-AttritionBaseAmou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190529-30%20PSE%20Resp%20AWEC%20DR%20020_Attach%20A\NEW-PSE-WP-JAP16-ELEC-(Proj-Rate-Year-Rev)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-RJA-3-and-4-Attrition-Stud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RJR%20Production%20O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190529-30%20PSE%20Resp%20AWEC%20DR%20020_Attach%20A\NEW-PSE-WP-SEF-7.07E-Colstrip2025Treatment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MRM-1T-Attrition-Study-Tax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ELECTRIC-MOD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190529-30%20PSE%20Resp%20AWEC%20DR%20020_Attach%20A\NEW-PSE-WP-JAP17-GAS-(Proj-Rate-Year-Rev)-19GRC-06-2019(C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GAS-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p1"/>
      <sheetName val="Exh p2"/>
      <sheetName val="wp's ==&gt;"/>
      <sheetName val="TY Sales"/>
      <sheetName val="3.01E Lead Sheet "/>
      <sheetName val="Other Taxes"/>
      <sheetName val="PSNCG"/>
      <sheetName val="Exh.A-1"/>
    </sheetNames>
    <sheetDataSet>
      <sheetData sheetId="0">
        <row r="14">
          <cell r="S14">
            <v>1285740122.4437251</v>
          </cell>
        </row>
        <row r="15">
          <cell r="S15">
            <v>328327.15999999898</v>
          </cell>
        </row>
        <row r="16">
          <cell r="S16">
            <v>0</v>
          </cell>
        </row>
        <row r="17">
          <cell r="S17">
            <v>52105313.610000014</v>
          </cell>
        </row>
        <row r="23">
          <cell r="S23">
            <v>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0</v>
          </cell>
        </row>
        <row r="29">
          <cell r="S29">
            <v>127132037.69018357</v>
          </cell>
        </row>
        <row r="30">
          <cell r="S30">
            <v>24319869.025746707</v>
          </cell>
        </row>
        <row r="31">
          <cell r="S31">
            <v>83321444.144423828</v>
          </cell>
        </row>
        <row r="32">
          <cell r="S32">
            <v>46157950.300116494</v>
          </cell>
        </row>
        <row r="33">
          <cell r="S33">
            <v>4015681.2075902633</v>
          </cell>
        </row>
        <row r="34">
          <cell r="S34">
            <v>0</v>
          </cell>
        </row>
        <row r="35">
          <cell r="S35">
            <v>124099543.54044458</v>
          </cell>
        </row>
        <row r="36">
          <cell r="S36">
            <v>340799039.95999998</v>
          </cell>
        </row>
        <row r="37">
          <cell r="S37">
            <v>69623674.725999996</v>
          </cell>
        </row>
        <row r="38">
          <cell r="S38">
            <v>43150399.323406145</v>
          </cell>
        </row>
        <row r="39">
          <cell r="S39">
            <v>9465483.5044017509</v>
          </cell>
        </row>
        <row r="40">
          <cell r="S40">
            <v>0</v>
          </cell>
        </row>
        <row r="41">
          <cell r="S41">
            <v>57998985.069073714</v>
          </cell>
        </row>
        <row r="42">
          <cell r="S42">
            <v>86144381.514366716</v>
          </cell>
        </row>
        <row r="43">
          <cell r="S43">
            <v>-51808800.905295342</v>
          </cell>
        </row>
        <row r="46">
          <cell r="S46">
            <v>373754074.11326671</v>
          </cell>
        </row>
        <row r="55">
          <cell r="S55">
            <v>273426197.23699975</v>
          </cell>
        </row>
        <row r="56">
          <cell r="K56">
            <v>-1978226.4605020492</v>
          </cell>
          <cell r="L56">
            <v>-1932961.0659630138</v>
          </cell>
          <cell r="Q56">
            <v>7647955.3945128955</v>
          </cell>
        </row>
        <row r="57">
          <cell r="S57">
            <v>145303204.9988502</v>
          </cell>
        </row>
        <row r="58">
          <cell r="S58">
            <v>-106223263.53024991</v>
          </cell>
        </row>
      </sheetData>
      <sheetData sheetId="1">
        <row r="14">
          <cell r="N14">
            <v>434025682.80989444</v>
          </cell>
        </row>
        <row r="15">
          <cell r="N15">
            <v>0</v>
          </cell>
        </row>
        <row r="16">
          <cell r="N16">
            <v>14089923.029999997</v>
          </cell>
        </row>
        <row r="24">
          <cell r="N24"/>
        </row>
        <row r="27">
          <cell r="N27">
            <v>6059691.3113986636</v>
          </cell>
        </row>
        <row r="28">
          <cell r="N28">
            <v>2110.77</v>
          </cell>
        </row>
        <row r="29">
          <cell r="N29">
            <v>60697625.368441522</v>
          </cell>
        </row>
        <row r="30">
          <cell r="N30">
            <v>28150070.898589186</v>
          </cell>
        </row>
        <row r="31">
          <cell r="N31">
            <v>1763236.0746447137</v>
          </cell>
        </row>
        <row r="32">
          <cell r="N32">
            <v>0</v>
          </cell>
        </row>
        <row r="33">
          <cell r="N33">
            <v>59028745.442951232</v>
          </cell>
        </row>
        <row r="34">
          <cell r="N34">
            <v>116245307.5580999</v>
          </cell>
        </row>
        <row r="35">
          <cell r="N35">
            <v>26117569.960000005</v>
          </cell>
        </row>
        <row r="36">
          <cell r="N36">
            <v>0</v>
          </cell>
        </row>
        <row r="37">
          <cell r="N37">
            <v>13480872.685260143</v>
          </cell>
        </row>
        <row r="38">
          <cell r="N38">
            <v>24101717.31928394</v>
          </cell>
        </row>
        <row r="39">
          <cell r="N39">
            <v>4873210.4824172268</v>
          </cell>
        </row>
        <row r="52">
          <cell r="I52">
            <v>-879560.63116048009</v>
          </cell>
          <cell r="J52">
            <v>-987360.83457032021</v>
          </cell>
        </row>
        <row r="53">
          <cell r="N53">
            <v>-29952462.162250079</v>
          </cell>
        </row>
        <row r="54">
          <cell r="N54">
            <v>54431800.053166389</v>
          </cell>
        </row>
        <row r="55">
          <cell r="N55">
            <v>8890102.2177657131</v>
          </cell>
        </row>
        <row r="56">
          <cell r="N56">
            <v>1931978462.6239758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P-16"/>
      <sheetName val="Decoupling Revenue"/>
      <sheetName val="Basic Charge Revenue"/>
      <sheetName val="Non-Decoupled Revenue"/>
      <sheetName val="Exh A-1"/>
      <sheetName val="F2018 Forecast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</sheetNames>
    <sheetDataSet>
      <sheetData sheetId="0" refreshError="1">
        <row r="61">
          <cell r="F61">
            <v>1330085063.5070419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IPlant"/>
      <sheetName val="EIM"/>
      <sheetName val="Elect_GPlant"/>
      <sheetName val="Electric_OM"/>
      <sheetName val="Elect_OMDetail"/>
      <sheetName val="Electric_TOTI"/>
      <sheetName val="E_Trsm Exp"/>
      <sheetName val="E_Dist Exp"/>
      <sheetName val="E_Cust Acct Exp"/>
      <sheetName val="E_Cust Service Exp"/>
      <sheetName val="E_other op exp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PPlant"/>
      <sheetName val="Gas_DPlant"/>
      <sheetName val="Gas_Sales"/>
      <sheetName val="Gas_IPlant"/>
      <sheetName val="Gas_GPlant"/>
      <sheetName val="Gas_OM"/>
      <sheetName val="Gas_OMDetail"/>
      <sheetName val="Gas_TOTI"/>
      <sheetName val="G_Cust Account"/>
      <sheetName val="G_Cust Service"/>
      <sheetName val="G_Other Op Exp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/>
      <sheetData sheetId="1"/>
      <sheetData sheetId="2">
        <row r="58">
          <cell r="M58">
            <v>4226607969.3040905</v>
          </cell>
        </row>
        <row r="59">
          <cell r="M59">
            <v>1537389479.4362583</v>
          </cell>
        </row>
        <row r="60">
          <cell r="M60">
            <v>3906349563.9733167</v>
          </cell>
        </row>
        <row r="61">
          <cell r="M61">
            <v>381909676.27170002</v>
          </cell>
        </row>
        <row r="62">
          <cell r="M62">
            <v>515670958.80223441</v>
          </cell>
        </row>
        <row r="66">
          <cell r="M66">
            <v>-1967130595.695049</v>
          </cell>
        </row>
        <row r="67">
          <cell r="M67">
            <v>-503717591.12299544</v>
          </cell>
        </row>
        <row r="68">
          <cell r="M68">
            <v>-1461014489.0522759</v>
          </cell>
        </row>
        <row r="69">
          <cell r="M69">
            <v>-128663487.36185595</v>
          </cell>
        </row>
        <row r="70">
          <cell r="M70">
            <v>-182384891.16492367</v>
          </cell>
        </row>
        <row r="74">
          <cell r="M74">
            <v>-270203768.24207133</v>
          </cell>
        </row>
        <row r="75">
          <cell r="M75">
            <v>-77896904.817563176</v>
          </cell>
        </row>
        <row r="76">
          <cell r="M76">
            <v>-361910119.91365826</v>
          </cell>
        </row>
        <row r="77">
          <cell r="M77">
            <v>-3945447.1849596915</v>
          </cell>
        </row>
        <row r="78">
          <cell r="M78">
            <v>-5327313.3915682975</v>
          </cell>
        </row>
        <row r="82">
          <cell r="M82">
            <v>-262616542.75874937</v>
          </cell>
        </row>
        <row r="83">
          <cell r="M83">
            <v>-75475354.295997649</v>
          </cell>
        </row>
        <row r="84">
          <cell r="M84">
            <v>-350659561.99111593</v>
          </cell>
        </row>
        <row r="85">
          <cell r="M85">
            <v>-3822796.8275282462</v>
          </cell>
        </row>
        <row r="86">
          <cell r="M86">
            <v>-5161705.5755225085</v>
          </cell>
        </row>
        <row r="105">
          <cell r="M105">
            <v>-25826393.46612215</v>
          </cell>
        </row>
        <row r="120">
          <cell r="M120">
            <v>-43086547.452637523</v>
          </cell>
        </row>
        <row r="124">
          <cell r="M124">
            <v>2800433.4436958949</v>
          </cell>
        </row>
        <row r="128">
          <cell r="M128">
            <v>2798356.0552379121</v>
          </cell>
        </row>
        <row r="133">
          <cell r="M133">
            <v>-32493590.70949842</v>
          </cell>
        </row>
        <row r="137">
          <cell r="M137">
            <v>2801052.512056177</v>
          </cell>
        </row>
        <row r="141">
          <cell r="M141">
            <v>1816393.2000356747</v>
          </cell>
        </row>
      </sheetData>
      <sheetData sheetId="3">
        <row r="30">
          <cell r="D30">
            <v>1.1759750394165991E-2</v>
          </cell>
        </row>
      </sheetData>
      <sheetData sheetId="4">
        <row r="28">
          <cell r="F28">
            <v>1.4158484726916581E-3</v>
          </cell>
        </row>
      </sheetData>
      <sheetData sheetId="5">
        <row r="28">
          <cell r="D28">
            <v>4.6011659206104102E-2</v>
          </cell>
        </row>
      </sheetData>
      <sheetData sheetId="6">
        <row r="28">
          <cell r="F28">
            <v>2.9502824523918683E-2</v>
          </cell>
        </row>
      </sheetData>
      <sheetData sheetId="7">
        <row r="28">
          <cell r="G28">
            <v>5.8446420778102401E-2</v>
          </cell>
        </row>
      </sheetData>
      <sheetData sheetId="8"/>
      <sheetData sheetId="9">
        <row r="28">
          <cell r="D28">
            <v>4.4317885940325638E-2</v>
          </cell>
        </row>
      </sheetData>
      <sheetData sheetId="10"/>
      <sheetData sheetId="11">
        <row r="30">
          <cell r="D30">
            <v>2.2058288256380676E-2</v>
          </cell>
        </row>
        <row r="194">
          <cell r="D194">
            <v>3.0173455755267975E-2</v>
          </cell>
        </row>
      </sheetData>
      <sheetData sheetId="12">
        <row r="30">
          <cell r="D30">
            <v>8.69009851137581E-3</v>
          </cell>
        </row>
      </sheetData>
      <sheetData sheetId="13">
        <row r="24">
          <cell r="C24">
            <v>2.8206077487461068E-2</v>
          </cell>
        </row>
      </sheetData>
      <sheetData sheetId="14">
        <row r="21">
          <cell r="C21">
            <v>1.8105581938520306E-2</v>
          </cell>
        </row>
      </sheetData>
      <sheetData sheetId="15">
        <row r="24">
          <cell r="C24">
            <v>2.4038293489449414E-2</v>
          </cell>
        </row>
      </sheetData>
      <sheetData sheetId="16">
        <row r="23">
          <cell r="C23">
            <v>6.5584875707020554E-2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>
        <row r="56">
          <cell r="M56">
            <v>76474409.469999999</v>
          </cell>
        </row>
        <row r="57">
          <cell r="M57">
            <v>0</v>
          </cell>
        </row>
        <row r="58">
          <cell r="M58">
            <v>3710993361</v>
          </cell>
        </row>
        <row r="59">
          <cell r="M59">
            <v>139531979.72830001</v>
          </cell>
        </row>
        <row r="60">
          <cell r="M60">
            <v>173600529.71380004</v>
          </cell>
        </row>
        <row r="64">
          <cell r="M64">
            <v>-33125037.959271803</v>
          </cell>
        </row>
        <row r="65">
          <cell r="M65">
            <v>0</v>
          </cell>
        </row>
        <row r="66">
          <cell r="M66">
            <v>-1433137826.69191</v>
          </cell>
        </row>
        <row r="67">
          <cell r="M67">
            <v>-47274087.95805271</v>
          </cell>
        </row>
        <row r="68">
          <cell r="M68">
            <v>-56258222.169565432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-271846932.69267762</v>
          </cell>
        </row>
        <row r="75">
          <cell r="M75">
            <v>-16932625.893549934</v>
          </cell>
        </row>
        <row r="76">
          <cell r="M76">
            <v>-21066947.020244144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-254860649.77501619</v>
          </cell>
        </row>
        <row r="83">
          <cell r="M83">
            <v>-15874595.291115604</v>
          </cell>
        </row>
        <row r="84">
          <cell r="M84">
            <v>-19750584.467418134</v>
          </cell>
        </row>
        <row r="103">
          <cell r="M103">
            <v>-3699965.5487734079</v>
          </cell>
        </row>
        <row r="117">
          <cell r="M117">
            <v>-84751774.307916671</v>
          </cell>
        </row>
        <row r="118">
          <cell r="M118">
            <v>-16228881.069029139</v>
          </cell>
        </row>
        <row r="122">
          <cell r="M122">
            <v>3209723.1798207625</v>
          </cell>
        </row>
        <row r="123">
          <cell r="M123">
            <v>1296178.4092875994</v>
          </cell>
        </row>
        <row r="127">
          <cell r="M127">
            <v>8025584.9516680902</v>
          </cell>
        </row>
        <row r="128">
          <cell r="M128">
            <v>1289851.786132125</v>
          </cell>
        </row>
        <row r="133">
          <cell r="M133">
            <v>-16597798.789668249</v>
          </cell>
        </row>
        <row r="137">
          <cell r="M137">
            <v>1430783.8862761646</v>
          </cell>
        </row>
        <row r="141">
          <cell r="M141">
            <v>927817.70801036642</v>
          </cell>
        </row>
      </sheetData>
      <sheetData sheetId="25">
        <row r="28">
          <cell r="D28">
            <v>1.448641380401364E-2</v>
          </cell>
        </row>
      </sheetData>
      <sheetData sheetId="26">
        <row r="28">
          <cell r="F28">
            <v>3.4601235940379081E-2</v>
          </cell>
        </row>
      </sheetData>
      <sheetData sheetId="27">
        <row r="30">
          <cell r="D30">
            <v>2.5999649153138904E-2</v>
          </cell>
        </row>
      </sheetData>
      <sheetData sheetId="28">
        <row r="28">
          <cell r="F28">
            <v>7.1563563546242756E-2</v>
          </cell>
        </row>
      </sheetData>
      <sheetData sheetId="29">
        <row r="28">
          <cell r="D28">
            <v>2.1418763089883639E-2</v>
          </cell>
        </row>
      </sheetData>
      <sheetData sheetId="30"/>
      <sheetData sheetId="31">
        <row r="30">
          <cell r="D30">
            <v>5.5920238063720262E-2</v>
          </cell>
        </row>
        <row r="85">
          <cell r="D85">
            <v>9.3026586584459281E-3</v>
          </cell>
        </row>
        <row r="195">
          <cell r="D195">
            <v>2.0158787434836345E-2</v>
          </cell>
        </row>
      </sheetData>
      <sheetData sheetId="32">
        <row r="30">
          <cell r="D30">
            <v>3.1473722098515289E-2</v>
          </cell>
        </row>
      </sheetData>
      <sheetData sheetId="33">
        <row r="19">
          <cell r="C19">
            <v>7.834163344253825E-3</v>
          </cell>
        </row>
      </sheetData>
      <sheetData sheetId="34">
        <row r="19">
          <cell r="C19">
            <v>2.3153290781600555E-2</v>
          </cell>
        </row>
      </sheetData>
      <sheetData sheetId="35"/>
      <sheetData sheetId="36"/>
      <sheetData sheetId="37"/>
      <sheetData sheetId="38"/>
      <sheetData sheetId="39"/>
      <sheetData sheetId="40"/>
      <sheetData sheetId="41">
        <row r="36">
          <cell r="X36">
            <v>-2616179.6237217812</v>
          </cell>
        </row>
      </sheetData>
      <sheetData sheetId="42"/>
      <sheetData sheetId="43"/>
      <sheetData sheetId="44"/>
      <sheetData sheetId="45"/>
      <sheetData sheetId="46"/>
      <sheetData sheetId="47">
        <row r="45">
          <cell r="E45">
            <v>-5438518.1342967749</v>
          </cell>
        </row>
        <row r="50">
          <cell r="F50">
            <v>2455596.1125766858</v>
          </cell>
        </row>
      </sheetData>
      <sheetData sheetId="48"/>
      <sheetData sheetId="49">
        <row r="60">
          <cell r="E60">
            <v>6449028.8199709654</v>
          </cell>
        </row>
        <row r="65">
          <cell r="E65">
            <v>3294178.3411877672</v>
          </cell>
        </row>
      </sheetData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Production O&amp;M Summary"/>
      <sheetName val="Production O&amp;M Adjustments (C)"/>
      <sheetName val="Test Year_Jan-Dec 2018 (C)"/>
      <sheetName val="Major Maintenance (C) "/>
      <sheetName val="Test Year Amortization (C)"/>
      <sheetName val="Common Costs U1&amp;2 (C)"/>
      <sheetName val="Colstrip 3&amp;4 Talen budget (C)"/>
      <sheetName val="Freddie 1 Atlantic Power (C)"/>
      <sheetName val="Hydro License O&amp;M (C)"/>
      <sheetName val="Wild Horse Royalties (C)"/>
      <sheetName val="Vestas_Wild Horse (C)"/>
      <sheetName val="Vestas Wild Horse Extn (C)"/>
      <sheetName val="Hopkins Ridge Royalties (C)"/>
      <sheetName val="Vestas Hopkins Ridge (C)"/>
      <sheetName val="LSR1 Leases (C)"/>
      <sheetName val="LSR1 Siemens (C)"/>
      <sheetName val="Wind Generation (C)"/>
    </sheetNames>
    <sheetDataSet>
      <sheetData sheetId="0"/>
      <sheetData sheetId="1"/>
      <sheetData sheetId="2">
        <row r="35">
          <cell r="D35">
            <v>-21412661.210000001</v>
          </cell>
        </row>
        <row r="36">
          <cell r="D36">
            <v>2557804.0299999998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Depr Exp 2019 GRC Annual"/>
      <sheetName val="Colstrip Depn Update"/>
      <sheetName val="ARAM Costrip"/>
      <sheetName val="PT RPT 257A"/>
    </sheetNames>
    <sheetDataSet>
      <sheetData sheetId="0" refreshError="1"/>
      <sheetData sheetId="1" refreshError="1">
        <row r="4">
          <cell r="A4" t="str">
            <v>E311</v>
          </cell>
        </row>
        <row r="19">
          <cell r="D19">
            <v>23512518.929999996</v>
          </cell>
        </row>
        <row r="37">
          <cell r="D37">
            <v>18786193.690000001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R "/>
      <sheetName val="Electric Consol"/>
      <sheetName val="REMOVE"/>
      <sheetName val="Diff REMOVE"/>
      <sheetName val="Gas Consol"/>
      <sheetName val="electric activity"/>
      <sheetName val="electric tax depr"/>
      <sheetName val="gas activity"/>
      <sheetName val="gas tax depr"/>
      <sheetName val="Colstrip Dep"/>
      <sheetName val="PT elect"/>
      <sheetName val="PT gas"/>
      <sheetName val="AMA ADIT"/>
      <sheetName val="PT 257"/>
      <sheetName val="TY Functl GP&amp;AD (E)"/>
      <sheetName val="TY Functl GP Detail (E)"/>
      <sheetName val="TY Functl AD Detail (E)"/>
      <sheetName val="TY Functl GP&amp;AD (G)"/>
      <sheetName val="TY Functl GP Detail (G)"/>
      <sheetName val="TY Functl AD Detail (G)"/>
    </sheetNames>
    <sheetDataSet>
      <sheetData sheetId="0">
        <row r="11">
          <cell r="E11">
            <v>81571722.782576978</v>
          </cell>
          <cell r="H11">
            <v>20406707.445857201</v>
          </cell>
        </row>
        <row r="12">
          <cell r="E12">
            <v>-16648681.106449742</v>
          </cell>
          <cell r="H12">
            <v>-4956032.4201420508</v>
          </cell>
        </row>
        <row r="13">
          <cell r="E13">
            <v>-31909967.391438089</v>
          </cell>
          <cell r="H13">
            <v>-12924867.678448495</v>
          </cell>
        </row>
        <row r="14">
          <cell r="E14">
            <v>-9006372.2399999984</v>
          </cell>
          <cell r="H14">
            <v>-722630.37767299998</v>
          </cell>
        </row>
        <row r="15">
          <cell r="E15">
            <v>-2255844</v>
          </cell>
          <cell r="H15">
            <v>-538955</v>
          </cell>
        </row>
      </sheetData>
      <sheetData sheetId="1">
        <row r="18">
          <cell r="K18">
            <v>-429061432.67182183</v>
          </cell>
        </row>
        <row r="19">
          <cell r="K19">
            <v>-154854978.29906008</v>
          </cell>
        </row>
        <row r="20">
          <cell r="K20">
            <v>-633512204.55286014</v>
          </cell>
        </row>
        <row r="21">
          <cell r="K21">
            <v>-10130523.048139449</v>
          </cell>
        </row>
        <row r="22">
          <cell r="K22">
            <v>-69639645.889353901</v>
          </cell>
        </row>
        <row r="23">
          <cell r="K23">
            <v>-492522.96154931164</v>
          </cell>
        </row>
        <row r="24">
          <cell r="K24">
            <v>7595897.6926257946</v>
          </cell>
        </row>
        <row r="25">
          <cell r="K25">
            <v>-11301663.374965549</v>
          </cell>
        </row>
        <row r="26">
          <cell r="K26">
            <v>1595961.8313619059</v>
          </cell>
        </row>
        <row r="32">
          <cell r="M32">
            <v>-2182081934.5180521</v>
          </cell>
        </row>
        <row r="33">
          <cell r="M33">
            <v>-585449119.74923277</v>
          </cell>
        </row>
        <row r="34">
          <cell r="M34">
            <v>-1732248068.4182773</v>
          </cell>
        </row>
        <row r="35">
          <cell r="J35">
            <v>38549285.521331586</v>
          </cell>
          <cell r="K35">
            <v>20459947.823222004</v>
          </cell>
          <cell r="M35">
            <v>-241338127.69880277</v>
          </cell>
        </row>
        <row r="36">
          <cell r="M36">
            <v>-256615968.01662624</v>
          </cell>
        </row>
        <row r="37">
          <cell r="M37">
            <v>-118439689.53444444</v>
          </cell>
        </row>
        <row r="38">
          <cell r="M38">
            <v>-33043406.196666624</v>
          </cell>
        </row>
        <row r="39">
          <cell r="M39">
            <v>-26949739.940672945</v>
          </cell>
        </row>
        <row r="40">
          <cell r="J40">
            <v>11154502.678682424</v>
          </cell>
          <cell r="K40">
            <v>7207056.0407531736</v>
          </cell>
          <cell r="M40">
            <v>-36667721.805506274</v>
          </cell>
        </row>
        <row r="42">
          <cell r="K42">
            <v>470508390.28441429</v>
          </cell>
        </row>
        <row r="45">
          <cell r="M45">
            <v>4266361389.4506369</v>
          </cell>
        </row>
        <row r="46">
          <cell r="M46">
            <v>1699727075.784018</v>
          </cell>
        </row>
        <row r="47">
          <cell r="M47">
            <v>4203164129.7254286</v>
          </cell>
        </row>
        <row r="48">
          <cell r="M48">
            <v>374962391.35042489</v>
          </cell>
        </row>
        <row r="49">
          <cell r="M49">
            <v>640204496.71665442</v>
          </cell>
        </row>
        <row r="51">
          <cell r="M51">
            <v>170075026.29643583</v>
          </cell>
        </row>
        <row r="52">
          <cell r="M52">
            <v>162226501.42875069</v>
          </cell>
        </row>
      </sheetData>
      <sheetData sheetId="2"/>
      <sheetData sheetId="3"/>
      <sheetData sheetId="4">
        <row r="18">
          <cell r="K18">
            <v>-25135.234639213828</v>
          </cell>
        </row>
        <row r="19">
          <cell r="K19">
            <v>0</v>
          </cell>
        </row>
        <row r="20">
          <cell r="K20">
            <v>-520007363.46965426</v>
          </cell>
        </row>
        <row r="21">
          <cell r="K21">
            <v>-1749450.9290312438</v>
          </cell>
        </row>
        <row r="22">
          <cell r="K22">
            <v>-74428375.067593127</v>
          </cell>
        </row>
        <row r="23">
          <cell r="K23">
            <v>78565.424326615554</v>
          </cell>
        </row>
        <row r="25">
          <cell r="K25">
            <v>-3098028.4348515272</v>
          </cell>
        </row>
        <row r="26">
          <cell r="K26">
            <v>806144.13888261456</v>
          </cell>
        </row>
        <row r="32">
          <cell r="M32">
            <v>-36719336.818337262</v>
          </cell>
        </row>
        <row r="33">
          <cell r="M33">
            <v>0</v>
          </cell>
        </row>
        <row r="34">
          <cell r="M34">
            <v>-1660076619.3549085</v>
          </cell>
        </row>
        <row r="35">
          <cell r="J35">
            <v>16563597.039770475</v>
          </cell>
          <cell r="K35">
            <v>8911411.4771154393</v>
          </cell>
          <cell r="M35">
            <v>-94276462.0724466</v>
          </cell>
        </row>
        <row r="36">
          <cell r="M36">
            <v>-85329471.559333384</v>
          </cell>
        </row>
        <row r="37">
          <cell r="M37">
            <v>-450877.22999999975</v>
          </cell>
        </row>
        <row r="39">
          <cell r="M39">
            <v>-10582560.510378484</v>
          </cell>
        </row>
        <row r="40">
          <cell r="J40">
            <v>5697744.9095974118</v>
          </cell>
          <cell r="K40">
            <v>3681380.3405025643</v>
          </cell>
          <cell r="M40">
            <v>-18729954.286813222</v>
          </cell>
        </row>
        <row r="42">
          <cell r="K42">
            <v>165354747.04452944</v>
          </cell>
        </row>
        <row r="45">
          <cell r="M45">
            <v>70919860.86282602</v>
          </cell>
        </row>
        <row r="46">
          <cell r="M46">
            <v>0</v>
          </cell>
        </row>
        <row r="47">
          <cell r="M47">
            <v>3958257471.3066883</v>
          </cell>
        </row>
        <row r="48">
          <cell r="M48">
            <v>133616619.89883812</v>
          </cell>
        </row>
        <row r="49">
          <cell r="M49">
            <v>222038506.21508816</v>
          </cell>
        </row>
        <row r="50">
          <cell r="M50">
            <v>105802468.1600001</v>
          </cell>
        </row>
        <row r="51">
          <cell r="M51">
            <v>66784661.41225782</v>
          </cell>
        </row>
        <row r="52">
          <cell r="M52">
            <v>82865659.666204244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"/>
      <sheetName val="COC, Def, ConvF"/>
      <sheetName val="COC-Restating"/>
      <sheetName val="Staff CoC"/>
      <sheetName val="Summary"/>
      <sheetName val="Detailed Summary"/>
      <sheetName val="Exhibit A-1"/>
      <sheetName val="Staff Smart Burn"/>
      <sheetName val="Staff Colstrip Outage"/>
      <sheetName val="Staff Green Direct"/>
      <sheetName val="Staff Shuffleton"/>
      <sheetName val="Common Adj"/>
      <sheetName val="Electric Adj"/>
      <sheetName val="Power Cost Bridge to A-1"/>
      <sheetName val="DO NOT INCLUDE---&gt;"/>
      <sheetName val="Named Ranges E"/>
      <sheetName val="FERC BS"/>
      <sheetName val="FERC IS"/>
      <sheetName val="Staff Colstrip Major Maintn"/>
      <sheetName val="Staff Colstrip 3 4 Common OM"/>
      <sheetName val="Staff Centralia PPA"/>
      <sheetName val="Staff Wind Expense"/>
    </sheetNames>
    <sheetDataSet>
      <sheetData sheetId="0"/>
      <sheetData sheetId="1">
        <row r="14">
          <cell r="H14">
            <v>7.3300000000000004E-2</v>
          </cell>
        </row>
        <row r="20">
          <cell r="M20">
            <v>0.75138099999999997</v>
          </cell>
        </row>
      </sheetData>
      <sheetData sheetId="2"/>
      <sheetData sheetId="3"/>
      <sheetData sheetId="4"/>
      <sheetData sheetId="5">
        <row r="53">
          <cell r="AF53">
            <v>-7248346</v>
          </cell>
          <cell r="AG53">
            <v>-334385</v>
          </cell>
          <cell r="AH53">
            <v>-227315.76</v>
          </cell>
          <cell r="BH53">
            <v>-16990239.199999999</v>
          </cell>
          <cell r="BK53">
            <v>-550155.21</v>
          </cell>
        </row>
        <row r="54">
          <cell r="AF54">
            <v>674903</v>
          </cell>
          <cell r="AG54">
            <v>6934</v>
          </cell>
          <cell r="AH54"/>
          <cell r="BH54">
            <v>12688074.934416663</v>
          </cell>
        </row>
        <row r="56">
          <cell r="AF56">
            <v>1301042.2701010129</v>
          </cell>
          <cell r="AG56">
            <v>1177</v>
          </cell>
          <cell r="AH56">
            <v>15910.28</v>
          </cell>
          <cell r="BH56">
            <v>980694.34861275041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Exh. JAP-17 Pg. 1"/>
      <sheetName val="Work Papers--&gt;"/>
      <sheetName val="Decoupling Revenue"/>
      <sheetName val="Basic Charge Revenue"/>
      <sheetName val="(C) Non-Decoupled Revenue"/>
      <sheetName val="Rate Design Res"/>
      <sheetName val="Rate Design C&amp;I"/>
      <sheetName val="Rate Design Int &amp; Trans"/>
      <sheetName val="Rate Design Rental"/>
      <sheetName val="(C) Special Contract"/>
      <sheetName val="Decoupling Allowed Rev"/>
      <sheetName val="F2018"/>
    </sheetNames>
    <sheetDataSet>
      <sheetData sheetId="0" refreshError="1"/>
      <sheetData sheetId="1" refreshError="1">
        <row r="53">
          <cell r="F53">
            <v>448235286.15228266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"/>
      <sheetName val="Staff CoC"/>
      <sheetName val="COC, Def, ConvF"/>
      <sheetName val="COC-Restating"/>
      <sheetName val="Summary"/>
      <sheetName val="Detailed Summary"/>
      <sheetName val="Staff Green Direct"/>
      <sheetName val="Staff LNG"/>
      <sheetName val="FERC IS"/>
      <sheetName val="FERC BS"/>
      <sheetName val="Common Adj"/>
      <sheetName val="Gas Adj"/>
      <sheetName val="Named Ranges G"/>
    </sheetNames>
    <sheetDataSet>
      <sheetData sheetId="0"/>
      <sheetData sheetId="1"/>
      <sheetData sheetId="2">
        <row r="14">
          <cell r="H14">
            <v>7.3300000000000004E-2</v>
          </cell>
        </row>
        <row r="20">
          <cell r="M20">
            <v>0.75409700000000002</v>
          </cell>
        </row>
      </sheetData>
      <sheetData sheetId="3"/>
      <sheetData sheetId="4"/>
      <sheetData sheetId="5">
        <row r="51">
          <cell r="X51">
            <v>-113323.24</v>
          </cell>
          <cell r="AV51">
            <v>-32233800.139999993</v>
          </cell>
        </row>
        <row r="52">
          <cell r="AV52">
            <v>1111623.9163034996</v>
          </cell>
        </row>
        <row r="53">
          <cell r="X53">
            <v>7931.72</v>
          </cell>
          <cell r="AV53">
            <v>4930706.3565270668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L123"/>
  <sheetViews>
    <sheetView zoomScale="85" zoomScaleNormal="85" workbookViewId="0">
      <pane xSplit="2" ySplit="6" topLeftCell="C114" activePane="bottomRight" state="frozen"/>
      <selection activeCell="K25" sqref="K25"/>
      <selection pane="topRight" activeCell="K25" sqref="K25"/>
      <selection pane="bottomLeft" activeCell="K25" sqref="K25"/>
      <selection pane="bottomRight" activeCell="F18" sqref="F18"/>
    </sheetView>
  </sheetViews>
  <sheetFormatPr defaultColWidth="9.140625" defaultRowHeight="15" outlineLevelRow="1" outlineLevelCol="1" x14ac:dyDescent="0.25"/>
  <cols>
    <col min="1" max="1" width="4.85546875" style="80" bestFit="1" customWidth="1"/>
    <col min="2" max="2" width="35.140625" style="80" bestFit="1" customWidth="1"/>
    <col min="3" max="3" width="23.42578125" style="80" bestFit="1" customWidth="1"/>
    <col min="4" max="4" width="15" style="80" bestFit="1" customWidth="1"/>
    <col min="5" max="5" width="15.42578125" style="80" bestFit="1" customWidth="1"/>
    <col min="6" max="6" width="15" style="80" bestFit="1" customWidth="1"/>
    <col min="7" max="7" width="20.140625" style="80" bestFit="1" customWidth="1"/>
    <col min="8" max="8" width="9.5703125" style="46" bestFit="1" customWidth="1"/>
    <col min="9" max="9" width="18.7109375" style="80" bestFit="1" customWidth="1"/>
    <col min="10" max="11" width="15.7109375" style="80" bestFit="1" customWidth="1"/>
    <col min="12" max="12" width="18.28515625" style="80" hidden="1" customWidth="1" outlineLevel="1"/>
    <col min="13" max="13" width="22.42578125" style="80" bestFit="1" customWidth="1" collapsed="1"/>
    <col min="14" max="14" width="2.85546875" style="80" customWidth="1"/>
    <col min="15" max="15" width="12.5703125" style="80" hidden="1" customWidth="1"/>
    <col min="16" max="16" width="23.140625" style="69" hidden="1" customWidth="1"/>
    <col min="17" max="19" width="13.42578125" style="69" hidden="1" customWidth="1"/>
    <col min="20" max="20" width="16.28515625" style="69" hidden="1" customWidth="1"/>
    <col min="21" max="21" width="9.5703125" style="69" hidden="1" customWidth="1"/>
    <col min="22" max="22" width="16.28515625" style="69" hidden="1" customWidth="1"/>
    <col min="23" max="24" width="13.7109375" style="69" hidden="1" customWidth="1"/>
    <col min="25" max="25" width="11.5703125" style="69" hidden="1" customWidth="1"/>
    <col min="26" max="26" width="19.140625" style="69" hidden="1" customWidth="1"/>
    <col min="27" max="27" width="9.140625" style="69" hidden="1" customWidth="1"/>
    <col min="28" max="28" width="13.42578125" style="69" hidden="1" customWidth="1"/>
    <col min="29" max="29" width="7.85546875" style="69" hidden="1" customWidth="1"/>
    <col min="30" max="30" width="13.140625" style="69" hidden="1" customWidth="1"/>
    <col min="31" max="31" width="6.140625" style="69" hidden="1" customWidth="1"/>
    <col min="32" max="32" width="13.42578125" style="69" hidden="1" customWidth="1"/>
    <col min="33" max="33" width="9.5703125" style="69" hidden="1" customWidth="1"/>
    <col min="34" max="34" width="13.42578125" style="69" hidden="1" customWidth="1"/>
    <col min="35" max="36" width="8.42578125" style="69" hidden="1" customWidth="1"/>
    <col min="37" max="37" width="10.7109375" style="69" hidden="1" customWidth="1"/>
    <col min="38" max="38" width="13.42578125" style="69" hidden="1" customWidth="1"/>
    <col min="39" max="16384" width="9.140625" style="80"/>
  </cols>
  <sheetData>
    <row r="1" spans="1:38" outlineLevel="1" x14ac:dyDescent="0.25">
      <c r="A1" s="23"/>
    </row>
    <row r="2" spans="1:38" outlineLevel="1" x14ac:dyDescent="0.25"/>
    <row r="3" spans="1:38" outlineLevel="1" x14ac:dyDescent="0.25"/>
    <row r="4" spans="1:38" x14ac:dyDescent="0.25">
      <c r="A4" s="23" t="s">
        <v>113</v>
      </c>
      <c r="B4" s="1"/>
      <c r="C4" s="56" t="s">
        <v>2</v>
      </c>
      <c r="D4" s="56"/>
      <c r="E4" s="56"/>
      <c r="F4" s="56"/>
      <c r="G4" s="56"/>
      <c r="I4" s="57" t="s">
        <v>3</v>
      </c>
      <c r="J4" s="56"/>
      <c r="K4" s="56"/>
      <c r="L4" s="56"/>
      <c r="M4" s="56"/>
      <c r="P4" s="84" t="s">
        <v>2</v>
      </c>
      <c r="Q4" s="84"/>
      <c r="R4" s="84"/>
      <c r="S4" s="84"/>
      <c r="T4" s="84"/>
      <c r="V4" s="85" t="s">
        <v>3</v>
      </c>
      <c r="W4" s="84"/>
      <c r="X4" s="84"/>
      <c r="Y4" s="84"/>
      <c r="Z4" s="84"/>
      <c r="AB4" s="84" t="s">
        <v>2</v>
      </c>
      <c r="AC4" s="84"/>
      <c r="AD4" s="84"/>
      <c r="AE4" s="84"/>
      <c r="AF4" s="84"/>
      <c r="AH4" s="85" t="s">
        <v>3</v>
      </c>
      <c r="AI4" s="84"/>
      <c r="AJ4" s="84"/>
      <c r="AK4" s="84"/>
      <c r="AL4" s="84"/>
    </row>
    <row r="5" spans="1:38" ht="45" x14ac:dyDescent="0.25">
      <c r="A5" s="30" t="s">
        <v>105</v>
      </c>
      <c r="B5" s="30" t="s">
        <v>106</v>
      </c>
      <c r="C5" s="30" t="s">
        <v>97</v>
      </c>
      <c r="D5" s="30" t="s">
        <v>4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5</v>
      </c>
      <c r="K5" s="30" t="s">
        <v>6</v>
      </c>
      <c r="L5" s="30" t="s">
        <v>10</v>
      </c>
      <c r="M5" s="30" t="s">
        <v>109</v>
      </c>
      <c r="P5" s="86" t="s">
        <v>97</v>
      </c>
      <c r="Q5" s="86" t="s">
        <v>4</v>
      </c>
      <c r="R5" s="86" t="s">
        <v>5</v>
      </c>
      <c r="S5" s="86" t="s">
        <v>6</v>
      </c>
      <c r="T5" s="86" t="s">
        <v>7</v>
      </c>
      <c r="U5" s="86" t="s">
        <v>8</v>
      </c>
      <c r="V5" s="86" t="s">
        <v>9</v>
      </c>
      <c r="W5" s="86" t="s">
        <v>5</v>
      </c>
      <c r="X5" s="86" t="s">
        <v>6</v>
      </c>
      <c r="Y5" s="86" t="s">
        <v>10</v>
      </c>
      <c r="Z5" s="86" t="s">
        <v>109</v>
      </c>
      <c r="AA5" s="70"/>
      <c r="AB5" s="86" t="s">
        <v>97</v>
      </c>
      <c r="AC5" s="86" t="s">
        <v>4</v>
      </c>
      <c r="AD5" s="86" t="s">
        <v>5</v>
      </c>
      <c r="AE5" s="86" t="s">
        <v>6</v>
      </c>
      <c r="AF5" s="86" t="s">
        <v>7</v>
      </c>
      <c r="AG5" s="86" t="s">
        <v>8</v>
      </c>
      <c r="AH5" s="86" t="s">
        <v>9</v>
      </c>
      <c r="AI5" s="86" t="s">
        <v>5</v>
      </c>
      <c r="AJ5" s="86" t="s">
        <v>6</v>
      </c>
      <c r="AK5" s="86" t="s">
        <v>10</v>
      </c>
      <c r="AL5" s="86" t="s">
        <v>109</v>
      </c>
    </row>
    <row r="6" spans="1:38" x14ac:dyDescent="0.25">
      <c r="A6" s="3"/>
      <c r="B6" s="3"/>
      <c r="C6" s="24" t="s">
        <v>94</v>
      </c>
      <c r="D6" s="24" t="s">
        <v>95</v>
      </c>
      <c r="E6" s="24" t="s">
        <v>96</v>
      </c>
      <c r="F6" s="24" t="s">
        <v>99</v>
      </c>
      <c r="G6" s="24" t="s">
        <v>107</v>
      </c>
      <c r="H6" s="64" t="s">
        <v>100</v>
      </c>
      <c r="I6" s="24" t="s">
        <v>93</v>
      </c>
      <c r="J6" s="24" t="s">
        <v>101</v>
      </c>
      <c r="K6" s="24" t="s">
        <v>102</v>
      </c>
      <c r="L6" s="24" t="s">
        <v>104</v>
      </c>
      <c r="M6" s="24" t="s">
        <v>108</v>
      </c>
      <c r="P6" s="87" t="s">
        <v>94</v>
      </c>
      <c r="Q6" s="87" t="s">
        <v>95</v>
      </c>
      <c r="R6" s="87" t="s">
        <v>96</v>
      </c>
      <c r="S6" s="87" t="s">
        <v>99</v>
      </c>
      <c r="T6" s="87" t="s">
        <v>107</v>
      </c>
      <c r="U6" s="87" t="s">
        <v>100</v>
      </c>
      <c r="V6" s="87" t="s">
        <v>93</v>
      </c>
      <c r="W6" s="87" t="s">
        <v>101</v>
      </c>
      <c r="X6" s="87" t="s">
        <v>102</v>
      </c>
      <c r="Y6" s="87" t="s">
        <v>104</v>
      </c>
      <c r="Z6" s="87" t="s">
        <v>108</v>
      </c>
      <c r="AB6" s="87" t="s">
        <v>94</v>
      </c>
      <c r="AC6" s="87" t="s">
        <v>95</v>
      </c>
      <c r="AD6" s="87" t="s">
        <v>96</v>
      </c>
      <c r="AE6" s="87" t="s">
        <v>99</v>
      </c>
      <c r="AF6" s="87" t="s">
        <v>107</v>
      </c>
      <c r="AG6" s="87" t="s">
        <v>100</v>
      </c>
      <c r="AH6" s="87" t="s">
        <v>93</v>
      </c>
      <c r="AI6" s="87" t="s">
        <v>101</v>
      </c>
      <c r="AJ6" s="87" t="s">
        <v>102</v>
      </c>
      <c r="AK6" s="87" t="s">
        <v>104</v>
      </c>
      <c r="AL6" s="87" t="s">
        <v>108</v>
      </c>
    </row>
    <row r="7" spans="1:38" x14ac:dyDescent="0.25">
      <c r="A7" s="4">
        <f>IF(ISBLANK(B7),"",MAX(A$6:A6)+1)</f>
        <v>1</v>
      </c>
      <c r="B7" s="5" t="s">
        <v>11</v>
      </c>
    </row>
    <row r="8" spans="1:38" x14ac:dyDescent="0.25">
      <c r="A8" s="4">
        <f>IF(ISBLANK(B8),"",MAX(A$6:A7)+1)</f>
        <v>2</v>
      </c>
      <c r="B8" s="25" t="s">
        <v>12</v>
      </c>
      <c r="C8" s="82">
        <f>'[1]Exh p1'!S14</f>
        <v>1285740122.4437251</v>
      </c>
      <c r="D8" s="82"/>
      <c r="E8" s="82"/>
      <c r="F8" s="82"/>
      <c r="G8" s="82">
        <f>SUM(C8:F8)</f>
        <v>1285740122.4437251</v>
      </c>
      <c r="H8" s="65"/>
      <c r="I8" s="82">
        <f>'[2]JAP-16'!$F$61</f>
        <v>1330085063.5070419</v>
      </c>
      <c r="J8" s="82"/>
      <c r="K8" s="82"/>
      <c r="L8" s="82"/>
      <c r="M8" s="82">
        <f>SUM(I8:L8)</f>
        <v>1330085063.5070419</v>
      </c>
      <c r="P8" s="88">
        <v>1285578905.296809</v>
      </c>
      <c r="Q8" s="88"/>
      <c r="R8" s="88"/>
      <c r="S8" s="88"/>
      <c r="T8" s="88">
        <v>1285578905.296809</v>
      </c>
      <c r="U8" s="89"/>
      <c r="V8" s="88">
        <v>1330085063.5070419</v>
      </c>
      <c r="W8" s="88"/>
      <c r="X8" s="88"/>
      <c r="Y8" s="88"/>
      <c r="Z8" s="88">
        <v>1330085063.5070419</v>
      </c>
      <c r="AB8" s="88">
        <f t="shared" ref="AB8:AB39" si="0">+C8-P8</f>
        <v>161217.14691615105</v>
      </c>
      <c r="AC8" s="88">
        <f t="shared" ref="AC8:AC39" si="1">+D8-Q8</f>
        <v>0</v>
      </c>
      <c r="AD8" s="88">
        <f t="shared" ref="AD8:AD39" si="2">+E8-R8</f>
        <v>0</v>
      </c>
      <c r="AE8" s="88">
        <f t="shared" ref="AE8:AE39" si="3">+F8-S8</f>
        <v>0</v>
      </c>
      <c r="AF8" s="88">
        <f t="shared" ref="AF8:AF39" si="4">+G8-T8</f>
        <v>161217.14691615105</v>
      </c>
      <c r="AG8" s="88">
        <f t="shared" ref="AG8:AG39" si="5">+H8-U8</f>
        <v>0</v>
      </c>
      <c r="AH8" s="88">
        <f t="shared" ref="AH8:AH39" si="6">+I8-V8</f>
        <v>0</v>
      </c>
      <c r="AI8" s="88">
        <f t="shared" ref="AI8:AI39" si="7">+J8-W8</f>
        <v>0</v>
      </c>
      <c r="AJ8" s="88">
        <f t="shared" ref="AJ8:AJ39" si="8">+K8-X8</f>
        <v>0</v>
      </c>
      <c r="AK8" s="88">
        <f t="shared" ref="AK8:AK39" si="9">+L8-Y8</f>
        <v>0</v>
      </c>
      <c r="AL8" s="88">
        <f t="shared" ref="AL8:AL39" si="10">+M8-Z8</f>
        <v>0</v>
      </c>
    </row>
    <row r="9" spans="1:38" x14ac:dyDescent="0.25">
      <c r="A9" s="4">
        <f>IF(ISBLANK(B9),"",MAX(A$6:A8)+1)</f>
        <v>3</v>
      </c>
      <c r="B9" s="25" t="s">
        <v>13</v>
      </c>
      <c r="C9" s="7">
        <f>'[1]Exh p1'!S15</f>
        <v>328327.15999999898</v>
      </c>
      <c r="D9" s="7"/>
      <c r="E9" s="7"/>
      <c r="F9" s="7"/>
      <c r="G9" s="7">
        <f>SUM(C9:F9)</f>
        <v>328327.15999999898</v>
      </c>
      <c r="H9" s="66">
        <f>[3]Elect_Sales!$D$30</f>
        <v>1.1759750394165991E-2</v>
      </c>
      <c r="I9" s="7">
        <f>G9*(1+H9)^(28/12)</f>
        <v>337406.98804805137</v>
      </c>
      <c r="J9" s="7"/>
      <c r="K9" s="7"/>
      <c r="L9" s="7"/>
      <c r="M9" s="7">
        <f>SUM(I9:L9)</f>
        <v>337406.98804805137</v>
      </c>
      <c r="P9" s="90">
        <v>327360.15999999898</v>
      </c>
      <c r="Q9" s="90"/>
      <c r="R9" s="90"/>
      <c r="S9" s="90"/>
      <c r="T9" s="90">
        <v>327360.15999999898</v>
      </c>
      <c r="U9" s="91">
        <v>1.1759750394165991E-2</v>
      </c>
      <c r="V9" s="90">
        <v>336413.24583847454</v>
      </c>
      <c r="W9" s="90"/>
      <c r="X9" s="90"/>
      <c r="Y9" s="90"/>
      <c r="Z9" s="90">
        <v>336413.24583847454</v>
      </c>
      <c r="AB9" s="90">
        <f t="shared" si="0"/>
        <v>967</v>
      </c>
      <c r="AC9" s="90">
        <f t="shared" si="1"/>
        <v>0</v>
      </c>
      <c r="AD9" s="90">
        <f t="shared" si="2"/>
        <v>0</v>
      </c>
      <c r="AE9" s="90">
        <f t="shared" si="3"/>
        <v>0</v>
      </c>
      <c r="AF9" s="90">
        <f t="shared" si="4"/>
        <v>967</v>
      </c>
      <c r="AG9" s="91">
        <f t="shared" si="5"/>
        <v>0</v>
      </c>
      <c r="AH9" s="90">
        <f t="shared" si="6"/>
        <v>993.74220957682701</v>
      </c>
      <c r="AI9" s="90">
        <f t="shared" si="7"/>
        <v>0</v>
      </c>
      <c r="AJ9" s="90">
        <f t="shared" si="8"/>
        <v>0</v>
      </c>
      <c r="AK9" s="90">
        <f t="shared" si="9"/>
        <v>0</v>
      </c>
      <c r="AL9" s="90">
        <f t="shared" si="10"/>
        <v>993.74220957682701</v>
      </c>
    </row>
    <row r="10" spans="1:38" x14ac:dyDescent="0.25">
      <c r="A10" s="4">
        <f>IF(ISBLANK(B10),"",MAX(A$6:A9)+1)</f>
        <v>4</v>
      </c>
      <c r="B10" s="25" t="s">
        <v>14</v>
      </c>
      <c r="C10" s="7">
        <f>'[1]Exh p1'!S16</f>
        <v>0</v>
      </c>
      <c r="D10" s="7"/>
      <c r="E10" s="7"/>
      <c r="F10" s="7"/>
      <c r="G10" s="7">
        <f>SUM(C10:F10)</f>
        <v>0</v>
      </c>
      <c r="H10" s="66"/>
      <c r="I10" s="7">
        <f>G10*(1+H10)^(28/12)</f>
        <v>0</v>
      </c>
      <c r="J10" s="7"/>
      <c r="K10" s="7"/>
      <c r="L10" s="7"/>
      <c r="M10" s="7">
        <f>SUM(I10:L10)</f>
        <v>0</v>
      </c>
      <c r="P10" s="90">
        <v>0</v>
      </c>
      <c r="Q10" s="90"/>
      <c r="R10" s="90"/>
      <c r="S10" s="90"/>
      <c r="T10" s="90">
        <v>0</v>
      </c>
      <c r="U10" s="91"/>
      <c r="V10" s="90">
        <v>0</v>
      </c>
      <c r="W10" s="90"/>
      <c r="X10" s="90"/>
      <c r="Y10" s="90"/>
      <c r="Z10" s="90">
        <v>0</v>
      </c>
      <c r="AB10" s="90">
        <f t="shared" si="0"/>
        <v>0</v>
      </c>
      <c r="AC10" s="90">
        <f t="shared" si="1"/>
        <v>0</v>
      </c>
      <c r="AD10" s="90">
        <f t="shared" si="2"/>
        <v>0</v>
      </c>
      <c r="AE10" s="90">
        <f t="shared" si="3"/>
        <v>0</v>
      </c>
      <c r="AF10" s="90">
        <f t="shared" si="4"/>
        <v>0</v>
      </c>
      <c r="AG10" s="91">
        <f t="shared" si="5"/>
        <v>0</v>
      </c>
      <c r="AH10" s="90">
        <f t="shared" si="6"/>
        <v>0</v>
      </c>
      <c r="AI10" s="90">
        <f t="shared" si="7"/>
        <v>0</v>
      </c>
      <c r="AJ10" s="90">
        <f t="shared" si="8"/>
        <v>0</v>
      </c>
      <c r="AK10" s="90">
        <f t="shared" si="9"/>
        <v>0</v>
      </c>
      <c r="AL10" s="90">
        <f t="shared" si="10"/>
        <v>0</v>
      </c>
    </row>
    <row r="11" spans="1:38" x14ac:dyDescent="0.25">
      <c r="A11" s="4">
        <f>IF(ISBLANK(B11),"",MAX(A$6:A10)+1)</f>
        <v>5</v>
      </c>
      <c r="B11" s="25" t="s">
        <v>15</v>
      </c>
      <c r="C11" s="8">
        <f>'[1]Exh p1'!S17</f>
        <v>52105313.610000014</v>
      </c>
      <c r="D11" s="8"/>
      <c r="E11" s="8"/>
      <c r="F11" s="8"/>
      <c r="G11" s="8">
        <f>SUM(C11:F11)</f>
        <v>52105313.610000014</v>
      </c>
      <c r="H11" s="66">
        <f>[3]Elect_Sales!$D$30</f>
        <v>1.1759750394165991E-2</v>
      </c>
      <c r="I11" s="8">
        <f>G11*(1+H11)^(28/12)</f>
        <v>53546276.605472714</v>
      </c>
      <c r="J11" s="8"/>
      <c r="K11" s="8"/>
      <c r="L11" s="8"/>
      <c r="M11" s="8">
        <f>SUM(I11:L11)</f>
        <v>53546276.605472714</v>
      </c>
      <c r="P11" s="92">
        <v>52105313.610000014</v>
      </c>
      <c r="Q11" s="92"/>
      <c r="R11" s="92"/>
      <c r="S11" s="92"/>
      <c r="T11" s="92">
        <v>52105313.610000014</v>
      </c>
      <c r="U11" s="91">
        <v>1.1759750394165991E-2</v>
      </c>
      <c r="V11" s="92">
        <v>53546276.605472714</v>
      </c>
      <c r="W11" s="92"/>
      <c r="X11" s="92"/>
      <c r="Y11" s="92"/>
      <c r="Z11" s="92">
        <v>53546276.605472714</v>
      </c>
      <c r="AB11" s="92">
        <f t="shared" si="0"/>
        <v>0</v>
      </c>
      <c r="AC11" s="92">
        <f t="shared" si="1"/>
        <v>0</v>
      </c>
      <c r="AD11" s="92">
        <f t="shared" si="2"/>
        <v>0</v>
      </c>
      <c r="AE11" s="92">
        <f t="shared" si="3"/>
        <v>0</v>
      </c>
      <c r="AF11" s="92">
        <f t="shared" si="4"/>
        <v>0</v>
      </c>
      <c r="AG11" s="91">
        <f t="shared" si="5"/>
        <v>0</v>
      </c>
      <c r="AH11" s="92">
        <f t="shared" si="6"/>
        <v>0</v>
      </c>
      <c r="AI11" s="92">
        <f t="shared" si="7"/>
        <v>0</v>
      </c>
      <c r="AJ11" s="92">
        <f t="shared" si="8"/>
        <v>0</v>
      </c>
      <c r="AK11" s="92">
        <f t="shared" si="9"/>
        <v>0</v>
      </c>
      <c r="AL11" s="92">
        <f t="shared" si="10"/>
        <v>0</v>
      </c>
    </row>
    <row r="12" spans="1:38" x14ac:dyDescent="0.25">
      <c r="A12" s="4">
        <f>IF(ISBLANK(B12),"",MAX(A$6:A11)+1)</f>
        <v>6</v>
      </c>
      <c r="B12" s="9" t="s">
        <v>16</v>
      </c>
      <c r="C12" s="137">
        <f t="shared" ref="C12:F12" si="11">SUM(C8:C11)</f>
        <v>1338173763.2137251</v>
      </c>
      <c r="D12" s="137">
        <f t="shared" si="11"/>
        <v>0</v>
      </c>
      <c r="E12" s="137">
        <f t="shared" si="11"/>
        <v>0</v>
      </c>
      <c r="F12" s="137">
        <f t="shared" si="11"/>
        <v>0</v>
      </c>
      <c r="G12" s="10">
        <f t="shared" ref="G12" si="12">SUM(G8:G11)</f>
        <v>1338173763.2137251</v>
      </c>
      <c r="H12" s="66">
        <f>(I12/G12)^(12/28)-1</f>
        <v>1.4525681765186427E-2</v>
      </c>
      <c r="I12" s="137">
        <f t="shared" ref="I12:J12" si="13">SUM(I8:I11)</f>
        <v>1383968747.1005628</v>
      </c>
      <c r="J12" s="137">
        <f t="shared" si="13"/>
        <v>0</v>
      </c>
      <c r="K12" s="137">
        <f>SUM(K8:K11)</f>
        <v>0</v>
      </c>
      <c r="L12" s="10">
        <f t="shared" ref="L12:M12" si="14">SUM(L8:L11)</f>
        <v>0</v>
      </c>
      <c r="M12" s="10">
        <f t="shared" si="14"/>
        <v>1383968747.1005628</v>
      </c>
      <c r="P12" s="93">
        <v>1338011579.0668092</v>
      </c>
      <c r="Q12" s="93">
        <v>0</v>
      </c>
      <c r="R12" s="93">
        <v>0</v>
      </c>
      <c r="S12" s="93">
        <v>0</v>
      </c>
      <c r="T12" s="93">
        <v>1338011579.0668092</v>
      </c>
      <c r="U12" s="91">
        <v>1.4578070656687148E-2</v>
      </c>
      <c r="V12" s="93">
        <v>1383967753.3583531</v>
      </c>
      <c r="W12" s="93">
        <v>0</v>
      </c>
      <c r="X12" s="93">
        <v>0</v>
      </c>
      <c r="Y12" s="93">
        <v>0</v>
      </c>
      <c r="Z12" s="93">
        <v>1383967753.3583531</v>
      </c>
      <c r="AB12" s="93">
        <f t="shared" si="0"/>
        <v>162184.14691591263</v>
      </c>
      <c r="AC12" s="93">
        <f t="shared" si="1"/>
        <v>0</v>
      </c>
      <c r="AD12" s="93">
        <f t="shared" si="2"/>
        <v>0</v>
      </c>
      <c r="AE12" s="93">
        <f t="shared" si="3"/>
        <v>0</v>
      </c>
      <c r="AF12" s="93">
        <f t="shared" si="4"/>
        <v>162184.14691591263</v>
      </c>
      <c r="AG12" s="91">
        <f t="shared" si="5"/>
        <v>-5.2388891500720902E-5</v>
      </c>
      <c r="AH12" s="93">
        <f t="shared" si="6"/>
        <v>993.74220967292786</v>
      </c>
      <c r="AI12" s="93">
        <f t="shared" si="7"/>
        <v>0</v>
      </c>
      <c r="AJ12" s="93">
        <f t="shared" si="8"/>
        <v>0</v>
      </c>
      <c r="AK12" s="93">
        <f t="shared" si="9"/>
        <v>0</v>
      </c>
      <c r="AL12" s="93">
        <f t="shared" si="10"/>
        <v>993.74220967292786</v>
      </c>
    </row>
    <row r="13" spans="1:38" x14ac:dyDescent="0.25">
      <c r="A13" s="4" t="str">
        <f>IF(ISBLANK(B13),"",MAX(A$6:A12)+1)</f>
        <v/>
      </c>
      <c r="B13" s="3"/>
      <c r="C13" s="3"/>
      <c r="D13" s="3"/>
      <c r="E13" s="3"/>
      <c r="F13" s="3"/>
      <c r="G13" s="3"/>
      <c r="H13" s="47"/>
      <c r="I13" s="3"/>
      <c r="J13" s="3"/>
      <c r="K13" s="3"/>
      <c r="L13" s="3"/>
      <c r="M13" s="3"/>
      <c r="P13" s="94"/>
      <c r="Q13" s="94"/>
      <c r="R13" s="94"/>
      <c r="S13" s="94"/>
      <c r="T13" s="94"/>
      <c r="U13" s="95"/>
      <c r="V13" s="94"/>
      <c r="W13" s="94"/>
      <c r="X13" s="94"/>
      <c r="Y13" s="94"/>
      <c r="Z13" s="94"/>
      <c r="AB13" s="94">
        <f t="shared" si="0"/>
        <v>0</v>
      </c>
      <c r="AC13" s="94">
        <f t="shared" si="1"/>
        <v>0</v>
      </c>
      <c r="AD13" s="94">
        <f t="shared" si="2"/>
        <v>0</v>
      </c>
      <c r="AE13" s="94">
        <f t="shared" si="3"/>
        <v>0</v>
      </c>
      <c r="AF13" s="94">
        <f t="shared" si="4"/>
        <v>0</v>
      </c>
      <c r="AG13" s="95">
        <f t="shared" si="5"/>
        <v>0</v>
      </c>
      <c r="AH13" s="94">
        <f t="shared" si="6"/>
        <v>0</v>
      </c>
      <c r="AI13" s="94">
        <f t="shared" si="7"/>
        <v>0</v>
      </c>
      <c r="AJ13" s="94">
        <f t="shared" si="8"/>
        <v>0</v>
      </c>
      <c r="AK13" s="94">
        <f t="shared" si="9"/>
        <v>0</v>
      </c>
      <c r="AL13" s="94">
        <f t="shared" si="10"/>
        <v>0</v>
      </c>
    </row>
    <row r="14" spans="1:38" x14ac:dyDescent="0.25">
      <c r="A14" s="4">
        <f>IF(ISBLANK(B14),"",MAX(A$6:A13)+1)</f>
        <v>7</v>
      </c>
      <c r="B14" s="5" t="s">
        <v>17</v>
      </c>
      <c r="C14" s="12"/>
      <c r="D14" s="12"/>
      <c r="E14" s="12"/>
      <c r="F14" s="12"/>
      <c r="G14" s="12"/>
      <c r="H14" s="47"/>
      <c r="I14" s="12"/>
      <c r="J14" s="12"/>
      <c r="K14" s="12"/>
      <c r="L14" s="12"/>
      <c r="M14" s="12"/>
      <c r="P14" s="96"/>
      <c r="Q14" s="96"/>
      <c r="R14" s="96"/>
      <c r="S14" s="96"/>
      <c r="T14" s="96"/>
      <c r="U14" s="95"/>
      <c r="V14" s="96"/>
      <c r="W14" s="96"/>
      <c r="X14" s="96"/>
      <c r="Y14" s="96"/>
      <c r="Z14" s="96"/>
      <c r="AB14" s="96">
        <f t="shared" si="0"/>
        <v>0</v>
      </c>
      <c r="AC14" s="96">
        <f t="shared" si="1"/>
        <v>0</v>
      </c>
      <c r="AD14" s="96">
        <f t="shared" si="2"/>
        <v>0</v>
      </c>
      <c r="AE14" s="96">
        <f t="shared" si="3"/>
        <v>0</v>
      </c>
      <c r="AF14" s="96">
        <f t="shared" si="4"/>
        <v>0</v>
      </c>
      <c r="AG14" s="95">
        <f t="shared" si="5"/>
        <v>0</v>
      </c>
      <c r="AH14" s="96">
        <f t="shared" si="6"/>
        <v>0</v>
      </c>
      <c r="AI14" s="96">
        <f t="shared" si="7"/>
        <v>0</v>
      </c>
      <c r="AJ14" s="96">
        <f t="shared" si="8"/>
        <v>0</v>
      </c>
      <c r="AK14" s="96">
        <f t="shared" si="9"/>
        <v>0</v>
      </c>
      <c r="AL14" s="96">
        <f t="shared" si="10"/>
        <v>0</v>
      </c>
    </row>
    <row r="15" spans="1:38" x14ac:dyDescent="0.25">
      <c r="A15" s="4" t="str">
        <f>IF(ISBLANK(B15),"",MAX(A$6:A14)+1)</f>
        <v/>
      </c>
      <c r="B15" s="3"/>
      <c r="C15" s="3"/>
      <c r="D15" s="3"/>
      <c r="E15" s="3"/>
      <c r="F15" s="3"/>
      <c r="G15" s="3"/>
      <c r="H15" s="47"/>
      <c r="I15" s="3"/>
      <c r="J15" s="3"/>
      <c r="K15" s="3"/>
      <c r="L15" s="3"/>
      <c r="M15" s="3"/>
      <c r="P15" s="94"/>
      <c r="Q15" s="94"/>
      <c r="R15" s="94"/>
      <c r="S15" s="94"/>
      <c r="T15" s="94"/>
      <c r="U15" s="95"/>
      <c r="V15" s="94"/>
      <c r="W15" s="94"/>
      <c r="X15" s="94"/>
      <c r="Y15" s="94"/>
      <c r="Z15" s="94"/>
      <c r="AB15" s="94">
        <f t="shared" si="0"/>
        <v>0</v>
      </c>
      <c r="AC15" s="94">
        <f t="shared" si="1"/>
        <v>0</v>
      </c>
      <c r="AD15" s="94">
        <f t="shared" si="2"/>
        <v>0</v>
      </c>
      <c r="AE15" s="94">
        <f t="shared" si="3"/>
        <v>0</v>
      </c>
      <c r="AF15" s="94">
        <f t="shared" si="4"/>
        <v>0</v>
      </c>
      <c r="AG15" s="95">
        <f t="shared" si="5"/>
        <v>0</v>
      </c>
      <c r="AH15" s="94">
        <f t="shared" si="6"/>
        <v>0</v>
      </c>
      <c r="AI15" s="94">
        <f t="shared" si="7"/>
        <v>0</v>
      </c>
      <c r="AJ15" s="94">
        <f t="shared" si="8"/>
        <v>0</v>
      </c>
      <c r="AK15" s="94">
        <f t="shared" si="9"/>
        <v>0</v>
      </c>
      <c r="AL15" s="94">
        <f t="shared" si="10"/>
        <v>0</v>
      </c>
    </row>
    <row r="16" spans="1:38" x14ac:dyDescent="0.25">
      <c r="A16" s="4">
        <f>IF(ISBLANK(B16),"",MAX(A$6:A15)+1)</f>
        <v>8</v>
      </c>
      <c r="B16" s="5" t="s">
        <v>18</v>
      </c>
      <c r="C16" s="12"/>
      <c r="D16" s="12"/>
      <c r="E16" s="12"/>
      <c r="F16" s="12"/>
      <c r="G16" s="12"/>
      <c r="H16" s="47"/>
      <c r="I16" s="12"/>
      <c r="J16" s="12"/>
      <c r="K16" s="12"/>
      <c r="L16" s="12"/>
      <c r="M16" s="12"/>
      <c r="P16" s="96"/>
      <c r="Q16" s="96"/>
      <c r="R16" s="96"/>
      <c r="S16" s="96"/>
      <c r="T16" s="96"/>
      <c r="U16" s="95"/>
      <c r="V16" s="96"/>
      <c r="W16" s="96"/>
      <c r="X16" s="96"/>
      <c r="Y16" s="96"/>
      <c r="Z16" s="96"/>
      <c r="AB16" s="96">
        <f t="shared" si="0"/>
        <v>0</v>
      </c>
      <c r="AC16" s="96">
        <f t="shared" si="1"/>
        <v>0</v>
      </c>
      <c r="AD16" s="96">
        <f t="shared" si="2"/>
        <v>0</v>
      </c>
      <c r="AE16" s="96">
        <f t="shared" si="3"/>
        <v>0</v>
      </c>
      <c r="AF16" s="96">
        <f t="shared" si="4"/>
        <v>0</v>
      </c>
      <c r="AG16" s="95">
        <f t="shared" si="5"/>
        <v>0</v>
      </c>
      <c r="AH16" s="96">
        <f t="shared" si="6"/>
        <v>0</v>
      </c>
      <c r="AI16" s="96">
        <f t="shared" si="7"/>
        <v>0</v>
      </c>
      <c r="AJ16" s="96">
        <f t="shared" si="8"/>
        <v>0</v>
      </c>
      <c r="AK16" s="96">
        <f t="shared" si="9"/>
        <v>0</v>
      </c>
      <c r="AL16" s="96">
        <f t="shared" si="10"/>
        <v>0</v>
      </c>
    </row>
    <row r="17" spans="1:38" x14ac:dyDescent="0.25">
      <c r="A17" s="4">
        <f>IF(ISBLANK(B17),"",MAX(A$6:A16)+1)</f>
        <v>9</v>
      </c>
      <c r="B17" s="25" t="s">
        <v>19</v>
      </c>
      <c r="C17" s="7">
        <f>'[1]Exh p1'!S23</f>
        <v>0</v>
      </c>
      <c r="D17" s="7"/>
      <c r="E17" s="7"/>
      <c r="F17" s="7"/>
      <c r="G17" s="7">
        <f>SUM(C17:F17)</f>
        <v>0</v>
      </c>
      <c r="H17" s="66"/>
      <c r="I17" s="7">
        <f>G17*(1+H17)^(28/12)</f>
        <v>0</v>
      </c>
      <c r="J17" s="7"/>
      <c r="K17" s="7"/>
      <c r="L17" s="7"/>
      <c r="M17" s="7">
        <f>SUM(I17:L17)</f>
        <v>0</v>
      </c>
      <c r="P17" s="90">
        <v>0</v>
      </c>
      <c r="Q17" s="90"/>
      <c r="R17" s="90"/>
      <c r="S17" s="90"/>
      <c r="T17" s="90">
        <v>0</v>
      </c>
      <c r="U17" s="91"/>
      <c r="V17" s="90">
        <v>0</v>
      </c>
      <c r="W17" s="90"/>
      <c r="X17" s="90"/>
      <c r="Y17" s="90"/>
      <c r="Z17" s="90">
        <v>0</v>
      </c>
      <c r="AB17" s="90">
        <f t="shared" si="0"/>
        <v>0</v>
      </c>
      <c r="AC17" s="90">
        <f t="shared" si="1"/>
        <v>0</v>
      </c>
      <c r="AD17" s="90">
        <f t="shared" si="2"/>
        <v>0</v>
      </c>
      <c r="AE17" s="90">
        <f t="shared" si="3"/>
        <v>0</v>
      </c>
      <c r="AF17" s="90">
        <f t="shared" si="4"/>
        <v>0</v>
      </c>
      <c r="AG17" s="91">
        <f t="shared" si="5"/>
        <v>0</v>
      </c>
      <c r="AH17" s="90">
        <f t="shared" si="6"/>
        <v>0</v>
      </c>
      <c r="AI17" s="90">
        <f t="shared" si="7"/>
        <v>0</v>
      </c>
      <c r="AJ17" s="90">
        <f t="shared" si="8"/>
        <v>0</v>
      </c>
      <c r="AK17" s="90">
        <f t="shared" si="9"/>
        <v>0</v>
      </c>
      <c r="AL17" s="90">
        <f t="shared" si="10"/>
        <v>0</v>
      </c>
    </row>
    <row r="18" spans="1:38" x14ac:dyDescent="0.25">
      <c r="A18" s="4">
        <f>IF(ISBLANK(B18),"",MAX(A$6:A17)+1)</f>
        <v>10</v>
      </c>
      <c r="B18" s="25" t="s">
        <v>20</v>
      </c>
      <c r="C18" s="7">
        <f>'[1]Exh p1'!S24</f>
        <v>0</v>
      </c>
      <c r="D18" s="7"/>
      <c r="E18" s="7"/>
      <c r="F18" s="7"/>
      <c r="G18" s="7">
        <f>SUM(C18:F18)</f>
        <v>0</v>
      </c>
      <c r="H18" s="66"/>
      <c r="I18" s="7">
        <f>G18*(1+H18)^(28/12)</f>
        <v>0</v>
      </c>
      <c r="J18" s="7"/>
      <c r="K18" s="7"/>
      <c r="L18" s="7"/>
      <c r="M18" s="7">
        <f>SUM(I18:L18)</f>
        <v>0</v>
      </c>
      <c r="P18" s="90">
        <v>0</v>
      </c>
      <c r="Q18" s="90"/>
      <c r="R18" s="90"/>
      <c r="S18" s="90"/>
      <c r="T18" s="90">
        <v>0</v>
      </c>
      <c r="U18" s="91"/>
      <c r="V18" s="90">
        <v>0</v>
      </c>
      <c r="W18" s="90"/>
      <c r="X18" s="90"/>
      <c r="Y18" s="90"/>
      <c r="Z18" s="90">
        <v>0</v>
      </c>
      <c r="AB18" s="90">
        <f t="shared" si="0"/>
        <v>0</v>
      </c>
      <c r="AC18" s="90">
        <f t="shared" si="1"/>
        <v>0</v>
      </c>
      <c r="AD18" s="90">
        <f t="shared" si="2"/>
        <v>0</v>
      </c>
      <c r="AE18" s="90">
        <f t="shared" si="3"/>
        <v>0</v>
      </c>
      <c r="AF18" s="90">
        <f t="shared" si="4"/>
        <v>0</v>
      </c>
      <c r="AG18" s="91">
        <f t="shared" si="5"/>
        <v>0</v>
      </c>
      <c r="AH18" s="90">
        <f t="shared" si="6"/>
        <v>0</v>
      </c>
      <c r="AI18" s="90">
        <f t="shared" si="7"/>
        <v>0</v>
      </c>
      <c r="AJ18" s="90">
        <f t="shared" si="8"/>
        <v>0</v>
      </c>
      <c r="AK18" s="90">
        <f t="shared" si="9"/>
        <v>0</v>
      </c>
      <c r="AL18" s="90">
        <f t="shared" si="10"/>
        <v>0</v>
      </c>
    </row>
    <row r="19" spans="1:38" x14ac:dyDescent="0.25">
      <c r="A19" s="4">
        <f>IF(ISBLANK(B19),"",MAX(A$6:A18)+1)</f>
        <v>11</v>
      </c>
      <c r="B19" s="25" t="s">
        <v>21</v>
      </c>
      <c r="C19" s="7">
        <f>'[1]Exh p1'!S25</f>
        <v>0</v>
      </c>
      <c r="D19" s="7"/>
      <c r="E19" s="7"/>
      <c r="F19" s="7"/>
      <c r="G19" s="7">
        <f>SUM(C19:F19)</f>
        <v>0</v>
      </c>
      <c r="H19" s="66"/>
      <c r="I19" s="7">
        <f>G19*(1+H19)^(28/12)</f>
        <v>0</v>
      </c>
      <c r="J19" s="7"/>
      <c r="K19" s="7"/>
      <c r="L19" s="7"/>
      <c r="M19" s="7">
        <f>SUM(I19:L19)</f>
        <v>0</v>
      </c>
      <c r="P19" s="90">
        <v>0</v>
      </c>
      <c r="Q19" s="90"/>
      <c r="R19" s="90"/>
      <c r="S19" s="90"/>
      <c r="T19" s="90">
        <v>0</v>
      </c>
      <c r="U19" s="91"/>
      <c r="V19" s="90">
        <v>0</v>
      </c>
      <c r="W19" s="90"/>
      <c r="X19" s="90"/>
      <c r="Y19" s="90"/>
      <c r="Z19" s="90">
        <v>0</v>
      </c>
      <c r="AB19" s="90">
        <f t="shared" si="0"/>
        <v>0</v>
      </c>
      <c r="AC19" s="90">
        <f t="shared" si="1"/>
        <v>0</v>
      </c>
      <c r="AD19" s="90">
        <f t="shared" si="2"/>
        <v>0</v>
      </c>
      <c r="AE19" s="90">
        <f t="shared" si="3"/>
        <v>0</v>
      </c>
      <c r="AF19" s="90">
        <f t="shared" si="4"/>
        <v>0</v>
      </c>
      <c r="AG19" s="91">
        <f t="shared" si="5"/>
        <v>0</v>
      </c>
      <c r="AH19" s="90">
        <f t="shared" si="6"/>
        <v>0</v>
      </c>
      <c r="AI19" s="90">
        <f t="shared" si="7"/>
        <v>0</v>
      </c>
      <c r="AJ19" s="90">
        <f t="shared" si="8"/>
        <v>0</v>
      </c>
      <c r="AK19" s="90">
        <f t="shared" si="9"/>
        <v>0</v>
      </c>
      <c r="AL19" s="90">
        <f t="shared" si="10"/>
        <v>0</v>
      </c>
    </row>
    <row r="20" spans="1:38" x14ac:dyDescent="0.25">
      <c r="A20" s="4">
        <f>IF(ISBLANK(B20),"",MAX(A$6:A19)+1)</f>
        <v>12</v>
      </c>
      <c r="B20" s="25" t="s">
        <v>22</v>
      </c>
      <c r="C20" s="8">
        <f>'[1]Exh p1'!S26</f>
        <v>0</v>
      </c>
      <c r="D20" s="8"/>
      <c r="E20" s="8"/>
      <c r="F20" s="8"/>
      <c r="G20" s="8">
        <f>SUM(C20:F20)</f>
        <v>0</v>
      </c>
      <c r="H20" s="66"/>
      <c r="I20" s="8">
        <f>G20*(1+H20)^(28/12)</f>
        <v>0</v>
      </c>
      <c r="J20" s="8"/>
      <c r="K20" s="8"/>
      <c r="L20" s="8"/>
      <c r="M20" s="8">
        <f>SUM(I20:L20)</f>
        <v>0</v>
      </c>
      <c r="P20" s="92">
        <v>0</v>
      </c>
      <c r="Q20" s="92"/>
      <c r="R20" s="92"/>
      <c r="S20" s="92"/>
      <c r="T20" s="92">
        <v>0</v>
      </c>
      <c r="U20" s="91"/>
      <c r="V20" s="92">
        <v>0</v>
      </c>
      <c r="W20" s="92"/>
      <c r="X20" s="92"/>
      <c r="Y20" s="92"/>
      <c r="Z20" s="92">
        <v>0</v>
      </c>
      <c r="AB20" s="92">
        <f t="shared" si="0"/>
        <v>0</v>
      </c>
      <c r="AC20" s="92">
        <f t="shared" si="1"/>
        <v>0</v>
      </c>
      <c r="AD20" s="92">
        <f t="shared" si="2"/>
        <v>0</v>
      </c>
      <c r="AE20" s="92">
        <f t="shared" si="3"/>
        <v>0</v>
      </c>
      <c r="AF20" s="92">
        <f t="shared" si="4"/>
        <v>0</v>
      </c>
      <c r="AG20" s="91">
        <f t="shared" si="5"/>
        <v>0</v>
      </c>
      <c r="AH20" s="92">
        <f t="shared" si="6"/>
        <v>0</v>
      </c>
      <c r="AI20" s="92">
        <f t="shared" si="7"/>
        <v>0</v>
      </c>
      <c r="AJ20" s="92">
        <f t="shared" si="8"/>
        <v>0</v>
      </c>
      <c r="AK20" s="92">
        <f t="shared" si="9"/>
        <v>0</v>
      </c>
      <c r="AL20" s="92">
        <f t="shared" si="10"/>
        <v>0</v>
      </c>
    </row>
    <row r="21" spans="1:38" x14ac:dyDescent="0.25">
      <c r="A21" s="4">
        <f>IF(ISBLANK(B21),"",MAX(A$6:A20)+1)</f>
        <v>13</v>
      </c>
      <c r="B21" s="9" t="s">
        <v>23</v>
      </c>
      <c r="C21" s="137">
        <f>SUM(C17:C20)</f>
        <v>0</v>
      </c>
      <c r="D21" s="137"/>
      <c r="E21" s="137"/>
      <c r="F21" s="137">
        <f>SUM(F17:F20)</f>
        <v>0</v>
      </c>
      <c r="G21" s="10">
        <f>SUM(G17:G20)</f>
        <v>0</v>
      </c>
      <c r="H21" s="47"/>
      <c r="I21" s="137">
        <f t="shared" ref="I21:J21" si="15">SUM(I17:I20)</f>
        <v>0</v>
      </c>
      <c r="J21" s="137">
        <f t="shared" si="15"/>
        <v>0</v>
      </c>
      <c r="K21" s="137">
        <f>SUM(K17:K20)</f>
        <v>0</v>
      </c>
      <c r="L21" s="10">
        <f t="shared" ref="L21:M21" si="16">SUM(L17:L20)</f>
        <v>0</v>
      </c>
      <c r="M21" s="10">
        <f t="shared" si="16"/>
        <v>0</v>
      </c>
      <c r="P21" s="93">
        <v>0</v>
      </c>
      <c r="Q21" s="93"/>
      <c r="R21" s="93"/>
      <c r="S21" s="93">
        <v>0</v>
      </c>
      <c r="T21" s="93">
        <v>0</v>
      </c>
      <c r="U21" s="95"/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B21" s="93">
        <f t="shared" si="0"/>
        <v>0</v>
      </c>
      <c r="AC21" s="93">
        <f t="shared" si="1"/>
        <v>0</v>
      </c>
      <c r="AD21" s="93">
        <f t="shared" si="2"/>
        <v>0</v>
      </c>
      <c r="AE21" s="93">
        <f t="shared" si="3"/>
        <v>0</v>
      </c>
      <c r="AF21" s="93">
        <f t="shared" si="4"/>
        <v>0</v>
      </c>
      <c r="AG21" s="95">
        <f t="shared" si="5"/>
        <v>0</v>
      </c>
      <c r="AH21" s="93">
        <f t="shared" si="6"/>
        <v>0</v>
      </c>
      <c r="AI21" s="93">
        <f t="shared" si="7"/>
        <v>0</v>
      </c>
      <c r="AJ21" s="93">
        <f t="shared" si="8"/>
        <v>0</v>
      </c>
      <c r="AK21" s="93">
        <f t="shared" si="9"/>
        <v>0</v>
      </c>
      <c r="AL21" s="93">
        <f t="shared" si="10"/>
        <v>0</v>
      </c>
    </row>
    <row r="22" spans="1:38" x14ac:dyDescent="0.25">
      <c r="A22" s="4" t="str">
        <f>IF(ISBLANK(B22),"",MAX(A$6:A21)+1)</f>
        <v/>
      </c>
      <c r="B22" s="6"/>
      <c r="C22" s="13"/>
      <c r="D22" s="13"/>
      <c r="E22" s="13"/>
      <c r="F22" s="13"/>
      <c r="G22" s="13"/>
      <c r="H22" s="47"/>
      <c r="I22" s="13"/>
      <c r="J22" s="13"/>
      <c r="K22" s="13"/>
      <c r="L22" s="13"/>
      <c r="M22" s="72"/>
      <c r="P22" s="97"/>
      <c r="Q22" s="97"/>
      <c r="R22" s="97"/>
      <c r="S22" s="97"/>
      <c r="T22" s="97"/>
      <c r="U22" s="95"/>
      <c r="V22" s="97"/>
      <c r="W22" s="97"/>
      <c r="X22" s="97"/>
      <c r="Y22" s="97"/>
      <c r="Z22" s="97"/>
      <c r="AB22" s="97">
        <f t="shared" si="0"/>
        <v>0</v>
      </c>
      <c r="AC22" s="97">
        <f t="shared" si="1"/>
        <v>0</v>
      </c>
      <c r="AD22" s="97">
        <f t="shared" si="2"/>
        <v>0</v>
      </c>
      <c r="AE22" s="97">
        <f t="shared" si="3"/>
        <v>0</v>
      </c>
      <c r="AF22" s="97">
        <f t="shared" si="4"/>
        <v>0</v>
      </c>
      <c r="AG22" s="95">
        <f t="shared" si="5"/>
        <v>0</v>
      </c>
      <c r="AH22" s="97">
        <f t="shared" si="6"/>
        <v>0</v>
      </c>
      <c r="AI22" s="97">
        <f t="shared" si="7"/>
        <v>0</v>
      </c>
      <c r="AJ22" s="97">
        <f t="shared" si="8"/>
        <v>0</v>
      </c>
      <c r="AK22" s="97">
        <f t="shared" si="9"/>
        <v>0</v>
      </c>
      <c r="AL22" s="97">
        <f t="shared" si="10"/>
        <v>0</v>
      </c>
    </row>
    <row r="23" spans="1:38" x14ac:dyDescent="0.25">
      <c r="A23" s="4">
        <f>IF(ISBLANK(B23),"",MAX(A$6:A22)+1)</f>
        <v>14</v>
      </c>
      <c r="B23" s="11" t="s">
        <v>24</v>
      </c>
      <c r="C23" s="82">
        <f>'[1]Exh p1'!S29</f>
        <v>127132037.69018357</v>
      </c>
      <c r="D23" s="82">
        <f>'[4]Production O&amp;M Adjustments (C)'!$D$35+'[4]Production O&amp;M Adjustments (C)'!$D$36</f>
        <v>-18854857.18</v>
      </c>
      <c r="E23" s="82"/>
      <c r="F23" s="82"/>
      <c r="G23" s="82">
        <f>SUM(C23:F23)</f>
        <v>108277180.51018357</v>
      </c>
      <c r="H23" s="66">
        <f>[3]Elect_OMDetail!D30</f>
        <v>2.2058288256380676E-2</v>
      </c>
      <c r="I23" s="82">
        <f t="shared" ref="I23:I29" si="17">G23*(1+H23)^(28/12)</f>
        <v>113932288.80731113</v>
      </c>
      <c r="J23" s="82"/>
      <c r="K23" s="82"/>
      <c r="L23" s="82"/>
      <c r="M23" s="82">
        <f t="shared" ref="M23:M35" si="18">SUM(I23:L23)</f>
        <v>113932288.80731113</v>
      </c>
      <c r="N23" s="72"/>
      <c r="P23" s="88">
        <v>127132037.69018357</v>
      </c>
      <c r="Q23" s="88"/>
      <c r="R23" s="88"/>
      <c r="S23" s="88"/>
      <c r="T23" s="88">
        <v>127132037.69018357</v>
      </c>
      <c r="U23" s="91">
        <v>2.2058288256380676E-2</v>
      </c>
      <c r="V23" s="88">
        <v>133771898.81128907</v>
      </c>
      <c r="W23" s="88"/>
      <c r="X23" s="88"/>
      <c r="Y23" s="88"/>
      <c r="Z23" s="88">
        <v>133771898.81128907</v>
      </c>
      <c r="AB23" s="88">
        <f t="shared" si="0"/>
        <v>0</v>
      </c>
      <c r="AC23" s="88">
        <f t="shared" si="1"/>
        <v>-18854857.18</v>
      </c>
      <c r="AD23" s="88">
        <f t="shared" si="2"/>
        <v>0</v>
      </c>
      <c r="AE23" s="88">
        <f t="shared" si="3"/>
        <v>0</v>
      </c>
      <c r="AF23" s="88">
        <f t="shared" si="4"/>
        <v>-18854857.179999992</v>
      </c>
      <c r="AG23" s="91">
        <f t="shared" si="5"/>
        <v>0</v>
      </c>
      <c r="AH23" s="88">
        <f t="shared" si="6"/>
        <v>-19839610.003977939</v>
      </c>
      <c r="AI23" s="88">
        <f t="shared" si="7"/>
        <v>0</v>
      </c>
      <c r="AJ23" s="88">
        <f t="shared" si="8"/>
        <v>0</v>
      </c>
      <c r="AK23" s="88">
        <f t="shared" si="9"/>
        <v>0</v>
      </c>
      <c r="AL23" s="88">
        <f t="shared" si="10"/>
        <v>-19839610.003977939</v>
      </c>
    </row>
    <row r="24" spans="1:38" x14ac:dyDescent="0.25">
      <c r="A24" s="4">
        <f>IF(ISBLANK(B24),"",MAX(A$6:A23)+1)</f>
        <v>15</v>
      </c>
      <c r="B24" s="6" t="s">
        <v>25</v>
      </c>
      <c r="C24" s="7">
        <f>'[1]Exh p1'!S30</f>
        <v>24319869.025746707</v>
      </c>
      <c r="D24" s="7"/>
      <c r="E24" s="7"/>
      <c r="F24" s="7"/>
      <c r="G24" s="7">
        <f t="shared" ref="G24:G37" si="19">SUM(C24:F24)</f>
        <v>24319869.025746707</v>
      </c>
      <c r="H24" s="66">
        <f>'[3]E_Trsm Exp'!C24</f>
        <v>2.8206077487461068E-2</v>
      </c>
      <c r="I24" s="7">
        <f t="shared" si="17"/>
        <v>25950652.789314322</v>
      </c>
      <c r="J24" s="7"/>
      <c r="K24" s="7"/>
      <c r="L24" s="7"/>
      <c r="M24" s="7">
        <f t="shared" si="18"/>
        <v>25950652.789314322</v>
      </c>
      <c r="P24" s="90">
        <v>24319869.025746707</v>
      </c>
      <c r="Q24" s="90"/>
      <c r="R24" s="90"/>
      <c r="S24" s="90"/>
      <c r="T24" s="90">
        <v>24319869.025746707</v>
      </c>
      <c r="U24" s="91">
        <v>2.3221538863637203E-2</v>
      </c>
      <c r="V24" s="90">
        <v>25658059.22110616</v>
      </c>
      <c r="W24" s="90"/>
      <c r="X24" s="90"/>
      <c r="Y24" s="90"/>
      <c r="Z24" s="90">
        <v>25658059.22110616</v>
      </c>
      <c r="AB24" s="90">
        <f t="shared" si="0"/>
        <v>0</v>
      </c>
      <c r="AC24" s="90">
        <f t="shared" si="1"/>
        <v>0</v>
      </c>
      <c r="AD24" s="90">
        <f t="shared" si="2"/>
        <v>0</v>
      </c>
      <c r="AE24" s="90">
        <f t="shared" si="3"/>
        <v>0</v>
      </c>
      <c r="AF24" s="90">
        <f t="shared" si="4"/>
        <v>0</v>
      </c>
      <c r="AG24" s="91">
        <f t="shared" si="5"/>
        <v>4.9845386238238643E-3</v>
      </c>
      <c r="AH24" s="90">
        <f t="shared" si="6"/>
        <v>292593.56820816174</v>
      </c>
      <c r="AI24" s="90">
        <f t="shared" si="7"/>
        <v>0</v>
      </c>
      <c r="AJ24" s="90">
        <f t="shared" si="8"/>
        <v>0</v>
      </c>
      <c r="AK24" s="90">
        <f t="shared" si="9"/>
        <v>0</v>
      </c>
      <c r="AL24" s="90">
        <f t="shared" si="10"/>
        <v>292593.56820816174</v>
      </c>
    </row>
    <row r="25" spans="1:38" x14ac:dyDescent="0.25">
      <c r="A25" s="4">
        <f>IF(ISBLANK(B25),"",MAX(A$6:A24)+1)</f>
        <v>16</v>
      </c>
      <c r="B25" s="6" t="s">
        <v>26</v>
      </c>
      <c r="C25" s="7">
        <f>'[1]Exh p1'!S31</f>
        <v>83321444.144423828</v>
      </c>
      <c r="D25" s="7"/>
      <c r="E25" s="7"/>
      <c r="F25" s="7"/>
      <c r="G25" s="7">
        <f t="shared" si="19"/>
        <v>83321444.144423828</v>
      </c>
      <c r="H25" s="66">
        <f>'[3]E_Dist Exp'!C21</f>
        <v>1.8105581938520306E-2</v>
      </c>
      <c r="I25" s="7">
        <f t="shared" si="17"/>
        <v>86884045.007239744</v>
      </c>
      <c r="J25" s="7"/>
      <c r="K25" s="7"/>
      <c r="L25" s="7"/>
      <c r="M25" s="7">
        <f t="shared" si="18"/>
        <v>86884045.007239744</v>
      </c>
      <c r="P25" s="90">
        <v>83321444.144423828</v>
      </c>
      <c r="Q25" s="90"/>
      <c r="R25" s="90"/>
      <c r="S25" s="90"/>
      <c r="T25" s="90">
        <v>83321444.144423828</v>
      </c>
      <c r="U25" s="91">
        <v>2.3221538863637203E-2</v>
      </c>
      <c r="V25" s="90">
        <v>87906170.299783334</v>
      </c>
      <c r="W25" s="90"/>
      <c r="X25" s="90"/>
      <c r="Y25" s="90"/>
      <c r="Z25" s="90">
        <v>87906170.299783334</v>
      </c>
      <c r="AB25" s="90">
        <f t="shared" si="0"/>
        <v>0</v>
      </c>
      <c r="AC25" s="90">
        <f t="shared" si="1"/>
        <v>0</v>
      </c>
      <c r="AD25" s="90">
        <f t="shared" si="2"/>
        <v>0</v>
      </c>
      <c r="AE25" s="90">
        <f t="shared" si="3"/>
        <v>0</v>
      </c>
      <c r="AF25" s="90">
        <f t="shared" si="4"/>
        <v>0</v>
      </c>
      <c r="AG25" s="91">
        <f t="shared" si="5"/>
        <v>-5.1159569251168976E-3</v>
      </c>
      <c r="AH25" s="90">
        <f t="shared" si="6"/>
        <v>-1022125.2925435901</v>
      </c>
      <c r="AI25" s="90">
        <f t="shared" si="7"/>
        <v>0</v>
      </c>
      <c r="AJ25" s="90">
        <f t="shared" si="8"/>
        <v>0</v>
      </c>
      <c r="AK25" s="90">
        <f t="shared" si="9"/>
        <v>0</v>
      </c>
      <c r="AL25" s="90">
        <f t="shared" si="10"/>
        <v>-1022125.2925435901</v>
      </c>
    </row>
    <row r="26" spans="1:38" x14ac:dyDescent="0.25">
      <c r="A26" s="4">
        <f>IF(ISBLANK(B26),"",MAX(A$6:A25)+1)</f>
        <v>17</v>
      </c>
      <c r="B26" s="6" t="s">
        <v>27</v>
      </c>
      <c r="C26" s="7">
        <f>'[1]Exh p1'!S32</f>
        <v>46157950.300116494</v>
      </c>
      <c r="D26" s="7"/>
      <c r="E26" s="7"/>
      <c r="F26" s="7"/>
      <c r="G26" s="7">
        <f t="shared" si="19"/>
        <v>46157950.300116494</v>
      </c>
      <c r="H26" s="66">
        <f>'[3]E_Cust Acct Exp'!C24</f>
        <v>2.4038293489449414E-2</v>
      </c>
      <c r="I26" s="7">
        <f t="shared" si="17"/>
        <v>48788519.778661989</v>
      </c>
      <c r="J26" s="7"/>
      <c r="K26" s="7"/>
      <c r="L26" s="7"/>
      <c r="M26" s="7">
        <f t="shared" si="18"/>
        <v>48788519.778661989</v>
      </c>
      <c r="P26" s="90">
        <v>46156575.140734799</v>
      </c>
      <c r="Q26" s="90"/>
      <c r="R26" s="90"/>
      <c r="S26" s="90"/>
      <c r="T26" s="90">
        <v>46156575.140734799</v>
      </c>
      <c r="U26" s="91">
        <v>2.4518113913641004E-2</v>
      </c>
      <c r="V26" s="90">
        <v>48840421.806414381</v>
      </c>
      <c r="W26" s="90"/>
      <c r="X26" s="90"/>
      <c r="Y26" s="90"/>
      <c r="Z26" s="90">
        <v>48840421.806414381</v>
      </c>
      <c r="AB26" s="90">
        <f t="shared" si="0"/>
        <v>1375.1593816950917</v>
      </c>
      <c r="AC26" s="90">
        <f t="shared" si="1"/>
        <v>0</v>
      </c>
      <c r="AD26" s="90">
        <f t="shared" si="2"/>
        <v>0</v>
      </c>
      <c r="AE26" s="90">
        <f t="shared" si="3"/>
        <v>0</v>
      </c>
      <c r="AF26" s="90">
        <f t="shared" si="4"/>
        <v>1375.1593816950917</v>
      </c>
      <c r="AG26" s="91">
        <f t="shared" si="5"/>
        <v>-4.7982042419159043E-4</v>
      </c>
      <c r="AH26" s="90">
        <f t="shared" si="6"/>
        <v>-51902.027752391994</v>
      </c>
      <c r="AI26" s="90">
        <f t="shared" si="7"/>
        <v>0</v>
      </c>
      <c r="AJ26" s="90">
        <f t="shared" si="8"/>
        <v>0</v>
      </c>
      <c r="AK26" s="90">
        <f t="shared" si="9"/>
        <v>0</v>
      </c>
      <c r="AL26" s="90">
        <f t="shared" si="10"/>
        <v>-51902.027752391994</v>
      </c>
    </row>
    <row r="27" spans="1:38" x14ac:dyDescent="0.25">
      <c r="A27" s="4">
        <f>IF(ISBLANK(B27),"",MAX(A$6:A26)+1)</f>
        <v>18</v>
      </c>
      <c r="B27" s="6" t="s">
        <v>28</v>
      </c>
      <c r="C27" s="7">
        <f>'[1]Exh p1'!S33</f>
        <v>4015681.2075902633</v>
      </c>
      <c r="D27" s="7"/>
      <c r="E27" s="7"/>
      <c r="F27" s="7"/>
      <c r="G27" s="7">
        <f t="shared" si="19"/>
        <v>4015681.2075902633</v>
      </c>
      <c r="H27" s="66">
        <f>'[3]E_Cust Service Exp'!C23</f>
        <v>6.5584875707020554E-2</v>
      </c>
      <c r="I27" s="7">
        <f t="shared" si="17"/>
        <v>4657269.1767477971</v>
      </c>
      <c r="J27" s="7"/>
      <c r="K27" s="7"/>
      <c r="L27" s="7"/>
      <c r="M27" s="7">
        <f t="shared" si="18"/>
        <v>4657269.1767477971</v>
      </c>
      <c r="P27" s="90">
        <v>4015681.2075902633</v>
      </c>
      <c r="Q27" s="90"/>
      <c r="R27" s="90"/>
      <c r="S27" s="90"/>
      <c r="T27" s="90">
        <v>4015681.2075902633</v>
      </c>
      <c r="U27" s="91">
        <v>2.4518113913641004E-2</v>
      </c>
      <c r="V27" s="90">
        <v>4249179.3080572495</v>
      </c>
      <c r="W27" s="90"/>
      <c r="X27" s="90"/>
      <c r="Y27" s="90"/>
      <c r="Z27" s="90">
        <v>4249179.3080572495</v>
      </c>
      <c r="AB27" s="90">
        <f t="shared" si="0"/>
        <v>0</v>
      </c>
      <c r="AC27" s="90">
        <f t="shared" si="1"/>
        <v>0</v>
      </c>
      <c r="AD27" s="90">
        <f t="shared" si="2"/>
        <v>0</v>
      </c>
      <c r="AE27" s="90">
        <f t="shared" si="3"/>
        <v>0</v>
      </c>
      <c r="AF27" s="90">
        <f t="shared" si="4"/>
        <v>0</v>
      </c>
      <c r="AG27" s="91">
        <f t="shared" si="5"/>
        <v>4.106676179337955E-2</v>
      </c>
      <c r="AH27" s="90">
        <f t="shared" si="6"/>
        <v>408089.86869054753</v>
      </c>
      <c r="AI27" s="90">
        <f t="shared" si="7"/>
        <v>0</v>
      </c>
      <c r="AJ27" s="90">
        <f t="shared" si="8"/>
        <v>0</v>
      </c>
      <c r="AK27" s="90">
        <f t="shared" si="9"/>
        <v>0</v>
      </c>
      <c r="AL27" s="90">
        <f t="shared" si="10"/>
        <v>408089.86869054753</v>
      </c>
    </row>
    <row r="28" spans="1:38" x14ac:dyDescent="0.25">
      <c r="A28" s="4">
        <f>IF(ISBLANK(B28),"",MAX(A$6:A27)+1)</f>
        <v>19</v>
      </c>
      <c r="B28" s="6" t="s">
        <v>29</v>
      </c>
      <c r="C28" s="7">
        <f>'[1]Exh p1'!S34</f>
        <v>0</v>
      </c>
      <c r="D28" s="7"/>
      <c r="E28" s="7"/>
      <c r="F28" s="7"/>
      <c r="G28" s="7">
        <f t="shared" si="19"/>
        <v>0</v>
      </c>
      <c r="H28" s="66"/>
      <c r="I28" s="7">
        <f t="shared" si="17"/>
        <v>0</v>
      </c>
      <c r="J28" s="7"/>
      <c r="K28" s="7"/>
      <c r="L28" s="7"/>
      <c r="M28" s="7">
        <f t="shared" si="18"/>
        <v>0</v>
      </c>
      <c r="P28" s="90">
        <v>0</v>
      </c>
      <c r="Q28" s="90"/>
      <c r="R28" s="90"/>
      <c r="S28" s="90"/>
      <c r="T28" s="90">
        <v>0</v>
      </c>
      <c r="U28" s="91"/>
      <c r="V28" s="90">
        <v>0</v>
      </c>
      <c r="W28" s="90"/>
      <c r="X28" s="90"/>
      <c r="Y28" s="90"/>
      <c r="Z28" s="90">
        <v>0</v>
      </c>
      <c r="AB28" s="90">
        <f t="shared" si="0"/>
        <v>0</v>
      </c>
      <c r="AC28" s="90">
        <f t="shared" si="1"/>
        <v>0</v>
      </c>
      <c r="AD28" s="90">
        <f t="shared" si="2"/>
        <v>0</v>
      </c>
      <c r="AE28" s="90">
        <f t="shared" si="3"/>
        <v>0</v>
      </c>
      <c r="AF28" s="90">
        <f t="shared" si="4"/>
        <v>0</v>
      </c>
      <c r="AG28" s="91">
        <f t="shared" si="5"/>
        <v>0</v>
      </c>
      <c r="AH28" s="90">
        <f t="shared" si="6"/>
        <v>0</v>
      </c>
      <c r="AI28" s="90">
        <f t="shared" si="7"/>
        <v>0</v>
      </c>
      <c r="AJ28" s="90">
        <f t="shared" si="8"/>
        <v>0</v>
      </c>
      <c r="AK28" s="90">
        <f t="shared" si="9"/>
        <v>0</v>
      </c>
      <c r="AL28" s="90">
        <f t="shared" si="10"/>
        <v>0</v>
      </c>
    </row>
    <row r="29" spans="1:38" x14ac:dyDescent="0.25">
      <c r="A29" s="4">
        <f>IF(ISBLANK(B29),"",MAX(A$6:A28)+1)</f>
        <v>20</v>
      </c>
      <c r="B29" s="6" t="s">
        <v>30</v>
      </c>
      <c r="C29" s="7">
        <f>'[1]Exh p1'!S35</f>
        <v>124099543.54044458</v>
      </c>
      <c r="D29" s="7"/>
      <c r="E29" s="7"/>
      <c r="F29" s="7"/>
      <c r="G29" s="7">
        <f t="shared" si="19"/>
        <v>124099543.54044458</v>
      </c>
      <c r="H29" s="66">
        <f>[3]Elect_OMDetail!D194</f>
        <v>3.0173455755267975E-2</v>
      </c>
      <c r="I29" s="7">
        <f t="shared" si="17"/>
        <v>133013078.95121063</v>
      </c>
      <c r="J29" s="7"/>
      <c r="K29" s="7"/>
      <c r="L29" s="7"/>
      <c r="M29" s="7">
        <f t="shared" si="18"/>
        <v>133013078.95121063</v>
      </c>
      <c r="P29" s="90">
        <v>124099219.17215073</v>
      </c>
      <c r="Q29" s="90"/>
      <c r="R29" s="90"/>
      <c r="S29" s="90"/>
      <c r="T29" s="90">
        <v>124099219.17215073</v>
      </c>
      <c r="U29" s="91">
        <v>3.0173455755267975E-2</v>
      </c>
      <c r="V29" s="90">
        <v>133012731.28494009</v>
      </c>
      <c r="W29" s="90"/>
      <c r="X29" s="90"/>
      <c r="Y29" s="90"/>
      <c r="Z29" s="90">
        <v>133012731.28494009</v>
      </c>
      <c r="AB29" s="90">
        <f t="shared" si="0"/>
        <v>324.368293851614</v>
      </c>
      <c r="AC29" s="90">
        <f t="shared" si="1"/>
        <v>0</v>
      </c>
      <c r="AD29" s="90">
        <f t="shared" si="2"/>
        <v>0</v>
      </c>
      <c r="AE29" s="90">
        <f t="shared" si="3"/>
        <v>0</v>
      </c>
      <c r="AF29" s="90">
        <f t="shared" si="4"/>
        <v>324.368293851614</v>
      </c>
      <c r="AG29" s="91">
        <f t="shared" si="5"/>
        <v>0</v>
      </c>
      <c r="AH29" s="90">
        <f t="shared" si="6"/>
        <v>347.66627053916454</v>
      </c>
      <c r="AI29" s="90">
        <f t="shared" si="7"/>
        <v>0</v>
      </c>
      <c r="AJ29" s="90">
        <f t="shared" si="8"/>
        <v>0</v>
      </c>
      <c r="AK29" s="90">
        <f t="shared" si="9"/>
        <v>0</v>
      </c>
      <c r="AL29" s="90">
        <f t="shared" si="10"/>
        <v>347.66627053916454</v>
      </c>
    </row>
    <row r="30" spans="1:38" x14ac:dyDescent="0.25">
      <c r="A30" s="4">
        <f>IF(ISBLANK(B30),"",MAX(A$6:A29)+1)</f>
        <v>21</v>
      </c>
      <c r="B30" s="6" t="s">
        <v>1</v>
      </c>
      <c r="C30" s="7">
        <f>'[1]Exh p1'!S36</f>
        <v>340799039.95999998</v>
      </c>
      <c r="D30" s="7">
        <f>-('[5]Depr Exp 2019 GRC Annual'!$D$37+'[5]Depr Exp 2019 GRC Annual'!$D$19)</f>
        <v>-42298712.619999997</v>
      </c>
      <c r="E30" s="7">
        <f>[3]AMI!$E45</f>
        <v>-5438518.1342967749</v>
      </c>
      <c r="F30" s="7">
        <v>0</v>
      </c>
      <c r="G30" s="7">
        <f t="shared" si="19"/>
        <v>293061809.2057032</v>
      </c>
      <c r="H30" s="66"/>
      <c r="I30" s="7">
        <f>'[6]Electric Consol'!$K$42-I31</f>
        <v>393137598.22042513</v>
      </c>
      <c r="J30" s="61" t="s">
        <v>112</v>
      </c>
      <c r="K30" s="61"/>
      <c r="L30" s="7"/>
      <c r="M30" s="7">
        <f t="shared" si="18"/>
        <v>393137598.22042513</v>
      </c>
      <c r="P30" s="90">
        <v>341413195.95999998</v>
      </c>
      <c r="Q30" s="90">
        <v>-42298712.619999997</v>
      </c>
      <c r="R30" s="90">
        <v>-5438518.1342967749</v>
      </c>
      <c r="S30" s="90">
        <v>0</v>
      </c>
      <c r="T30" s="90">
        <v>293675965.2057032</v>
      </c>
      <c r="U30" s="91"/>
      <c r="V30" s="90">
        <v>399943530.77323258</v>
      </c>
      <c r="W30" s="98" t="s">
        <v>112</v>
      </c>
      <c r="X30" s="98"/>
      <c r="Y30" s="90"/>
      <c r="Z30" s="90">
        <v>399943530.77323258</v>
      </c>
      <c r="AB30" s="90">
        <f t="shared" si="0"/>
        <v>-614156</v>
      </c>
      <c r="AC30" s="90">
        <f t="shared" si="1"/>
        <v>0</v>
      </c>
      <c r="AD30" s="90">
        <f t="shared" si="2"/>
        <v>0</v>
      </c>
      <c r="AE30" s="90">
        <f t="shared" si="3"/>
        <v>0</v>
      </c>
      <c r="AF30" s="90">
        <f t="shared" si="4"/>
        <v>-614156</v>
      </c>
      <c r="AG30" s="91">
        <f t="shared" si="5"/>
        <v>0</v>
      </c>
      <c r="AH30" s="90">
        <f t="shared" si="6"/>
        <v>-6805932.5528074503</v>
      </c>
      <c r="AI30" s="98" t="e">
        <f t="shared" si="7"/>
        <v>#VALUE!</v>
      </c>
      <c r="AJ30" s="98">
        <f t="shared" si="8"/>
        <v>0</v>
      </c>
      <c r="AK30" s="90">
        <f t="shared" si="9"/>
        <v>0</v>
      </c>
      <c r="AL30" s="90">
        <f t="shared" si="10"/>
        <v>-6805932.5528074503</v>
      </c>
    </row>
    <row r="31" spans="1:38" x14ac:dyDescent="0.25">
      <c r="A31" s="4">
        <f>IF(ISBLANK(B31),"",MAX(A$6:A30)+1)</f>
        <v>22</v>
      </c>
      <c r="B31" s="6" t="s">
        <v>31</v>
      </c>
      <c r="C31" s="7">
        <f>'[1]Exh p1'!S37</f>
        <v>69623674.725999996</v>
      </c>
      <c r="D31" s="7"/>
      <c r="E31" s="7"/>
      <c r="F31" s="7">
        <f>-'[3]GTZ Historical RB'!$E60</f>
        <v>-6449028.8199709654</v>
      </c>
      <c r="G31" s="7">
        <f t="shared" si="19"/>
        <v>63174645.906029031</v>
      </c>
      <c r="H31" s="66"/>
      <c r="I31" s="7">
        <f>SUM('[6]Electric Consol'!$J$35:$K$35,'[6]Electric Consol'!$J$40:$K$40)</f>
        <v>77370792.063989177</v>
      </c>
      <c r="J31" s="61"/>
      <c r="K31" s="61" t="s">
        <v>112</v>
      </c>
      <c r="L31" s="7"/>
      <c r="M31" s="7">
        <f t="shared" si="18"/>
        <v>77370792.063989177</v>
      </c>
      <c r="P31" s="90">
        <v>75292958.060000002</v>
      </c>
      <c r="Q31" s="90"/>
      <c r="R31" s="90"/>
      <c r="S31" s="90">
        <v>-6449028.8199709654</v>
      </c>
      <c r="T31" s="90">
        <v>68843929.240029037</v>
      </c>
      <c r="U31" s="91"/>
      <c r="V31" s="90">
        <v>92202250.778924987</v>
      </c>
      <c r="W31" s="98"/>
      <c r="X31" s="98" t="s">
        <v>112</v>
      </c>
      <c r="Y31" s="90"/>
      <c r="Z31" s="90">
        <v>92202250.778924987</v>
      </c>
      <c r="AB31" s="90">
        <f t="shared" si="0"/>
        <v>-5669283.3340000063</v>
      </c>
      <c r="AC31" s="90">
        <f t="shared" si="1"/>
        <v>0</v>
      </c>
      <c r="AD31" s="90">
        <f t="shared" si="2"/>
        <v>0</v>
      </c>
      <c r="AE31" s="90">
        <f t="shared" si="3"/>
        <v>0</v>
      </c>
      <c r="AF31" s="90">
        <f t="shared" si="4"/>
        <v>-5669283.3340000063</v>
      </c>
      <c r="AG31" s="91">
        <f t="shared" si="5"/>
        <v>0</v>
      </c>
      <c r="AH31" s="90">
        <f t="shared" si="6"/>
        <v>-14831458.714935809</v>
      </c>
      <c r="AI31" s="98">
        <f t="shared" si="7"/>
        <v>0</v>
      </c>
      <c r="AJ31" s="98" t="e">
        <f t="shared" si="8"/>
        <v>#VALUE!</v>
      </c>
      <c r="AK31" s="90">
        <f t="shared" si="9"/>
        <v>0</v>
      </c>
      <c r="AL31" s="90">
        <f t="shared" si="10"/>
        <v>-14831458.714935809</v>
      </c>
    </row>
    <row r="32" spans="1:38" x14ac:dyDescent="0.25">
      <c r="A32" s="4">
        <f>IF(ISBLANK(B32),"",MAX(A$6:A31)+1)</f>
        <v>23</v>
      </c>
      <c r="B32" s="14" t="s">
        <v>32</v>
      </c>
      <c r="C32" s="7">
        <f>'[1]Exh p1'!S38</f>
        <v>43150399.323406145</v>
      </c>
      <c r="D32" s="7"/>
      <c r="E32" s="7"/>
      <c r="F32" s="7"/>
      <c r="G32" s="7">
        <f t="shared" si="19"/>
        <v>43150399.323406145</v>
      </c>
      <c r="H32" s="66"/>
      <c r="I32" s="7">
        <f>G32*(1+H32)^(28/12)</f>
        <v>43150399.323406145</v>
      </c>
      <c r="J32" s="7"/>
      <c r="K32" s="7"/>
      <c r="L32" s="7"/>
      <c r="M32" s="7">
        <f t="shared" si="18"/>
        <v>43150399.323406145</v>
      </c>
      <c r="P32" s="90">
        <v>43150399.323406145</v>
      </c>
      <c r="Q32" s="90"/>
      <c r="R32" s="90"/>
      <c r="S32" s="90"/>
      <c r="T32" s="90">
        <v>43150399.323406145</v>
      </c>
      <c r="U32" s="91"/>
      <c r="V32" s="90">
        <v>43150399.323406145</v>
      </c>
      <c r="W32" s="90"/>
      <c r="X32" s="90"/>
      <c r="Y32" s="90"/>
      <c r="Z32" s="90">
        <v>43150399.323406145</v>
      </c>
      <c r="AB32" s="90">
        <f t="shared" si="0"/>
        <v>0</v>
      </c>
      <c r="AC32" s="90">
        <f t="shared" si="1"/>
        <v>0</v>
      </c>
      <c r="AD32" s="90">
        <f t="shared" si="2"/>
        <v>0</v>
      </c>
      <c r="AE32" s="90">
        <f t="shared" si="3"/>
        <v>0</v>
      </c>
      <c r="AF32" s="90">
        <f t="shared" si="4"/>
        <v>0</v>
      </c>
      <c r="AG32" s="91">
        <f t="shared" si="5"/>
        <v>0</v>
      </c>
      <c r="AH32" s="90">
        <f t="shared" si="6"/>
        <v>0</v>
      </c>
      <c r="AI32" s="90">
        <f t="shared" si="7"/>
        <v>0</v>
      </c>
      <c r="AJ32" s="90">
        <f t="shared" si="8"/>
        <v>0</v>
      </c>
      <c r="AK32" s="90">
        <f t="shared" si="9"/>
        <v>0</v>
      </c>
      <c r="AL32" s="90">
        <f t="shared" si="10"/>
        <v>0</v>
      </c>
    </row>
    <row r="33" spans="1:38" x14ac:dyDescent="0.25">
      <c r="A33" s="4">
        <f>IF(ISBLANK(B33),"",MAX(A$6:A32)+1)</f>
        <v>24</v>
      </c>
      <c r="B33" s="6" t="s">
        <v>33</v>
      </c>
      <c r="C33" s="7">
        <f>'[1]Exh p1'!S39</f>
        <v>9465483.5044017509</v>
      </c>
      <c r="D33" s="7"/>
      <c r="E33" s="7"/>
      <c r="F33" s="7"/>
      <c r="G33" s="7">
        <f t="shared" si="19"/>
        <v>9465483.5044017509</v>
      </c>
      <c r="H33" s="66">
        <v>0</v>
      </c>
      <c r="I33" s="7">
        <f>G33*(1+H33)^(28/12)</f>
        <v>9465483.5044017509</v>
      </c>
      <c r="J33" s="7"/>
      <c r="K33" s="7"/>
      <c r="L33" s="7"/>
      <c r="M33" s="7">
        <f t="shared" si="18"/>
        <v>9465483.5044017509</v>
      </c>
      <c r="P33" s="90">
        <v>915207.81454524118</v>
      </c>
      <c r="Q33" s="90"/>
      <c r="R33" s="90"/>
      <c r="S33" s="90"/>
      <c r="T33" s="90">
        <v>915207.81454524118</v>
      </c>
      <c r="U33" s="91">
        <v>2.5146037645821018E-2</v>
      </c>
      <c r="V33" s="90">
        <v>969809.51409823587</v>
      </c>
      <c r="W33" s="90"/>
      <c r="X33" s="90"/>
      <c r="Y33" s="90"/>
      <c r="Z33" s="90">
        <v>969809.51409823587</v>
      </c>
      <c r="AB33" s="90">
        <f t="shared" si="0"/>
        <v>8550275.6898565106</v>
      </c>
      <c r="AC33" s="90">
        <f t="shared" si="1"/>
        <v>0</v>
      </c>
      <c r="AD33" s="90">
        <f t="shared" si="2"/>
        <v>0</v>
      </c>
      <c r="AE33" s="90">
        <f t="shared" si="3"/>
        <v>0</v>
      </c>
      <c r="AF33" s="90">
        <f t="shared" si="4"/>
        <v>8550275.6898565106</v>
      </c>
      <c r="AG33" s="91">
        <f t="shared" si="5"/>
        <v>-2.5146037645821018E-2</v>
      </c>
      <c r="AH33" s="90">
        <f t="shared" si="6"/>
        <v>8495673.9903035145</v>
      </c>
      <c r="AI33" s="90">
        <f t="shared" si="7"/>
        <v>0</v>
      </c>
      <c r="AJ33" s="90">
        <f t="shared" si="8"/>
        <v>0</v>
      </c>
      <c r="AK33" s="90">
        <f t="shared" si="9"/>
        <v>0</v>
      </c>
      <c r="AL33" s="90">
        <f t="shared" si="10"/>
        <v>8495673.9903035145</v>
      </c>
    </row>
    <row r="34" spans="1:38" x14ac:dyDescent="0.25">
      <c r="A34" s="4">
        <f>IF(ISBLANK(B34),"",MAX(A$6:A33)+1)</f>
        <v>25</v>
      </c>
      <c r="B34" s="3" t="s">
        <v>34</v>
      </c>
      <c r="C34" s="7">
        <f>'[1]Exh p1'!S40</f>
        <v>0</v>
      </c>
      <c r="D34" s="7"/>
      <c r="E34" s="7"/>
      <c r="F34" s="7"/>
      <c r="G34" s="7">
        <f t="shared" si="19"/>
        <v>0</v>
      </c>
      <c r="H34" s="66"/>
      <c r="I34" s="7">
        <f>G34*(1+H34)^(28/12)</f>
        <v>0</v>
      </c>
      <c r="J34" s="7"/>
      <c r="K34" s="7"/>
      <c r="L34" s="7"/>
      <c r="M34" s="7">
        <f t="shared" si="18"/>
        <v>0</v>
      </c>
      <c r="P34" s="90">
        <v>0</v>
      </c>
      <c r="Q34" s="90"/>
      <c r="R34" s="90"/>
      <c r="S34" s="90"/>
      <c r="T34" s="90">
        <v>0</v>
      </c>
      <c r="U34" s="91"/>
      <c r="V34" s="90">
        <v>0</v>
      </c>
      <c r="W34" s="90"/>
      <c r="X34" s="90"/>
      <c r="Y34" s="90"/>
      <c r="Z34" s="90">
        <v>0</v>
      </c>
      <c r="AB34" s="90">
        <f t="shared" si="0"/>
        <v>0</v>
      </c>
      <c r="AC34" s="90">
        <f t="shared" si="1"/>
        <v>0</v>
      </c>
      <c r="AD34" s="90">
        <f t="shared" si="2"/>
        <v>0</v>
      </c>
      <c r="AE34" s="90">
        <f t="shared" si="3"/>
        <v>0</v>
      </c>
      <c r="AF34" s="90">
        <f t="shared" si="4"/>
        <v>0</v>
      </c>
      <c r="AG34" s="91">
        <f t="shared" si="5"/>
        <v>0</v>
      </c>
      <c r="AH34" s="90">
        <f t="shared" si="6"/>
        <v>0</v>
      </c>
      <c r="AI34" s="90">
        <f t="shared" si="7"/>
        <v>0</v>
      </c>
      <c r="AJ34" s="90">
        <f t="shared" si="8"/>
        <v>0</v>
      </c>
      <c r="AK34" s="90">
        <f t="shared" si="9"/>
        <v>0</v>
      </c>
      <c r="AL34" s="90">
        <f t="shared" si="10"/>
        <v>0</v>
      </c>
    </row>
    <row r="35" spans="1:38" x14ac:dyDescent="0.25">
      <c r="A35" s="4">
        <f>IF(ISBLANK(B35),"",MAX(A$6:A34)+1)</f>
        <v>26</v>
      </c>
      <c r="B35" s="6" t="s">
        <v>35</v>
      </c>
      <c r="C35" s="7">
        <f>'[1]Exh p1'!S41</f>
        <v>57998985.069073714</v>
      </c>
      <c r="D35" s="7"/>
      <c r="E35" s="7"/>
      <c r="F35" s="7"/>
      <c r="G35" s="7">
        <f t="shared" si="19"/>
        <v>57998985.069073714</v>
      </c>
      <c r="H35" s="66">
        <f>[3]Electric_TOTI!D30</f>
        <v>8.69009851137581E-3</v>
      </c>
      <c r="I35" s="7">
        <f>G35*(1+H35)^(28/12)</f>
        <v>59181844.322726473</v>
      </c>
      <c r="J35" s="7"/>
      <c r="K35" s="7"/>
      <c r="L35" s="7"/>
      <c r="M35" s="7">
        <f t="shared" si="18"/>
        <v>59181844.322726473</v>
      </c>
      <c r="P35" s="90">
        <v>57992756.224727258</v>
      </c>
      <c r="Q35" s="90"/>
      <c r="R35" s="90"/>
      <c r="S35" s="90"/>
      <c r="T35" s="90">
        <v>57992756.224727258</v>
      </c>
      <c r="U35" s="91">
        <v>8.69009851137581E-3</v>
      </c>
      <c r="V35" s="90">
        <v>59175488.444326468</v>
      </c>
      <c r="W35" s="90"/>
      <c r="X35" s="90"/>
      <c r="Y35" s="90"/>
      <c r="Z35" s="90">
        <v>59175488.444326468</v>
      </c>
      <c r="AB35" s="90">
        <f t="shared" si="0"/>
        <v>6228.8443464562297</v>
      </c>
      <c r="AC35" s="90">
        <f t="shared" si="1"/>
        <v>0</v>
      </c>
      <c r="AD35" s="90">
        <f t="shared" si="2"/>
        <v>0</v>
      </c>
      <c r="AE35" s="90">
        <f t="shared" si="3"/>
        <v>0</v>
      </c>
      <c r="AF35" s="90">
        <f t="shared" si="4"/>
        <v>6228.8443464562297</v>
      </c>
      <c r="AG35" s="91">
        <f t="shared" si="5"/>
        <v>0</v>
      </c>
      <c r="AH35" s="90">
        <f t="shared" si="6"/>
        <v>6355.8784000054002</v>
      </c>
      <c r="AI35" s="90">
        <f t="shared" si="7"/>
        <v>0</v>
      </c>
      <c r="AJ35" s="90">
        <f t="shared" si="8"/>
        <v>0</v>
      </c>
      <c r="AK35" s="90">
        <f t="shared" si="9"/>
        <v>0</v>
      </c>
      <c r="AL35" s="90">
        <f t="shared" si="10"/>
        <v>6355.8784000054002</v>
      </c>
    </row>
    <row r="36" spans="1:38" x14ac:dyDescent="0.25">
      <c r="A36" s="4">
        <f>IF(ISBLANK(B36),"",MAX(A$6:A35)+1)</f>
        <v>27</v>
      </c>
      <c r="B36" s="6" t="s">
        <v>36</v>
      </c>
      <c r="C36" s="7">
        <f>'[1]Exh p1'!S42</f>
        <v>86144381.514366716</v>
      </c>
      <c r="D36" s="7"/>
      <c r="E36" s="7"/>
      <c r="F36" s="7"/>
      <c r="G36" s="7">
        <f t="shared" si="19"/>
        <v>86144381.514366716</v>
      </c>
      <c r="H36" s="66"/>
      <c r="I36" s="7">
        <f>SUM('[6]ETR '!$E$11,'[6]ETR '!$E$15)</f>
        <v>79315878.782576978</v>
      </c>
      <c r="J36" s="7"/>
      <c r="K36" s="7"/>
      <c r="L36" s="7"/>
      <c r="M36" s="7">
        <f>I36</f>
        <v>79315878.782576978</v>
      </c>
      <c r="P36" s="90">
        <v>86592770.846183896</v>
      </c>
      <c r="Q36" s="90"/>
      <c r="R36" s="90"/>
      <c r="S36" s="90"/>
      <c r="T36" s="90">
        <v>86592770.846183896</v>
      </c>
      <c r="U36" s="91"/>
      <c r="V36" s="90">
        <v>72312596.896482632</v>
      </c>
      <c r="W36" s="90"/>
      <c r="X36" s="90"/>
      <c r="Y36" s="90"/>
      <c r="Z36" s="90">
        <v>72312596.896482632</v>
      </c>
      <c r="AB36" s="90">
        <f t="shared" si="0"/>
        <v>-448389.33181717992</v>
      </c>
      <c r="AC36" s="90">
        <f t="shared" si="1"/>
        <v>0</v>
      </c>
      <c r="AD36" s="90">
        <f t="shared" si="2"/>
        <v>0</v>
      </c>
      <c r="AE36" s="90">
        <f t="shared" si="3"/>
        <v>0</v>
      </c>
      <c r="AF36" s="90">
        <f t="shared" si="4"/>
        <v>-448389.33181717992</v>
      </c>
      <c r="AG36" s="91">
        <f t="shared" si="5"/>
        <v>0</v>
      </c>
      <c r="AH36" s="90">
        <f t="shared" si="6"/>
        <v>7003281.8860943466</v>
      </c>
      <c r="AI36" s="90">
        <f t="shared" si="7"/>
        <v>0</v>
      </c>
      <c r="AJ36" s="90">
        <f t="shared" si="8"/>
        <v>0</v>
      </c>
      <c r="AK36" s="90">
        <f t="shared" si="9"/>
        <v>0</v>
      </c>
      <c r="AL36" s="90">
        <f t="shared" si="10"/>
        <v>7003281.8860943466</v>
      </c>
    </row>
    <row r="37" spans="1:38" x14ac:dyDescent="0.25">
      <c r="A37" s="4">
        <f>IF(ISBLANK(B37),"",MAX(A$6:A36)+1)</f>
        <v>28</v>
      </c>
      <c r="B37" s="3" t="s">
        <v>37</v>
      </c>
      <c r="C37" s="7">
        <f>'[1]Exh p1'!S43</f>
        <v>-51808800.905295342</v>
      </c>
      <c r="D37" s="7"/>
      <c r="E37" s="7"/>
      <c r="F37" s="7"/>
      <c r="G37" s="7">
        <f t="shared" si="19"/>
        <v>-51808800.905295342</v>
      </c>
      <c r="H37" s="66"/>
      <c r="I37" s="7">
        <f>SUM('[6]ETR '!$E$12:$E$14)</f>
        <v>-57565020.73788783</v>
      </c>
      <c r="J37" s="7"/>
      <c r="K37" s="7"/>
      <c r="L37" s="7"/>
      <c r="M37" s="7">
        <f>I37</f>
        <v>-57565020.73788783</v>
      </c>
      <c r="N37" s="52"/>
      <c r="O37" s="52"/>
      <c r="P37" s="90">
        <v>-51808800.905295342</v>
      </c>
      <c r="Q37" s="90"/>
      <c r="R37" s="90"/>
      <c r="S37" s="90"/>
      <c r="T37" s="90">
        <v>-51808800.905295342</v>
      </c>
      <c r="U37" s="91"/>
      <c r="V37" s="90">
        <v>-58854073.648140475</v>
      </c>
      <c r="W37" s="90"/>
      <c r="X37" s="90"/>
      <c r="Y37" s="90"/>
      <c r="Z37" s="90">
        <v>-58854073.648140475</v>
      </c>
      <c r="AB37" s="90">
        <f t="shared" si="0"/>
        <v>0</v>
      </c>
      <c r="AC37" s="90">
        <f t="shared" si="1"/>
        <v>0</v>
      </c>
      <c r="AD37" s="90">
        <f t="shared" si="2"/>
        <v>0</v>
      </c>
      <c r="AE37" s="90">
        <f t="shared" si="3"/>
        <v>0</v>
      </c>
      <c r="AF37" s="90">
        <f t="shared" si="4"/>
        <v>0</v>
      </c>
      <c r="AG37" s="91">
        <f t="shared" si="5"/>
        <v>0</v>
      </c>
      <c r="AH37" s="90">
        <f t="shared" si="6"/>
        <v>1289052.9102526456</v>
      </c>
      <c r="AI37" s="90">
        <f t="shared" si="7"/>
        <v>0</v>
      </c>
      <c r="AJ37" s="90">
        <f t="shared" si="8"/>
        <v>0</v>
      </c>
      <c r="AK37" s="90">
        <f t="shared" si="9"/>
        <v>0</v>
      </c>
      <c r="AL37" s="90">
        <f t="shared" si="10"/>
        <v>1289052.9102526456</v>
      </c>
    </row>
    <row r="38" spans="1:38" x14ac:dyDescent="0.25">
      <c r="A38" s="4">
        <f>IF(ISBLANK(B38),"",MAX(A$6:A37)+1)</f>
        <v>29</v>
      </c>
      <c r="B38" s="9" t="s">
        <v>38</v>
      </c>
      <c r="C38" s="132">
        <f t="shared" ref="C38:F38" si="20">SUM(C21:C37)</f>
        <v>964419689.10045838</v>
      </c>
      <c r="D38" s="132">
        <f t="shared" si="20"/>
        <v>-61153569.799999997</v>
      </c>
      <c r="E38" s="132">
        <f t="shared" si="20"/>
        <v>-5438518.1342967749</v>
      </c>
      <c r="F38" s="132">
        <f t="shared" si="20"/>
        <v>-6449028.8199709654</v>
      </c>
      <c r="G38" s="15">
        <f t="shared" ref="G38" si="21">SUM(G21:G37)</f>
        <v>891378572.34619057</v>
      </c>
      <c r="H38" s="47"/>
      <c r="I38" s="132">
        <f>SUM(I21:I37)</f>
        <v>1017282829.9901235</v>
      </c>
      <c r="J38" s="132">
        <f t="shared" ref="J38:K38" si="22">SUM(J21:J37)</f>
        <v>0</v>
      </c>
      <c r="K38" s="132">
        <f t="shared" si="22"/>
        <v>0</v>
      </c>
      <c r="L38" s="15">
        <f t="shared" ref="L38:M38" si="23">SUM(L21:L37)</f>
        <v>0</v>
      </c>
      <c r="M38" s="15">
        <f t="shared" si="23"/>
        <v>1017282829.9901235</v>
      </c>
      <c r="P38" s="99">
        <v>962593313.70439696</v>
      </c>
      <c r="Q38" s="99">
        <v>-42298712.619999997</v>
      </c>
      <c r="R38" s="99">
        <v>-5438518.1342967749</v>
      </c>
      <c r="S38" s="99">
        <v>-6449028.8199709654</v>
      </c>
      <c r="T38" s="99">
        <v>908407054.13012934</v>
      </c>
      <c r="U38" s="95"/>
      <c r="V38" s="99">
        <v>1042338462.813921</v>
      </c>
      <c r="W38" s="99">
        <v>0</v>
      </c>
      <c r="X38" s="99">
        <v>0</v>
      </c>
      <c r="Y38" s="99">
        <v>0</v>
      </c>
      <c r="Z38" s="99">
        <v>1042338462.813921</v>
      </c>
      <c r="AB38" s="99">
        <f t="shared" si="0"/>
        <v>1826375.3960614204</v>
      </c>
      <c r="AC38" s="99">
        <f t="shared" si="1"/>
        <v>-18854857.18</v>
      </c>
      <c r="AD38" s="99">
        <f t="shared" si="2"/>
        <v>0</v>
      </c>
      <c r="AE38" s="99">
        <f t="shared" si="3"/>
        <v>0</v>
      </c>
      <c r="AF38" s="99">
        <f t="shared" si="4"/>
        <v>-17028481.783938766</v>
      </c>
      <c r="AG38" s="95">
        <f t="shared" si="5"/>
        <v>0</v>
      </c>
      <c r="AH38" s="99">
        <f t="shared" si="6"/>
        <v>-25055632.823797464</v>
      </c>
      <c r="AI38" s="99">
        <f t="shared" si="7"/>
        <v>0</v>
      </c>
      <c r="AJ38" s="99">
        <f t="shared" si="8"/>
        <v>0</v>
      </c>
      <c r="AK38" s="99">
        <f t="shared" si="9"/>
        <v>0</v>
      </c>
      <c r="AL38" s="99">
        <f t="shared" si="10"/>
        <v>-25055632.823797464</v>
      </c>
    </row>
    <row r="39" spans="1:38" s="71" customFormat="1" x14ac:dyDescent="0.25">
      <c r="A39" s="76" t="str">
        <f>IF(ISBLANK(B39),"",MAX(A$6:A38)+1)</f>
        <v/>
      </c>
      <c r="B39" s="77"/>
      <c r="C39" s="78"/>
      <c r="D39" s="78"/>
      <c r="E39" s="78"/>
      <c r="F39" s="100" t="s">
        <v>121</v>
      </c>
      <c r="G39" s="78">
        <f>G23+G24+G25+G26+G27+G29</f>
        <v>390191668.72850543</v>
      </c>
      <c r="H39" s="79"/>
      <c r="I39" s="78">
        <f>I23+I24+I25+I26+I27+I29</f>
        <v>413225854.51048559</v>
      </c>
      <c r="J39" s="78"/>
      <c r="K39" s="133"/>
      <c r="L39" s="78"/>
      <c r="M39" s="78"/>
      <c r="P39" s="78"/>
      <c r="Q39" s="78"/>
      <c r="R39" s="78"/>
      <c r="S39" s="78"/>
      <c r="T39" s="78"/>
      <c r="U39" s="79"/>
      <c r="V39" s="78"/>
      <c r="W39" s="78"/>
      <c r="X39" s="78"/>
      <c r="Y39" s="78"/>
      <c r="Z39" s="78"/>
      <c r="AB39" s="78">
        <f t="shared" si="0"/>
        <v>0</v>
      </c>
      <c r="AC39" s="78">
        <f t="shared" si="1"/>
        <v>0</v>
      </c>
      <c r="AD39" s="78">
        <f t="shared" si="2"/>
        <v>0</v>
      </c>
      <c r="AE39" s="78" t="e">
        <f t="shared" si="3"/>
        <v>#VALUE!</v>
      </c>
      <c r="AF39" s="78">
        <f t="shared" si="4"/>
        <v>390191668.72850543</v>
      </c>
      <c r="AG39" s="79">
        <f t="shared" si="5"/>
        <v>0</v>
      </c>
      <c r="AH39" s="78">
        <f t="shared" si="6"/>
        <v>413225854.51048559</v>
      </c>
      <c r="AI39" s="78">
        <f t="shared" si="7"/>
        <v>0</v>
      </c>
      <c r="AJ39" s="78">
        <f t="shared" si="8"/>
        <v>0</v>
      </c>
      <c r="AK39" s="78">
        <f t="shared" si="9"/>
        <v>0</v>
      </c>
      <c r="AL39" s="78">
        <f t="shared" si="10"/>
        <v>0</v>
      </c>
    </row>
    <row r="40" spans="1:38" x14ac:dyDescent="0.25">
      <c r="A40" s="4">
        <f>IF(ISBLANK(B40),"",MAX(A$6:A39)+1)</f>
        <v>30</v>
      </c>
      <c r="B40" s="3" t="s">
        <v>39</v>
      </c>
      <c r="C40" s="82">
        <f>C12-C38</f>
        <v>373754074.11326671</v>
      </c>
      <c r="D40" s="82"/>
      <c r="E40" s="82"/>
      <c r="F40" s="82"/>
      <c r="G40" s="82">
        <f>G12-G38</f>
        <v>446795190.86753452</v>
      </c>
      <c r="H40" s="47"/>
      <c r="I40" s="82">
        <f>I12-I38</f>
        <v>366685917.1104393</v>
      </c>
      <c r="J40" s="82"/>
      <c r="K40" s="82"/>
      <c r="L40" s="82"/>
      <c r="M40" s="82">
        <f>M12-M38</f>
        <v>366685917.1104393</v>
      </c>
      <c r="P40" s="88">
        <v>375418265.36241221</v>
      </c>
      <c r="Q40" s="88"/>
      <c r="R40" s="88"/>
      <c r="S40" s="88"/>
      <c r="T40" s="88">
        <v>429604524.93667984</v>
      </c>
      <c r="U40" s="95"/>
      <c r="V40" s="88">
        <v>341629290.54443216</v>
      </c>
      <c r="W40" s="88"/>
      <c r="X40" s="88"/>
      <c r="Y40" s="88"/>
      <c r="Z40" s="88">
        <v>341629290.54443216</v>
      </c>
      <c r="AB40" s="88">
        <f t="shared" ref="AB40:AB71" si="24">+C40-P40</f>
        <v>-1664191.2491455078</v>
      </c>
      <c r="AC40" s="88">
        <f t="shared" ref="AC40:AC71" si="25">+D40-Q40</f>
        <v>0</v>
      </c>
      <c r="AD40" s="88">
        <f t="shared" ref="AD40:AD71" si="26">+E40-R40</f>
        <v>0</v>
      </c>
      <c r="AE40" s="88">
        <f t="shared" ref="AE40:AE71" si="27">+F40-S40</f>
        <v>0</v>
      </c>
      <c r="AF40" s="88">
        <f t="shared" ref="AF40:AF71" si="28">+G40-T40</f>
        <v>17190665.930854678</v>
      </c>
      <c r="AG40" s="95">
        <f t="shared" ref="AG40:AG71" si="29">+H40-U40</f>
        <v>0</v>
      </c>
      <c r="AH40" s="88">
        <f t="shared" ref="AH40:AH71" si="30">+I40-V40</f>
        <v>25056626.566007137</v>
      </c>
      <c r="AI40" s="88">
        <f t="shared" ref="AI40:AI71" si="31">+J40-W40</f>
        <v>0</v>
      </c>
      <c r="AJ40" s="88">
        <f t="shared" ref="AJ40:AJ71" si="32">+K40-X40</f>
        <v>0</v>
      </c>
      <c r="AK40" s="88">
        <f t="shared" ref="AK40:AK71" si="33">+L40-Y40</f>
        <v>0</v>
      </c>
      <c r="AL40" s="88">
        <f t="shared" ref="AL40:AL71" si="34">+M40-Z40</f>
        <v>25056626.566007137</v>
      </c>
    </row>
    <row r="41" spans="1:38" x14ac:dyDescent="0.25">
      <c r="A41" s="4" t="str">
        <f>IF(ISBLANK(B41),"",MAX(A$6:A40)+1)</f>
        <v/>
      </c>
      <c r="B41" s="101"/>
      <c r="C41" s="102">
        <f>'[1]Exh p1'!$S$46-C40</f>
        <v>0</v>
      </c>
      <c r="D41" s="17"/>
      <c r="E41" s="17"/>
      <c r="F41" s="17"/>
      <c r="G41" s="17"/>
      <c r="H41" s="47"/>
      <c r="I41" s="17"/>
      <c r="J41" s="17"/>
      <c r="K41" s="17"/>
      <c r="L41" s="17"/>
      <c r="M41" s="17"/>
      <c r="P41" s="103"/>
      <c r="Q41" s="103"/>
      <c r="R41" s="103"/>
      <c r="S41" s="103"/>
      <c r="T41" s="103"/>
      <c r="U41" s="95"/>
      <c r="V41" s="103"/>
      <c r="W41" s="103"/>
      <c r="X41" s="103"/>
      <c r="Y41" s="103"/>
      <c r="Z41" s="103"/>
      <c r="AB41" s="103">
        <f t="shared" si="24"/>
        <v>0</v>
      </c>
      <c r="AC41" s="103">
        <f t="shared" si="25"/>
        <v>0</v>
      </c>
      <c r="AD41" s="103">
        <f t="shared" si="26"/>
        <v>0</v>
      </c>
      <c r="AE41" s="103">
        <f t="shared" si="27"/>
        <v>0</v>
      </c>
      <c r="AF41" s="103">
        <f t="shared" si="28"/>
        <v>0</v>
      </c>
      <c r="AG41" s="95">
        <f t="shared" si="29"/>
        <v>0</v>
      </c>
      <c r="AH41" s="103">
        <f t="shared" si="30"/>
        <v>0</v>
      </c>
      <c r="AI41" s="103">
        <f t="shared" si="31"/>
        <v>0</v>
      </c>
      <c r="AJ41" s="103">
        <f t="shared" si="32"/>
        <v>0</v>
      </c>
      <c r="AK41" s="103">
        <f t="shared" si="33"/>
        <v>0</v>
      </c>
      <c r="AL41" s="103">
        <f t="shared" si="34"/>
        <v>0</v>
      </c>
    </row>
    <row r="42" spans="1:38" x14ac:dyDescent="0.25">
      <c r="A42" s="4">
        <f>IF(ISBLANK(B42),"",MAX(A$6:A41)+1)</f>
        <v>31</v>
      </c>
      <c r="B42" s="3" t="s">
        <v>40</v>
      </c>
      <c r="C42" s="16">
        <f>C54</f>
        <v>5188731886.1624241</v>
      </c>
      <c r="D42" s="16"/>
      <c r="E42" s="16"/>
      <c r="F42" s="16"/>
      <c r="G42" s="16">
        <f>G54</f>
        <v>5123367983.2113104</v>
      </c>
      <c r="H42" s="47"/>
      <c r="I42" s="16">
        <f>I54</f>
        <v>5035524272.2724266</v>
      </c>
      <c r="J42" s="16"/>
      <c r="K42" s="16"/>
      <c r="L42" s="16"/>
      <c r="M42" s="16">
        <f>M54</f>
        <v>5294502636.7078304</v>
      </c>
      <c r="P42" s="104">
        <v>5183700076.5187788</v>
      </c>
      <c r="Q42" s="104"/>
      <c r="R42" s="104"/>
      <c r="S42" s="104"/>
      <c r="T42" s="104">
        <v>5119634429.3654165</v>
      </c>
      <c r="U42" s="95"/>
      <c r="V42" s="104">
        <v>5249381618.9757071</v>
      </c>
      <c r="W42" s="104"/>
      <c r="X42" s="104"/>
      <c r="Y42" s="104"/>
      <c r="Z42" s="104">
        <v>5508382329.7976999</v>
      </c>
      <c r="AB42" s="104">
        <f t="shared" si="24"/>
        <v>5031809.6436452866</v>
      </c>
      <c r="AC42" s="104">
        <f t="shared" si="25"/>
        <v>0</v>
      </c>
      <c r="AD42" s="104">
        <f t="shared" si="26"/>
        <v>0</v>
      </c>
      <c r="AE42" s="104">
        <f t="shared" si="27"/>
        <v>0</v>
      </c>
      <c r="AF42" s="104">
        <f t="shared" si="28"/>
        <v>3733553.8458938599</v>
      </c>
      <c r="AG42" s="95">
        <f t="shared" si="29"/>
        <v>0</v>
      </c>
      <c r="AH42" s="104">
        <f t="shared" si="30"/>
        <v>-213857346.70328045</v>
      </c>
      <c r="AI42" s="104">
        <f t="shared" si="31"/>
        <v>0</v>
      </c>
      <c r="AJ42" s="104">
        <f t="shared" si="32"/>
        <v>0</v>
      </c>
      <c r="AK42" s="104">
        <f t="shared" si="33"/>
        <v>0</v>
      </c>
      <c r="AL42" s="104">
        <f t="shared" si="34"/>
        <v>-213879693.0898695</v>
      </c>
    </row>
    <row r="43" spans="1:38" x14ac:dyDescent="0.25">
      <c r="A43" s="4" t="str">
        <f>IF(ISBLANK(B43),"",MAX(A$6:A42)+1)</f>
        <v/>
      </c>
      <c r="B43" s="3"/>
      <c r="C43" s="3"/>
      <c r="D43" s="3"/>
      <c r="E43" s="3"/>
      <c r="F43" s="3"/>
      <c r="G43" s="3"/>
      <c r="H43" s="47"/>
      <c r="I43" s="3"/>
      <c r="J43" s="3"/>
      <c r="K43" s="3"/>
      <c r="L43" s="3"/>
      <c r="M43" s="3"/>
      <c r="P43" s="94"/>
      <c r="Q43" s="94"/>
      <c r="R43" s="94"/>
      <c r="S43" s="94"/>
      <c r="T43" s="94"/>
      <c r="U43" s="95"/>
      <c r="V43" s="94"/>
      <c r="W43" s="94"/>
      <c r="X43" s="94"/>
      <c r="Y43" s="94"/>
      <c r="Z43" s="94"/>
      <c r="AB43" s="94">
        <f t="shared" si="24"/>
        <v>0</v>
      </c>
      <c r="AC43" s="94">
        <f t="shared" si="25"/>
        <v>0</v>
      </c>
      <c r="AD43" s="94">
        <f t="shared" si="26"/>
        <v>0</v>
      </c>
      <c r="AE43" s="94">
        <f t="shared" si="27"/>
        <v>0</v>
      </c>
      <c r="AF43" s="94">
        <f t="shared" si="28"/>
        <v>0</v>
      </c>
      <c r="AG43" s="95">
        <f t="shared" si="29"/>
        <v>0</v>
      </c>
      <c r="AH43" s="94">
        <f t="shared" si="30"/>
        <v>0</v>
      </c>
      <c r="AI43" s="94">
        <f t="shared" si="31"/>
        <v>0</v>
      </c>
      <c r="AJ43" s="94">
        <f t="shared" si="32"/>
        <v>0</v>
      </c>
      <c r="AK43" s="94">
        <f t="shared" si="33"/>
        <v>0</v>
      </c>
      <c r="AL43" s="94">
        <f t="shared" si="34"/>
        <v>0</v>
      </c>
    </row>
    <row r="44" spans="1:38" x14ac:dyDescent="0.25">
      <c r="A44" s="4">
        <f>IF(ISBLANK(B44),"",MAX(A$6:A43)+1)</f>
        <v>32</v>
      </c>
      <c r="B44" s="3" t="s">
        <v>41</v>
      </c>
      <c r="C44" s="18">
        <f>C40/C42</f>
        <v>7.203187258721408E-2</v>
      </c>
      <c r="D44" s="18"/>
      <c r="E44" s="18"/>
      <c r="F44" s="18"/>
      <c r="G44" s="18">
        <f>G40/G42</f>
        <v>8.7207319937125563E-2</v>
      </c>
      <c r="H44" s="47"/>
      <c r="I44" s="18">
        <f>I40/I42</f>
        <v>7.2819809275780065E-2</v>
      </c>
      <c r="J44" s="18"/>
      <c r="K44" s="18"/>
      <c r="L44" s="18"/>
      <c r="M44" s="18">
        <f>M40/M42</f>
        <v>6.9257859004193054E-2</v>
      </c>
      <c r="P44" s="105">
        <v>7.2422836935143856E-2</v>
      </c>
      <c r="Q44" s="105"/>
      <c r="R44" s="105"/>
      <c r="S44" s="105"/>
      <c r="T44" s="105">
        <v>8.3913125217014703E-2</v>
      </c>
      <c r="U44" s="95"/>
      <c r="V44" s="105">
        <v>6.5079911376512395E-2</v>
      </c>
      <c r="W44" s="105"/>
      <c r="X44" s="105"/>
      <c r="Y44" s="105"/>
      <c r="Z44" s="105">
        <v>6.2019894424608465E-2</v>
      </c>
      <c r="AB44" s="105">
        <f t="shared" si="24"/>
        <v>-3.9096434792977586E-4</v>
      </c>
      <c r="AC44" s="105">
        <f t="shared" si="25"/>
        <v>0</v>
      </c>
      <c r="AD44" s="105">
        <f t="shared" si="26"/>
        <v>0</v>
      </c>
      <c r="AE44" s="105">
        <f t="shared" si="27"/>
        <v>0</v>
      </c>
      <c r="AF44" s="105">
        <f t="shared" si="28"/>
        <v>3.2941947201108601E-3</v>
      </c>
      <c r="AG44" s="95">
        <f t="shared" si="29"/>
        <v>0</v>
      </c>
      <c r="AH44" s="105">
        <f t="shared" si="30"/>
        <v>7.7398978992676698E-3</v>
      </c>
      <c r="AI44" s="105">
        <f t="shared" si="31"/>
        <v>0</v>
      </c>
      <c r="AJ44" s="105">
        <f t="shared" si="32"/>
        <v>0</v>
      </c>
      <c r="AK44" s="105">
        <f t="shared" si="33"/>
        <v>0</v>
      </c>
      <c r="AL44" s="105">
        <f t="shared" si="34"/>
        <v>7.2379645795845882E-3</v>
      </c>
    </row>
    <row r="45" spans="1:38" x14ac:dyDescent="0.25">
      <c r="A45" s="4" t="str">
        <f>IF(ISBLANK(B45),"",MAX(A$6:A44)+1)</f>
        <v/>
      </c>
      <c r="B45" s="3"/>
      <c r="C45" s="3"/>
      <c r="D45" s="3"/>
      <c r="E45" s="3"/>
      <c r="F45" s="3"/>
      <c r="G45" s="3"/>
      <c r="H45" s="47"/>
      <c r="I45" s="3"/>
      <c r="J45" s="3"/>
      <c r="K45" s="3"/>
      <c r="L45" s="3"/>
      <c r="M45" s="3"/>
      <c r="P45" s="94"/>
      <c r="Q45" s="94"/>
      <c r="R45" s="94"/>
      <c r="S45" s="94"/>
      <c r="T45" s="94"/>
      <c r="U45" s="95"/>
      <c r="V45" s="94"/>
      <c r="W45" s="94"/>
      <c r="X45" s="94"/>
      <c r="Y45" s="94"/>
      <c r="Z45" s="94"/>
      <c r="AB45" s="94">
        <f t="shared" si="24"/>
        <v>0</v>
      </c>
      <c r="AC45" s="94">
        <f t="shared" si="25"/>
        <v>0</v>
      </c>
      <c r="AD45" s="94">
        <f t="shared" si="26"/>
        <v>0</v>
      </c>
      <c r="AE45" s="94">
        <f t="shared" si="27"/>
        <v>0</v>
      </c>
      <c r="AF45" s="94">
        <f t="shared" si="28"/>
        <v>0</v>
      </c>
      <c r="AG45" s="95">
        <f t="shared" si="29"/>
        <v>0</v>
      </c>
      <c r="AH45" s="94">
        <f t="shared" si="30"/>
        <v>0</v>
      </c>
      <c r="AI45" s="94">
        <f t="shared" si="31"/>
        <v>0</v>
      </c>
      <c r="AJ45" s="94">
        <f t="shared" si="32"/>
        <v>0</v>
      </c>
      <c r="AK45" s="94">
        <f t="shared" si="33"/>
        <v>0</v>
      </c>
      <c r="AL45" s="94">
        <f t="shared" si="34"/>
        <v>0</v>
      </c>
    </row>
    <row r="46" spans="1:38" x14ac:dyDescent="0.25">
      <c r="A46" s="4">
        <f>IF(ISBLANK(B46),"",MAX(A$6:A45)+1)</f>
        <v>33</v>
      </c>
      <c r="B46" s="3" t="s">
        <v>42</v>
      </c>
      <c r="C46" s="3"/>
      <c r="D46" s="3"/>
      <c r="E46" s="3"/>
      <c r="F46" s="3"/>
      <c r="G46" s="3"/>
      <c r="H46" s="47"/>
      <c r="I46" s="3"/>
      <c r="J46" s="3"/>
      <c r="K46" s="3"/>
      <c r="L46" s="3"/>
      <c r="M46" s="3"/>
      <c r="P46" s="94"/>
      <c r="Q46" s="94"/>
      <c r="R46" s="94"/>
      <c r="S46" s="94"/>
      <c r="T46" s="94"/>
      <c r="U46" s="95"/>
      <c r="V46" s="94"/>
      <c r="W46" s="94"/>
      <c r="X46" s="94"/>
      <c r="Y46" s="94"/>
      <c r="Z46" s="94"/>
      <c r="AB46" s="94">
        <f t="shared" si="24"/>
        <v>0</v>
      </c>
      <c r="AC46" s="94">
        <f t="shared" si="25"/>
        <v>0</v>
      </c>
      <c r="AD46" s="94">
        <f t="shared" si="26"/>
        <v>0</v>
      </c>
      <c r="AE46" s="94">
        <f t="shared" si="27"/>
        <v>0</v>
      </c>
      <c r="AF46" s="94">
        <f t="shared" si="28"/>
        <v>0</v>
      </c>
      <c r="AG46" s="95">
        <f t="shared" si="29"/>
        <v>0</v>
      </c>
      <c r="AH46" s="94">
        <f t="shared" si="30"/>
        <v>0</v>
      </c>
      <c r="AI46" s="94">
        <f t="shared" si="31"/>
        <v>0</v>
      </c>
      <c r="AJ46" s="94">
        <f t="shared" si="32"/>
        <v>0</v>
      </c>
      <c r="AK46" s="94">
        <f t="shared" si="33"/>
        <v>0</v>
      </c>
      <c r="AL46" s="94">
        <f t="shared" si="34"/>
        <v>0</v>
      </c>
    </row>
    <row r="47" spans="1:38" x14ac:dyDescent="0.25">
      <c r="A47" s="4">
        <f>IF(ISBLANK(B47),"",MAX(A$6:A46)+1)</f>
        <v>34</v>
      </c>
      <c r="B47" s="19" t="s">
        <v>43</v>
      </c>
      <c r="C47" s="27">
        <f t="shared" ref="C47:F47" si="35">C62</f>
        <v>10542577206.617601</v>
      </c>
      <c r="D47" s="27">
        <f t="shared" si="35"/>
        <v>0</v>
      </c>
      <c r="E47" s="27">
        <f t="shared" si="35"/>
        <v>-43086547.452637523</v>
      </c>
      <c r="F47" s="27">
        <f t="shared" si="35"/>
        <v>-32493590.70949842</v>
      </c>
      <c r="G47" s="27">
        <f t="shared" ref="G47" si="36">G62</f>
        <v>10466997068.455463</v>
      </c>
      <c r="H47" s="47"/>
      <c r="I47" s="27">
        <f t="shared" ref="I47:K47" si="37">I62</f>
        <v>11184419483.027163</v>
      </c>
      <c r="J47" s="27">
        <f t="shared" si="37"/>
        <v>170075026.29643583</v>
      </c>
      <c r="K47" s="27">
        <f t="shared" si="37"/>
        <v>162226501.42875069</v>
      </c>
      <c r="L47" s="27">
        <f t="shared" ref="L47:M47" si="38">L62</f>
        <v>0</v>
      </c>
      <c r="M47" s="27">
        <f t="shared" si="38"/>
        <v>11516721010.752348</v>
      </c>
      <c r="P47" s="106">
        <v>10567927647.7876</v>
      </c>
      <c r="Q47" s="106">
        <v>0</v>
      </c>
      <c r="R47" s="106">
        <v>-43086547.452637523</v>
      </c>
      <c r="S47" s="106">
        <v>-32493590.70949842</v>
      </c>
      <c r="T47" s="106">
        <v>10492347509.625465</v>
      </c>
      <c r="U47" s="95"/>
      <c r="V47" s="106">
        <v>11440324667.935558</v>
      </c>
      <c r="W47" s="106">
        <v>170075026.29643583</v>
      </c>
      <c r="X47" s="106">
        <v>162226501.42875069</v>
      </c>
      <c r="Y47" s="106">
        <v>0</v>
      </c>
      <c r="Z47" s="106">
        <v>11772626195.660746</v>
      </c>
      <c r="AB47" s="106">
        <f t="shared" si="24"/>
        <v>-25350441.169998169</v>
      </c>
      <c r="AC47" s="106">
        <f t="shared" si="25"/>
        <v>0</v>
      </c>
      <c r="AD47" s="106">
        <f t="shared" si="26"/>
        <v>0</v>
      </c>
      <c r="AE47" s="106">
        <f t="shared" si="27"/>
        <v>0</v>
      </c>
      <c r="AF47" s="106">
        <f t="shared" si="28"/>
        <v>-25350441.170001984</v>
      </c>
      <c r="AG47" s="95">
        <f t="shared" si="29"/>
        <v>0</v>
      </c>
      <c r="AH47" s="106">
        <f t="shared" si="30"/>
        <v>-255905184.90839577</v>
      </c>
      <c r="AI47" s="106">
        <f t="shared" si="31"/>
        <v>0</v>
      </c>
      <c r="AJ47" s="106">
        <f t="shared" si="32"/>
        <v>0</v>
      </c>
      <c r="AK47" s="106">
        <f t="shared" si="33"/>
        <v>0</v>
      </c>
      <c r="AL47" s="106">
        <f t="shared" si="34"/>
        <v>-255905184.90839767</v>
      </c>
    </row>
    <row r="48" spans="1:38" x14ac:dyDescent="0.25">
      <c r="A48" s="4">
        <f>IF(ISBLANK(B48),"",MAX(A$6:A47)+1)</f>
        <v>35</v>
      </c>
      <c r="B48" s="19" t="s">
        <v>44</v>
      </c>
      <c r="C48" s="7">
        <f t="shared" ref="C48:F48" si="39">C70</f>
        <v>-4229541142.4626832</v>
      </c>
      <c r="D48" s="7">
        <f t="shared" si="39"/>
        <v>0</v>
      </c>
      <c r="E48" s="7">
        <f t="shared" si="39"/>
        <v>2800433.4436958949</v>
      </c>
      <c r="F48" s="7">
        <f t="shared" si="39"/>
        <v>2801052.512056177</v>
      </c>
      <c r="G48" s="7">
        <f t="shared" ref="G48" si="40">G70</f>
        <v>-4223939656.5069318</v>
      </c>
      <c r="H48" s="47"/>
      <c r="I48" s="7">
        <f t="shared" ref="I48:K48" si="41">I70</f>
        <v>-5149216314.132103</v>
      </c>
      <c r="J48" s="7">
        <f t="shared" si="41"/>
        <v>-26949739.940672945</v>
      </c>
      <c r="K48" s="7">
        <f t="shared" si="41"/>
        <v>-36667721.805506274</v>
      </c>
      <c r="L48" s="7">
        <f t="shared" ref="L48:M48" si="42">L70</f>
        <v>0</v>
      </c>
      <c r="M48" s="7">
        <f t="shared" si="42"/>
        <v>-5212833775.8782806</v>
      </c>
      <c r="P48" s="90">
        <v>-4242911054.3971</v>
      </c>
      <c r="Q48" s="90">
        <v>0</v>
      </c>
      <c r="R48" s="90">
        <v>2800433.4436958949</v>
      </c>
      <c r="S48" s="90">
        <v>2801052.512056177</v>
      </c>
      <c r="T48" s="90">
        <v>-4237309568.4413481</v>
      </c>
      <c r="U48" s="95"/>
      <c r="V48" s="90">
        <v>-5174001220.1308298</v>
      </c>
      <c r="W48" s="90">
        <v>-26949739.940672945</v>
      </c>
      <c r="X48" s="90">
        <v>-36667721.805506274</v>
      </c>
      <c r="Y48" s="90">
        <v>0</v>
      </c>
      <c r="Z48" s="90">
        <v>-5237618681.8770094</v>
      </c>
      <c r="AB48" s="90">
        <f t="shared" si="24"/>
        <v>13369911.934416771</v>
      </c>
      <c r="AC48" s="90">
        <f t="shared" si="25"/>
        <v>0</v>
      </c>
      <c r="AD48" s="90">
        <f t="shared" si="26"/>
        <v>0</v>
      </c>
      <c r="AE48" s="90">
        <f t="shared" si="27"/>
        <v>0</v>
      </c>
      <c r="AF48" s="90">
        <f t="shared" si="28"/>
        <v>13369911.934416294</v>
      </c>
      <c r="AG48" s="95">
        <f t="shared" si="29"/>
        <v>0</v>
      </c>
      <c r="AH48" s="90">
        <f t="shared" si="30"/>
        <v>24784905.998726845</v>
      </c>
      <c r="AI48" s="90">
        <f t="shared" si="31"/>
        <v>0</v>
      </c>
      <c r="AJ48" s="90">
        <f t="shared" si="32"/>
        <v>0</v>
      </c>
      <c r="AK48" s="90">
        <f t="shared" si="33"/>
        <v>0</v>
      </c>
      <c r="AL48" s="90">
        <f t="shared" si="34"/>
        <v>24784905.998728752</v>
      </c>
    </row>
    <row r="49" spans="1:38" x14ac:dyDescent="0.25">
      <c r="A49" s="4">
        <f>IF(ISBLANK(B49),"",MAX(A$6:A47)+1)</f>
        <v>35</v>
      </c>
      <c r="B49" s="11" t="s">
        <v>45</v>
      </c>
      <c r="C49" s="7">
        <f>C104</f>
        <v>-22089625.598074321</v>
      </c>
      <c r="D49" s="7">
        <f t="shared" ref="D49:F50" si="43">D104</f>
        <v>0</v>
      </c>
      <c r="E49" s="7">
        <f t="shared" si="43"/>
        <v>0</v>
      </c>
      <c r="F49" s="7">
        <f t="shared" si="43"/>
        <v>0</v>
      </c>
      <c r="G49" s="7">
        <f>G104</f>
        <v>-22089625.598074321</v>
      </c>
      <c r="H49" s="47"/>
      <c r="I49" s="7">
        <f>I104</f>
        <v>-22089625.598074321</v>
      </c>
      <c r="J49" s="7">
        <f t="shared" ref="J49:J50" si="44">J104</f>
        <v>0</v>
      </c>
      <c r="K49" s="7">
        <f>K104</f>
        <v>0</v>
      </c>
      <c r="L49" s="7">
        <f t="shared" ref="L49:L50" si="45">L104</f>
        <v>0</v>
      </c>
      <c r="M49" s="7">
        <f>M104</f>
        <v>-22089625.598074321</v>
      </c>
      <c r="P49" s="90">
        <v>-18178438.071609255</v>
      </c>
      <c r="Q49" s="90">
        <v>0</v>
      </c>
      <c r="R49" s="90">
        <v>0</v>
      </c>
      <c r="S49" s="90">
        <v>0</v>
      </c>
      <c r="T49" s="90">
        <v>-18178438.071609255</v>
      </c>
      <c r="U49" s="95"/>
      <c r="V49" s="90">
        <v>-18178438.071609255</v>
      </c>
      <c r="W49" s="90">
        <v>0</v>
      </c>
      <c r="X49" s="90">
        <v>0</v>
      </c>
      <c r="Y49" s="90">
        <v>0</v>
      </c>
      <c r="Z49" s="90">
        <v>-18178438.071609255</v>
      </c>
      <c r="AB49" s="90">
        <f t="shared" si="24"/>
        <v>-3911187.5264650658</v>
      </c>
      <c r="AC49" s="90">
        <f t="shared" si="25"/>
        <v>0</v>
      </c>
      <c r="AD49" s="90">
        <f t="shared" si="26"/>
        <v>0</v>
      </c>
      <c r="AE49" s="90">
        <f t="shared" si="27"/>
        <v>0</v>
      </c>
      <c r="AF49" s="90">
        <f t="shared" si="28"/>
        <v>-3911187.5264650658</v>
      </c>
      <c r="AG49" s="95">
        <f t="shared" si="29"/>
        <v>0</v>
      </c>
      <c r="AH49" s="90">
        <f t="shared" si="30"/>
        <v>-3911187.5264650658</v>
      </c>
      <c r="AI49" s="90">
        <f t="shared" si="31"/>
        <v>0</v>
      </c>
      <c r="AJ49" s="90">
        <f t="shared" si="32"/>
        <v>0</v>
      </c>
      <c r="AK49" s="90">
        <f t="shared" si="33"/>
        <v>0</v>
      </c>
      <c r="AL49" s="90">
        <f t="shared" si="34"/>
        <v>-3911187.5264650658</v>
      </c>
    </row>
    <row r="50" spans="1:38" x14ac:dyDescent="0.25">
      <c r="A50" s="4">
        <f>IF(ISBLANK(B50),"",MAX(A$6:A48)+1)</f>
        <v>36</v>
      </c>
      <c r="B50" s="3" t="s">
        <v>46</v>
      </c>
      <c r="C50" s="7">
        <f>C105</f>
        <v>273426197.23699975</v>
      </c>
      <c r="D50" s="7">
        <f t="shared" si="43"/>
        <v>0</v>
      </c>
      <c r="E50" s="7">
        <f t="shared" si="43"/>
        <v>0</v>
      </c>
      <c r="F50" s="7">
        <f t="shared" si="43"/>
        <v>0</v>
      </c>
      <c r="G50" s="7">
        <f>G105</f>
        <v>273426197.23699975</v>
      </c>
      <c r="H50" s="47"/>
      <c r="I50" s="7">
        <f>I105</f>
        <v>273426197.23699975</v>
      </c>
      <c r="J50" s="7">
        <f t="shared" si="44"/>
        <v>0</v>
      </c>
      <c r="K50" s="7">
        <f>K105</f>
        <v>0</v>
      </c>
      <c r="L50" s="7">
        <f t="shared" si="45"/>
        <v>0</v>
      </c>
      <c r="M50" s="7">
        <f>M105</f>
        <v>273426197.23699975</v>
      </c>
      <c r="P50" s="90">
        <v>254801494.73002326</v>
      </c>
      <c r="Q50" s="90">
        <v>0</v>
      </c>
      <c r="R50" s="90">
        <v>0</v>
      </c>
      <c r="S50" s="90">
        <v>0</v>
      </c>
      <c r="T50" s="90">
        <v>254801494.73002326</v>
      </c>
      <c r="U50" s="95"/>
      <c r="V50" s="90">
        <v>254801494.73002326</v>
      </c>
      <c r="W50" s="90">
        <v>0</v>
      </c>
      <c r="X50" s="90">
        <v>0</v>
      </c>
      <c r="Y50" s="90">
        <v>0</v>
      </c>
      <c r="Z50" s="90">
        <v>254801494.73002326</v>
      </c>
      <c r="AB50" s="90">
        <f t="shared" si="24"/>
        <v>18624702.506976485</v>
      </c>
      <c r="AC50" s="90">
        <f t="shared" si="25"/>
        <v>0</v>
      </c>
      <c r="AD50" s="90">
        <f t="shared" si="26"/>
        <v>0</v>
      </c>
      <c r="AE50" s="90">
        <f t="shared" si="27"/>
        <v>0</v>
      </c>
      <c r="AF50" s="90">
        <f t="shared" si="28"/>
        <v>18624702.506976485</v>
      </c>
      <c r="AG50" s="95">
        <f t="shared" si="29"/>
        <v>0</v>
      </c>
      <c r="AH50" s="90">
        <f t="shared" si="30"/>
        <v>18624702.506976485</v>
      </c>
      <c r="AI50" s="90">
        <f t="shared" si="31"/>
        <v>0</v>
      </c>
      <c r="AJ50" s="90">
        <f t="shared" si="32"/>
        <v>0</v>
      </c>
      <c r="AK50" s="90">
        <f t="shared" si="33"/>
        <v>0</v>
      </c>
      <c r="AL50" s="90">
        <f t="shared" si="34"/>
        <v>18624702.506976485</v>
      </c>
    </row>
    <row r="51" spans="1:38" x14ac:dyDescent="0.25">
      <c r="A51" s="4">
        <f>IF(ISBLANK(B51),"",MAX(A$6:A50)+1)</f>
        <v>37</v>
      </c>
      <c r="B51" s="3" t="s">
        <v>47</v>
      </c>
      <c r="C51" s="7">
        <f t="shared" ref="C51:F51" si="46">C94</f>
        <v>-1414720691.1000206</v>
      </c>
      <c r="D51" s="7">
        <f t="shared" si="46"/>
        <v>0</v>
      </c>
      <c r="E51" s="7">
        <f t="shared" si="46"/>
        <v>2798356.0552379121</v>
      </c>
      <c r="F51" s="7">
        <f t="shared" si="46"/>
        <v>1816393.2000356747</v>
      </c>
      <c r="G51" s="7">
        <f t="shared" ref="G51" si="47">G94</f>
        <v>-1410105941.8447471</v>
      </c>
      <c r="H51" s="47"/>
      <c r="I51" s="7">
        <f t="shared" ref="I51:K51" si="48">I94</f>
        <v>-1290095409.7301588</v>
      </c>
      <c r="J51" s="7">
        <f t="shared" si="48"/>
        <v>-11301663.374965549</v>
      </c>
      <c r="K51" s="7">
        <f t="shared" si="48"/>
        <v>1595961.8313619059</v>
      </c>
      <c r="L51" s="7">
        <f t="shared" ref="L51:M51" si="49">L94</f>
        <v>0</v>
      </c>
      <c r="M51" s="7">
        <f t="shared" si="49"/>
        <v>-1299801111.2737627</v>
      </c>
      <c r="P51" s="90">
        <v>-1417019514.9987345</v>
      </c>
      <c r="Q51" s="90">
        <v>0</v>
      </c>
      <c r="R51" s="90">
        <v>4096611.8529834934</v>
      </c>
      <c r="S51" s="90">
        <v>1816393.2000356747</v>
      </c>
      <c r="T51" s="90">
        <v>-1411106509.9457154</v>
      </c>
      <c r="U51" s="95"/>
      <c r="V51" s="90">
        <v>-1292644826.9560361</v>
      </c>
      <c r="W51" s="90">
        <v>-11275642.449250354</v>
      </c>
      <c r="X51" s="90">
        <v>1592287.2922360862</v>
      </c>
      <c r="Y51" s="90">
        <v>0</v>
      </c>
      <c r="Z51" s="90">
        <v>-1302328182.1130505</v>
      </c>
      <c r="AB51" s="90">
        <f t="shared" si="24"/>
        <v>2298823.8987138271</v>
      </c>
      <c r="AC51" s="90">
        <f t="shared" si="25"/>
        <v>0</v>
      </c>
      <c r="AD51" s="90">
        <f t="shared" si="26"/>
        <v>-1298255.7977455813</v>
      </c>
      <c r="AE51" s="90">
        <f t="shared" si="27"/>
        <v>0</v>
      </c>
      <c r="AF51" s="90">
        <f t="shared" si="28"/>
        <v>1000568.1009683609</v>
      </c>
      <c r="AG51" s="95">
        <f t="shared" si="29"/>
        <v>0</v>
      </c>
      <c r="AH51" s="90">
        <f t="shared" si="30"/>
        <v>2549417.225877285</v>
      </c>
      <c r="AI51" s="90">
        <f t="shared" si="31"/>
        <v>-26020.925715195015</v>
      </c>
      <c r="AJ51" s="90">
        <f t="shared" si="32"/>
        <v>3674.5391258196905</v>
      </c>
      <c r="AK51" s="90">
        <f t="shared" si="33"/>
        <v>0</v>
      </c>
      <c r="AL51" s="90">
        <f t="shared" si="34"/>
        <v>2527070.8392877579</v>
      </c>
    </row>
    <row r="52" spans="1:38" x14ac:dyDescent="0.25">
      <c r="A52" s="4">
        <f>IF(ISBLANK(B52),"",MAX(A$6:A51)+1)</f>
        <v>38</v>
      </c>
      <c r="B52" s="3" t="s">
        <v>48</v>
      </c>
      <c r="C52" s="7">
        <f t="shared" ref="C52:F53" si="50">C106</f>
        <v>145303204.9988502</v>
      </c>
      <c r="D52" s="7">
        <f t="shared" si="50"/>
        <v>0</v>
      </c>
      <c r="E52" s="7">
        <f t="shared" si="50"/>
        <v>0</v>
      </c>
      <c r="F52" s="7">
        <f t="shared" si="50"/>
        <v>0</v>
      </c>
      <c r="G52" s="7">
        <f t="shared" ref="G52:G53" si="51">G106</f>
        <v>145303204.9988502</v>
      </c>
      <c r="H52" s="47"/>
      <c r="I52" s="7">
        <f t="shared" ref="I52:K53" si="52">I106</f>
        <v>145303204.9988502</v>
      </c>
      <c r="J52" s="7">
        <f t="shared" si="52"/>
        <v>0</v>
      </c>
      <c r="K52" s="7">
        <f t="shared" si="52"/>
        <v>0</v>
      </c>
      <c r="L52" s="7">
        <f t="shared" ref="L52:M53" si="53">L106</f>
        <v>0</v>
      </c>
      <c r="M52" s="7">
        <f t="shared" si="53"/>
        <v>145303204.9988502</v>
      </c>
      <c r="P52" s="90">
        <v>145303204.9988502</v>
      </c>
      <c r="Q52" s="90">
        <v>0</v>
      </c>
      <c r="R52" s="90">
        <v>0</v>
      </c>
      <c r="S52" s="90">
        <v>0</v>
      </c>
      <c r="T52" s="90">
        <v>145303204.9988502</v>
      </c>
      <c r="U52" s="95"/>
      <c r="V52" s="90">
        <v>145303204.9988502</v>
      </c>
      <c r="W52" s="90">
        <v>0</v>
      </c>
      <c r="X52" s="90">
        <v>0</v>
      </c>
      <c r="Y52" s="90">
        <v>0</v>
      </c>
      <c r="Z52" s="90">
        <v>145303204.9988502</v>
      </c>
      <c r="AB52" s="90">
        <f t="shared" si="24"/>
        <v>0</v>
      </c>
      <c r="AC52" s="90">
        <f t="shared" si="25"/>
        <v>0</v>
      </c>
      <c r="AD52" s="90">
        <f t="shared" si="26"/>
        <v>0</v>
      </c>
      <c r="AE52" s="90">
        <f t="shared" si="27"/>
        <v>0</v>
      </c>
      <c r="AF52" s="90">
        <f t="shared" si="28"/>
        <v>0</v>
      </c>
      <c r="AG52" s="95">
        <f t="shared" si="29"/>
        <v>0</v>
      </c>
      <c r="AH52" s="90">
        <f t="shared" si="30"/>
        <v>0</v>
      </c>
      <c r="AI52" s="90">
        <f t="shared" si="31"/>
        <v>0</v>
      </c>
      <c r="AJ52" s="90">
        <f t="shared" si="32"/>
        <v>0</v>
      </c>
      <c r="AK52" s="90">
        <f t="shared" si="33"/>
        <v>0</v>
      </c>
      <c r="AL52" s="90">
        <f t="shared" si="34"/>
        <v>0</v>
      </c>
    </row>
    <row r="53" spans="1:38" x14ac:dyDescent="0.25">
      <c r="A53" s="4">
        <f>IF(ISBLANK(B53),"",MAX(A$6:A52)+1)</f>
        <v>39</v>
      </c>
      <c r="B53" s="3" t="s">
        <v>49</v>
      </c>
      <c r="C53" s="7">
        <f t="shared" si="50"/>
        <v>-106223263.53024991</v>
      </c>
      <c r="D53" s="7">
        <f t="shared" si="50"/>
        <v>0</v>
      </c>
      <c r="E53" s="7">
        <f t="shared" si="50"/>
        <v>0</v>
      </c>
      <c r="F53" s="7">
        <f t="shared" si="50"/>
        <v>0</v>
      </c>
      <c r="G53" s="7">
        <f t="shared" si="51"/>
        <v>-106223263.53024991</v>
      </c>
      <c r="H53" s="47"/>
      <c r="I53" s="7">
        <f t="shared" si="52"/>
        <v>-106223263.53024991</v>
      </c>
      <c r="J53" s="7">
        <f t="shared" si="52"/>
        <v>0</v>
      </c>
      <c r="K53" s="7">
        <f t="shared" si="52"/>
        <v>0</v>
      </c>
      <c r="L53" s="7">
        <f t="shared" si="53"/>
        <v>0</v>
      </c>
      <c r="M53" s="7">
        <f t="shared" si="53"/>
        <v>-106223263.53024991</v>
      </c>
      <c r="P53" s="90">
        <v>-106223263.53024991</v>
      </c>
      <c r="Q53" s="90">
        <v>0</v>
      </c>
      <c r="R53" s="90">
        <v>0</v>
      </c>
      <c r="S53" s="90">
        <v>0</v>
      </c>
      <c r="T53" s="90">
        <v>-106223263.53024991</v>
      </c>
      <c r="U53" s="95"/>
      <c r="V53" s="90">
        <v>-106223263.53024991</v>
      </c>
      <c r="W53" s="90">
        <v>0</v>
      </c>
      <c r="X53" s="90">
        <v>0</v>
      </c>
      <c r="Y53" s="90">
        <v>0</v>
      </c>
      <c r="Z53" s="90">
        <v>-106223263.53024991</v>
      </c>
      <c r="AB53" s="90">
        <f t="shared" si="24"/>
        <v>0</v>
      </c>
      <c r="AC53" s="90">
        <f t="shared" si="25"/>
        <v>0</v>
      </c>
      <c r="AD53" s="90">
        <f t="shared" si="26"/>
        <v>0</v>
      </c>
      <c r="AE53" s="90">
        <f t="shared" si="27"/>
        <v>0</v>
      </c>
      <c r="AF53" s="90">
        <f t="shared" si="28"/>
        <v>0</v>
      </c>
      <c r="AG53" s="95">
        <f t="shared" si="29"/>
        <v>0</v>
      </c>
      <c r="AH53" s="90">
        <f t="shared" si="30"/>
        <v>0</v>
      </c>
      <c r="AI53" s="90">
        <f t="shared" si="31"/>
        <v>0</v>
      </c>
      <c r="AJ53" s="90">
        <f t="shared" si="32"/>
        <v>0</v>
      </c>
      <c r="AK53" s="90">
        <f t="shared" si="33"/>
        <v>0</v>
      </c>
      <c r="AL53" s="90">
        <f t="shared" si="34"/>
        <v>0</v>
      </c>
    </row>
    <row r="54" spans="1:38" ht="15.75" thickBot="1" x14ac:dyDescent="0.3">
      <c r="A54" s="4">
        <f>IF(ISBLANK(B54),"",MAX(A$6:A53)+1)</f>
        <v>40</v>
      </c>
      <c r="B54" s="20" t="s">
        <v>50</v>
      </c>
      <c r="C54" s="21">
        <f t="shared" ref="C54:F54" si="54">SUM(C47:C53)</f>
        <v>5188731886.1624241</v>
      </c>
      <c r="D54" s="21">
        <f t="shared" si="54"/>
        <v>0</v>
      </c>
      <c r="E54" s="21">
        <f t="shared" si="54"/>
        <v>-37487757.953703716</v>
      </c>
      <c r="F54" s="21">
        <f t="shared" si="54"/>
        <v>-27876144.997406568</v>
      </c>
      <c r="G54" s="21">
        <f t="shared" ref="G54" si="55">SUM(G47:G53)</f>
        <v>5123367983.2113104</v>
      </c>
      <c r="H54" s="47"/>
      <c r="I54" s="21">
        <f>SUM(I47:I53)</f>
        <v>5035524272.2724266</v>
      </c>
      <c r="J54" s="21">
        <f t="shared" ref="J54:K54" si="56">SUM(J47:J53)</f>
        <v>131823622.98079735</v>
      </c>
      <c r="K54" s="21">
        <f t="shared" si="56"/>
        <v>127154741.45460632</v>
      </c>
      <c r="L54" s="21">
        <f t="shared" ref="L54" si="57">SUM(L47:L53)</f>
        <v>0</v>
      </c>
      <c r="M54" s="21">
        <f>SUM(M47:M53)</f>
        <v>5294502636.7078304</v>
      </c>
      <c r="P54" s="107">
        <v>5183700076.5187788</v>
      </c>
      <c r="Q54" s="107">
        <v>0</v>
      </c>
      <c r="R54" s="107">
        <v>-36189502.155958131</v>
      </c>
      <c r="S54" s="107">
        <v>-27876144.997406568</v>
      </c>
      <c r="T54" s="107">
        <v>5119634429.3654165</v>
      </c>
      <c r="U54" s="95"/>
      <c r="V54" s="107">
        <v>5249381618.9757071</v>
      </c>
      <c r="W54" s="107">
        <v>131849643.90651254</v>
      </c>
      <c r="X54" s="107">
        <v>127151066.91548051</v>
      </c>
      <c r="Y54" s="107">
        <v>0</v>
      </c>
      <c r="Z54" s="107">
        <v>5508382329.7976999</v>
      </c>
      <c r="AB54" s="107">
        <f t="shared" si="24"/>
        <v>5031809.6436452866</v>
      </c>
      <c r="AC54" s="107">
        <f t="shared" si="25"/>
        <v>0</v>
      </c>
      <c r="AD54" s="107">
        <f t="shared" si="26"/>
        <v>-1298255.7977455854</v>
      </c>
      <c r="AE54" s="107">
        <f t="shared" si="27"/>
        <v>0</v>
      </c>
      <c r="AF54" s="107">
        <f t="shared" si="28"/>
        <v>3733553.8458938599</v>
      </c>
      <c r="AG54" s="95">
        <f t="shared" si="29"/>
        <v>0</v>
      </c>
      <c r="AH54" s="107">
        <f t="shared" si="30"/>
        <v>-213857346.70328045</v>
      </c>
      <c r="AI54" s="107">
        <f t="shared" si="31"/>
        <v>-26020.925715193152</v>
      </c>
      <c r="AJ54" s="107">
        <f t="shared" si="32"/>
        <v>3674.5391258150339</v>
      </c>
      <c r="AK54" s="107">
        <f t="shared" si="33"/>
        <v>0</v>
      </c>
      <c r="AL54" s="107">
        <f t="shared" si="34"/>
        <v>-213879693.0898695</v>
      </c>
    </row>
    <row r="55" spans="1:38" ht="15.75" thickTop="1" x14ac:dyDescent="0.25">
      <c r="A55" s="4" t="str">
        <f>IF(ISBLANK(B55),"",MAX(A$6:A54)+1)</f>
        <v/>
      </c>
      <c r="B55" s="42"/>
      <c r="C55" s="42"/>
      <c r="D55" s="42"/>
      <c r="E55" s="42"/>
      <c r="F55" s="42"/>
      <c r="G55" s="42"/>
      <c r="H55" s="47"/>
      <c r="I55" s="42"/>
      <c r="J55" s="42"/>
      <c r="K55" s="42"/>
      <c r="L55" s="42"/>
      <c r="M55" s="42"/>
      <c r="U55" s="95"/>
      <c r="AB55" s="69">
        <f t="shared" si="24"/>
        <v>0</v>
      </c>
      <c r="AC55" s="69">
        <f t="shared" si="25"/>
        <v>0</v>
      </c>
      <c r="AD55" s="69">
        <f t="shared" si="26"/>
        <v>0</v>
      </c>
      <c r="AE55" s="69">
        <f t="shared" si="27"/>
        <v>0</v>
      </c>
      <c r="AF55" s="69">
        <f t="shared" si="28"/>
        <v>0</v>
      </c>
      <c r="AG55" s="95">
        <f t="shared" si="29"/>
        <v>0</v>
      </c>
      <c r="AH55" s="69">
        <f t="shared" si="30"/>
        <v>0</v>
      </c>
      <c r="AI55" s="69">
        <f t="shared" si="31"/>
        <v>0</v>
      </c>
      <c r="AJ55" s="69">
        <f t="shared" si="32"/>
        <v>0</v>
      </c>
      <c r="AK55" s="69">
        <f t="shared" si="33"/>
        <v>0</v>
      </c>
      <c r="AL55" s="69">
        <f t="shared" si="34"/>
        <v>0</v>
      </c>
    </row>
    <row r="56" spans="1:38" x14ac:dyDescent="0.25">
      <c r="A56" s="4">
        <f>IF(ISBLANK(B56),"",MAX(A$6:A55)+1)</f>
        <v>41</v>
      </c>
      <c r="B56" s="26" t="s">
        <v>51</v>
      </c>
      <c r="C56" s="42"/>
      <c r="D56" s="42"/>
      <c r="E56" s="42"/>
      <c r="F56" s="42"/>
      <c r="G56" s="42"/>
      <c r="H56" s="47"/>
      <c r="I56" s="42"/>
      <c r="J56" s="42"/>
      <c r="K56" s="42"/>
      <c r="L56" s="42"/>
      <c r="M56" s="42"/>
      <c r="U56" s="95"/>
      <c r="AB56" s="69">
        <f t="shared" si="24"/>
        <v>0</v>
      </c>
      <c r="AC56" s="69">
        <f t="shared" si="25"/>
        <v>0</v>
      </c>
      <c r="AD56" s="69">
        <f t="shared" si="26"/>
        <v>0</v>
      </c>
      <c r="AE56" s="69">
        <f t="shared" si="27"/>
        <v>0</v>
      </c>
      <c r="AF56" s="69">
        <f t="shared" si="28"/>
        <v>0</v>
      </c>
      <c r="AG56" s="95">
        <f t="shared" si="29"/>
        <v>0</v>
      </c>
      <c r="AH56" s="69">
        <f t="shared" si="30"/>
        <v>0</v>
      </c>
      <c r="AI56" s="69">
        <f t="shared" si="31"/>
        <v>0</v>
      </c>
      <c r="AJ56" s="69">
        <f t="shared" si="32"/>
        <v>0</v>
      </c>
      <c r="AK56" s="69">
        <f t="shared" si="33"/>
        <v>0</v>
      </c>
      <c r="AL56" s="69">
        <f t="shared" si="34"/>
        <v>0</v>
      </c>
    </row>
    <row r="57" spans="1:38" x14ac:dyDescent="0.25">
      <c r="A57" s="4">
        <f>IF(ISBLANK(B57),"",MAX(A$6:A56)+1)</f>
        <v>42</v>
      </c>
      <c r="B57" s="53" t="s">
        <v>52</v>
      </c>
      <c r="C57" s="27">
        <f>SUM([3]Electric_CBR!M58:M58)+'[7]Detailed Summary'!$AF$53+'[7]Detailed Summary'!$AG$53</f>
        <v>4219025238.3040905</v>
      </c>
      <c r="D57" s="27"/>
      <c r="E57" s="27"/>
      <c r="F57" s="27"/>
      <c r="G57" s="27">
        <f>SUM(C57:F57)</f>
        <v>4219025238.3040905</v>
      </c>
      <c r="H57" s="66">
        <f>[3]Elect_PPlant!F28</f>
        <v>1.4158484726916581E-3</v>
      </c>
      <c r="I57" s="27">
        <f>'[6]Electric Consol'!M45</f>
        <v>4266361389.4506369</v>
      </c>
      <c r="J57" s="27"/>
      <c r="K57" s="27"/>
      <c r="L57" s="27"/>
      <c r="M57" s="27">
        <f>SUM(I57:L57)</f>
        <v>4266361389.4506369</v>
      </c>
      <c r="P57" s="106">
        <v>4226607969.3040905</v>
      </c>
      <c r="Q57" s="106"/>
      <c r="R57" s="106"/>
      <c r="S57" s="106"/>
      <c r="T57" s="106">
        <v>4226607969.3040905</v>
      </c>
      <c r="U57" s="91">
        <v>1.5006211864456276E-2</v>
      </c>
      <c r="V57" s="106">
        <v>4373337306.4057026</v>
      </c>
      <c r="W57" s="106"/>
      <c r="X57" s="106"/>
      <c r="Y57" s="106"/>
      <c r="Z57" s="106">
        <v>4373337306.4057026</v>
      </c>
      <c r="AB57" s="106">
        <f t="shared" si="24"/>
        <v>-7582731</v>
      </c>
      <c r="AC57" s="106">
        <f t="shared" si="25"/>
        <v>0</v>
      </c>
      <c r="AD57" s="106">
        <f t="shared" si="26"/>
        <v>0</v>
      </c>
      <c r="AE57" s="106">
        <f t="shared" si="27"/>
        <v>0</v>
      </c>
      <c r="AF57" s="106">
        <f t="shared" si="28"/>
        <v>-7582731</v>
      </c>
      <c r="AG57" s="91">
        <f t="shared" si="29"/>
        <v>-1.3590363391764618E-2</v>
      </c>
      <c r="AH57" s="106">
        <f t="shared" si="30"/>
        <v>-106975916.95506573</v>
      </c>
      <c r="AI57" s="106">
        <f t="shared" si="31"/>
        <v>0</v>
      </c>
      <c r="AJ57" s="106">
        <f t="shared" si="32"/>
        <v>0</v>
      </c>
      <c r="AK57" s="106">
        <f t="shared" si="33"/>
        <v>0</v>
      </c>
      <c r="AL57" s="106">
        <f t="shared" si="34"/>
        <v>-106975916.95506573</v>
      </c>
    </row>
    <row r="58" spans="1:38" x14ac:dyDescent="0.25">
      <c r="A58" s="4">
        <f>IF(ISBLANK(B58),"",MAX(A$6:A57)+1)</f>
        <v>43</v>
      </c>
      <c r="B58" s="53" t="s">
        <v>53</v>
      </c>
      <c r="C58" s="7">
        <f>[3]Electric_CBR!M59</f>
        <v>1537389479.4362583</v>
      </c>
      <c r="D58" s="7"/>
      <c r="E58" s="7"/>
      <c r="F58" s="7"/>
      <c r="G58" s="7">
        <f>SUM(C58:F58)</f>
        <v>1537389479.4362583</v>
      </c>
      <c r="H58" s="66">
        <f>[3]Elect_TPlant!D28</f>
        <v>4.6011659206104102E-2</v>
      </c>
      <c r="I58" s="7">
        <f>'[6]Electric Consol'!M46</f>
        <v>1699727075.784018</v>
      </c>
      <c r="J58" s="7"/>
      <c r="K58" s="7"/>
      <c r="L58" s="7"/>
      <c r="M58" s="7">
        <f>SUM(I58:L58)</f>
        <v>1699727075.784018</v>
      </c>
      <c r="P58" s="90">
        <v>1537389479.4362583</v>
      </c>
      <c r="Q58" s="90"/>
      <c r="R58" s="90"/>
      <c r="S58" s="90"/>
      <c r="T58" s="90">
        <v>1537389479.4362583</v>
      </c>
      <c r="U58" s="91">
        <v>5.3215264320141842E-2</v>
      </c>
      <c r="V58" s="90">
        <v>1721519932.8803101</v>
      </c>
      <c r="W58" s="90"/>
      <c r="X58" s="90"/>
      <c r="Y58" s="90"/>
      <c r="Z58" s="90">
        <v>1721519932.8803101</v>
      </c>
      <c r="AB58" s="90">
        <f t="shared" si="24"/>
        <v>0</v>
      </c>
      <c r="AC58" s="90">
        <f t="shared" si="25"/>
        <v>0</v>
      </c>
      <c r="AD58" s="90">
        <f t="shared" si="26"/>
        <v>0</v>
      </c>
      <c r="AE58" s="90">
        <f t="shared" si="27"/>
        <v>0</v>
      </c>
      <c r="AF58" s="90">
        <f t="shared" si="28"/>
        <v>0</v>
      </c>
      <c r="AG58" s="91">
        <f t="shared" si="29"/>
        <v>-7.2036051140377394E-3</v>
      </c>
      <c r="AH58" s="90">
        <f t="shared" si="30"/>
        <v>-21792857.096292019</v>
      </c>
      <c r="AI58" s="90">
        <f t="shared" si="31"/>
        <v>0</v>
      </c>
      <c r="AJ58" s="90">
        <f t="shared" si="32"/>
        <v>0</v>
      </c>
      <c r="AK58" s="90">
        <f t="shared" si="33"/>
        <v>0</v>
      </c>
      <c r="AL58" s="90">
        <f t="shared" si="34"/>
        <v>-21792857.096292019</v>
      </c>
    </row>
    <row r="59" spans="1:38" x14ac:dyDescent="0.25">
      <c r="A59" s="4">
        <f>IF(ISBLANK(B59),"",MAX(A$6:A58)+1)</f>
        <v>44</v>
      </c>
      <c r="B59" s="53" t="s">
        <v>54</v>
      </c>
      <c r="C59" s="63">
        <f>[3]Electric_CBR!M60+'[7]Detailed Summary'!$BK$53</f>
        <v>3905799408.7633166</v>
      </c>
      <c r="D59" s="63"/>
      <c r="E59" s="63">
        <f>[3]Electric_CBR!$M$120</f>
        <v>-43086547.452637523</v>
      </c>
      <c r="F59" s="63"/>
      <c r="G59" s="63">
        <f>SUM(C59:F59)</f>
        <v>3862712861.310679</v>
      </c>
      <c r="H59" s="66">
        <f>[3]Elect_DPlant!F28</f>
        <v>2.9502824523918683E-2</v>
      </c>
      <c r="I59" s="7">
        <f>'[6]Electric Consol'!M47</f>
        <v>4203164129.7254286</v>
      </c>
      <c r="J59" s="63">
        <f>'[6]Electric Consol'!$M$51</f>
        <v>170075026.29643583</v>
      </c>
      <c r="K59" s="63"/>
      <c r="L59" s="63"/>
      <c r="M59" s="63">
        <f>SUM(I59:L59)</f>
        <v>4373239156.0218639</v>
      </c>
      <c r="P59" s="108">
        <v>3906349563.9733167</v>
      </c>
      <c r="Q59" s="108"/>
      <c r="R59" s="108">
        <v>-43086547.452637523</v>
      </c>
      <c r="S59" s="108"/>
      <c r="T59" s="108">
        <v>3863263016.520679</v>
      </c>
      <c r="U59" s="91">
        <v>3.4394221048451933E-2</v>
      </c>
      <c r="V59" s="90">
        <v>4240147715.2543297</v>
      </c>
      <c r="W59" s="108">
        <v>170075026.29643583</v>
      </c>
      <c r="X59" s="108"/>
      <c r="Y59" s="108"/>
      <c r="Z59" s="108">
        <v>4410222741.550766</v>
      </c>
      <c r="AB59" s="108">
        <f t="shared" si="24"/>
        <v>-550155.21000003815</v>
      </c>
      <c r="AC59" s="108">
        <f t="shared" si="25"/>
        <v>0</v>
      </c>
      <c r="AD59" s="108">
        <f t="shared" si="26"/>
        <v>0</v>
      </c>
      <c r="AE59" s="108">
        <f t="shared" si="27"/>
        <v>0</v>
      </c>
      <c r="AF59" s="108">
        <f t="shared" si="28"/>
        <v>-550155.21000003815</v>
      </c>
      <c r="AG59" s="91">
        <f t="shared" si="29"/>
        <v>-4.8913965245332494E-3</v>
      </c>
      <c r="AH59" s="90">
        <f t="shared" si="30"/>
        <v>-36983585.5289011</v>
      </c>
      <c r="AI59" s="108">
        <f t="shared" si="31"/>
        <v>0</v>
      </c>
      <c r="AJ59" s="108">
        <f t="shared" si="32"/>
        <v>0</v>
      </c>
      <c r="AK59" s="108">
        <f t="shared" si="33"/>
        <v>0</v>
      </c>
      <c r="AL59" s="108">
        <f t="shared" si="34"/>
        <v>-36983585.528902054</v>
      </c>
    </row>
    <row r="60" spans="1:38" x14ac:dyDescent="0.25">
      <c r="A60" s="4">
        <f>IF(ISBLANK(B60),"",MAX(A$6:A59)+1)</f>
        <v>45</v>
      </c>
      <c r="B60" s="53" t="s">
        <v>55</v>
      </c>
      <c r="C60" s="63">
        <f>[3]Electric_CBR!M61+'[7]Detailed Summary'!$BH$53+'[7]Detailed Summary'!$AH$53</f>
        <v>364692121.31170005</v>
      </c>
      <c r="D60" s="63"/>
      <c r="E60" s="63"/>
      <c r="F60" s="63">
        <f>[3]Electric_CBR!$M$133</f>
        <v>-32493590.70949842</v>
      </c>
      <c r="G60" s="63">
        <f>SUM(C60:F60)</f>
        <v>332198530.60220164</v>
      </c>
      <c r="H60" s="66">
        <f>[3]Elect_IPlant!G28</f>
        <v>5.8446420778102401E-2</v>
      </c>
      <c r="I60" s="7">
        <f>'[6]Electric Consol'!M48</f>
        <v>374962391.35042489</v>
      </c>
      <c r="J60" s="63"/>
      <c r="K60" s="63">
        <f>'[6]Electric Consol'!$M$52</f>
        <v>162226501.42875069</v>
      </c>
      <c r="L60" s="63"/>
      <c r="M60" s="63">
        <f>SUM(I60:L60)</f>
        <v>537188892.77917552</v>
      </c>
      <c r="P60" s="108">
        <v>381909676.27170002</v>
      </c>
      <c r="Q60" s="108"/>
      <c r="R60" s="108"/>
      <c r="S60" s="108">
        <v>-32493590.70949842</v>
      </c>
      <c r="T60" s="108">
        <v>349416085.56220162</v>
      </c>
      <c r="U60" s="91">
        <v>0.16157434378051261</v>
      </c>
      <c r="V60" s="90">
        <v>446682537.10684574</v>
      </c>
      <c r="W60" s="108"/>
      <c r="X60" s="108">
        <v>162226501.42875069</v>
      </c>
      <c r="Y60" s="108"/>
      <c r="Z60" s="108">
        <v>608909038.53559637</v>
      </c>
      <c r="AB60" s="108">
        <f t="shared" si="24"/>
        <v>-17217554.959999979</v>
      </c>
      <c r="AC60" s="108">
        <f t="shared" si="25"/>
        <v>0</v>
      </c>
      <c r="AD60" s="108">
        <f t="shared" si="26"/>
        <v>0</v>
      </c>
      <c r="AE60" s="108">
        <f t="shared" si="27"/>
        <v>0</v>
      </c>
      <c r="AF60" s="108">
        <f t="shared" si="28"/>
        <v>-17217554.959999979</v>
      </c>
      <c r="AG60" s="91">
        <f t="shared" si="29"/>
        <v>-0.10312792300241021</v>
      </c>
      <c r="AH60" s="90">
        <f t="shared" si="30"/>
        <v>-71720145.756420851</v>
      </c>
      <c r="AI60" s="108">
        <f t="shared" si="31"/>
        <v>0</v>
      </c>
      <c r="AJ60" s="108">
        <f t="shared" si="32"/>
        <v>0</v>
      </c>
      <c r="AK60" s="108">
        <f t="shared" si="33"/>
        <v>0</v>
      </c>
      <c r="AL60" s="108">
        <f t="shared" si="34"/>
        <v>-71720145.756420851</v>
      </c>
    </row>
    <row r="61" spans="1:38" x14ac:dyDescent="0.25">
      <c r="A61" s="4">
        <f>IF(ISBLANK(B61),"",MAX(A$6:A60)+1)</f>
        <v>46</v>
      </c>
      <c r="B61" s="53" t="s">
        <v>56</v>
      </c>
      <c r="C61" s="63">
        <f>[3]Electric_CBR!M62</f>
        <v>515670958.80223441</v>
      </c>
      <c r="D61" s="63"/>
      <c r="E61" s="63"/>
      <c r="F61" s="63"/>
      <c r="G61" s="63">
        <f>SUM(C61:F61)</f>
        <v>515670958.80223441</v>
      </c>
      <c r="H61" s="66">
        <f>[3]Elect_GPlant!D28</f>
        <v>4.4317885940325638E-2</v>
      </c>
      <c r="I61" s="7">
        <f>'[6]Electric Consol'!M49</f>
        <v>640204496.71665442</v>
      </c>
      <c r="J61" s="63"/>
      <c r="K61" s="63"/>
      <c r="L61" s="63"/>
      <c r="M61" s="63">
        <f>SUM(I61:L61)</f>
        <v>640204496.71665442</v>
      </c>
      <c r="P61" s="108">
        <v>515670958.80223441</v>
      </c>
      <c r="Q61" s="108"/>
      <c r="R61" s="108"/>
      <c r="S61" s="108"/>
      <c r="T61" s="108">
        <v>515670958.80223441</v>
      </c>
      <c r="U61" s="91">
        <v>6.0398964202900807E-2</v>
      </c>
      <c r="V61" s="90">
        <v>658637176.28836942</v>
      </c>
      <c r="W61" s="108"/>
      <c r="X61" s="108"/>
      <c r="Y61" s="108"/>
      <c r="Z61" s="108">
        <v>658637176.28836942</v>
      </c>
      <c r="AB61" s="108">
        <f t="shared" si="24"/>
        <v>0</v>
      </c>
      <c r="AC61" s="108">
        <f t="shared" si="25"/>
        <v>0</v>
      </c>
      <c r="AD61" s="108">
        <f t="shared" si="26"/>
        <v>0</v>
      </c>
      <c r="AE61" s="108">
        <f t="shared" si="27"/>
        <v>0</v>
      </c>
      <c r="AF61" s="108">
        <f t="shared" si="28"/>
        <v>0</v>
      </c>
      <c r="AG61" s="91">
        <f t="shared" si="29"/>
        <v>-1.6081078262575169E-2</v>
      </c>
      <c r="AH61" s="90">
        <f t="shared" si="30"/>
        <v>-18432679.571714997</v>
      </c>
      <c r="AI61" s="108">
        <f t="shared" si="31"/>
        <v>0</v>
      </c>
      <c r="AJ61" s="108">
        <f t="shared" si="32"/>
        <v>0</v>
      </c>
      <c r="AK61" s="108">
        <f t="shared" si="33"/>
        <v>0</v>
      </c>
      <c r="AL61" s="108">
        <f t="shared" si="34"/>
        <v>-18432679.571714997</v>
      </c>
    </row>
    <row r="62" spans="1:38" x14ac:dyDescent="0.25">
      <c r="A62" s="4">
        <f>IF(ISBLANK(B62),"",MAX(A$6:A61)+1)</f>
        <v>47</v>
      </c>
      <c r="B62" s="9" t="s">
        <v>0</v>
      </c>
      <c r="C62" s="58">
        <f t="shared" ref="C62:F62" si="58">SUM(C57:C61)</f>
        <v>10542577206.617601</v>
      </c>
      <c r="D62" s="58">
        <f t="shared" si="58"/>
        <v>0</v>
      </c>
      <c r="E62" s="58">
        <f t="shared" si="58"/>
        <v>-43086547.452637523</v>
      </c>
      <c r="F62" s="58">
        <f t="shared" si="58"/>
        <v>-32493590.70949842</v>
      </c>
      <c r="G62" s="58">
        <f t="shared" ref="G62" si="59">SUM(G57:G61)</f>
        <v>10466997068.455463</v>
      </c>
      <c r="H62" s="47"/>
      <c r="I62" s="58">
        <f t="shared" ref="I62:K62" si="60">SUM(I57:I61)</f>
        <v>11184419483.027163</v>
      </c>
      <c r="J62" s="58">
        <f t="shared" si="60"/>
        <v>170075026.29643583</v>
      </c>
      <c r="K62" s="58">
        <f t="shared" si="60"/>
        <v>162226501.42875069</v>
      </c>
      <c r="L62" s="58">
        <f t="shared" ref="L62:M62" si="61">SUM(L57:L61)</f>
        <v>0</v>
      </c>
      <c r="M62" s="58">
        <f t="shared" si="61"/>
        <v>11516721010.752348</v>
      </c>
      <c r="P62" s="109">
        <v>10567927647.7876</v>
      </c>
      <c r="Q62" s="109">
        <v>0</v>
      </c>
      <c r="R62" s="109">
        <v>-43086547.452637523</v>
      </c>
      <c r="S62" s="109">
        <v>-32493590.70949842</v>
      </c>
      <c r="T62" s="109">
        <v>10492347509.625465</v>
      </c>
      <c r="U62" s="95"/>
      <c r="V62" s="109">
        <v>11440324667.935558</v>
      </c>
      <c r="W62" s="109">
        <v>170075026.29643583</v>
      </c>
      <c r="X62" s="109">
        <v>162226501.42875069</v>
      </c>
      <c r="Y62" s="109">
        <v>0</v>
      </c>
      <c r="Z62" s="109">
        <v>11772626195.660746</v>
      </c>
      <c r="AB62" s="109">
        <f t="shared" si="24"/>
        <v>-25350441.169998169</v>
      </c>
      <c r="AC62" s="109">
        <f t="shared" si="25"/>
        <v>0</v>
      </c>
      <c r="AD62" s="109">
        <f t="shared" si="26"/>
        <v>0</v>
      </c>
      <c r="AE62" s="109">
        <f t="shared" si="27"/>
        <v>0</v>
      </c>
      <c r="AF62" s="109">
        <f t="shared" si="28"/>
        <v>-25350441.170001984</v>
      </c>
      <c r="AG62" s="95">
        <f t="shared" si="29"/>
        <v>0</v>
      </c>
      <c r="AH62" s="109">
        <f t="shared" si="30"/>
        <v>-255905184.90839577</v>
      </c>
      <c r="AI62" s="109">
        <f t="shared" si="31"/>
        <v>0</v>
      </c>
      <c r="AJ62" s="109">
        <f t="shared" si="32"/>
        <v>0</v>
      </c>
      <c r="AK62" s="109">
        <f t="shared" si="33"/>
        <v>0</v>
      </c>
      <c r="AL62" s="109">
        <f t="shared" si="34"/>
        <v>-255905184.90839767</v>
      </c>
    </row>
    <row r="63" spans="1:38" x14ac:dyDescent="0.25">
      <c r="A63" s="4" t="str">
        <f>IF(ISBLANK(B63),"",MAX(A$6:A62)+1)</f>
        <v/>
      </c>
      <c r="B63" s="42"/>
      <c r="C63" s="43"/>
      <c r="D63" s="43"/>
      <c r="E63" s="43"/>
      <c r="F63" s="43"/>
      <c r="G63" s="43"/>
      <c r="H63" s="47"/>
      <c r="I63" s="138">
        <f>(I62-G62)/G62</f>
        <v>6.8541379144339803E-2</v>
      </c>
      <c r="J63" s="43"/>
      <c r="K63" s="43"/>
      <c r="L63" s="43"/>
      <c r="M63" s="43"/>
      <c r="P63" s="110"/>
      <c r="Q63" s="110"/>
      <c r="R63" s="110"/>
      <c r="S63" s="110"/>
      <c r="T63" s="110"/>
      <c r="U63" s="95"/>
      <c r="V63" s="110"/>
      <c r="W63" s="110"/>
      <c r="X63" s="110"/>
      <c r="Y63" s="110"/>
      <c r="Z63" s="110"/>
      <c r="AB63" s="110">
        <f t="shared" si="24"/>
        <v>0</v>
      </c>
      <c r="AC63" s="110">
        <f t="shared" si="25"/>
        <v>0</v>
      </c>
      <c r="AD63" s="110">
        <f t="shared" si="26"/>
        <v>0</v>
      </c>
      <c r="AE63" s="110">
        <f t="shared" si="27"/>
        <v>0</v>
      </c>
      <c r="AF63" s="110">
        <f t="shared" si="28"/>
        <v>0</v>
      </c>
      <c r="AG63" s="95">
        <f t="shared" si="29"/>
        <v>0</v>
      </c>
      <c r="AH63" s="110">
        <f t="shared" si="30"/>
        <v>6.8541379144339803E-2</v>
      </c>
      <c r="AI63" s="110">
        <f t="shared" si="31"/>
        <v>0</v>
      </c>
      <c r="AJ63" s="110">
        <f t="shared" si="32"/>
        <v>0</v>
      </c>
      <c r="AK63" s="110">
        <f t="shared" si="33"/>
        <v>0</v>
      </c>
      <c r="AL63" s="110">
        <f t="shared" si="34"/>
        <v>0</v>
      </c>
    </row>
    <row r="64" spans="1:38" x14ac:dyDescent="0.25">
      <c r="A64" s="4">
        <f>IF(ISBLANK(B64),"",MAX(A$6:A63)+1)</f>
        <v>48</v>
      </c>
      <c r="B64" s="26" t="s">
        <v>57</v>
      </c>
      <c r="C64" s="42"/>
      <c r="D64" s="42"/>
      <c r="E64" s="42"/>
      <c r="F64" s="42"/>
      <c r="G64" s="42"/>
      <c r="H64" s="47"/>
      <c r="I64" s="42"/>
      <c r="J64" s="42"/>
      <c r="K64" s="42"/>
      <c r="L64" s="42"/>
      <c r="M64" s="42"/>
      <c r="U64" s="95"/>
      <c r="AB64" s="69">
        <f t="shared" si="24"/>
        <v>0</v>
      </c>
      <c r="AC64" s="69">
        <f t="shared" si="25"/>
        <v>0</v>
      </c>
      <c r="AD64" s="69">
        <f t="shared" si="26"/>
        <v>0</v>
      </c>
      <c r="AE64" s="69">
        <f t="shared" si="27"/>
        <v>0</v>
      </c>
      <c r="AF64" s="69">
        <f t="shared" si="28"/>
        <v>0</v>
      </c>
      <c r="AG64" s="95">
        <f t="shared" si="29"/>
        <v>0</v>
      </c>
      <c r="AH64" s="69">
        <f t="shared" si="30"/>
        <v>0</v>
      </c>
      <c r="AI64" s="69">
        <f t="shared" si="31"/>
        <v>0</v>
      </c>
      <c r="AJ64" s="69">
        <f t="shared" si="32"/>
        <v>0</v>
      </c>
      <c r="AK64" s="69">
        <f t="shared" si="33"/>
        <v>0</v>
      </c>
      <c r="AL64" s="69">
        <f t="shared" si="34"/>
        <v>0</v>
      </c>
    </row>
    <row r="65" spans="1:38" x14ac:dyDescent="0.25">
      <c r="A65" s="4">
        <f>IF(ISBLANK(B65),"",MAX(A$6:A64)+1)</f>
        <v>49</v>
      </c>
      <c r="B65" s="53" t="s">
        <v>52</v>
      </c>
      <c r="C65" s="27">
        <f>SUM([3]Electric_CBR!M66:M66)+'[7]Detailed Summary'!$AF$54+'[7]Detailed Summary'!$AG$54</f>
        <v>-1966448758.695049</v>
      </c>
      <c r="D65" s="27"/>
      <c r="E65" s="27"/>
      <c r="F65" s="27"/>
      <c r="G65" s="27">
        <f>SUM(C65:F65)</f>
        <v>-1966448758.695049</v>
      </c>
      <c r="H65" s="66"/>
      <c r="I65" s="27">
        <f>SUM('[6]Electric Consol'!$M$37,'[6]Electric Consol'!$M$32)</f>
        <v>-2300521624.0524964</v>
      </c>
      <c r="J65" s="27"/>
      <c r="K65" s="27"/>
      <c r="L65" s="27"/>
      <c r="M65" s="27">
        <f>SUM(I65:L65)</f>
        <v>-2300521624.0524964</v>
      </c>
      <c r="P65" s="106">
        <v>-1967130595.695049</v>
      </c>
      <c r="Q65" s="106"/>
      <c r="R65" s="106"/>
      <c r="S65" s="106"/>
      <c r="T65" s="106">
        <v>-1967130595.695049</v>
      </c>
      <c r="U65" s="91"/>
      <c r="V65" s="106">
        <v>-2304556918.466495</v>
      </c>
      <c r="W65" s="106"/>
      <c r="X65" s="106"/>
      <c r="Y65" s="106"/>
      <c r="Z65" s="106">
        <v>-2304556918.466495</v>
      </c>
      <c r="AB65" s="106">
        <f t="shared" si="24"/>
        <v>681837</v>
      </c>
      <c r="AC65" s="106">
        <f t="shared" si="25"/>
        <v>0</v>
      </c>
      <c r="AD65" s="106">
        <f t="shared" si="26"/>
        <v>0</v>
      </c>
      <c r="AE65" s="106">
        <f t="shared" si="27"/>
        <v>0</v>
      </c>
      <c r="AF65" s="106">
        <f t="shared" si="28"/>
        <v>681837</v>
      </c>
      <c r="AG65" s="91">
        <f t="shared" si="29"/>
        <v>0</v>
      </c>
      <c r="AH65" s="106">
        <f t="shared" si="30"/>
        <v>4035294.4139986038</v>
      </c>
      <c r="AI65" s="106">
        <f t="shared" si="31"/>
        <v>0</v>
      </c>
      <c r="AJ65" s="106">
        <f t="shared" si="32"/>
        <v>0</v>
      </c>
      <c r="AK65" s="106">
        <f t="shared" si="33"/>
        <v>0</v>
      </c>
      <c r="AL65" s="106">
        <f t="shared" si="34"/>
        <v>4035294.4139986038</v>
      </c>
    </row>
    <row r="66" spans="1:38" x14ac:dyDescent="0.25">
      <c r="A66" s="4">
        <f>IF(ISBLANK(B66),"",MAX(A$6:A65)+1)</f>
        <v>50</v>
      </c>
      <c r="B66" s="53" t="s">
        <v>53</v>
      </c>
      <c r="C66" s="7">
        <f>[3]Electric_CBR!M67</f>
        <v>-503717591.12299544</v>
      </c>
      <c r="D66" s="7"/>
      <c r="E66" s="7"/>
      <c r="F66" s="7"/>
      <c r="G66" s="7">
        <f>SUM(C66:F66)</f>
        <v>-503717591.12299544</v>
      </c>
      <c r="H66" s="67"/>
      <c r="I66" s="7">
        <f>'[6]Electric Consol'!M33</f>
        <v>-585449119.74923277</v>
      </c>
      <c r="J66" s="7"/>
      <c r="K66" s="7"/>
      <c r="L66" s="7"/>
      <c r="M66" s="7">
        <f>SUM(I66:L66)</f>
        <v>-585449119.74923277</v>
      </c>
      <c r="P66" s="90">
        <v>-503717591.12299544</v>
      </c>
      <c r="Q66" s="90"/>
      <c r="R66" s="90"/>
      <c r="S66" s="90"/>
      <c r="T66" s="90">
        <v>-503717591.12299544</v>
      </c>
      <c r="U66" s="111"/>
      <c r="V66" s="90">
        <v>-586180484.17834544</v>
      </c>
      <c r="W66" s="90"/>
      <c r="X66" s="90"/>
      <c r="Y66" s="90"/>
      <c r="Z66" s="90">
        <v>-586180484.17834544</v>
      </c>
      <c r="AB66" s="90">
        <f t="shared" si="24"/>
        <v>0</v>
      </c>
      <c r="AC66" s="90">
        <f t="shared" si="25"/>
        <v>0</v>
      </c>
      <c r="AD66" s="90">
        <f t="shared" si="26"/>
        <v>0</v>
      </c>
      <c r="AE66" s="90">
        <f t="shared" si="27"/>
        <v>0</v>
      </c>
      <c r="AF66" s="90">
        <f t="shared" si="28"/>
        <v>0</v>
      </c>
      <c r="AG66" s="111">
        <f t="shared" si="29"/>
        <v>0</v>
      </c>
      <c r="AH66" s="90">
        <f t="shared" si="30"/>
        <v>731364.42911267281</v>
      </c>
      <c r="AI66" s="90">
        <f t="shared" si="31"/>
        <v>0</v>
      </c>
      <c r="AJ66" s="90">
        <f t="shared" si="32"/>
        <v>0</v>
      </c>
      <c r="AK66" s="90">
        <f t="shared" si="33"/>
        <v>0</v>
      </c>
      <c r="AL66" s="90">
        <f t="shared" si="34"/>
        <v>731364.42911267281</v>
      </c>
    </row>
    <row r="67" spans="1:38" x14ac:dyDescent="0.25">
      <c r="A67" s="4">
        <f>IF(ISBLANK(B67),"",MAX(A$6:A66)+1)</f>
        <v>51</v>
      </c>
      <c r="B67" s="53" t="s">
        <v>54</v>
      </c>
      <c r="C67" s="63">
        <f>[3]Electric_CBR!M68</f>
        <v>-1461014489.0522759</v>
      </c>
      <c r="D67" s="63"/>
      <c r="E67" s="63">
        <f>[3]Electric_CBR!$M$124</f>
        <v>2800433.4436958949</v>
      </c>
      <c r="F67" s="63"/>
      <c r="G67" s="63">
        <f>SUM(C67:F67)</f>
        <v>-1458214055.6085801</v>
      </c>
      <c r="H67" s="67"/>
      <c r="I67" s="7">
        <f>'[6]Electric Consol'!M34+'[6]Electric Consol'!$M$38</f>
        <v>-1765291474.614944</v>
      </c>
      <c r="J67" s="63">
        <f>'[6]Electric Consol'!$M$39</f>
        <v>-26949739.940672945</v>
      </c>
      <c r="K67" s="63"/>
      <c r="L67" s="63"/>
      <c r="M67" s="63">
        <f>SUM(I67:L67)</f>
        <v>-1792241214.5556169</v>
      </c>
      <c r="P67" s="108">
        <v>-1461014489.0522759</v>
      </c>
      <c r="Q67" s="108"/>
      <c r="R67" s="108">
        <v>2800433.4436958949</v>
      </c>
      <c r="S67" s="108"/>
      <c r="T67" s="108">
        <v>-1458214055.6085801</v>
      </c>
      <c r="U67" s="111"/>
      <c r="V67" s="90">
        <v>-1767075234.9329495</v>
      </c>
      <c r="W67" s="108">
        <v>-26949739.940672945</v>
      </c>
      <c r="X67" s="108"/>
      <c r="Y67" s="108"/>
      <c r="Z67" s="108">
        <v>-1794024974.8736224</v>
      </c>
      <c r="AB67" s="108">
        <f t="shared" si="24"/>
        <v>0</v>
      </c>
      <c r="AC67" s="108">
        <f t="shared" si="25"/>
        <v>0</v>
      </c>
      <c r="AD67" s="108">
        <f t="shared" si="26"/>
        <v>0</v>
      </c>
      <c r="AE67" s="108">
        <f t="shared" si="27"/>
        <v>0</v>
      </c>
      <c r="AF67" s="108">
        <f t="shared" si="28"/>
        <v>0</v>
      </c>
      <c r="AG67" s="111">
        <f t="shared" si="29"/>
        <v>0</v>
      </c>
      <c r="AH67" s="90">
        <f t="shared" si="30"/>
        <v>1783760.3180055618</v>
      </c>
      <c r="AI67" s="108">
        <f t="shared" si="31"/>
        <v>0</v>
      </c>
      <c r="AJ67" s="108">
        <f t="shared" si="32"/>
        <v>0</v>
      </c>
      <c r="AK67" s="108">
        <f t="shared" si="33"/>
        <v>0</v>
      </c>
      <c r="AL67" s="108">
        <f t="shared" si="34"/>
        <v>1783760.3180055618</v>
      </c>
    </row>
    <row r="68" spans="1:38" x14ac:dyDescent="0.25">
      <c r="A68" s="4">
        <f>IF(ISBLANK(B68),"",MAX(A$6:A67)+1)</f>
        <v>52</v>
      </c>
      <c r="B68" s="53" t="s">
        <v>55</v>
      </c>
      <c r="C68" s="63">
        <f>[3]Electric_CBR!M69+'[7]Detailed Summary'!$BH$54+'[7]Detailed Summary'!$AH$54</f>
        <v>-115975412.42743929</v>
      </c>
      <c r="D68" s="63"/>
      <c r="E68" s="63"/>
      <c r="F68" s="63">
        <f>[3]Electric_CBR!$M$137</f>
        <v>2801052.512056177</v>
      </c>
      <c r="G68" s="63">
        <f>SUM(C68:F68)</f>
        <v>-113174359.91538312</v>
      </c>
      <c r="H68" s="67"/>
      <c r="I68" s="7">
        <f>'[6]Electric Consol'!M35</f>
        <v>-241338127.69880277</v>
      </c>
      <c r="J68" s="63"/>
      <c r="K68" s="63">
        <f>'[6]Electric Consol'!$M$40</f>
        <v>-36667721.805506274</v>
      </c>
      <c r="L68" s="63"/>
      <c r="M68" s="63">
        <f>SUM(I68:L68)</f>
        <v>-278005849.50430906</v>
      </c>
      <c r="P68" s="108">
        <v>-128663487.36185595</v>
      </c>
      <c r="Q68" s="108"/>
      <c r="R68" s="108"/>
      <c r="S68" s="108">
        <v>2801052.512056177</v>
      </c>
      <c r="T68" s="108">
        <v>-125862434.84979978</v>
      </c>
      <c r="U68" s="111"/>
      <c r="V68" s="90">
        <v>-258015692.95561469</v>
      </c>
      <c r="W68" s="108"/>
      <c r="X68" s="108">
        <v>-36667721.805506274</v>
      </c>
      <c r="Y68" s="108"/>
      <c r="Z68" s="108">
        <v>-294683414.76112098</v>
      </c>
      <c r="AB68" s="108">
        <f t="shared" si="24"/>
        <v>12688074.934416667</v>
      </c>
      <c r="AC68" s="108">
        <f t="shared" si="25"/>
        <v>0</v>
      </c>
      <c r="AD68" s="108">
        <f t="shared" si="26"/>
        <v>0</v>
      </c>
      <c r="AE68" s="108">
        <f t="shared" si="27"/>
        <v>0</v>
      </c>
      <c r="AF68" s="108">
        <f t="shared" si="28"/>
        <v>12688074.934416667</v>
      </c>
      <c r="AG68" s="111">
        <f t="shared" si="29"/>
        <v>0</v>
      </c>
      <c r="AH68" s="90">
        <f t="shared" si="30"/>
        <v>16677565.256811917</v>
      </c>
      <c r="AI68" s="108">
        <f t="shared" si="31"/>
        <v>0</v>
      </c>
      <c r="AJ68" s="108">
        <f t="shared" si="32"/>
        <v>0</v>
      </c>
      <c r="AK68" s="108">
        <f t="shared" si="33"/>
        <v>0</v>
      </c>
      <c r="AL68" s="108">
        <f t="shared" si="34"/>
        <v>16677565.256811917</v>
      </c>
    </row>
    <row r="69" spans="1:38" x14ac:dyDescent="0.25">
      <c r="A69" s="4">
        <f>IF(ISBLANK(B69),"",MAX(A$6:A68)+1)</f>
        <v>53</v>
      </c>
      <c r="B69" s="53" t="s">
        <v>56</v>
      </c>
      <c r="C69" s="63">
        <f>[3]Electric_CBR!M70</f>
        <v>-182384891.16492367</v>
      </c>
      <c r="D69" s="63"/>
      <c r="E69" s="63"/>
      <c r="F69" s="63"/>
      <c r="G69" s="63">
        <f>SUM(C69:F69)</f>
        <v>-182384891.16492367</v>
      </c>
      <c r="H69" s="67"/>
      <c r="I69" s="7">
        <f>'[6]Electric Consol'!M36</f>
        <v>-256615968.01662624</v>
      </c>
      <c r="J69" s="63"/>
      <c r="K69" s="63"/>
      <c r="L69" s="63"/>
      <c r="M69" s="63">
        <f>SUM(I69:L69)</f>
        <v>-256615968.01662624</v>
      </c>
      <c r="P69" s="108">
        <v>-182384891.16492367</v>
      </c>
      <c r="Q69" s="108"/>
      <c r="R69" s="108"/>
      <c r="S69" s="108"/>
      <c r="T69" s="108">
        <v>-182384891.16492367</v>
      </c>
      <c r="U69" s="111"/>
      <c r="V69" s="90">
        <v>-258172889.5974254</v>
      </c>
      <c r="W69" s="108"/>
      <c r="X69" s="108"/>
      <c r="Y69" s="108"/>
      <c r="Z69" s="108">
        <v>-258172889.5974254</v>
      </c>
      <c r="AB69" s="108">
        <f t="shared" si="24"/>
        <v>0</v>
      </c>
      <c r="AC69" s="108">
        <f t="shared" si="25"/>
        <v>0</v>
      </c>
      <c r="AD69" s="108">
        <f t="shared" si="26"/>
        <v>0</v>
      </c>
      <c r="AE69" s="108">
        <f t="shared" si="27"/>
        <v>0</v>
      </c>
      <c r="AF69" s="108">
        <f t="shared" si="28"/>
        <v>0</v>
      </c>
      <c r="AG69" s="111">
        <f t="shared" si="29"/>
        <v>0</v>
      </c>
      <c r="AH69" s="90">
        <f t="shared" si="30"/>
        <v>1556921.5807991624</v>
      </c>
      <c r="AI69" s="108">
        <f t="shared" si="31"/>
        <v>0</v>
      </c>
      <c r="AJ69" s="108">
        <f t="shared" si="32"/>
        <v>0</v>
      </c>
      <c r="AK69" s="108">
        <f t="shared" si="33"/>
        <v>0</v>
      </c>
      <c r="AL69" s="108">
        <f t="shared" si="34"/>
        <v>1556921.5807991624</v>
      </c>
    </row>
    <row r="70" spans="1:38" x14ac:dyDescent="0.25">
      <c r="A70" s="4">
        <f>IF(ISBLANK(B70),"",MAX(A$6:A69)+1)</f>
        <v>54</v>
      </c>
      <c r="B70" s="9" t="s">
        <v>0</v>
      </c>
      <c r="C70" s="58">
        <f t="shared" ref="C70:F70" si="62">SUM(C65:C69)</f>
        <v>-4229541142.4626832</v>
      </c>
      <c r="D70" s="58">
        <f t="shared" si="62"/>
        <v>0</v>
      </c>
      <c r="E70" s="58">
        <f t="shared" si="62"/>
        <v>2800433.4436958949</v>
      </c>
      <c r="F70" s="58">
        <f t="shared" si="62"/>
        <v>2801052.512056177</v>
      </c>
      <c r="G70" s="58">
        <f t="shared" ref="G70" si="63">SUM(G65:G69)</f>
        <v>-4223939656.5069318</v>
      </c>
      <c r="H70" s="47"/>
      <c r="I70" s="58">
        <f t="shared" ref="I70:J70" si="64">SUM(I65:I69)</f>
        <v>-5149216314.132103</v>
      </c>
      <c r="J70" s="58">
        <f t="shared" si="64"/>
        <v>-26949739.940672945</v>
      </c>
      <c r="K70" s="58">
        <f>SUM(K65:K69)</f>
        <v>-36667721.805506274</v>
      </c>
      <c r="L70" s="58">
        <f t="shared" ref="L70" si="65">SUM(L65:L69)</f>
        <v>0</v>
      </c>
      <c r="M70" s="58">
        <f>SUM(M65:M69)</f>
        <v>-5212833775.8782806</v>
      </c>
      <c r="P70" s="109">
        <v>-4242911054.3971</v>
      </c>
      <c r="Q70" s="109">
        <v>0</v>
      </c>
      <c r="R70" s="109">
        <v>2800433.4436958949</v>
      </c>
      <c r="S70" s="109">
        <v>2801052.512056177</v>
      </c>
      <c r="T70" s="109">
        <v>-4237309568.4413481</v>
      </c>
      <c r="U70" s="95"/>
      <c r="V70" s="109">
        <v>-5174001220.1308298</v>
      </c>
      <c r="W70" s="109">
        <v>-26949739.940672945</v>
      </c>
      <c r="X70" s="109">
        <v>-36667721.805506274</v>
      </c>
      <c r="Y70" s="109">
        <v>0</v>
      </c>
      <c r="Z70" s="109">
        <v>-5237618681.8770094</v>
      </c>
      <c r="AB70" s="109">
        <f t="shared" si="24"/>
        <v>13369911.934416771</v>
      </c>
      <c r="AC70" s="109">
        <f t="shared" si="25"/>
        <v>0</v>
      </c>
      <c r="AD70" s="109">
        <f t="shared" si="26"/>
        <v>0</v>
      </c>
      <c r="AE70" s="109">
        <f t="shared" si="27"/>
        <v>0</v>
      </c>
      <c r="AF70" s="109">
        <f t="shared" si="28"/>
        <v>13369911.934416294</v>
      </c>
      <c r="AG70" s="95">
        <f t="shared" si="29"/>
        <v>0</v>
      </c>
      <c r="AH70" s="109">
        <f t="shared" si="30"/>
        <v>24784905.998726845</v>
      </c>
      <c r="AI70" s="109">
        <f t="shared" si="31"/>
        <v>0</v>
      </c>
      <c r="AJ70" s="109">
        <f t="shared" si="32"/>
        <v>0</v>
      </c>
      <c r="AK70" s="109">
        <f t="shared" si="33"/>
        <v>0</v>
      </c>
      <c r="AL70" s="109">
        <f t="shared" si="34"/>
        <v>24784905.998728752</v>
      </c>
    </row>
    <row r="71" spans="1:38" x14ac:dyDescent="0.25">
      <c r="A71" s="4" t="str">
        <f>IF(ISBLANK(B71),"",MAX(A$6:A70)+1)</f>
        <v/>
      </c>
      <c r="B71" s="42"/>
      <c r="C71" s="63"/>
      <c r="D71" s="63"/>
      <c r="E71" s="63"/>
      <c r="F71" s="63"/>
      <c r="G71" s="63"/>
      <c r="H71" s="47"/>
      <c r="I71" s="63"/>
      <c r="J71" s="63"/>
      <c r="K71" s="63"/>
      <c r="L71" s="63"/>
      <c r="M71" s="63"/>
      <c r="P71" s="108"/>
      <c r="Q71" s="108"/>
      <c r="R71" s="108"/>
      <c r="S71" s="108"/>
      <c r="T71" s="108"/>
      <c r="U71" s="95"/>
      <c r="V71" s="108"/>
      <c r="W71" s="108"/>
      <c r="X71" s="108"/>
      <c r="Y71" s="108"/>
      <c r="Z71" s="108"/>
      <c r="AB71" s="108">
        <f t="shared" si="24"/>
        <v>0</v>
      </c>
      <c r="AC71" s="108">
        <f t="shared" si="25"/>
        <v>0</v>
      </c>
      <c r="AD71" s="108">
        <f t="shared" si="26"/>
        <v>0</v>
      </c>
      <c r="AE71" s="108">
        <f t="shared" si="27"/>
        <v>0</v>
      </c>
      <c r="AF71" s="108">
        <f t="shared" si="28"/>
        <v>0</v>
      </c>
      <c r="AG71" s="95">
        <f t="shared" si="29"/>
        <v>0</v>
      </c>
      <c r="AH71" s="108">
        <f t="shared" si="30"/>
        <v>0</v>
      </c>
      <c r="AI71" s="108">
        <f t="shared" si="31"/>
        <v>0</v>
      </c>
      <c r="AJ71" s="108">
        <f t="shared" si="32"/>
        <v>0</v>
      </c>
      <c r="AK71" s="108">
        <f t="shared" si="33"/>
        <v>0</v>
      </c>
      <c r="AL71" s="108">
        <f t="shared" si="34"/>
        <v>0</v>
      </c>
    </row>
    <row r="72" spans="1:38" x14ac:dyDescent="0.25">
      <c r="A72" s="4">
        <f>IF(ISBLANK(B72),"",MAX(A$6:A71)+1)</f>
        <v>55</v>
      </c>
      <c r="B72" s="26" t="s">
        <v>58</v>
      </c>
      <c r="C72" s="42"/>
      <c r="D72" s="42"/>
      <c r="E72" s="42"/>
      <c r="F72" s="42"/>
      <c r="G72" s="42"/>
      <c r="H72" s="47"/>
      <c r="I72" s="42"/>
      <c r="J72" s="42"/>
      <c r="K72" s="42"/>
      <c r="L72" s="42"/>
      <c r="M72" s="42"/>
      <c r="U72" s="95"/>
      <c r="AB72" s="69">
        <f t="shared" ref="AB72:AB108" si="66">+C72-P72</f>
        <v>0</v>
      </c>
      <c r="AC72" s="69">
        <f t="shared" ref="AC72:AC108" si="67">+D72-Q72</f>
        <v>0</v>
      </c>
      <c r="AD72" s="69">
        <f t="shared" ref="AD72:AD108" si="68">+E72-R72</f>
        <v>0</v>
      </c>
      <c r="AE72" s="69">
        <f t="shared" ref="AE72:AE108" si="69">+F72-S72</f>
        <v>0</v>
      </c>
      <c r="AF72" s="69">
        <f t="shared" ref="AF72:AF108" si="70">+G72-T72</f>
        <v>0</v>
      </c>
      <c r="AG72" s="95">
        <f t="shared" ref="AG72:AG108" si="71">+H72-U72</f>
        <v>0</v>
      </c>
      <c r="AH72" s="69">
        <f t="shared" ref="AH72:AH108" si="72">+I72-V72</f>
        <v>0</v>
      </c>
      <c r="AI72" s="69">
        <f t="shared" ref="AI72:AI108" si="73">+J72-W72</f>
        <v>0</v>
      </c>
      <c r="AJ72" s="69">
        <f t="shared" ref="AJ72:AJ108" si="74">+K72-X72</f>
        <v>0</v>
      </c>
      <c r="AK72" s="69">
        <f t="shared" ref="AK72:AK108" si="75">+L72-Y72</f>
        <v>0</v>
      </c>
      <c r="AL72" s="69">
        <f t="shared" ref="AL72:AL108" si="76">+M72-Z72</f>
        <v>0</v>
      </c>
    </row>
    <row r="73" spans="1:38" x14ac:dyDescent="0.25">
      <c r="A73" s="4">
        <f>IF(ISBLANK(B73),"",MAX(A$6:A72)+1)</f>
        <v>56</v>
      </c>
      <c r="B73" s="53" t="s">
        <v>52</v>
      </c>
      <c r="C73" s="27">
        <f>SUM([3]Electric_CBR!M74:M74)</f>
        <v>-270203768.24207133</v>
      </c>
      <c r="D73" s="27"/>
      <c r="E73" s="27"/>
      <c r="F73" s="27"/>
      <c r="G73" s="27">
        <f>SUM(C73:F73)</f>
        <v>-270203768.24207133</v>
      </c>
      <c r="H73" s="66"/>
      <c r="I73" s="27"/>
      <c r="J73" s="27"/>
      <c r="K73" s="27"/>
      <c r="L73" s="27"/>
      <c r="M73" s="27">
        <f>SUM(I73:L73)</f>
        <v>0</v>
      </c>
      <c r="P73" s="106">
        <v>-270203768.24207133</v>
      </c>
      <c r="Q73" s="106"/>
      <c r="R73" s="106"/>
      <c r="S73" s="106"/>
      <c r="T73" s="106">
        <v>-270203768.24207133</v>
      </c>
      <c r="U73" s="91"/>
      <c r="V73" s="106"/>
      <c r="W73" s="106"/>
      <c r="X73" s="106"/>
      <c r="Y73" s="106"/>
      <c r="Z73" s="106">
        <v>0</v>
      </c>
      <c r="AB73" s="106">
        <f t="shared" si="66"/>
        <v>0</v>
      </c>
      <c r="AC73" s="106">
        <f t="shared" si="67"/>
        <v>0</v>
      </c>
      <c r="AD73" s="106">
        <f t="shared" si="68"/>
        <v>0</v>
      </c>
      <c r="AE73" s="106">
        <f t="shared" si="69"/>
        <v>0</v>
      </c>
      <c r="AF73" s="106">
        <f t="shared" si="70"/>
        <v>0</v>
      </c>
      <c r="AG73" s="91">
        <f t="shared" si="71"/>
        <v>0</v>
      </c>
      <c r="AH73" s="106">
        <f t="shared" si="72"/>
        <v>0</v>
      </c>
      <c r="AI73" s="106">
        <f t="shared" si="73"/>
        <v>0</v>
      </c>
      <c r="AJ73" s="106">
        <f t="shared" si="74"/>
        <v>0</v>
      </c>
      <c r="AK73" s="106">
        <f t="shared" si="75"/>
        <v>0</v>
      </c>
      <c r="AL73" s="106">
        <f t="shared" si="76"/>
        <v>0</v>
      </c>
    </row>
    <row r="74" spans="1:38" x14ac:dyDescent="0.25">
      <c r="A74" s="4">
        <f>IF(ISBLANK(B74),"",MAX(A$6:A73)+1)</f>
        <v>57</v>
      </c>
      <c r="B74" s="53" t="s">
        <v>53</v>
      </c>
      <c r="C74" s="7">
        <f>[3]Electric_CBR!M75</f>
        <v>-77896904.817563176</v>
      </c>
      <c r="D74" s="7"/>
      <c r="E74" s="7"/>
      <c r="F74" s="7"/>
      <c r="G74" s="7">
        <f>SUM(C74:F74)</f>
        <v>-77896904.817563176</v>
      </c>
      <c r="H74" s="67"/>
      <c r="I74" s="7"/>
      <c r="J74" s="7"/>
      <c r="K74" s="7"/>
      <c r="L74" s="7"/>
      <c r="M74" s="7">
        <f>SUM(I74:L74)</f>
        <v>0</v>
      </c>
      <c r="P74" s="90">
        <v>-77896904.817563176</v>
      </c>
      <c r="Q74" s="90"/>
      <c r="R74" s="90"/>
      <c r="S74" s="90"/>
      <c r="T74" s="90">
        <v>-77896904.817563176</v>
      </c>
      <c r="U74" s="111"/>
      <c r="V74" s="90"/>
      <c r="W74" s="90"/>
      <c r="X74" s="90"/>
      <c r="Y74" s="90"/>
      <c r="Z74" s="90">
        <v>0</v>
      </c>
      <c r="AB74" s="90">
        <f t="shared" si="66"/>
        <v>0</v>
      </c>
      <c r="AC74" s="90">
        <f t="shared" si="67"/>
        <v>0</v>
      </c>
      <c r="AD74" s="90">
        <f t="shared" si="68"/>
        <v>0</v>
      </c>
      <c r="AE74" s="90">
        <f t="shared" si="69"/>
        <v>0</v>
      </c>
      <c r="AF74" s="90">
        <f t="shared" si="70"/>
        <v>0</v>
      </c>
      <c r="AG74" s="111">
        <f t="shared" si="71"/>
        <v>0</v>
      </c>
      <c r="AH74" s="90">
        <f t="shared" si="72"/>
        <v>0</v>
      </c>
      <c r="AI74" s="90">
        <f t="shared" si="73"/>
        <v>0</v>
      </c>
      <c r="AJ74" s="90">
        <f t="shared" si="74"/>
        <v>0</v>
      </c>
      <c r="AK74" s="90">
        <f t="shared" si="75"/>
        <v>0</v>
      </c>
      <c r="AL74" s="90">
        <f t="shared" si="76"/>
        <v>0</v>
      </c>
    </row>
    <row r="75" spans="1:38" x14ac:dyDescent="0.25">
      <c r="A75" s="4">
        <f>IF(ISBLANK(B75),"",MAX(A$6:A74)+1)</f>
        <v>58</v>
      </c>
      <c r="B75" s="53" t="s">
        <v>54</v>
      </c>
      <c r="C75" s="63">
        <f>[3]Electric_CBR!M76</f>
        <v>-361910119.91365826</v>
      </c>
      <c r="D75" s="63"/>
      <c r="E75" s="63">
        <f>[3]Electric_CBR!$M$128</f>
        <v>2798356.0552379121</v>
      </c>
      <c r="F75" s="63"/>
      <c r="G75" s="63">
        <f>SUM(C75:F75)</f>
        <v>-359111763.85842037</v>
      </c>
      <c r="H75" s="67"/>
      <c r="I75" s="63"/>
      <c r="J75" s="63"/>
      <c r="K75" s="63"/>
      <c r="L75" s="63"/>
      <c r="M75" s="63">
        <f t="shared" ref="M75:M77" si="77">SUM(I75:L75)</f>
        <v>0</v>
      </c>
      <c r="P75" s="108">
        <v>-361910119.91365826</v>
      </c>
      <c r="Q75" s="108"/>
      <c r="R75" s="108">
        <v>4096611.8529834934</v>
      </c>
      <c r="S75" s="108"/>
      <c r="T75" s="108">
        <v>-357813508.06067479</v>
      </c>
      <c r="U75" s="111"/>
      <c r="V75" s="108"/>
      <c r="W75" s="108"/>
      <c r="X75" s="108"/>
      <c r="Y75" s="108"/>
      <c r="Z75" s="108">
        <v>0</v>
      </c>
      <c r="AB75" s="108">
        <f t="shared" si="66"/>
        <v>0</v>
      </c>
      <c r="AC75" s="108">
        <f t="shared" si="67"/>
        <v>0</v>
      </c>
      <c r="AD75" s="108">
        <f t="shared" si="68"/>
        <v>-1298255.7977455813</v>
      </c>
      <c r="AE75" s="108">
        <f t="shared" si="69"/>
        <v>0</v>
      </c>
      <c r="AF75" s="108">
        <f t="shared" si="70"/>
        <v>-1298255.7977455854</v>
      </c>
      <c r="AG75" s="111">
        <f t="shared" si="71"/>
        <v>0</v>
      </c>
      <c r="AH75" s="108">
        <f t="shared" si="72"/>
        <v>0</v>
      </c>
      <c r="AI75" s="108">
        <f t="shared" si="73"/>
        <v>0</v>
      </c>
      <c r="AJ75" s="108">
        <f t="shared" si="74"/>
        <v>0</v>
      </c>
      <c r="AK75" s="108">
        <f t="shared" si="75"/>
        <v>0</v>
      </c>
      <c r="AL75" s="108">
        <f t="shared" si="76"/>
        <v>0</v>
      </c>
    </row>
    <row r="76" spans="1:38" x14ac:dyDescent="0.25">
      <c r="A76" s="4">
        <f>IF(ISBLANK(B76),"",MAX(A$6:A75)+1)</f>
        <v>59</v>
      </c>
      <c r="B76" s="53" t="s">
        <v>55</v>
      </c>
      <c r="C76" s="63">
        <f>[3]Electric_CBR!M77</f>
        <v>-3945447.1849596915</v>
      </c>
      <c r="D76" s="63"/>
      <c r="E76" s="63"/>
      <c r="F76" s="63">
        <f>[3]Electric_CBR!$M$141</f>
        <v>1816393.2000356747</v>
      </c>
      <c r="G76" s="63">
        <f>SUM(C76:F76)</f>
        <v>-2129053.9849240165</v>
      </c>
      <c r="H76" s="67"/>
      <c r="I76" s="63"/>
      <c r="J76" s="63"/>
      <c r="K76" s="63"/>
      <c r="L76" s="63"/>
      <c r="M76" s="63">
        <f t="shared" si="77"/>
        <v>0</v>
      </c>
      <c r="P76" s="108">
        <v>-3945447.1849596915</v>
      </c>
      <c r="Q76" s="108"/>
      <c r="R76" s="108"/>
      <c r="S76" s="108">
        <v>1816393.2000356747</v>
      </c>
      <c r="T76" s="108">
        <v>-2129053.9849240165</v>
      </c>
      <c r="U76" s="111"/>
      <c r="V76" s="108"/>
      <c r="W76" s="108"/>
      <c r="X76" s="108"/>
      <c r="Y76" s="108"/>
      <c r="Z76" s="108">
        <v>0</v>
      </c>
      <c r="AB76" s="108">
        <f t="shared" si="66"/>
        <v>0</v>
      </c>
      <c r="AC76" s="108">
        <f t="shared" si="67"/>
        <v>0</v>
      </c>
      <c r="AD76" s="108">
        <f t="shared" si="68"/>
        <v>0</v>
      </c>
      <c r="AE76" s="108">
        <f t="shared" si="69"/>
        <v>0</v>
      </c>
      <c r="AF76" s="108">
        <f t="shared" si="70"/>
        <v>0</v>
      </c>
      <c r="AG76" s="111">
        <f t="shared" si="71"/>
        <v>0</v>
      </c>
      <c r="AH76" s="108">
        <f t="shared" si="72"/>
        <v>0</v>
      </c>
      <c r="AI76" s="108">
        <f t="shared" si="73"/>
        <v>0</v>
      </c>
      <c r="AJ76" s="108">
        <f t="shared" si="74"/>
        <v>0</v>
      </c>
      <c r="AK76" s="108">
        <f t="shared" si="75"/>
        <v>0</v>
      </c>
      <c r="AL76" s="108">
        <f t="shared" si="76"/>
        <v>0</v>
      </c>
    </row>
    <row r="77" spans="1:38" x14ac:dyDescent="0.25">
      <c r="A77" s="4">
        <f>IF(ISBLANK(B77),"",MAX(A$6:A76)+1)</f>
        <v>60</v>
      </c>
      <c r="B77" s="53" t="s">
        <v>56</v>
      </c>
      <c r="C77" s="63">
        <f>[3]Electric_CBR!M78</f>
        <v>-5327313.3915682975</v>
      </c>
      <c r="D77" s="63"/>
      <c r="E77" s="63"/>
      <c r="F77" s="63"/>
      <c r="G77" s="63">
        <f>SUM(C77:F77)</f>
        <v>-5327313.3915682975</v>
      </c>
      <c r="H77" s="67"/>
      <c r="I77" s="63"/>
      <c r="J77" s="63"/>
      <c r="K77" s="63"/>
      <c r="L77" s="63"/>
      <c r="M77" s="63">
        <f t="shared" si="77"/>
        <v>0</v>
      </c>
      <c r="P77" s="108">
        <v>-5327313.3915682975</v>
      </c>
      <c r="Q77" s="108"/>
      <c r="R77" s="108"/>
      <c r="S77" s="108"/>
      <c r="T77" s="108">
        <v>-5327313.3915682975</v>
      </c>
      <c r="U77" s="111"/>
      <c r="V77" s="108"/>
      <c r="W77" s="108"/>
      <c r="X77" s="108"/>
      <c r="Y77" s="108"/>
      <c r="Z77" s="108">
        <v>0</v>
      </c>
      <c r="AB77" s="108">
        <f t="shared" si="66"/>
        <v>0</v>
      </c>
      <c r="AC77" s="108">
        <f t="shared" si="67"/>
        <v>0</v>
      </c>
      <c r="AD77" s="108">
        <f t="shared" si="68"/>
        <v>0</v>
      </c>
      <c r="AE77" s="108">
        <f t="shared" si="69"/>
        <v>0</v>
      </c>
      <c r="AF77" s="108">
        <f t="shared" si="70"/>
        <v>0</v>
      </c>
      <c r="AG77" s="111">
        <f t="shared" si="71"/>
        <v>0</v>
      </c>
      <c r="AH77" s="108">
        <f t="shared" si="72"/>
        <v>0</v>
      </c>
      <c r="AI77" s="108">
        <f t="shared" si="73"/>
        <v>0</v>
      </c>
      <c r="AJ77" s="108">
        <f t="shared" si="74"/>
        <v>0</v>
      </c>
      <c r="AK77" s="108">
        <f t="shared" si="75"/>
        <v>0</v>
      </c>
      <c r="AL77" s="108">
        <f t="shared" si="76"/>
        <v>0</v>
      </c>
    </row>
    <row r="78" spans="1:38" x14ac:dyDescent="0.25">
      <c r="A78" s="4">
        <f>IF(ISBLANK(B78),"",MAX(A$6:A77)+1)</f>
        <v>61</v>
      </c>
      <c r="B78" s="9" t="s">
        <v>0</v>
      </c>
      <c r="C78" s="58">
        <f t="shared" ref="C78:F78" si="78">SUM(C73:C77)</f>
        <v>-719283553.54982078</v>
      </c>
      <c r="D78" s="58">
        <f t="shared" si="78"/>
        <v>0</v>
      </c>
      <c r="E78" s="58">
        <f t="shared" si="78"/>
        <v>2798356.0552379121</v>
      </c>
      <c r="F78" s="58">
        <f t="shared" si="78"/>
        <v>1816393.2000356747</v>
      </c>
      <c r="G78" s="58">
        <f t="shared" ref="G78" si="79">SUM(G73:G77)</f>
        <v>-714668804.29454708</v>
      </c>
      <c r="H78" s="47"/>
      <c r="I78" s="58">
        <f t="shared" ref="I78:K78" si="80">SUM(I73:I77)</f>
        <v>0</v>
      </c>
      <c r="J78" s="58">
        <f t="shared" si="80"/>
        <v>0</v>
      </c>
      <c r="K78" s="58">
        <f t="shared" si="80"/>
        <v>0</v>
      </c>
      <c r="L78" s="58">
        <f t="shared" ref="L78:M78" si="81">SUM(L73:L77)</f>
        <v>0</v>
      </c>
      <c r="M78" s="58">
        <f t="shared" si="81"/>
        <v>0</v>
      </c>
      <c r="P78" s="109">
        <v>-719283553.54982078</v>
      </c>
      <c r="Q78" s="109">
        <v>0</v>
      </c>
      <c r="R78" s="109">
        <v>4096611.8529834934</v>
      </c>
      <c r="S78" s="109">
        <v>1816393.2000356747</v>
      </c>
      <c r="T78" s="109">
        <v>-713370548.49680161</v>
      </c>
      <c r="U78" s="95"/>
      <c r="V78" s="109">
        <v>0</v>
      </c>
      <c r="W78" s="109">
        <v>0</v>
      </c>
      <c r="X78" s="109">
        <v>0</v>
      </c>
      <c r="Y78" s="109">
        <v>0</v>
      </c>
      <c r="Z78" s="109">
        <v>0</v>
      </c>
      <c r="AB78" s="109">
        <f t="shared" si="66"/>
        <v>0</v>
      </c>
      <c r="AC78" s="109">
        <f t="shared" si="67"/>
        <v>0</v>
      </c>
      <c r="AD78" s="109">
        <f t="shared" si="68"/>
        <v>-1298255.7977455813</v>
      </c>
      <c r="AE78" s="109">
        <f t="shared" si="69"/>
        <v>0</v>
      </c>
      <c r="AF78" s="109">
        <f t="shared" si="70"/>
        <v>-1298255.7977454662</v>
      </c>
      <c r="AG78" s="95">
        <f t="shared" si="71"/>
        <v>0</v>
      </c>
      <c r="AH78" s="109">
        <f t="shared" si="72"/>
        <v>0</v>
      </c>
      <c r="AI78" s="109">
        <f t="shared" si="73"/>
        <v>0</v>
      </c>
      <c r="AJ78" s="109">
        <f t="shared" si="74"/>
        <v>0</v>
      </c>
      <c r="AK78" s="109">
        <f t="shared" si="75"/>
        <v>0</v>
      </c>
      <c r="AL78" s="109">
        <f t="shared" si="76"/>
        <v>0</v>
      </c>
    </row>
    <row r="79" spans="1:38" x14ac:dyDescent="0.25">
      <c r="A79" s="4" t="str">
        <f>IF(ISBLANK(B79),"",MAX(A$6:A78)+1)</f>
        <v/>
      </c>
      <c r="B79" s="42"/>
      <c r="C79" s="42"/>
      <c r="D79" s="42"/>
      <c r="E79" s="42"/>
      <c r="F79" s="42"/>
      <c r="G79" s="42"/>
      <c r="H79" s="47"/>
      <c r="I79" s="42"/>
      <c r="J79" s="42"/>
      <c r="K79" s="42"/>
      <c r="L79" s="42"/>
      <c r="M79" s="42"/>
      <c r="U79" s="95"/>
      <c r="AB79" s="69">
        <f t="shared" si="66"/>
        <v>0</v>
      </c>
      <c r="AC79" s="69">
        <f t="shared" si="67"/>
        <v>0</v>
      </c>
      <c r="AD79" s="69">
        <f t="shared" si="68"/>
        <v>0</v>
      </c>
      <c r="AE79" s="69">
        <f t="shared" si="69"/>
        <v>0</v>
      </c>
      <c r="AF79" s="69">
        <f t="shared" si="70"/>
        <v>0</v>
      </c>
      <c r="AG79" s="95">
        <f t="shared" si="71"/>
        <v>0</v>
      </c>
      <c r="AH79" s="69">
        <f t="shared" si="72"/>
        <v>0</v>
      </c>
      <c r="AI79" s="69">
        <f t="shared" si="73"/>
        <v>0</v>
      </c>
      <c r="AJ79" s="69">
        <f t="shared" si="74"/>
        <v>0</v>
      </c>
      <c r="AK79" s="69">
        <f t="shared" si="75"/>
        <v>0</v>
      </c>
      <c r="AL79" s="69">
        <f t="shared" si="76"/>
        <v>0</v>
      </c>
    </row>
    <row r="80" spans="1:38" x14ac:dyDescent="0.25">
      <c r="A80" s="4">
        <f>IF(ISBLANK(B80),"",MAX(A$6:A79)+1)</f>
        <v>62</v>
      </c>
      <c r="B80" s="26" t="s">
        <v>59</v>
      </c>
      <c r="C80" s="42"/>
      <c r="D80" s="42"/>
      <c r="E80" s="42"/>
      <c r="F80" s="42"/>
      <c r="G80" s="42"/>
      <c r="H80" s="45"/>
      <c r="I80" s="42"/>
      <c r="J80" s="42"/>
      <c r="K80" s="42"/>
      <c r="L80" s="42"/>
      <c r="M80" s="42"/>
      <c r="U80" s="112"/>
      <c r="AB80" s="69">
        <f t="shared" si="66"/>
        <v>0</v>
      </c>
      <c r="AC80" s="69">
        <f t="shared" si="67"/>
        <v>0</v>
      </c>
      <c r="AD80" s="69">
        <f t="shared" si="68"/>
        <v>0</v>
      </c>
      <c r="AE80" s="69">
        <f t="shared" si="69"/>
        <v>0</v>
      </c>
      <c r="AF80" s="69">
        <f t="shared" si="70"/>
        <v>0</v>
      </c>
      <c r="AG80" s="112">
        <f t="shared" si="71"/>
        <v>0</v>
      </c>
      <c r="AH80" s="69">
        <f t="shared" si="72"/>
        <v>0</v>
      </c>
      <c r="AI80" s="69">
        <f t="shared" si="73"/>
        <v>0</v>
      </c>
      <c r="AJ80" s="69">
        <f t="shared" si="74"/>
        <v>0</v>
      </c>
      <c r="AK80" s="69">
        <f t="shared" si="75"/>
        <v>0</v>
      </c>
      <c r="AL80" s="69">
        <f t="shared" si="76"/>
        <v>0</v>
      </c>
    </row>
    <row r="81" spans="1:38" x14ac:dyDescent="0.25">
      <c r="A81" s="4">
        <f>IF(ISBLANK(B81),"",MAX(A$6:A80)+1)</f>
        <v>63</v>
      </c>
      <c r="B81" s="53" t="s">
        <v>52</v>
      </c>
      <c r="C81" s="27">
        <f>SUM([3]Electric_CBR!M82:M82)+'[7]Detailed Summary'!$AF$56+'[7]Detailed Summary'!$AG$56</f>
        <v>-261314323.48864836</v>
      </c>
      <c r="D81" s="27"/>
      <c r="E81" s="27"/>
      <c r="F81" s="27"/>
      <c r="G81" s="27">
        <f>SUM(C81:F81)</f>
        <v>-261314323.48864836</v>
      </c>
      <c r="H81" s="66"/>
      <c r="I81" s="27"/>
      <c r="J81" s="27"/>
      <c r="K81" s="27"/>
      <c r="L81" s="27"/>
      <c r="M81" s="27">
        <f>SUM(I81:L81)</f>
        <v>0</v>
      </c>
      <c r="P81" s="106">
        <v>-262616542.75874937</v>
      </c>
      <c r="Q81" s="106"/>
      <c r="R81" s="106"/>
      <c r="S81" s="106"/>
      <c r="T81" s="106">
        <v>-262616542.75874937</v>
      </c>
      <c r="U81" s="91"/>
      <c r="V81" s="106"/>
      <c r="W81" s="106"/>
      <c r="X81" s="106"/>
      <c r="Y81" s="106"/>
      <c r="Z81" s="106">
        <v>0</v>
      </c>
      <c r="AB81" s="106">
        <f t="shared" si="66"/>
        <v>1302219.2701010108</v>
      </c>
      <c r="AC81" s="106">
        <f t="shared" si="67"/>
        <v>0</v>
      </c>
      <c r="AD81" s="106">
        <f t="shared" si="68"/>
        <v>0</v>
      </c>
      <c r="AE81" s="106">
        <f t="shared" si="69"/>
        <v>0</v>
      </c>
      <c r="AF81" s="106">
        <f t="shared" si="70"/>
        <v>1302219.2701010108</v>
      </c>
      <c r="AG81" s="91">
        <f t="shared" si="71"/>
        <v>0</v>
      </c>
      <c r="AH81" s="106">
        <f t="shared" si="72"/>
        <v>0</v>
      </c>
      <c r="AI81" s="106">
        <f t="shared" si="73"/>
        <v>0</v>
      </c>
      <c r="AJ81" s="106">
        <f t="shared" si="74"/>
        <v>0</v>
      </c>
      <c r="AK81" s="106">
        <f t="shared" si="75"/>
        <v>0</v>
      </c>
      <c r="AL81" s="106">
        <f t="shared" si="76"/>
        <v>0</v>
      </c>
    </row>
    <row r="82" spans="1:38" x14ac:dyDescent="0.25">
      <c r="A82" s="4">
        <f>IF(ISBLANK(B82),"",MAX(A$6:A81)+1)</f>
        <v>64</v>
      </c>
      <c r="B82" s="53" t="s">
        <v>53</v>
      </c>
      <c r="C82" s="7">
        <f>[3]Electric_CBR!M83</f>
        <v>-75475354.295997649</v>
      </c>
      <c r="D82" s="7"/>
      <c r="E82" s="7"/>
      <c r="F82" s="7"/>
      <c r="G82" s="7">
        <f>SUM(C82:F82)</f>
        <v>-75475354.295997649</v>
      </c>
      <c r="H82" s="67"/>
      <c r="I82" s="7"/>
      <c r="J82" s="7"/>
      <c r="K82" s="7"/>
      <c r="L82" s="7"/>
      <c r="M82" s="7">
        <f>SUM(I82:L82)</f>
        <v>0</v>
      </c>
      <c r="P82" s="90">
        <v>-75475354.295997649</v>
      </c>
      <c r="Q82" s="90"/>
      <c r="R82" s="90"/>
      <c r="S82" s="90"/>
      <c r="T82" s="90">
        <v>-75475354.295997649</v>
      </c>
      <c r="U82" s="111"/>
      <c r="V82" s="90"/>
      <c r="W82" s="90"/>
      <c r="X82" s="90"/>
      <c r="Y82" s="90"/>
      <c r="Z82" s="90">
        <v>0</v>
      </c>
      <c r="AB82" s="90">
        <f t="shared" si="66"/>
        <v>0</v>
      </c>
      <c r="AC82" s="90">
        <f t="shared" si="67"/>
        <v>0</v>
      </c>
      <c r="AD82" s="90">
        <f t="shared" si="68"/>
        <v>0</v>
      </c>
      <c r="AE82" s="90">
        <f t="shared" si="69"/>
        <v>0</v>
      </c>
      <c r="AF82" s="90">
        <f t="shared" si="70"/>
        <v>0</v>
      </c>
      <c r="AG82" s="111">
        <f t="shared" si="71"/>
        <v>0</v>
      </c>
      <c r="AH82" s="90">
        <f t="shared" si="72"/>
        <v>0</v>
      </c>
      <c r="AI82" s="90">
        <f t="shared" si="73"/>
        <v>0</v>
      </c>
      <c r="AJ82" s="90">
        <f t="shared" si="74"/>
        <v>0</v>
      </c>
      <c r="AK82" s="90">
        <f t="shared" si="75"/>
        <v>0</v>
      </c>
      <c r="AL82" s="90">
        <f t="shared" si="76"/>
        <v>0</v>
      </c>
    </row>
    <row r="83" spans="1:38" x14ac:dyDescent="0.25">
      <c r="A83" s="4">
        <f>IF(ISBLANK(B83),"",MAX(A$6:A82)+1)</f>
        <v>65</v>
      </c>
      <c r="B83" s="53" t="s">
        <v>54</v>
      </c>
      <c r="C83" s="63">
        <f>[3]Electric_CBR!M84</f>
        <v>-350659561.99111593</v>
      </c>
      <c r="D83" s="63"/>
      <c r="E83" s="63"/>
      <c r="F83" s="63"/>
      <c r="G83" s="63">
        <f>SUM(C83:F83)</f>
        <v>-350659561.99111593</v>
      </c>
      <c r="H83" s="67"/>
      <c r="I83" s="63"/>
      <c r="J83" s="63"/>
      <c r="K83" s="63"/>
      <c r="L83" s="63"/>
      <c r="M83" s="63">
        <f t="shared" ref="M83:M85" si="82">SUM(I83:L83)</f>
        <v>0</v>
      </c>
      <c r="P83" s="108">
        <v>-350659561.99111593</v>
      </c>
      <c r="Q83" s="108"/>
      <c r="R83" s="108"/>
      <c r="S83" s="108"/>
      <c r="T83" s="108">
        <v>-350659561.99111593</v>
      </c>
      <c r="U83" s="111"/>
      <c r="V83" s="108"/>
      <c r="W83" s="108"/>
      <c r="X83" s="108"/>
      <c r="Y83" s="108"/>
      <c r="Z83" s="108">
        <v>0</v>
      </c>
      <c r="AB83" s="108">
        <f t="shared" si="66"/>
        <v>0</v>
      </c>
      <c r="AC83" s="108">
        <f t="shared" si="67"/>
        <v>0</v>
      </c>
      <c r="AD83" s="108">
        <f t="shared" si="68"/>
        <v>0</v>
      </c>
      <c r="AE83" s="108">
        <f t="shared" si="69"/>
        <v>0</v>
      </c>
      <c r="AF83" s="108">
        <f t="shared" si="70"/>
        <v>0</v>
      </c>
      <c r="AG83" s="111">
        <f t="shared" si="71"/>
        <v>0</v>
      </c>
      <c r="AH83" s="108">
        <f t="shared" si="72"/>
        <v>0</v>
      </c>
      <c r="AI83" s="108">
        <f t="shared" si="73"/>
        <v>0</v>
      </c>
      <c r="AJ83" s="108">
        <f t="shared" si="74"/>
        <v>0</v>
      </c>
      <c r="AK83" s="108">
        <f t="shared" si="75"/>
        <v>0</v>
      </c>
      <c r="AL83" s="108">
        <f t="shared" si="76"/>
        <v>0</v>
      </c>
    </row>
    <row r="84" spans="1:38" x14ac:dyDescent="0.25">
      <c r="A84" s="4">
        <f>IF(ISBLANK(B84),"",MAX(A$6:A83)+1)</f>
        <v>66</v>
      </c>
      <c r="B84" s="53" t="s">
        <v>55</v>
      </c>
      <c r="C84" s="63">
        <f>[3]Electric_CBR!M85+'[7]Detailed Summary'!$AH$56+'[7]Detailed Summary'!$BH$56</f>
        <v>-2826192.198915496</v>
      </c>
      <c r="D84" s="63"/>
      <c r="E84" s="63"/>
      <c r="F84" s="63"/>
      <c r="G84" s="63">
        <f>SUM(C84:F84)</f>
        <v>-2826192.198915496</v>
      </c>
      <c r="H84" s="67"/>
      <c r="I84" s="63"/>
      <c r="J84" s="63"/>
      <c r="K84" s="63"/>
      <c r="L84" s="63"/>
      <c r="M84" s="63">
        <f t="shared" si="82"/>
        <v>0</v>
      </c>
      <c r="P84" s="108">
        <v>-3822796.8275282462</v>
      </c>
      <c r="Q84" s="108"/>
      <c r="R84" s="108"/>
      <c r="S84" s="108"/>
      <c r="T84" s="108">
        <v>-3822796.8275282462</v>
      </c>
      <c r="U84" s="111"/>
      <c r="V84" s="108"/>
      <c r="W84" s="108"/>
      <c r="X84" s="108"/>
      <c r="Y84" s="108"/>
      <c r="Z84" s="108">
        <v>0</v>
      </c>
      <c r="AB84" s="108">
        <f t="shared" si="66"/>
        <v>996604.62861275021</v>
      </c>
      <c r="AC84" s="108">
        <f t="shared" si="67"/>
        <v>0</v>
      </c>
      <c r="AD84" s="108">
        <f t="shared" si="68"/>
        <v>0</v>
      </c>
      <c r="AE84" s="108">
        <f t="shared" si="69"/>
        <v>0</v>
      </c>
      <c r="AF84" s="108">
        <f t="shared" si="70"/>
        <v>996604.62861275021</v>
      </c>
      <c r="AG84" s="111">
        <f t="shared" si="71"/>
        <v>0</v>
      </c>
      <c r="AH84" s="108">
        <f t="shared" si="72"/>
        <v>0</v>
      </c>
      <c r="AI84" s="108">
        <f t="shared" si="73"/>
        <v>0</v>
      </c>
      <c r="AJ84" s="108">
        <f t="shared" si="74"/>
        <v>0</v>
      </c>
      <c r="AK84" s="108">
        <f t="shared" si="75"/>
        <v>0</v>
      </c>
      <c r="AL84" s="108">
        <f t="shared" si="76"/>
        <v>0</v>
      </c>
    </row>
    <row r="85" spans="1:38" x14ac:dyDescent="0.25">
      <c r="A85" s="4">
        <f>IF(ISBLANK(B85),"",MAX(A$6:A84)+1)</f>
        <v>67</v>
      </c>
      <c r="B85" s="53" t="s">
        <v>56</v>
      </c>
      <c r="C85" s="63">
        <f>[3]Electric_CBR!M86</f>
        <v>-5161705.5755225085</v>
      </c>
      <c r="D85" s="63"/>
      <c r="E85" s="63"/>
      <c r="F85" s="63"/>
      <c r="G85" s="63">
        <f>SUM(C85:F85)</f>
        <v>-5161705.5755225085</v>
      </c>
      <c r="H85" s="67"/>
      <c r="I85" s="63"/>
      <c r="J85" s="63"/>
      <c r="K85" s="63"/>
      <c r="L85" s="63"/>
      <c r="M85" s="63">
        <f t="shared" si="82"/>
        <v>0</v>
      </c>
      <c r="P85" s="108">
        <v>-5161705.5755225085</v>
      </c>
      <c r="Q85" s="108"/>
      <c r="R85" s="108"/>
      <c r="S85" s="108"/>
      <c r="T85" s="108">
        <v>-5161705.5755225085</v>
      </c>
      <c r="U85" s="111"/>
      <c r="V85" s="108"/>
      <c r="W85" s="108"/>
      <c r="X85" s="108"/>
      <c r="Y85" s="108"/>
      <c r="Z85" s="108">
        <v>0</v>
      </c>
      <c r="AB85" s="108">
        <f t="shared" si="66"/>
        <v>0</v>
      </c>
      <c r="AC85" s="108">
        <f t="shared" si="67"/>
        <v>0</v>
      </c>
      <c r="AD85" s="108">
        <f t="shared" si="68"/>
        <v>0</v>
      </c>
      <c r="AE85" s="108">
        <f t="shared" si="69"/>
        <v>0</v>
      </c>
      <c r="AF85" s="108">
        <f t="shared" si="70"/>
        <v>0</v>
      </c>
      <c r="AG85" s="111">
        <f t="shared" si="71"/>
        <v>0</v>
      </c>
      <c r="AH85" s="108">
        <f t="shared" si="72"/>
        <v>0</v>
      </c>
      <c r="AI85" s="108">
        <f t="shared" si="73"/>
        <v>0</v>
      </c>
      <c r="AJ85" s="108">
        <f t="shared" si="74"/>
        <v>0</v>
      </c>
      <c r="AK85" s="108">
        <f t="shared" si="75"/>
        <v>0</v>
      </c>
      <c r="AL85" s="108">
        <f t="shared" si="76"/>
        <v>0</v>
      </c>
    </row>
    <row r="86" spans="1:38" x14ac:dyDescent="0.25">
      <c r="A86" s="4">
        <f>IF(ISBLANK(B86),"",MAX(A$6:A85)+1)</f>
        <v>68</v>
      </c>
      <c r="B86" s="9" t="s">
        <v>0</v>
      </c>
      <c r="C86" s="58">
        <f t="shared" ref="C86:F86" si="83">SUM(C81:C85)</f>
        <v>-695437137.55019999</v>
      </c>
      <c r="D86" s="58">
        <f t="shared" si="83"/>
        <v>0</v>
      </c>
      <c r="E86" s="58">
        <f t="shared" si="83"/>
        <v>0</v>
      </c>
      <c r="F86" s="58">
        <f t="shared" si="83"/>
        <v>0</v>
      </c>
      <c r="G86" s="58">
        <f t="shared" ref="G86" si="84">SUM(G81:G85)</f>
        <v>-695437137.55019999</v>
      </c>
      <c r="H86" s="47"/>
      <c r="I86" s="58">
        <f t="shared" ref="I86:K86" si="85">SUM(I81:I85)</f>
        <v>0</v>
      </c>
      <c r="J86" s="58">
        <f t="shared" si="85"/>
        <v>0</v>
      </c>
      <c r="K86" s="58">
        <f t="shared" si="85"/>
        <v>0</v>
      </c>
      <c r="L86" s="58">
        <f t="shared" ref="L86:M86" si="86">SUM(L81:L85)</f>
        <v>0</v>
      </c>
      <c r="M86" s="58">
        <f t="shared" si="86"/>
        <v>0</v>
      </c>
      <c r="P86" s="109">
        <v>-697735961.44891369</v>
      </c>
      <c r="Q86" s="109">
        <v>0</v>
      </c>
      <c r="R86" s="109">
        <v>0</v>
      </c>
      <c r="S86" s="109">
        <v>0</v>
      </c>
      <c r="T86" s="109">
        <v>-697735961.44891369</v>
      </c>
      <c r="U86" s="95"/>
      <c r="V86" s="109">
        <v>0</v>
      </c>
      <c r="W86" s="109">
        <v>0</v>
      </c>
      <c r="X86" s="109">
        <v>0</v>
      </c>
      <c r="Y86" s="109">
        <v>0</v>
      </c>
      <c r="Z86" s="109">
        <v>0</v>
      </c>
      <c r="AB86" s="109">
        <f t="shared" si="66"/>
        <v>2298823.8987137079</v>
      </c>
      <c r="AC86" s="109">
        <f t="shared" si="67"/>
        <v>0</v>
      </c>
      <c r="AD86" s="109">
        <f t="shared" si="68"/>
        <v>0</v>
      </c>
      <c r="AE86" s="109">
        <f t="shared" si="69"/>
        <v>0</v>
      </c>
      <c r="AF86" s="109">
        <f t="shared" si="70"/>
        <v>2298823.8987137079</v>
      </c>
      <c r="AG86" s="95">
        <f t="shared" si="71"/>
        <v>0</v>
      </c>
      <c r="AH86" s="109">
        <f t="shared" si="72"/>
        <v>0</v>
      </c>
      <c r="AI86" s="109">
        <f t="shared" si="73"/>
        <v>0</v>
      </c>
      <c r="AJ86" s="109">
        <f t="shared" si="74"/>
        <v>0</v>
      </c>
      <c r="AK86" s="109">
        <f t="shared" si="75"/>
        <v>0</v>
      </c>
      <c r="AL86" s="109">
        <f t="shared" si="76"/>
        <v>0</v>
      </c>
    </row>
    <row r="87" spans="1:38" x14ac:dyDescent="0.25">
      <c r="A87" s="4" t="str">
        <f>IF(ISBLANK(B87),"",MAX(A$6:A86)+1)</f>
        <v/>
      </c>
      <c r="B87" s="53"/>
      <c r="C87" s="42"/>
      <c r="D87" s="42"/>
      <c r="E87" s="42"/>
      <c r="F87" s="42"/>
      <c r="G87" s="42"/>
      <c r="H87" s="45"/>
      <c r="I87" s="42"/>
      <c r="J87" s="42"/>
      <c r="K87" s="42"/>
      <c r="L87" s="42"/>
      <c r="M87" s="42"/>
      <c r="U87" s="112"/>
      <c r="AB87" s="69">
        <f t="shared" si="66"/>
        <v>0</v>
      </c>
      <c r="AC87" s="69">
        <f t="shared" si="67"/>
        <v>0</v>
      </c>
      <c r="AD87" s="69">
        <f t="shared" si="68"/>
        <v>0</v>
      </c>
      <c r="AE87" s="69">
        <f t="shared" si="69"/>
        <v>0</v>
      </c>
      <c r="AF87" s="69">
        <f t="shared" si="70"/>
        <v>0</v>
      </c>
      <c r="AG87" s="112">
        <f t="shared" si="71"/>
        <v>0</v>
      </c>
      <c r="AH87" s="69">
        <f t="shared" si="72"/>
        <v>0</v>
      </c>
      <c r="AI87" s="69">
        <f t="shared" si="73"/>
        <v>0</v>
      </c>
      <c r="AJ87" s="69">
        <f t="shared" si="74"/>
        <v>0</v>
      </c>
      <c r="AK87" s="69">
        <f t="shared" si="75"/>
        <v>0</v>
      </c>
      <c r="AL87" s="69">
        <f t="shared" si="76"/>
        <v>0</v>
      </c>
    </row>
    <row r="88" spans="1:38" x14ac:dyDescent="0.25">
      <c r="A88" s="4">
        <f>IF(ISBLANK(B88),"",MAX(A$6:A87)+1)</f>
        <v>69</v>
      </c>
      <c r="B88" s="26" t="s">
        <v>60</v>
      </c>
      <c r="C88" s="42"/>
      <c r="D88" s="42"/>
      <c r="E88" s="42"/>
      <c r="F88" s="42"/>
      <c r="G88" s="42"/>
      <c r="H88" s="45"/>
      <c r="I88" s="42"/>
      <c r="J88" s="42"/>
      <c r="K88" s="42"/>
      <c r="L88" s="42"/>
      <c r="M88" s="42"/>
      <c r="U88" s="112"/>
      <c r="AB88" s="69">
        <f t="shared" si="66"/>
        <v>0</v>
      </c>
      <c r="AC88" s="69">
        <f t="shared" si="67"/>
        <v>0</v>
      </c>
      <c r="AD88" s="69">
        <f t="shared" si="68"/>
        <v>0</v>
      </c>
      <c r="AE88" s="69">
        <f t="shared" si="69"/>
        <v>0</v>
      </c>
      <c r="AF88" s="69">
        <f t="shared" si="70"/>
        <v>0</v>
      </c>
      <c r="AG88" s="112">
        <f t="shared" si="71"/>
        <v>0</v>
      </c>
      <c r="AH88" s="69">
        <f t="shared" si="72"/>
        <v>0</v>
      </c>
      <c r="AI88" s="69">
        <f t="shared" si="73"/>
        <v>0</v>
      </c>
      <c r="AJ88" s="69">
        <f t="shared" si="74"/>
        <v>0</v>
      </c>
      <c r="AK88" s="69">
        <f t="shared" si="75"/>
        <v>0</v>
      </c>
      <c r="AL88" s="69">
        <f t="shared" si="76"/>
        <v>0</v>
      </c>
    </row>
    <row r="89" spans="1:38" x14ac:dyDescent="0.25">
      <c r="A89" s="4">
        <f>IF(ISBLANK(B89),"",MAX(A$6:A88)+1)</f>
        <v>70</v>
      </c>
      <c r="B89" s="53" t="s">
        <v>52</v>
      </c>
      <c r="C89" s="27">
        <f t="shared" ref="C89:F93" si="87">C73+C81</f>
        <v>-531518091.73071969</v>
      </c>
      <c r="D89" s="27">
        <f t="shared" si="87"/>
        <v>0</v>
      </c>
      <c r="E89" s="27">
        <f t="shared" si="87"/>
        <v>0</v>
      </c>
      <c r="F89" s="27">
        <f t="shared" si="87"/>
        <v>0</v>
      </c>
      <c r="G89" s="27">
        <f t="shared" ref="G89:G93" si="88">G73+G81</f>
        <v>-531518091.73071969</v>
      </c>
      <c r="H89" s="66"/>
      <c r="I89" s="27">
        <f>SUM('[6]Electric Consol'!$K$18,'[6]Electric Consol'!$K$23)</f>
        <v>-429553955.63337111</v>
      </c>
      <c r="J89" s="27"/>
      <c r="K89" s="27"/>
      <c r="L89" s="27"/>
      <c r="M89" s="27">
        <f>SUM(I89:L89)</f>
        <v>-429553955.63337111</v>
      </c>
      <c r="P89" s="106">
        <v>-532820311.0008207</v>
      </c>
      <c r="Q89" s="106">
        <v>0</v>
      </c>
      <c r="R89" s="106">
        <v>0</v>
      </c>
      <c r="S89" s="106">
        <v>0</v>
      </c>
      <c r="T89" s="106">
        <v>-532820311.0008207</v>
      </c>
      <c r="U89" s="91"/>
      <c r="V89" s="106">
        <v>-429907479.85934365</v>
      </c>
      <c r="W89" s="106"/>
      <c r="X89" s="106"/>
      <c r="Y89" s="106"/>
      <c r="Z89" s="106">
        <v>-429907479.85934365</v>
      </c>
      <c r="AB89" s="106">
        <f t="shared" si="66"/>
        <v>1302219.2701010108</v>
      </c>
      <c r="AC89" s="106">
        <f t="shared" si="67"/>
        <v>0</v>
      </c>
      <c r="AD89" s="106">
        <f t="shared" si="68"/>
        <v>0</v>
      </c>
      <c r="AE89" s="106">
        <f t="shared" si="69"/>
        <v>0</v>
      </c>
      <c r="AF89" s="106">
        <f t="shared" si="70"/>
        <v>1302219.2701010108</v>
      </c>
      <c r="AG89" s="91">
        <f t="shared" si="71"/>
        <v>0</v>
      </c>
      <c r="AH89" s="106">
        <f t="shared" si="72"/>
        <v>353524.22597253323</v>
      </c>
      <c r="AI89" s="106">
        <f t="shared" si="73"/>
        <v>0</v>
      </c>
      <c r="AJ89" s="106">
        <f t="shared" si="74"/>
        <v>0</v>
      </c>
      <c r="AK89" s="106">
        <f t="shared" si="75"/>
        <v>0</v>
      </c>
      <c r="AL89" s="106">
        <f t="shared" si="76"/>
        <v>353524.22597253323</v>
      </c>
    </row>
    <row r="90" spans="1:38" x14ac:dyDescent="0.25">
      <c r="A90" s="4">
        <f>IF(ISBLANK(B90),"",MAX(A$6:A89)+1)</f>
        <v>71</v>
      </c>
      <c r="B90" s="53" t="s">
        <v>53</v>
      </c>
      <c r="C90" s="7">
        <f t="shared" si="87"/>
        <v>-153372259.11356083</v>
      </c>
      <c r="D90" s="7">
        <f t="shared" si="87"/>
        <v>0</v>
      </c>
      <c r="E90" s="7">
        <f t="shared" si="87"/>
        <v>0</v>
      </c>
      <c r="F90" s="7">
        <f t="shared" si="87"/>
        <v>0</v>
      </c>
      <c r="G90" s="7">
        <f t="shared" si="88"/>
        <v>-153372259.11356083</v>
      </c>
      <c r="H90" s="67"/>
      <c r="I90" s="7">
        <f>'[6]Electric Consol'!K19</f>
        <v>-154854978.29906008</v>
      </c>
      <c r="J90" s="7"/>
      <c r="K90" s="7"/>
      <c r="L90" s="7"/>
      <c r="M90" s="7">
        <f>SUM(I90:L90)</f>
        <v>-154854978.29906008</v>
      </c>
      <c r="P90" s="90">
        <v>-153372259.11356083</v>
      </c>
      <c r="Q90" s="90">
        <v>0</v>
      </c>
      <c r="R90" s="90">
        <v>0</v>
      </c>
      <c r="S90" s="90">
        <v>0</v>
      </c>
      <c r="T90" s="90">
        <v>-153372259.11356083</v>
      </c>
      <c r="U90" s="111"/>
      <c r="V90" s="90">
        <v>-154792133.01995364</v>
      </c>
      <c r="W90" s="90"/>
      <c r="X90" s="90"/>
      <c r="Y90" s="90"/>
      <c r="Z90" s="90">
        <v>-154792133.01995364</v>
      </c>
      <c r="AB90" s="90">
        <f t="shared" si="66"/>
        <v>0</v>
      </c>
      <c r="AC90" s="90">
        <f t="shared" si="67"/>
        <v>0</v>
      </c>
      <c r="AD90" s="90">
        <f t="shared" si="68"/>
        <v>0</v>
      </c>
      <c r="AE90" s="90">
        <f t="shared" si="69"/>
        <v>0</v>
      </c>
      <c r="AF90" s="90">
        <f t="shared" si="70"/>
        <v>0</v>
      </c>
      <c r="AG90" s="111">
        <f t="shared" si="71"/>
        <v>0</v>
      </c>
      <c r="AH90" s="90">
        <f t="shared" si="72"/>
        <v>-62845.27910643816</v>
      </c>
      <c r="AI90" s="90">
        <f t="shared" si="73"/>
        <v>0</v>
      </c>
      <c r="AJ90" s="90">
        <f t="shared" si="74"/>
        <v>0</v>
      </c>
      <c r="AK90" s="90">
        <f t="shared" si="75"/>
        <v>0</v>
      </c>
      <c r="AL90" s="90">
        <f t="shared" si="76"/>
        <v>-62845.27910643816</v>
      </c>
    </row>
    <row r="91" spans="1:38" x14ac:dyDescent="0.25">
      <c r="A91" s="4">
        <f>IF(ISBLANK(B91),"",MAX(A$6:A90)+1)</f>
        <v>72</v>
      </c>
      <c r="B91" s="53" t="s">
        <v>54</v>
      </c>
      <c r="C91" s="63">
        <f t="shared" si="87"/>
        <v>-712569681.90477419</v>
      </c>
      <c r="D91" s="63">
        <f t="shared" si="87"/>
        <v>0</v>
      </c>
      <c r="E91" s="63">
        <f t="shared" si="87"/>
        <v>2798356.0552379121</v>
      </c>
      <c r="F91" s="63">
        <f t="shared" si="87"/>
        <v>0</v>
      </c>
      <c r="G91" s="63">
        <f t="shared" si="88"/>
        <v>-709771325.8495363</v>
      </c>
      <c r="H91" s="67"/>
      <c r="I91" s="7">
        <f>'[6]Electric Consol'!K20+'[6]Electric Consol'!$K$24</f>
        <v>-625916306.86023438</v>
      </c>
      <c r="J91" s="63">
        <f>'[6]Electric Consol'!$K$25</f>
        <v>-11301663.374965549</v>
      </c>
      <c r="K91" s="63"/>
      <c r="L91" s="63"/>
      <c r="M91" s="63">
        <f>SUM(I91:L91)</f>
        <v>-637217970.23519993</v>
      </c>
      <c r="P91" s="108">
        <v>-712569681.90477419</v>
      </c>
      <c r="Q91" s="108">
        <v>0</v>
      </c>
      <c r="R91" s="108">
        <v>4096611.8529834934</v>
      </c>
      <c r="S91" s="108">
        <v>0</v>
      </c>
      <c r="T91" s="108">
        <v>-708473070.05179071</v>
      </c>
      <c r="U91" s="111"/>
      <c r="V91" s="90">
        <v>-624814046.00723088</v>
      </c>
      <c r="W91" s="108">
        <v>-11275642.449250354</v>
      </c>
      <c r="X91" s="108"/>
      <c r="Y91" s="108"/>
      <c r="Z91" s="108">
        <v>-636089688.45648122</v>
      </c>
      <c r="AB91" s="108">
        <f t="shared" si="66"/>
        <v>0</v>
      </c>
      <c r="AC91" s="108">
        <f t="shared" si="67"/>
        <v>0</v>
      </c>
      <c r="AD91" s="108">
        <f t="shared" si="68"/>
        <v>-1298255.7977455813</v>
      </c>
      <c r="AE91" s="108">
        <f t="shared" si="69"/>
        <v>0</v>
      </c>
      <c r="AF91" s="108">
        <f t="shared" si="70"/>
        <v>-1298255.7977455854</v>
      </c>
      <c r="AG91" s="111">
        <f t="shared" si="71"/>
        <v>0</v>
      </c>
      <c r="AH91" s="90">
        <f t="shared" si="72"/>
        <v>-1102260.8530035019</v>
      </c>
      <c r="AI91" s="108">
        <f t="shared" si="73"/>
        <v>-26020.925715195015</v>
      </c>
      <c r="AJ91" s="108">
        <f t="shared" si="74"/>
        <v>0</v>
      </c>
      <c r="AK91" s="108">
        <f t="shared" si="75"/>
        <v>0</v>
      </c>
      <c r="AL91" s="108">
        <f t="shared" si="76"/>
        <v>-1128281.7787187099</v>
      </c>
    </row>
    <row r="92" spans="1:38" x14ac:dyDescent="0.25">
      <c r="A92" s="4">
        <f>IF(ISBLANK(B92),"",MAX(A$6:A91)+1)</f>
        <v>73</v>
      </c>
      <c r="B92" s="53" t="s">
        <v>55</v>
      </c>
      <c r="C92" s="63">
        <f>C76+C84</f>
        <v>-6771639.3838751875</v>
      </c>
      <c r="D92" s="63">
        <f t="shared" si="87"/>
        <v>0</v>
      </c>
      <c r="E92" s="63">
        <f t="shared" si="87"/>
        <v>0</v>
      </c>
      <c r="F92" s="63">
        <f t="shared" si="87"/>
        <v>1816393.2000356747</v>
      </c>
      <c r="G92" s="63">
        <f t="shared" si="88"/>
        <v>-4955246.183839513</v>
      </c>
      <c r="H92" s="67"/>
      <c r="I92" s="7">
        <f>'[6]Electric Consol'!K21</f>
        <v>-10130523.048139449</v>
      </c>
      <c r="J92" s="63"/>
      <c r="K92" s="63">
        <f>'[6]Electric Consol'!$K$26</f>
        <v>1595961.8313619059</v>
      </c>
      <c r="L92" s="63"/>
      <c r="M92" s="63">
        <f>SUM(I92:L92)</f>
        <v>-8534561.2167775426</v>
      </c>
      <c r="P92" s="108">
        <v>-7768244.0124879377</v>
      </c>
      <c r="Q92" s="108">
        <v>0</v>
      </c>
      <c r="R92" s="108">
        <v>0</v>
      </c>
      <c r="S92" s="108">
        <v>1816393.2000356747</v>
      </c>
      <c r="T92" s="108">
        <v>-5951850.8124522623</v>
      </c>
      <c r="U92" s="111"/>
      <c r="V92" s="90">
        <v>-12635875.011527272</v>
      </c>
      <c r="W92" s="108"/>
      <c r="X92" s="108">
        <v>1592287.2922360862</v>
      </c>
      <c r="Y92" s="108"/>
      <c r="Z92" s="108">
        <v>-11043587.719291186</v>
      </c>
      <c r="AB92" s="108">
        <f t="shared" si="66"/>
        <v>996604.62861275021</v>
      </c>
      <c r="AC92" s="108">
        <f t="shared" si="67"/>
        <v>0</v>
      </c>
      <c r="AD92" s="108">
        <f t="shared" si="68"/>
        <v>0</v>
      </c>
      <c r="AE92" s="108">
        <f t="shared" si="69"/>
        <v>0</v>
      </c>
      <c r="AF92" s="108">
        <f t="shared" si="70"/>
        <v>996604.62861274928</v>
      </c>
      <c r="AG92" s="111">
        <f t="shared" si="71"/>
        <v>0</v>
      </c>
      <c r="AH92" s="90">
        <f t="shared" si="72"/>
        <v>2505351.9633878227</v>
      </c>
      <c r="AI92" s="108">
        <f t="shared" si="73"/>
        <v>0</v>
      </c>
      <c r="AJ92" s="108">
        <f t="shared" si="74"/>
        <v>3674.5391258196905</v>
      </c>
      <c r="AK92" s="108">
        <f t="shared" si="75"/>
        <v>0</v>
      </c>
      <c r="AL92" s="108">
        <f t="shared" si="76"/>
        <v>2509026.5025136434</v>
      </c>
    </row>
    <row r="93" spans="1:38" x14ac:dyDescent="0.25">
      <c r="A93" s="4">
        <f>IF(ISBLANK(B93),"",MAX(A$6:A92)+1)</f>
        <v>74</v>
      </c>
      <c r="B93" s="53" t="s">
        <v>56</v>
      </c>
      <c r="C93" s="63">
        <f t="shared" si="87"/>
        <v>-10489018.967090806</v>
      </c>
      <c r="D93" s="63">
        <f t="shared" si="87"/>
        <v>0</v>
      </c>
      <c r="E93" s="63">
        <f t="shared" si="87"/>
        <v>0</v>
      </c>
      <c r="F93" s="63">
        <f t="shared" si="87"/>
        <v>0</v>
      </c>
      <c r="G93" s="63">
        <f t="shared" si="88"/>
        <v>-10489018.967090806</v>
      </c>
      <c r="H93" s="67"/>
      <c r="I93" s="7">
        <f>'[6]Electric Consol'!K22</f>
        <v>-69639645.889353901</v>
      </c>
      <c r="J93" s="63"/>
      <c r="K93" s="63"/>
      <c r="L93" s="63"/>
      <c r="M93" s="63">
        <f>SUM(I93:L93)</f>
        <v>-69639645.889353901</v>
      </c>
      <c r="P93" s="108">
        <v>-10489018.967090806</v>
      </c>
      <c r="Q93" s="108">
        <v>0</v>
      </c>
      <c r="R93" s="108">
        <v>0</v>
      </c>
      <c r="S93" s="108">
        <v>0</v>
      </c>
      <c r="T93" s="108">
        <v>-10489018.967090806</v>
      </c>
      <c r="U93" s="111"/>
      <c r="V93" s="90">
        <v>-70495293.057980895</v>
      </c>
      <c r="W93" s="108"/>
      <c r="X93" s="108"/>
      <c r="Y93" s="108"/>
      <c r="Z93" s="108">
        <v>-70495293.057980895</v>
      </c>
      <c r="AB93" s="108">
        <f t="shared" si="66"/>
        <v>0</v>
      </c>
      <c r="AC93" s="108">
        <f t="shared" si="67"/>
        <v>0</v>
      </c>
      <c r="AD93" s="108">
        <f t="shared" si="68"/>
        <v>0</v>
      </c>
      <c r="AE93" s="108">
        <f t="shared" si="69"/>
        <v>0</v>
      </c>
      <c r="AF93" s="108">
        <f t="shared" si="70"/>
        <v>0</v>
      </c>
      <c r="AG93" s="111">
        <f t="shared" si="71"/>
        <v>0</v>
      </c>
      <c r="AH93" s="90">
        <f t="shared" si="72"/>
        <v>855647.16862699389</v>
      </c>
      <c r="AI93" s="108">
        <f t="shared" si="73"/>
        <v>0</v>
      </c>
      <c r="AJ93" s="108">
        <f t="shared" si="74"/>
        <v>0</v>
      </c>
      <c r="AK93" s="108">
        <f t="shared" si="75"/>
        <v>0</v>
      </c>
      <c r="AL93" s="108">
        <f t="shared" si="76"/>
        <v>855647.16862699389</v>
      </c>
    </row>
    <row r="94" spans="1:38" x14ac:dyDescent="0.25">
      <c r="A94" s="4">
        <f>IF(ISBLANK(B94),"",MAX(A$6:A93)+1)</f>
        <v>75</v>
      </c>
      <c r="B94" s="9" t="s">
        <v>0</v>
      </c>
      <c r="C94" s="58">
        <f t="shared" ref="C94:F94" si="89">SUM(C89:C93)</f>
        <v>-1414720691.1000206</v>
      </c>
      <c r="D94" s="58">
        <f t="shared" si="89"/>
        <v>0</v>
      </c>
      <c r="E94" s="58">
        <f t="shared" si="89"/>
        <v>2798356.0552379121</v>
      </c>
      <c r="F94" s="58">
        <f t="shared" si="89"/>
        <v>1816393.2000356747</v>
      </c>
      <c r="G94" s="58">
        <f t="shared" ref="G94" si="90">SUM(G89:G93)</f>
        <v>-1410105941.8447471</v>
      </c>
      <c r="H94" s="47"/>
      <c r="I94" s="58">
        <f>SUM(I89:I93)</f>
        <v>-1290095409.7301588</v>
      </c>
      <c r="J94" s="58">
        <f t="shared" ref="J94" si="91">SUM(J89:J93)</f>
        <v>-11301663.374965549</v>
      </c>
      <c r="K94" s="58">
        <f>SUM(K89:K93)</f>
        <v>1595961.8313619059</v>
      </c>
      <c r="L94" s="58">
        <f t="shared" ref="L94" si="92">SUM(L89:L93)</f>
        <v>0</v>
      </c>
      <c r="M94" s="58">
        <f>SUM(M89:M93)</f>
        <v>-1299801111.2737627</v>
      </c>
      <c r="P94" s="109">
        <v>-1417019514.9987345</v>
      </c>
      <c r="Q94" s="109">
        <v>0</v>
      </c>
      <c r="R94" s="109">
        <v>4096611.8529834934</v>
      </c>
      <c r="S94" s="109">
        <v>1816393.2000356747</v>
      </c>
      <c r="T94" s="109">
        <v>-1411106509.9457154</v>
      </c>
      <c r="U94" s="95"/>
      <c r="V94" s="109">
        <v>-1292644826.9560361</v>
      </c>
      <c r="W94" s="109">
        <v>-11275642.449250354</v>
      </c>
      <c r="X94" s="109">
        <v>1592287.2922360862</v>
      </c>
      <c r="Y94" s="109">
        <v>0</v>
      </c>
      <c r="Z94" s="109">
        <v>-1302328182.1130505</v>
      </c>
      <c r="AB94" s="109">
        <f t="shared" si="66"/>
        <v>2298823.8987138271</v>
      </c>
      <c r="AC94" s="109">
        <f t="shared" si="67"/>
        <v>0</v>
      </c>
      <c r="AD94" s="109">
        <f t="shared" si="68"/>
        <v>-1298255.7977455813</v>
      </c>
      <c r="AE94" s="109">
        <f t="shared" si="69"/>
        <v>0</v>
      </c>
      <c r="AF94" s="109">
        <f t="shared" si="70"/>
        <v>1000568.1009683609</v>
      </c>
      <c r="AG94" s="95">
        <f t="shared" si="71"/>
        <v>0</v>
      </c>
      <c r="AH94" s="109">
        <f t="shared" si="72"/>
        <v>2549417.225877285</v>
      </c>
      <c r="AI94" s="109">
        <f t="shared" si="73"/>
        <v>-26020.925715195015</v>
      </c>
      <c r="AJ94" s="109">
        <f t="shared" si="74"/>
        <v>3674.5391258196905</v>
      </c>
      <c r="AK94" s="109">
        <f t="shared" si="75"/>
        <v>0</v>
      </c>
      <c r="AL94" s="109">
        <f t="shared" si="76"/>
        <v>2527070.8392877579</v>
      </c>
    </row>
    <row r="95" spans="1:38" x14ac:dyDescent="0.25">
      <c r="A95" s="4" t="str">
        <f>IF(ISBLANK(B95),"",MAX(A$6:A94)+1)</f>
        <v/>
      </c>
      <c r="B95" s="53"/>
      <c r="C95" s="63"/>
      <c r="D95" s="63"/>
      <c r="E95" s="63"/>
      <c r="F95" s="63"/>
      <c r="G95" s="63"/>
      <c r="H95" s="45"/>
      <c r="I95" s="63"/>
      <c r="J95" s="63"/>
      <c r="K95" s="63"/>
      <c r="L95" s="63"/>
      <c r="M95" s="63"/>
      <c r="P95" s="108"/>
      <c r="Q95" s="108"/>
      <c r="R95" s="108"/>
      <c r="S95" s="108"/>
      <c r="T95" s="108"/>
      <c r="U95" s="112"/>
      <c r="V95" s="108"/>
      <c r="W95" s="108"/>
      <c r="X95" s="108"/>
      <c r="Y95" s="108"/>
      <c r="Z95" s="108"/>
      <c r="AB95" s="108">
        <f t="shared" si="66"/>
        <v>0</v>
      </c>
      <c r="AC95" s="108">
        <f t="shared" si="67"/>
        <v>0</v>
      </c>
      <c r="AD95" s="108">
        <f t="shared" si="68"/>
        <v>0</v>
      </c>
      <c r="AE95" s="108">
        <f t="shared" si="69"/>
        <v>0</v>
      </c>
      <c r="AF95" s="108">
        <f t="shared" si="70"/>
        <v>0</v>
      </c>
      <c r="AG95" s="112">
        <f t="shared" si="71"/>
        <v>0</v>
      </c>
      <c r="AH95" s="108">
        <f t="shared" si="72"/>
        <v>0</v>
      </c>
      <c r="AI95" s="108">
        <f t="shared" si="73"/>
        <v>0</v>
      </c>
      <c r="AJ95" s="108">
        <f t="shared" si="74"/>
        <v>0</v>
      </c>
      <c r="AK95" s="108">
        <f t="shared" si="75"/>
        <v>0</v>
      </c>
      <c r="AL95" s="108">
        <f t="shared" si="76"/>
        <v>0</v>
      </c>
    </row>
    <row r="96" spans="1:38" x14ac:dyDescent="0.25">
      <c r="A96" s="4">
        <f>IF(ISBLANK(B96),"",MAX(A$6:A95)+1)</f>
        <v>76</v>
      </c>
      <c r="B96" s="26" t="s">
        <v>61</v>
      </c>
      <c r="C96" s="63"/>
      <c r="D96" s="63"/>
      <c r="E96" s="63"/>
      <c r="F96" s="63"/>
      <c r="G96" s="63"/>
      <c r="H96" s="45"/>
      <c r="I96" s="63"/>
      <c r="J96" s="63"/>
      <c r="K96" s="63"/>
      <c r="L96" s="63"/>
      <c r="M96" s="63"/>
      <c r="P96" s="108"/>
      <c r="Q96" s="108"/>
      <c r="R96" s="108"/>
      <c r="S96" s="108"/>
      <c r="T96" s="108"/>
      <c r="U96" s="112"/>
      <c r="V96" s="108"/>
      <c r="W96" s="108"/>
      <c r="X96" s="108"/>
      <c r="Y96" s="108"/>
      <c r="Z96" s="108"/>
      <c r="AB96" s="108">
        <f t="shared" si="66"/>
        <v>0</v>
      </c>
      <c r="AC96" s="108">
        <f t="shared" si="67"/>
        <v>0</v>
      </c>
      <c r="AD96" s="108">
        <f t="shared" si="68"/>
        <v>0</v>
      </c>
      <c r="AE96" s="108">
        <f t="shared" si="69"/>
        <v>0</v>
      </c>
      <c r="AF96" s="108">
        <f t="shared" si="70"/>
        <v>0</v>
      </c>
      <c r="AG96" s="112">
        <f t="shared" si="71"/>
        <v>0</v>
      </c>
      <c r="AH96" s="108">
        <f t="shared" si="72"/>
        <v>0</v>
      </c>
      <c r="AI96" s="108">
        <f t="shared" si="73"/>
        <v>0</v>
      </c>
      <c r="AJ96" s="108">
        <f t="shared" si="74"/>
        <v>0</v>
      </c>
      <c r="AK96" s="108">
        <f t="shared" si="75"/>
        <v>0</v>
      </c>
      <c r="AL96" s="108">
        <f t="shared" si="76"/>
        <v>0</v>
      </c>
    </row>
    <row r="97" spans="1:38" x14ac:dyDescent="0.25">
      <c r="A97" s="4">
        <f>IF(ISBLANK(B97),"",MAX(A$6:A96)+1)</f>
        <v>77</v>
      </c>
      <c r="B97" s="53" t="s">
        <v>52</v>
      </c>
      <c r="C97" s="27">
        <f>C57+C65+C89</f>
        <v>1721058387.8783216</v>
      </c>
      <c r="D97" s="27">
        <f t="shared" ref="C97:F101" si="93">D57+D65+D89</f>
        <v>0</v>
      </c>
      <c r="E97" s="27">
        <f t="shared" si="93"/>
        <v>0</v>
      </c>
      <c r="F97" s="27">
        <f t="shared" si="93"/>
        <v>0</v>
      </c>
      <c r="G97" s="27">
        <f t="shared" ref="G97:G101" si="94">G57+G65+G89</f>
        <v>1721058387.8783216</v>
      </c>
      <c r="H97" s="66"/>
      <c r="I97" s="27">
        <f>I57+I65+I89</f>
        <v>1536285809.7647693</v>
      </c>
      <c r="J97" s="27">
        <f t="shared" ref="J97" si="95">J57+J65+J89</f>
        <v>0</v>
      </c>
      <c r="K97" s="27">
        <f>K57+K65+K89</f>
        <v>0</v>
      </c>
      <c r="L97" s="27">
        <f t="shared" ref="L97" si="96">L57+L65+L89</f>
        <v>0</v>
      </c>
      <c r="M97" s="27">
        <f>M57+M65+M89</f>
        <v>1536285809.7647693</v>
      </c>
      <c r="P97" s="106">
        <v>1726657062.6082206</v>
      </c>
      <c r="Q97" s="106">
        <v>0</v>
      </c>
      <c r="R97" s="106">
        <v>0</v>
      </c>
      <c r="S97" s="106">
        <v>0</v>
      </c>
      <c r="T97" s="106">
        <v>1726657062.6082206</v>
      </c>
      <c r="U97" s="91"/>
      <c r="V97" s="106">
        <v>1638872908.079864</v>
      </c>
      <c r="W97" s="106">
        <v>0</v>
      </c>
      <c r="X97" s="106">
        <v>0</v>
      </c>
      <c r="Y97" s="106">
        <v>0</v>
      </c>
      <c r="Z97" s="106">
        <v>1638872908.079864</v>
      </c>
      <c r="AB97" s="106">
        <f t="shared" si="66"/>
        <v>-5598674.7298989296</v>
      </c>
      <c r="AC97" s="106">
        <f t="shared" si="67"/>
        <v>0</v>
      </c>
      <c r="AD97" s="106">
        <f t="shared" si="68"/>
        <v>0</v>
      </c>
      <c r="AE97" s="106">
        <f t="shared" si="69"/>
        <v>0</v>
      </c>
      <c r="AF97" s="106">
        <f t="shared" si="70"/>
        <v>-5598674.7298989296</v>
      </c>
      <c r="AG97" s="91">
        <f t="shared" si="71"/>
        <v>0</v>
      </c>
      <c r="AH97" s="106">
        <f t="shared" si="72"/>
        <v>-102587098.31509471</v>
      </c>
      <c r="AI97" s="106">
        <f t="shared" si="73"/>
        <v>0</v>
      </c>
      <c r="AJ97" s="106">
        <f t="shared" si="74"/>
        <v>0</v>
      </c>
      <c r="AK97" s="106">
        <f t="shared" si="75"/>
        <v>0</v>
      </c>
      <c r="AL97" s="106">
        <f t="shared" si="76"/>
        <v>-102587098.31509471</v>
      </c>
    </row>
    <row r="98" spans="1:38" x14ac:dyDescent="0.25">
      <c r="A98" s="4">
        <f>IF(ISBLANK(B98),"",MAX(A$6:A97)+1)</f>
        <v>78</v>
      </c>
      <c r="B98" s="53" t="s">
        <v>53</v>
      </c>
      <c r="C98" s="7">
        <f t="shared" si="93"/>
        <v>880299629.19970214</v>
      </c>
      <c r="D98" s="7">
        <f t="shared" si="93"/>
        <v>0</v>
      </c>
      <c r="E98" s="7">
        <f t="shared" si="93"/>
        <v>0</v>
      </c>
      <c r="F98" s="7">
        <f t="shared" si="93"/>
        <v>0</v>
      </c>
      <c r="G98" s="7">
        <f t="shared" si="94"/>
        <v>880299629.19970214</v>
      </c>
      <c r="H98" s="67"/>
      <c r="I98" s="7">
        <f t="shared" ref="I98:J101" si="97">I58+I66+I90</f>
        <v>959422977.73572516</v>
      </c>
      <c r="J98" s="7">
        <f t="shared" si="97"/>
        <v>0</v>
      </c>
      <c r="K98" s="7">
        <f>K58+K66+K90</f>
        <v>0</v>
      </c>
      <c r="L98" s="7">
        <f t="shared" ref="L98:L101" si="98">L58+L66+L90</f>
        <v>0</v>
      </c>
      <c r="M98" s="7">
        <f>M58+M66+M90</f>
        <v>959422977.73572516</v>
      </c>
      <c r="P98" s="90">
        <v>880299629.19970214</v>
      </c>
      <c r="Q98" s="90">
        <v>0</v>
      </c>
      <c r="R98" s="90">
        <v>0</v>
      </c>
      <c r="S98" s="90">
        <v>0</v>
      </c>
      <c r="T98" s="90">
        <v>880299629.19970214</v>
      </c>
      <c r="U98" s="111"/>
      <c r="V98" s="90">
        <v>980547315.68201101</v>
      </c>
      <c r="W98" s="90">
        <v>0</v>
      </c>
      <c r="X98" s="90">
        <v>0</v>
      </c>
      <c r="Y98" s="90">
        <v>0</v>
      </c>
      <c r="Z98" s="90">
        <v>980547315.68201101</v>
      </c>
      <c r="AB98" s="90">
        <f t="shared" si="66"/>
        <v>0</v>
      </c>
      <c r="AC98" s="90">
        <f t="shared" si="67"/>
        <v>0</v>
      </c>
      <c r="AD98" s="90">
        <f t="shared" si="68"/>
        <v>0</v>
      </c>
      <c r="AE98" s="90">
        <f t="shared" si="69"/>
        <v>0</v>
      </c>
      <c r="AF98" s="90">
        <f t="shared" si="70"/>
        <v>0</v>
      </c>
      <c r="AG98" s="111">
        <f t="shared" si="71"/>
        <v>0</v>
      </c>
      <c r="AH98" s="90">
        <f t="shared" si="72"/>
        <v>-21124337.946285844</v>
      </c>
      <c r="AI98" s="90">
        <f t="shared" si="73"/>
        <v>0</v>
      </c>
      <c r="AJ98" s="90">
        <f t="shared" si="74"/>
        <v>0</v>
      </c>
      <c r="AK98" s="90">
        <f t="shared" si="75"/>
        <v>0</v>
      </c>
      <c r="AL98" s="90">
        <f t="shared" si="76"/>
        <v>-21124337.946285844</v>
      </c>
    </row>
    <row r="99" spans="1:38" x14ac:dyDescent="0.25">
      <c r="A99" s="4">
        <f>IF(ISBLANK(B99),"",MAX(A$6:A98)+1)</f>
        <v>79</v>
      </c>
      <c r="B99" s="53" t="s">
        <v>54</v>
      </c>
      <c r="C99" s="63">
        <f t="shared" si="93"/>
        <v>1732215237.8062663</v>
      </c>
      <c r="D99" s="63">
        <f t="shared" si="93"/>
        <v>0</v>
      </c>
      <c r="E99" s="63">
        <f t="shared" si="93"/>
        <v>-37487757.953703716</v>
      </c>
      <c r="F99" s="63">
        <f t="shared" si="93"/>
        <v>0</v>
      </c>
      <c r="G99" s="63">
        <f t="shared" si="94"/>
        <v>1694727479.8525624</v>
      </c>
      <c r="H99" s="67"/>
      <c r="I99" s="63">
        <f t="shared" si="97"/>
        <v>1811956348.2502503</v>
      </c>
      <c r="J99" s="63">
        <f t="shared" si="97"/>
        <v>131823622.98079735</v>
      </c>
      <c r="K99" s="63">
        <f>K59+K67+K91</f>
        <v>0</v>
      </c>
      <c r="L99" s="63">
        <f t="shared" si="98"/>
        <v>0</v>
      </c>
      <c r="M99" s="63">
        <f>M59+M67+M91</f>
        <v>1943779971.2310472</v>
      </c>
      <c r="P99" s="108">
        <v>1732765393.0162663</v>
      </c>
      <c r="Q99" s="108">
        <v>0</v>
      </c>
      <c r="R99" s="108">
        <v>-36189502.155958131</v>
      </c>
      <c r="S99" s="108">
        <v>0</v>
      </c>
      <c r="T99" s="108">
        <v>1696575890.8603082</v>
      </c>
      <c r="U99" s="111"/>
      <c r="V99" s="108">
        <v>1848258434.3141494</v>
      </c>
      <c r="W99" s="108">
        <v>131849643.90651254</v>
      </c>
      <c r="X99" s="108">
        <v>0</v>
      </c>
      <c r="Y99" s="108">
        <v>0</v>
      </c>
      <c r="Z99" s="108">
        <v>1980108078.2206624</v>
      </c>
      <c r="AB99" s="108">
        <f t="shared" si="66"/>
        <v>-550155.21000003815</v>
      </c>
      <c r="AC99" s="108">
        <f t="shared" si="67"/>
        <v>0</v>
      </c>
      <c r="AD99" s="108">
        <f t="shared" si="68"/>
        <v>-1298255.7977455854</v>
      </c>
      <c r="AE99" s="108">
        <f t="shared" si="69"/>
        <v>0</v>
      </c>
      <c r="AF99" s="108">
        <f t="shared" si="70"/>
        <v>-1848411.0077457428</v>
      </c>
      <c r="AG99" s="111">
        <f t="shared" si="71"/>
        <v>0</v>
      </c>
      <c r="AH99" s="108">
        <f t="shared" si="72"/>
        <v>-36302086.06389904</v>
      </c>
      <c r="AI99" s="108">
        <f t="shared" si="73"/>
        <v>-26020.925715193152</v>
      </c>
      <c r="AJ99" s="108">
        <f t="shared" si="74"/>
        <v>0</v>
      </c>
      <c r="AK99" s="108">
        <f t="shared" si="75"/>
        <v>0</v>
      </c>
      <c r="AL99" s="108">
        <f t="shared" si="76"/>
        <v>-36328106.989615202</v>
      </c>
    </row>
    <row r="100" spans="1:38" x14ac:dyDescent="0.25">
      <c r="A100" s="4">
        <f>IF(ISBLANK(B100),"",MAX(A$6:A99)+1)</f>
        <v>80</v>
      </c>
      <c r="B100" s="53" t="s">
        <v>55</v>
      </c>
      <c r="C100" s="63">
        <f t="shared" si="93"/>
        <v>241945069.50038558</v>
      </c>
      <c r="D100" s="63">
        <f t="shared" si="93"/>
        <v>0</v>
      </c>
      <c r="E100" s="63">
        <f t="shared" si="93"/>
        <v>0</v>
      </c>
      <c r="F100" s="63">
        <f t="shared" si="93"/>
        <v>-27876144.997406568</v>
      </c>
      <c r="G100" s="63">
        <f t="shared" si="94"/>
        <v>214068924.50297904</v>
      </c>
      <c r="H100" s="67"/>
      <c r="I100" s="63">
        <f t="shared" si="97"/>
        <v>123493740.60348266</v>
      </c>
      <c r="J100" s="63">
        <f t="shared" si="97"/>
        <v>0</v>
      </c>
      <c r="K100" s="63">
        <f>K60+K68+K92</f>
        <v>127154741.45460632</v>
      </c>
      <c r="L100" s="63">
        <f t="shared" si="98"/>
        <v>0</v>
      </c>
      <c r="M100" s="63">
        <f>M60+M68+M92</f>
        <v>250648482.05808893</v>
      </c>
      <c r="P100" s="108">
        <v>245477944.89735612</v>
      </c>
      <c r="Q100" s="108">
        <v>0</v>
      </c>
      <c r="R100" s="108">
        <v>0</v>
      </c>
      <c r="S100" s="108">
        <v>-27876144.997406568</v>
      </c>
      <c r="T100" s="108">
        <v>217601799.89994958</v>
      </c>
      <c r="U100" s="111"/>
      <c r="V100" s="108">
        <v>176030969.13970378</v>
      </c>
      <c r="W100" s="108">
        <v>0</v>
      </c>
      <c r="X100" s="108">
        <v>127151066.91548051</v>
      </c>
      <c r="Y100" s="108">
        <v>0</v>
      </c>
      <c r="Z100" s="108">
        <v>303182036.05518419</v>
      </c>
      <c r="AB100" s="108">
        <f t="shared" si="66"/>
        <v>-3532875.3969705403</v>
      </c>
      <c r="AC100" s="108">
        <f t="shared" si="67"/>
        <v>0</v>
      </c>
      <c r="AD100" s="108">
        <f t="shared" si="68"/>
        <v>0</v>
      </c>
      <c r="AE100" s="108">
        <f t="shared" si="69"/>
        <v>0</v>
      </c>
      <c r="AF100" s="108">
        <f t="shared" si="70"/>
        <v>-3532875.3969705403</v>
      </c>
      <c r="AG100" s="111">
        <f t="shared" si="71"/>
        <v>0</v>
      </c>
      <c r="AH100" s="108">
        <f t="shared" si="72"/>
        <v>-52537228.536221117</v>
      </c>
      <c r="AI100" s="108">
        <f t="shared" si="73"/>
        <v>0</v>
      </c>
      <c r="AJ100" s="108">
        <f t="shared" si="74"/>
        <v>3674.5391258150339</v>
      </c>
      <c r="AK100" s="108">
        <f t="shared" si="75"/>
        <v>0</v>
      </c>
      <c r="AL100" s="108">
        <f t="shared" si="76"/>
        <v>-52533553.997095257</v>
      </c>
    </row>
    <row r="101" spans="1:38" x14ac:dyDescent="0.25">
      <c r="A101" s="4">
        <f>IF(ISBLANK(B101),"",MAX(A$6:A100)+1)</f>
        <v>81</v>
      </c>
      <c r="B101" s="53" t="s">
        <v>56</v>
      </c>
      <c r="C101" s="63">
        <f t="shared" si="93"/>
        <v>322797048.67021996</v>
      </c>
      <c r="D101" s="63">
        <f t="shared" si="93"/>
        <v>0</v>
      </c>
      <c r="E101" s="63">
        <f t="shared" si="93"/>
        <v>0</v>
      </c>
      <c r="F101" s="63">
        <f t="shared" si="93"/>
        <v>0</v>
      </c>
      <c r="G101" s="63">
        <f t="shared" si="94"/>
        <v>322797048.67021996</v>
      </c>
      <c r="H101" s="67"/>
      <c r="I101" s="63">
        <f t="shared" si="97"/>
        <v>313948882.81067431</v>
      </c>
      <c r="J101" s="63">
        <f t="shared" si="97"/>
        <v>0</v>
      </c>
      <c r="K101" s="63">
        <f>K61+K69+K93</f>
        <v>0</v>
      </c>
      <c r="L101" s="63">
        <f t="shared" si="98"/>
        <v>0</v>
      </c>
      <c r="M101" s="63">
        <f>M61+M69+M93</f>
        <v>313948882.81067431</v>
      </c>
      <c r="P101" s="108">
        <v>322797048.67021996</v>
      </c>
      <c r="Q101" s="108">
        <v>0</v>
      </c>
      <c r="R101" s="108">
        <v>0</v>
      </c>
      <c r="S101" s="108">
        <v>0</v>
      </c>
      <c r="T101" s="108">
        <v>322797048.67021996</v>
      </c>
      <c r="U101" s="111"/>
      <c r="V101" s="108">
        <v>329968993.63296312</v>
      </c>
      <c r="W101" s="108">
        <v>0</v>
      </c>
      <c r="X101" s="108">
        <v>0</v>
      </c>
      <c r="Y101" s="108">
        <v>0</v>
      </c>
      <c r="Z101" s="108">
        <v>329968993.63296312</v>
      </c>
      <c r="AB101" s="108">
        <f t="shared" si="66"/>
        <v>0</v>
      </c>
      <c r="AC101" s="108">
        <f t="shared" si="67"/>
        <v>0</v>
      </c>
      <c r="AD101" s="108">
        <f t="shared" si="68"/>
        <v>0</v>
      </c>
      <c r="AE101" s="108">
        <f t="shared" si="69"/>
        <v>0</v>
      </c>
      <c r="AF101" s="108">
        <f t="shared" si="70"/>
        <v>0</v>
      </c>
      <c r="AG101" s="111">
        <f t="shared" si="71"/>
        <v>0</v>
      </c>
      <c r="AH101" s="108">
        <f t="shared" si="72"/>
        <v>-16020110.822288811</v>
      </c>
      <c r="AI101" s="108">
        <f t="shared" si="73"/>
        <v>0</v>
      </c>
      <c r="AJ101" s="108">
        <f t="shared" si="74"/>
        <v>0</v>
      </c>
      <c r="AK101" s="108">
        <f t="shared" si="75"/>
        <v>0</v>
      </c>
      <c r="AL101" s="108">
        <f t="shared" si="76"/>
        <v>-16020110.822288811</v>
      </c>
    </row>
    <row r="102" spans="1:38" x14ac:dyDescent="0.25">
      <c r="A102" s="4">
        <f>IF(ISBLANK(B102),"",MAX(A$6:A101)+1)</f>
        <v>82</v>
      </c>
      <c r="B102" s="9" t="s">
        <v>0</v>
      </c>
      <c r="C102" s="58">
        <f t="shared" ref="C102:F102" si="99">SUM(C97:C101)</f>
        <v>4898315373.0548964</v>
      </c>
      <c r="D102" s="58">
        <f t="shared" si="99"/>
        <v>0</v>
      </c>
      <c r="E102" s="58">
        <f t="shared" si="99"/>
        <v>-37487757.953703716</v>
      </c>
      <c r="F102" s="58">
        <f t="shared" si="99"/>
        <v>-27876144.997406568</v>
      </c>
      <c r="G102" s="58">
        <f t="shared" ref="G102" si="100">SUM(G97:G101)</f>
        <v>4832951470.1037855</v>
      </c>
      <c r="H102" s="47"/>
      <c r="I102" s="58">
        <f>SUM(I97:I101)</f>
        <v>4745107759.1649017</v>
      </c>
      <c r="J102" s="58">
        <f t="shared" ref="J102" si="101">SUM(J97:J101)</f>
        <v>131823622.98079735</v>
      </c>
      <c r="K102" s="58">
        <f>SUM(K97:K101)</f>
        <v>127154741.45460632</v>
      </c>
      <c r="L102" s="58">
        <f t="shared" ref="L102" si="102">SUM(L97:L101)</f>
        <v>0</v>
      </c>
      <c r="M102" s="58">
        <f>SUM(M97:M101)</f>
        <v>5004086123.6003056</v>
      </c>
      <c r="P102" s="109">
        <v>4907997078.3917656</v>
      </c>
      <c r="Q102" s="109">
        <v>0</v>
      </c>
      <c r="R102" s="109">
        <v>-36189502.155958131</v>
      </c>
      <c r="S102" s="109">
        <v>-27876144.997406568</v>
      </c>
      <c r="T102" s="109">
        <v>4843931431.2384014</v>
      </c>
      <c r="U102" s="95"/>
      <c r="V102" s="109">
        <v>4973678620.8486919</v>
      </c>
      <c r="W102" s="109">
        <v>131849643.90651254</v>
      </c>
      <c r="X102" s="109">
        <v>127151066.91548051</v>
      </c>
      <c r="Y102" s="109">
        <v>0</v>
      </c>
      <c r="Z102" s="109">
        <v>5232679331.6706848</v>
      </c>
      <c r="AB102" s="109">
        <f t="shared" si="66"/>
        <v>-9681705.3368692398</v>
      </c>
      <c r="AC102" s="109">
        <f t="shared" si="67"/>
        <v>0</v>
      </c>
      <c r="AD102" s="109">
        <f t="shared" si="68"/>
        <v>-1298255.7977455854</v>
      </c>
      <c r="AE102" s="109">
        <f t="shared" si="69"/>
        <v>0</v>
      </c>
      <c r="AF102" s="109">
        <f t="shared" si="70"/>
        <v>-10979961.134615898</v>
      </c>
      <c r="AG102" s="95">
        <f t="shared" si="71"/>
        <v>0</v>
      </c>
      <c r="AH102" s="109">
        <f t="shared" si="72"/>
        <v>-228570861.68379021</v>
      </c>
      <c r="AI102" s="109">
        <f t="shared" si="73"/>
        <v>-26020.925715193152</v>
      </c>
      <c r="AJ102" s="109">
        <f t="shared" si="74"/>
        <v>3674.5391258150339</v>
      </c>
      <c r="AK102" s="109">
        <f t="shared" si="75"/>
        <v>0</v>
      </c>
      <c r="AL102" s="109">
        <f t="shared" si="76"/>
        <v>-228593208.07037926</v>
      </c>
    </row>
    <row r="103" spans="1:38" x14ac:dyDescent="0.25">
      <c r="A103" s="4" t="str">
        <f>IF(ISBLANK(B103),"",MAX(A$6:A102)+1)</f>
        <v/>
      </c>
      <c r="B103" s="11"/>
      <c r="C103" s="27"/>
      <c r="D103" s="27"/>
      <c r="E103" s="27"/>
      <c r="F103" s="27"/>
      <c r="G103" s="27"/>
      <c r="H103" s="45"/>
      <c r="I103" s="27"/>
      <c r="J103" s="27"/>
      <c r="K103" s="27"/>
      <c r="L103" s="27"/>
      <c r="M103" s="27"/>
      <c r="P103" s="106"/>
      <c r="Q103" s="106"/>
      <c r="R103" s="106"/>
      <c r="S103" s="106"/>
      <c r="T103" s="106"/>
      <c r="U103" s="112"/>
      <c r="V103" s="106"/>
      <c r="W103" s="106"/>
      <c r="X103" s="106"/>
      <c r="Y103" s="106"/>
      <c r="Z103" s="106"/>
      <c r="AB103" s="106">
        <f t="shared" si="66"/>
        <v>0</v>
      </c>
      <c r="AC103" s="106">
        <f t="shared" si="67"/>
        <v>0</v>
      </c>
      <c r="AD103" s="106">
        <f t="shared" si="68"/>
        <v>0</v>
      </c>
      <c r="AE103" s="106">
        <f t="shared" si="69"/>
        <v>0</v>
      </c>
      <c r="AF103" s="106">
        <f t="shared" si="70"/>
        <v>0</v>
      </c>
      <c r="AG103" s="112">
        <f t="shared" si="71"/>
        <v>0</v>
      </c>
      <c r="AH103" s="106">
        <f t="shared" si="72"/>
        <v>0</v>
      </c>
      <c r="AI103" s="106">
        <f t="shared" si="73"/>
        <v>0</v>
      </c>
      <c r="AJ103" s="106">
        <f t="shared" si="74"/>
        <v>0</v>
      </c>
      <c r="AK103" s="106">
        <f t="shared" si="75"/>
        <v>0</v>
      </c>
      <c r="AL103" s="106">
        <f t="shared" si="76"/>
        <v>0</v>
      </c>
    </row>
    <row r="104" spans="1:38" x14ac:dyDescent="0.25">
      <c r="A104" s="4">
        <f>IF(ISBLANK(B104),"",MAX(A$6:A102)+1)</f>
        <v>83</v>
      </c>
      <c r="B104" s="11" t="s">
        <v>62</v>
      </c>
      <c r="C104" s="27">
        <f>[3]Electric_CBR!M105+'[1]Exh p1'!$K$56+'[1]Exh p1'!$L$56+'[1]Exh p1'!$Q$56</f>
        <v>-22089625.598074321</v>
      </c>
      <c r="D104" s="27"/>
      <c r="E104" s="27"/>
      <c r="F104" s="27"/>
      <c r="G104" s="27">
        <f>SUM(C104:F104)</f>
        <v>-22089625.598074321</v>
      </c>
      <c r="H104" s="65"/>
      <c r="I104" s="27">
        <f>G104*(1+H104)^(28/12)</f>
        <v>-22089625.598074321</v>
      </c>
      <c r="J104" s="27"/>
      <c r="K104" s="27"/>
      <c r="L104" s="27"/>
      <c r="M104" s="27">
        <f>SUM(I104:L104)</f>
        <v>-22089625.598074321</v>
      </c>
      <c r="P104" s="106">
        <v>-18178438.071609255</v>
      </c>
      <c r="Q104" s="106"/>
      <c r="R104" s="106"/>
      <c r="S104" s="106"/>
      <c r="T104" s="106">
        <v>-18178438.071609255</v>
      </c>
      <c r="U104" s="89"/>
      <c r="V104" s="106">
        <v>-18178438.071609255</v>
      </c>
      <c r="W104" s="106"/>
      <c r="X104" s="106"/>
      <c r="Y104" s="106"/>
      <c r="Z104" s="106">
        <v>-18178438.071609255</v>
      </c>
      <c r="AB104" s="106">
        <f t="shared" si="66"/>
        <v>-3911187.5264650658</v>
      </c>
      <c r="AC104" s="106">
        <f t="shared" si="67"/>
        <v>0</v>
      </c>
      <c r="AD104" s="106">
        <f t="shared" si="68"/>
        <v>0</v>
      </c>
      <c r="AE104" s="106">
        <f t="shared" si="69"/>
        <v>0</v>
      </c>
      <c r="AF104" s="106">
        <f t="shared" si="70"/>
        <v>-3911187.5264650658</v>
      </c>
      <c r="AG104" s="89">
        <f t="shared" si="71"/>
        <v>0</v>
      </c>
      <c r="AH104" s="106">
        <f t="shared" si="72"/>
        <v>-3911187.5264650658</v>
      </c>
      <c r="AI104" s="106">
        <f t="shared" si="73"/>
        <v>0</v>
      </c>
      <c r="AJ104" s="106">
        <f t="shared" si="74"/>
        <v>0</v>
      </c>
      <c r="AK104" s="106">
        <f t="shared" si="75"/>
        <v>0</v>
      </c>
      <c r="AL104" s="106">
        <f t="shared" si="76"/>
        <v>-3911187.5264650658</v>
      </c>
    </row>
    <row r="105" spans="1:38" x14ac:dyDescent="0.25">
      <c r="A105" s="4">
        <f>IF(ISBLANK(B105),"",MAX(A$6:A103)+1)</f>
        <v>83</v>
      </c>
      <c r="B105" s="3" t="s">
        <v>63</v>
      </c>
      <c r="C105" s="113">
        <f>'[1]Exh p1'!S55</f>
        <v>273426197.23699975</v>
      </c>
      <c r="D105" s="7"/>
      <c r="E105" s="7"/>
      <c r="F105" s="7"/>
      <c r="G105" s="7">
        <f>SUM(C105:F105)</f>
        <v>273426197.23699975</v>
      </c>
      <c r="H105" s="67"/>
      <c r="I105" s="7">
        <f>G105*(1+H105)^(28/12)</f>
        <v>273426197.23699975</v>
      </c>
      <c r="J105" s="7"/>
      <c r="K105" s="7"/>
      <c r="L105" s="7"/>
      <c r="M105" s="7">
        <f>SUM(I105:L105)</f>
        <v>273426197.23699975</v>
      </c>
      <c r="P105" s="90">
        <v>254801494.73002326</v>
      </c>
      <c r="Q105" s="90"/>
      <c r="R105" s="90"/>
      <c r="S105" s="90"/>
      <c r="T105" s="90">
        <v>254801494.73002326</v>
      </c>
      <c r="U105" s="111"/>
      <c r="V105" s="90">
        <v>254801494.73002326</v>
      </c>
      <c r="W105" s="90"/>
      <c r="X105" s="90"/>
      <c r="Y105" s="90"/>
      <c r="Z105" s="90">
        <v>254801494.73002326</v>
      </c>
      <c r="AB105" s="90">
        <f t="shared" si="66"/>
        <v>18624702.506976485</v>
      </c>
      <c r="AC105" s="90">
        <f t="shared" si="67"/>
        <v>0</v>
      </c>
      <c r="AD105" s="90">
        <f t="shared" si="68"/>
        <v>0</v>
      </c>
      <c r="AE105" s="90">
        <f t="shared" si="69"/>
        <v>0</v>
      </c>
      <c r="AF105" s="90">
        <f t="shared" si="70"/>
        <v>18624702.506976485</v>
      </c>
      <c r="AG105" s="111">
        <f t="shared" si="71"/>
        <v>0</v>
      </c>
      <c r="AH105" s="90">
        <f t="shared" si="72"/>
        <v>18624702.506976485</v>
      </c>
      <c r="AI105" s="90">
        <f t="shared" si="73"/>
        <v>0</v>
      </c>
      <c r="AJ105" s="90">
        <f t="shared" si="74"/>
        <v>0</v>
      </c>
      <c r="AK105" s="90">
        <f t="shared" si="75"/>
        <v>0</v>
      </c>
      <c r="AL105" s="90">
        <f t="shared" si="76"/>
        <v>18624702.506976485</v>
      </c>
    </row>
    <row r="106" spans="1:38" x14ac:dyDescent="0.25">
      <c r="A106" s="4">
        <f>IF(ISBLANK(B106),"",MAX(A$6:A105)+1)</f>
        <v>84</v>
      </c>
      <c r="B106" s="3" t="s">
        <v>64</v>
      </c>
      <c r="C106" s="7">
        <f>'[1]Exh p1'!S57</f>
        <v>145303204.9988502</v>
      </c>
      <c r="D106" s="7"/>
      <c r="E106" s="7"/>
      <c r="F106" s="7"/>
      <c r="G106" s="7">
        <f>SUM(C106:F106)</f>
        <v>145303204.9988502</v>
      </c>
      <c r="H106" s="67"/>
      <c r="I106" s="7">
        <f>G106*(1+H106)^(28/12)</f>
        <v>145303204.9988502</v>
      </c>
      <c r="J106" s="7"/>
      <c r="K106" s="7"/>
      <c r="L106" s="7"/>
      <c r="M106" s="7">
        <f>SUM(I106:L106)</f>
        <v>145303204.9988502</v>
      </c>
      <c r="P106" s="90">
        <v>145303204.9988502</v>
      </c>
      <c r="Q106" s="90"/>
      <c r="R106" s="90"/>
      <c r="S106" s="90"/>
      <c r="T106" s="90">
        <v>145303204.9988502</v>
      </c>
      <c r="U106" s="111"/>
      <c r="V106" s="90">
        <v>145303204.9988502</v>
      </c>
      <c r="W106" s="90"/>
      <c r="X106" s="90"/>
      <c r="Y106" s="90"/>
      <c r="Z106" s="90">
        <v>145303204.9988502</v>
      </c>
      <c r="AB106" s="90">
        <f t="shared" si="66"/>
        <v>0</v>
      </c>
      <c r="AC106" s="90">
        <f t="shared" si="67"/>
        <v>0</v>
      </c>
      <c r="AD106" s="90">
        <f t="shared" si="68"/>
        <v>0</v>
      </c>
      <c r="AE106" s="90">
        <f t="shared" si="69"/>
        <v>0</v>
      </c>
      <c r="AF106" s="90">
        <f t="shared" si="70"/>
        <v>0</v>
      </c>
      <c r="AG106" s="111">
        <f t="shared" si="71"/>
        <v>0</v>
      </c>
      <c r="AH106" s="90">
        <f t="shared" si="72"/>
        <v>0</v>
      </c>
      <c r="AI106" s="90">
        <f t="shared" si="73"/>
        <v>0</v>
      </c>
      <c r="AJ106" s="90">
        <f t="shared" si="74"/>
        <v>0</v>
      </c>
      <c r="AK106" s="90">
        <f t="shared" si="75"/>
        <v>0</v>
      </c>
      <c r="AL106" s="90">
        <f t="shared" si="76"/>
        <v>0</v>
      </c>
    </row>
    <row r="107" spans="1:38" x14ac:dyDescent="0.25">
      <c r="A107" s="4">
        <f>IF(ISBLANK(B107),"",MAX(A$6:A106)+1)</f>
        <v>85</v>
      </c>
      <c r="B107" s="3" t="s">
        <v>65</v>
      </c>
      <c r="C107" s="7">
        <f>'[1]Exh p1'!S58</f>
        <v>-106223263.53024991</v>
      </c>
      <c r="D107" s="7"/>
      <c r="E107" s="7"/>
      <c r="F107" s="7"/>
      <c r="G107" s="7">
        <f>SUM(C107:F107)</f>
        <v>-106223263.53024991</v>
      </c>
      <c r="H107" s="67"/>
      <c r="I107" s="7">
        <f>G107*(1+H107)^(28/12)</f>
        <v>-106223263.53024991</v>
      </c>
      <c r="J107" s="7"/>
      <c r="K107" s="7"/>
      <c r="L107" s="7"/>
      <c r="M107" s="7">
        <f>SUM(I107:L107)</f>
        <v>-106223263.53024991</v>
      </c>
      <c r="P107" s="90">
        <v>-106223263.53024991</v>
      </c>
      <c r="Q107" s="90"/>
      <c r="R107" s="90"/>
      <c r="S107" s="90"/>
      <c r="T107" s="90">
        <v>-106223263.53024991</v>
      </c>
      <c r="U107" s="111"/>
      <c r="V107" s="90">
        <v>-106223263.53024991</v>
      </c>
      <c r="W107" s="90"/>
      <c r="X107" s="90"/>
      <c r="Y107" s="90"/>
      <c r="Z107" s="90">
        <v>-106223263.53024991</v>
      </c>
      <c r="AB107" s="90">
        <f t="shared" si="66"/>
        <v>0</v>
      </c>
      <c r="AC107" s="90">
        <f t="shared" si="67"/>
        <v>0</v>
      </c>
      <c r="AD107" s="90">
        <f t="shared" si="68"/>
        <v>0</v>
      </c>
      <c r="AE107" s="90">
        <f t="shared" si="69"/>
        <v>0</v>
      </c>
      <c r="AF107" s="90">
        <f t="shared" si="70"/>
        <v>0</v>
      </c>
      <c r="AG107" s="111">
        <f t="shared" si="71"/>
        <v>0</v>
      </c>
      <c r="AH107" s="90">
        <f t="shared" si="72"/>
        <v>0</v>
      </c>
      <c r="AI107" s="90">
        <f t="shared" si="73"/>
        <v>0</v>
      </c>
      <c r="AJ107" s="90">
        <f t="shared" si="74"/>
        <v>0</v>
      </c>
      <c r="AK107" s="90">
        <f t="shared" si="75"/>
        <v>0</v>
      </c>
      <c r="AL107" s="90">
        <f t="shared" si="76"/>
        <v>0</v>
      </c>
    </row>
    <row r="108" spans="1:38" ht="15.75" thickBot="1" x14ac:dyDescent="0.3">
      <c r="A108" s="4">
        <f>IF(ISBLANK(B108),"",MAX(A$6:A107)+1)</f>
        <v>86</v>
      </c>
      <c r="B108" s="28" t="s">
        <v>50</v>
      </c>
      <c r="C108" s="29">
        <f>SUM(C102:C107)</f>
        <v>5188731886.1624222</v>
      </c>
      <c r="D108" s="29">
        <f t="shared" ref="D108:F108" si="103">SUM(D102:D107)</f>
        <v>0</v>
      </c>
      <c r="E108" s="29">
        <f t="shared" si="103"/>
        <v>-37487757.953703716</v>
      </c>
      <c r="F108" s="29">
        <f t="shared" si="103"/>
        <v>-27876144.997406568</v>
      </c>
      <c r="G108" s="29">
        <f t="shared" ref="G108:L108" si="104">SUM(G102:G107)</f>
        <v>5123367983.2113113</v>
      </c>
      <c r="H108" s="68"/>
      <c r="I108" s="29">
        <f t="shared" ref="I108:J108" si="105">SUM(I102:I107)</f>
        <v>5035524272.2724276</v>
      </c>
      <c r="J108" s="29">
        <f t="shared" si="105"/>
        <v>131823622.98079735</v>
      </c>
      <c r="K108" s="29">
        <f>SUM(K102:K107)</f>
        <v>127154741.45460632</v>
      </c>
      <c r="L108" s="29">
        <f t="shared" si="104"/>
        <v>0</v>
      </c>
      <c r="M108" s="29">
        <f>SUM(M102:M107)</f>
        <v>5294502636.7078314</v>
      </c>
      <c r="P108" s="114">
        <v>5183700076.5187798</v>
      </c>
      <c r="Q108" s="114">
        <v>0</v>
      </c>
      <c r="R108" s="114">
        <v>-36189502.155958131</v>
      </c>
      <c r="S108" s="114">
        <v>-27876144.997406568</v>
      </c>
      <c r="T108" s="114">
        <v>5119634429.3654156</v>
      </c>
      <c r="U108" s="110"/>
      <c r="V108" s="114">
        <v>5249381618.9757061</v>
      </c>
      <c r="W108" s="114">
        <v>131849643.90651254</v>
      </c>
      <c r="X108" s="114">
        <v>127151066.91548051</v>
      </c>
      <c r="Y108" s="114">
        <v>0</v>
      </c>
      <c r="Z108" s="114">
        <v>5508382329.797699</v>
      </c>
      <c r="AB108" s="114">
        <f t="shared" si="66"/>
        <v>5031809.6436424255</v>
      </c>
      <c r="AC108" s="114">
        <f t="shared" si="67"/>
        <v>0</v>
      </c>
      <c r="AD108" s="114">
        <f t="shared" si="68"/>
        <v>-1298255.7977455854</v>
      </c>
      <c r="AE108" s="114">
        <f t="shared" si="69"/>
        <v>0</v>
      </c>
      <c r="AF108" s="114">
        <f t="shared" si="70"/>
        <v>3733553.8458957672</v>
      </c>
      <c r="AG108" s="110">
        <f t="shared" si="71"/>
        <v>0</v>
      </c>
      <c r="AH108" s="114">
        <f t="shared" si="72"/>
        <v>-213857346.70327854</v>
      </c>
      <c r="AI108" s="114">
        <f t="shared" si="73"/>
        <v>-26020.925715193152</v>
      </c>
      <c r="AJ108" s="114">
        <f t="shared" si="74"/>
        <v>3674.5391258150339</v>
      </c>
      <c r="AK108" s="114">
        <f t="shared" si="75"/>
        <v>0</v>
      </c>
      <c r="AL108" s="114">
        <f t="shared" si="76"/>
        <v>-213879693.08986759</v>
      </c>
    </row>
    <row r="109" spans="1:38" ht="15.75" thickTop="1" x14ac:dyDescent="0.25">
      <c r="A109" s="4" t="str">
        <f>IF(ISBLANK(B109),"",MAX(A$6:A108)+1)</f>
        <v/>
      </c>
      <c r="B109" s="115"/>
      <c r="C109" s="27"/>
      <c r="D109" s="27"/>
      <c r="E109" s="27"/>
      <c r="F109" s="27"/>
      <c r="G109" s="27"/>
      <c r="I109" s="27"/>
      <c r="J109" s="27"/>
      <c r="K109" s="27"/>
      <c r="L109" s="27"/>
      <c r="M109" s="27"/>
    </row>
    <row r="110" spans="1:38" x14ac:dyDescent="0.25">
      <c r="A110" s="4">
        <f>IF(ISBLANK(B110),"",MAX(A$6:A109)+1)</f>
        <v>87</v>
      </c>
      <c r="B110" s="80" t="s">
        <v>66</v>
      </c>
      <c r="C110" s="54"/>
      <c r="D110" s="54"/>
      <c r="E110" s="54"/>
      <c r="F110" s="54"/>
      <c r="G110" s="54"/>
      <c r="I110" s="54"/>
      <c r="J110" s="54"/>
      <c r="K110" s="54"/>
      <c r="L110" s="54"/>
      <c r="M110" s="54">
        <f>'[7]COC, Def, ConvF'!$H$14</f>
        <v>7.3300000000000004E-2</v>
      </c>
    </row>
    <row r="111" spans="1:38" x14ac:dyDescent="0.25">
      <c r="A111" s="4">
        <f>IF(ISBLANK(B111),"",MAX(A$6:A110)+1)</f>
        <v>88</v>
      </c>
      <c r="B111" s="80" t="s">
        <v>67</v>
      </c>
      <c r="C111" s="55"/>
      <c r="D111" s="55"/>
      <c r="E111" s="55"/>
      <c r="F111" s="55"/>
      <c r="G111" s="55"/>
      <c r="I111" s="55"/>
      <c r="J111" s="55"/>
      <c r="K111" s="55"/>
      <c r="L111" s="55"/>
      <c r="M111" s="55">
        <f>M54*M110</f>
        <v>388087043.270684</v>
      </c>
    </row>
    <row r="112" spans="1:38" x14ac:dyDescent="0.25">
      <c r="A112" s="4">
        <f>IF(ISBLANK(B112),"",MAX(A$6:A111)+1)</f>
        <v>89</v>
      </c>
      <c r="B112" s="80" t="s">
        <v>68</v>
      </c>
      <c r="C112" s="55"/>
      <c r="D112" s="55"/>
      <c r="E112" s="55"/>
      <c r="F112" s="55"/>
      <c r="G112" s="55"/>
      <c r="I112" s="55"/>
      <c r="J112" s="55"/>
      <c r="K112" s="55"/>
      <c r="L112" s="55"/>
      <c r="M112" s="55">
        <f>M111-M40</f>
        <v>21401126.160244703</v>
      </c>
    </row>
    <row r="113" spans="1:13" x14ac:dyDescent="0.25">
      <c r="A113" s="4">
        <f>IF(ISBLANK(B113),"",MAX(A$6:A112)+1)</f>
        <v>90</v>
      </c>
      <c r="B113" s="80" t="s">
        <v>69</v>
      </c>
      <c r="C113" s="41"/>
      <c r="D113" s="41"/>
      <c r="E113" s="41"/>
      <c r="F113" s="41"/>
      <c r="G113" s="41"/>
      <c r="I113" s="41"/>
      <c r="J113" s="41"/>
      <c r="K113" s="41"/>
      <c r="L113" s="41"/>
      <c r="M113" s="59">
        <f>'[7]COC, Def, ConvF'!$M$20</f>
        <v>0.75138099999999997</v>
      </c>
    </row>
    <row r="114" spans="1:13" x14ac:dyDescent="0.25">
      <c r="A114" s="4">
        <f>IF(ISBLANK(B114),"",MAX(A$6:A113)+1)</f>
        <v>91</v>
      </c>
      <c r="B114" s="80" t="s">
        <v>70</v>
      </c>
      <c r="C114" s="55"/>
      <c r="D114" s="55"/>
      <c r="E114" s="55"/>
      <c r="F114" s="55"/>
      <c r="G114" s="55"/>
      <c r="I114" s="55"/>
      <c r="J114" s="55"/>
      <c r="K114" s="55"/>
      <c r="L114" s="55"/>
      <c r="M114" s="55">
        <f>M112/M113</f>
        <v>28482389.30748143</v>
      </c>
    </row>
    <row r="115" spans="1:13" x14ac:dyDescent="0.25">
      <c r="A115" s="4">
        <f>IF(ISBLANK(B115),"",MAX(A$6:A114)+1)</f>
        <v>92</v>
      </c>
      <c r="B115" s="80" t="s">
        <v>71</v>
      </c>
      <c r="C115" s="55"/>
      <c r="D115" s="55"/>
      <c r="E115" s="55"/>
      <c r="F115" s="55"/>
      <c r="G115" s="55"/>
      <c r="I115" s="55"/>
      <c r="J115" s="55"/>
      <c r="K115" s="55"/>
      <c r="L115" s="55"/>
      <c r="M115" s="41">
        <f>1+H12</f>
        <v>1.0145256817651864</v>
      </c>
    </row>
    <row r="116" spans="1:13" x14ac:dyDescent="0.25">
      <c r="A116" s="4">
        <f>IF(ISBLANK(B116),"",MAX(A$6:A115)+1)</f>
        <v>93</v>
      </c>
      <c r="B116" s="80" t="s">
        <v>72</v>
      </c>
      <c r="C116" s="55"/>
      <c r="D116" s="55"/>
      <c r="E116" s="55"/>
      <c r="F116" s="55"/>
      <c r="G116" s="55"/>
      <c r="I116" s="55"/>
      <c r="J116" s="55"/>
      <c r="K116" s="55"/>
      <c r="L116" s="55"/>
      <c r="M116" s="55">
        <f>M114/M115</f>
        <v>28074586.794022355</v>
      </c>
    </row>
    <row r="123" spans="1:13" x14ac:dyDescent="0.25">
      <c r="C123" s="22"/>
      <c r="D123" s="22"/>
      <c r="E123" s="22"/>
      <c r="F123" s="22"/>
      <c r="G123" s="22"/>
      <c r="I123" s="22"/>
      <c r="J123" s="22"/>
      <c r="K123" s="22"/>
      <c r="L123" s="22"/>
    </row>
  </sheetData>
  <printOptions horizontalCentered="1"/>
  <pageMargins left="0.2" right="0.2" top="0.72" bottom="0.5" header="0.2" footer="0.2"/>
  <pageSetup scale="56" fitToWidth="2" fitToHeight="2" orientation="landscape" horizontalDpi="1200" verticalDpi="1200" r:id="rId1"/>
  <headerFooter>
    <oddHeader xml:space="preserve">&amp;R&amp;"Times New Roman,Regular"Exh. JL-19
Dockets UE 190529 / UG-190530 and 
UE-190274 / UG-190275 (consol.)
Page &amp;P of &amp;N 
&amp;"-,Regular"
</oddHeader>
  </headerFooter>
  <rowBreaks count="1" manualBreakCount="1">
    <brk id="57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131"/>
  <sheetViews>
    <sheetView tabSelected="1" zoomScale="85" zoomScaleNormal="85" workbookViewId="0">
      <pane xSplit="2" ySplit="6" topLeftCell="C7" activePane="bottomRight" state="frozen"/>
      <selection activeCell="I101" sqref="I101"/>
      <selection pane="topRight" activeCell="I101" sqref="I101"/>
      <selection pane="bottomLeft" activeCell="I101" sqref="I101"/>
      <selection pane="bottomRight" activeCell="I64" sqref="I64"/>
    </sheetView>
  </sheetViews>
  <sheetFormatPr defaultColWidth="8.7109375" defaultRowHeight="15" outlineLevelRow="1" x14ac:dyDescent="0.25"/>
  <cols>
    <col min="1" max="1" width="4.85546875" style="42" bestFit="1" customWidth="1"/>
    <col min="2" max="2" width="40.85546875" style="42" bestFit="1" customWidth="1"/>
    <col min="3" max="3" width="17.85546875" style="42" bestFit="1" customWidth="1"/>
    <col min="4" max="6" width="13.42578125" style="42" bestFit="1" customWidth="1"/>
    <col min="7" max="7" width="16" style="42" bestFit="1" customWidth="1"/>
    <col min="8" max="8" width="9.85546875" style="46" bestFit="1" customWidth="1"/>
    <col min="9" max="9" width="16" style="42" bestFit="1" customWidth="1"/>
    <col min="10" max="10" width="13.7109375" style="42" bestFit="1" customWidth="1"/>
    <col min="11" max="11" width="14.7109375" style="42" bestFit="1" customWidth="1"/>
    <col min="12" max="12" width="13.42578125" style="42" bestFit="1" customWidth="1"/>
    <col min="13" max="13" width="22.42578125" style="42" bestFit="1" customWidth="1"/>
    <col min="14" max="14" width="16" style="116" hidden="1" customWidth="1"/>
    <col min="15" max="15" width="19.140625" style="116" hidden="1" customWidth="1"/>
    <col min="16" max="16384" width="8.7109375" style="42"/>
  </cols>
  <sheetData>
    <row r="1" spans="1:15" outlineLevel="1" x14ac:dyDescent="0.25">
      <c r="A1" s="23"/>
    </row>
    <row r="2" spans="1:15" outlineLevel="1" x14ac:dyDescent="0.25">
      <c r="A2" s="23"/>
    </row>
    <row r="3" spans="1:15" outlineLevel="1" x14ac:dyDescent="0.25">
      <c r="N3" s="117" t="s">
        <v>119</v>
      </c>
    </row>
    <row r="4" spans="1:15" x14ac:dyDescent="0.25">
      <c r="A4" s="23" t="s">
        <v>114</v>
      </c>
      <c r="B4" s="1"/>
      <c r="C4" s="56" t="s">
        <v>2</v>
      </c>
      <c r="D4" s="56"/>
      <c r="E4" s="56"/>
      <c r="F4" s="56"/>
      <c r="G4" s="56"/>
      <c r="I4" s="118" t="s">
        <v>91</v>
      </c>
      <c r="J4" s="118"/>
      <c r="K4" s="118"/>
      <c r="L4" s="118"/>
      <c r="M4" s="118"/>
      <c r="N4" s="117" t="s">
        <v>120</v>
      </c>
    </row>
    <row r="5" spans="1:15" ht="30" x14ac:dyDescent="0.25">
      <c r="A5" s="30" t="s">
        <v>105</v>
      </c>
      <c r="B5" s="2"/>
      <c r="C5" s="30" t="s">
        <v>110</v>
      </c>
      <c r="D5" s="30" t="s">
        <v>90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90</v>
      </c>
      <c r="K5" s="30" t="s">
        <v>5</v>
      </c>
      <c r="L5" s="30" t="s">
        <v>6</v>
      </c>
      <c r="M5" s="30" t="s">
        <v>109</v>
      </c>
      <c r="N5" s="81" t="s">
        <v>117</v>
      </c>
      <c r="O5" s="81" t="s">
        <v>118</v>
      </c>
    </row>
    <row r="6" spans="1:15" x14ac:dyDescent="0.25">
      <c r="A6" s="3"/>
      <c r="B6" s="3"/>
      <c r="C6" s="119" t="s">
        <v>94</v>
      </c>
      <c r="D6" s="119" t="s">
        <v>95</v>
      </c>
      <c r="E6" s="119" t="s">
        <v>96</v>
      </c>
      <c r="F6" s="119" t="s">
        <v>99</v>
      </c>
      <c r="G6" s="24" t="s">
        <v>107</v>
      </c>
      <c r="H6" s="64" t="s">
        <v>100</v>
      </c>
      <c r="I6" s="119" t="s">
        <v>93</v>
      </c>
      <c r="J6" s="119" t="s">
        <v>101</v>
      </c>
      <c r="K6" s="119" t="s">
        <v>102</v>
      </c>
      <c r="L6" s="119" t="s">
        <v>103</v>
      </c>
      <c r="M6" s="24" t="s">
        <v>111</v>
      </c>
    </row>
    <row r="7" spans="1:15" x14ac:dyDescent="0.25">
      <c r="A7" s="4">
        <f>IF(ISBLANK(B7),"",MAX(A$6:A6)+1)</f>
        <v>1</v>
      </c>
      <c r="B7" s="5" t="s">
        <v>11</v>
      </c>
    </row>
    <row r="8" spans="1:15" x14ac:dyDescent="0.25">
      <c r="A8" s="4">
        <f>IF(ISBLANK(B8),"",MAX(A$6:A7)+1)</f>
        <v>2</v>
      </c>
      <c r="B8" s="42" t="s">
        <v>12</v>
      </c>
      <c r="C8" s="83">
        <f>'[1]Exh p2'!N14</f>
        <v>434025682.80989444</v>
      </c>
      <c r="D8" s="83"/>
      <c r="E8" s="83"/>
      <c r="F8" s="83"/>
      <c r="G8" s="83">
        <f>SUM(C8:F8)</f>
        <v>434025682.80989444</v>
      </c>
      <c r="H8" s="62"/>
      <c r="I8" s="83">
        <f>'[8]Exh. JAP-17 Pg. 1'!$F$53</f>
        <v>448235286.15228266</v>
      </c>
      <c r="J8" s="83"/>
      <c r="K8" s="83"/>
      <c r="L8" s="83"/>
      <c r="M8" s="83">
        <f>SUM(I8:L8)</f>
        <v>448235286.15228266</v>
      </c>
    </row>
    <row r="9" spans="1:15" x14ac:dyDescent="0.25">
      <c r="A9" s="4">
        <f>IF(ISBLANK(B9),"",MAX(A$6:A8)+1)</f>
        <v>3</v>
      </c>
      <c r="B9" s="42" t="s">
        <v>76</v>
      </c>
      <c r="C9" s="31">
        <f>'[1]Exh p2'!N15</f>
        <v>0</v>
      </c>
      <c r="D9" s="31"/>
      <c r="E9" s="31"/>
      <c r="F9" s="31"/>
      <c r="G9" s="31">
        <f>SUM(C9:F9)</f>
        <v>0</v>
      </c>
      <c r="H9" s="65"/>
      <c r="I9" s="31">
        <f>G9*(1+H9)^(28/12)</f>
        <v>0</v>
      </c>
      <c r="J9" s="31"/>
      <c r="K9" s="31"/>
      <c r="L9" s="31"/>
      <c r="M9" s="31">
        <f>SUM(I9:L9)</f>
        <v>0</v>
      </c>
    </row>
    <row r="10" spans="1:15" x14ac:dyDescent="0.25">
      <c r="A10" s="4">
        <f>IF(ISBLANK(B10),"",MAX(A$6:A9)+1)</f>
        <v>4</v>
      </c>
      <c r="B10" s="42" t="s">
        <v>15</v>
      </c>
      <c r="C10" s="32">
        <f>'[1]Exh p2'!N16</f>
        <v>14089923.029999997</v>
      </c>
      <c r="D10" s="32"/>
      <c r="E10" s="32"/>
      <c r="F10" s="32"/>
      <c r="G10" s="32">
        <f>SUM(C10:F10)</f>
        <v>14089923.029999997</v>
      </c>
      <c r="H10" s="65">
        <f>[3]Gas_Sales!D30</f>
        <v>2.5999649153138904E-2</v>
      </c>
      <c r="I10" s="32">
        <f>G10*(1+H10)^(28/12)</f>
        <v>14959558.713321999</v>
      </c>
      <c r="J10" s="32"/>
      <c r="K10" s="32"/>
      <c r="L10" s="32"/>
      <c r="M10" s="32">
        <f>SUM(I10:L10)</f>
        <v>14959558.713321999</v>
      </c>
    </row>
    <row r="11" spans="1:15" x14ac:dyDescent="0.25">
      <c r="A11" s="4">
        <f>IF(ISBLANK(B11),"",MAX(A$6:A10)+1)</f>
        <v>5</v>
      </c>
      <c r="B11" s="42" t="s">
        <v>16</v>
      </c>
      <c r="C11" s="131">
        <f>SUM(C8:C10)</f>
        <v>448115605.83989441</v>
      </c>
      <c r="D11" s="131">
        <f>SUM(D8:D10)</f>
        <v>0</v>
      </c>
      <c r="E11" s="131">
        <f>SUM(E8:E10)</f>
        <v>0</v>
      </c>
      <c r="F11" s="131">
        <f t="shared" ref="F11" si="0">SUM(F8:F10)</f>
        <v>0</v>
      </c>
      <c r="G11" s="33">
        <f t="shared" ref="G11" si="1">SUM(G8:G10)</f>
        <v>448115605.83989441</v>
      </c>
      <c r="H11" s="66">
        <f>(I11/G11)^(12/28)-1</f>
        <v>1.4285308838561939E-2</v>
      </c>
      <c r="I11" s="131">
        <f>SUM(I8:I10)</f>
        <v>463194844.86560464</v>
      </c>
      <c r="J11" s="131">
        <f>SUM(J8:J10)</f>
        <v>0</v>
      </c>
      <c r="K11" s="131">
        <f>SUM(K8:K10)</f>
        <v>0</v>
      </c>
      <c r="L11" s="131">
        <f>SUM(L8:L10)</f>
        <v>0</v>
      </c>
      <c r="M11" s="33">
        <f>SUM(M8:M10)</f>
        <v>463194844.86560464</v>
      </c>
    </row>
    <row r="12" spans="1:15" x14ac:dyDescent="0.25">
      <c r="A12" s="4" t="str">
        <f>IF(ISBLANK(B12),"",MAX(A$6:A11)+1)</f>
        <v/>
      </c>
      <c r="C12" s="3"/>
      <c r="D12" s="3"/>
      <c r="E12" s="3"/>
      <c r="F12" s="3"/>
      <c r="G12" s="3"/>
      <c r="H12" s="45"/>
      <c r="I12" s="3"/>
      <c r="J12" s="3"/>
      <c r="K12" s="3"/>
      <c r="L12" s="3"/>
      <c r="M12" s="3"/>
    </row>
    <row r="13" spans="1:15" x14ac:dyDescent="0.25">
      <c r="A13" s="4" t="str">
        <f>IF(ISBLANK(B13),"",MAX(A$6:A12)+1)</f>
        <v/>
      </c>
      <c r="C13" s="13"/>
      <c r="D13" s="13"/>
      <c r="E13" s="13"/>
      <c r="F13" s="13"/>
      <c r="G13" s="13"/>
      <c r="H13" s="45"/>
      <c r="I13" s="13"/>
      <c r="J13" s="13"/>
      <c r="K13" s="13"/>
      <c r="L13" s="13"/>
      <c r="M13" s="13"/>
    </row>
    <row r="14" spans="1:15" x14ac:dyDescent="0.25">
      <c r="A14" s="4">
        <f>IF(ISBLANK(B14),"",MAX(A$6:A13)+1)</f>
        <v>6</v>
      </c>
      <c r="B14" s="42" t="s">
        <v>17</v>
      </c>
      <c r="C14" s="13"/>
      <c r="D14" s="13"/>
      <c r="E14" s="13"/>
      <c r="F14" s="13"/>
      <c r="G14" s="13"/>
      <c r="H14" s="45"/>
      <c r="I14" s="13"/>
      <c r="J14" s="13"/>
      <c r="K14" s="13"/>
      <c r="L14" s="13"/>
      <c r="M14" s="13"/>
    </row>
    <row r="15" spans="1:15" x14ac:dyDescent="0.25">
      <c r="A15" s="4" t="str">
        <f>IF(ISBLANK(B15),"",MAX(A$6:A14)+1)</f>
        <v/>
      </c>
      <c r="C15" s="13"/>
      <c r="D15" s="13"/>
      <c r="E15" s="13"/>
      <c r="F15" s="13"/>
      <c r="G15" s="13"/>
      <c r="H15" s="45"/>
      <c r="I15" s="13"/>
      <c r="J15" s="13"/>
      <c r="K15" s="13"/>
      <c r="L15" s="13"/>
      <c r="M15" s="13"/>
    </row>
    <row r="16" spans="1:15" x14ac:dyDescent="0.25">
      <c r="A16" s="4">
        <f>IF(ISBLANK(B16),"",MAX(A$6:A15)+1)</f>
        <v>7</v>
      </c>
      <c r="B16" s="42" t="s">
        <v>77</v>
      </c>
      <c r="C16" s="13"/>
      <c r="D16" s="13"/>
      <c r="E16" s="13"/>
      <c r="F16" s="13"/>
      <c r="G16" s="13"/>
      <c r="H16" s="45"/>
      <c r="I16" s="13"/>
      <c r="J16" s="13"/>
      <c r="K16" s="13"/>
      <c r="L16" s="13"/>
      <c r="M16" s="13"/>
    </row>
    <row r="17" spans="1:15" x14ac:dyDescent="0.25">
      <c r="A17" s="4" t="str">
        <f>IF(ISBLANK(B17),"",MAX(A$6:A16)+1)</f>
        <v/>
      </c>
      <c r="C17" s="31"/>
      <c r="D17" s="31"/>
      <c r="E17" s="31"/>
      <c r="F17" s="31"/>
      <c r="G17" s="31"/>
      <c r="H17" s="45"/>
      <c r="I17" s="31"/>
      <c r="J17" s="31"/>
      <c r="K17" s="31"/>
      <c r="L17" s="31"/>
      <c r="M17" s="31"/>
    </row>
    <row r="18" spans="1:15" x14ac:dyDescent="0.25">
      <c r="A18" s="4">
        <f>IF(ISBLANK(B18),"",MAX(A$6:A17)+1)</f>
        <v>8</v>
      </c>
      <c r="B18" s="42" t="s">
        <v>78</v>
      </c>
      <c r="C18" s="83">
        <f>'[1]Exh p2'!N24</f>
        <v>0</v>
      </c>
      <c r="D18" s="83"/>
      <c r="E18" s="83"/>
      <c r="F18" s="83"/>
      <c r="G18" s="83">
        <f>SUM(C18:F18)</f>
        <v>0</v>
      </c>
      <c r="H18" s="65"/>
      <c r="I18" s="83">
        <f>G18*(1+H18)^2</f>
        <v>0</v>
      </c>
      <c r="J18" s="83"/>
      <c r="K18" s="83"/>
      <c r="L18" s="83"/>
      <c r="M18" s="83">
        <f>SUM(I18:L18)</f>
        <v>0</v>
      </c>
    </row>
    <row r="19" spans="1:15" x14ac:dyDescent="0.25">
      <c r="A19" s="4" t="str">
        <f>IF(ISBLANK(B19),"",MAX(A$6:A18)+1)</f>
        <v/>
      </c>
      <c r="C19" s="31"/>
      <c r="D19" s="31"/>
      <c r="E19" s="31"/>
      <c r="F19" s="31"/>
      <c r="G19" s="31"/>
      <c r="H19" s="45"/>
      <c r="I19" s="31"/>
      <c r="J19" s="31"/>
      <c r="K19" s="31"/>
      <c r="L19" s="31"/>
      <c r="M19" s="31"/>
      <c r="N19" s="120">
        <v>6881948</v>
      </c>
      <c r="O19" s="116" t="s">
        <v>115</v>
      </c>
    </row>
    <row r="20" spans="1:15" x14ac:dyDescent="0.25">
      <c r="A20" s="4">
        <f>IF(ISBLANK(B20),"",MAX(A$6:A19)+1)</f>
        <v>9</v>
      </c>
      <c r="B20" s="42" t="s">
        <v>23</v>
      </c>
      <c r="C20" s="132">
        <f>C18</f>
        <v>0</v>
      </c>
      <c r="D20" s="132">
        <f>D18</f>
        <v>0</v>
      </c>
      <c r="E20" s="132">
        <f>E18</f>
        <v>0</v>
      </c>
      <c r="F20" s="132">
        <f t="shared" ref="F20" si="2">F18</f>
        <v>0</v>
      </c>
      <c r="G20" s="15">
        <f t="shared" ref="G20:M20" si="3">G18</f>
        <v>0</v>
      </c>
      <c r="H20" s="45"/>
      <c r="I20" s="132">
        <f t="shared" ref="I20:L20" si="4">I18</f>
        <v>0</v>
      </c>
      <c r="J20" s="132">
        <f>J18</f>
        <v>0</v>
      </c>
      <c r="K20" s="132">
        <f>K18</f>
        <v>0</v>
      </c>
      <c r="L20" s="132">
        <f t="shared" si="4"/>
        <v>0</v>
      </c>
      <c r="M20" s="15">
        <f t="shared" si="3"/>
        <v>0</v>
      </c>
      <c r="N20" s="120">
        <v>2111</v>
      </c>
      <c r="O20" s="116" t="s">
        <v>115</v>
      </c>
    </row>
    <row r="21" spans="1:15" x14ac:dyDescent="0.25">
      <c r="A21" s="4" t="str">
        <f>IF(ISBLANK(B21),"",MAX(A$6:A20)+1)</f>
        <v/>
      </c>
      <c r="C21" s="121"/>
      <c r="D21" s="121"/>
      <c r="E21" s="121"/>
      <c r="F21" s="121"/>
      <c r="G21" s="121"/>
      <c r="H21" s="45"/>
      <c r="I21" s="121"/>
      <c r="J21" s="121"/>
      <c r="K21" s="121"/>
      <c r="L21" s="121"/>
      <c r="M21" s="121"/>
      <c r="N21" s="120">
        <v>62023320</v>
      </c>
      <c r="O21" s="116" t="s">
        <v>115</v>
      </c>
    </row>
    <row r="22" spans="1:15" x14ac:dyDescent="0.25">
      <c r="A22" s="4">
        <f>IF(ISBLANK(B22),"",MAX(A$6:A21)+1)</f>
        <v>10</v>
      </c>
      <c r="B22" s="42" t="s">
        <v>24</v>
      </c>
      <c r="C22" s="83">
        <f>'[1]Exh p2'!N27</f>
        <v>6059691.3113986636</v>
      </c>
      <c r="D22" s="83"/>
      <c r="E22" s="83"/>
      <c r="F22" s="83"/>
      <c r="G22" s="83">
        <f t="shared" ref="G22:G35" si="5">SUM(C22:F22)</f>
        <v>6059691.3113986636</v>
      </c>
      <c r="H22" s="66">
        <f>[3]Gas_OMDetail!D30</f>
        <v>5.5920238063720262E-2</v>
      </c>
      <c r="I22" s="83">
        <f t="shared" ref="I22:I33" si="6">G22*(1+H22)^(28/12)</f>
        <v>6880021.0446669934</v>
      </c>
      <c r="J22" s="83"/>
      <c r="K22" s="83"/>
      <c r="L22" s="83"/>
      <c r="M22" s="83">
        <f t="shared" ref="M22:M33" si="7">SUM(I22:L22)</f>
        <v>6880021.0446669934</v>
      </c>
      <c r="N22" s="120">
        <v>28873402</v>
      </c>
      <c r="O22" s="122" t="s">
        <v>115</v>
      </c>
    </row>
    <row r="23" spans="1:15" x14ac:dyDescent="0.25">
      <c r="A23" s="4">
        <f>IF(ISBLANK(B23),"",MAX(A$6:A22)+1)</f>
        <v>11</v>
      </c>
      <c r="B23" s="42" t="s">
        <v>25</v>
      </c>
      <c r="C23" s="31">
        <f>'[1]Exh p2'!N28</f>
        <v>2110.77</v>
      </c>
      <c r="D23" s="31"/>
      <c r="E23" s="31"/>
      <c r="F23" s="31"/>
      <c r="G23" s="31">
        <f t="shared" si="5"/>
        <v>2110.77</v>
      </c>
      <c r="H23" s="66"/>
      <c r="I23" s="31">
        <f t="shared" si="6"/>
        <v>2110.77</v>
      </c>
      <c r="J23" s="31"/>
      <c r="K23" s="31"/>
      <c r="L23" s="31"/>
      <c r="M23" s="31">
        <f t="shared" si="7"/>
        <v>2110.77</v>
      </c>
      <c r="N23" s="120">
        <v>1808553</v>
      </c>
      <c r="O23" s="122" t="s">
        <v>115</v>
      </c>
    </row>
    <row r="24" spans="1:15" x14ac:dyDescent="0.25">
      <c r="A24" s="4">
        <f>IF(ISBLANK(B24),"",MAX(A$6:A23)+1)</f>
        <v>12</v>
      </c>
      <c r="B24" s="42" t="s">
        <v>26</v>
      </c>
      <c r="C24" s="31">
        <f>'[1]Exh p2'!N29</f>
        <v>60697625.368441522</v>
      </c>
      <c r="D24" s="31"/>
      <c r="E24" s="31"/>
      <c r="F24" s="31"/>
      <c r="G24" s="31">
        <f t="shared" si="5"/>
        <v>60697625.368441522</v>
      </c>
      <c r="H24" s="66">
        <f>[3]Gas_OMDetail!D85</f>
        <v>9.3026586584459281E-3</v>
      </c>
      <c r="I24" s="31">
        <f t="shared" si="6"/>
        <v>62023319.739795186</v>
      </c>
      <c r="J24" s="31"/>
      <c r="K24" s="31"/>
      <c r="L24" s="31"/>
      <c r="M24" s="31">
        <f t="shared" si="7"/>
        <v>62023319.739795186</v>
      </c>
      <c r="N24" s="122" t="s">
        <v>116</v>
      </c>
      <c r="O24" s="122" t="s">
        <v>115</v>
      </c>
    </row>
    <row r="25" spans="1:15" x14ac:dyDescent="0.25">
      <c r="A25" s="4">
        <f>IF(ISBLANK(B25),"",MAX(A$6:A24)+1)</f>
        <v>13</v>
      </c>
      <c r="B25" s="42" t="s">
        <v>27</v>
      </c>
      <c r="C25" s="31">
        <f>'[1]Exh p2'!N30</f>
        <v>28150070.898589186</v>
      </c>
      <c r="D25" s="31"/>
      <c r="E25" s="31"/>
      <c r="F25" s="31"/>
      <c r="G25" s="31">
        <f t="shared" si="5"/>
        <v>28150070.898589186</v>
      </c>
      <c r="H25" s="66">
        <f>'[3]G_Cust Account'!C19</f>
        <v>7.834163344253825E-3</v>
      </c>
      <c r="I25" s="31">
        <f t="shared" si="6"/>
        <v>28667336.004339334</v>
      </c>
      <c r="J25" s="31"/>
      <c r="K25" s="31"/>
      <c r="L25" s="31"/>
      <c r="M25" s="31">
        <f t="shared" si="7"/>
        <v>28667336.004339334</v>
      </c>
      <c r="N25" s="120">
        <v>61926366</v>
      </c>
      <c r="O25" s="122" t="s">
        <v>115</v>
      </c>
    </row>
    <row r="26" spans="1:15" x14ac:dyDescent="0.25">
      <c r="A26" s="4">
        <f>IF(ISBLANK(B26),"",MAX(A$6:A25)+1)</f>
        <v>14</v>
      </c>
      <c r="B26" s="42" t="s">
        <v>28</v>
      </c>
      <c r="C26" s="31">
        <f>'[1]Exh p2'!N31</f>
        <v>1763236.0746447137</v>
      </c>
      <c r="D26" s="31"/>
      <c r="E26" s="31"/>
      <c r="F26" s="31"/>
      <c r="G26" s="31">
        <f t="shared" si="5"/>
        <v>1763236.0746447137</v>
      </c>
      <c r="H26" s="66">
        <f>'[3]G_Cust Service'!C19</f>
        <v>2.3153290781600555E-2</v>
      </c>
      <c r="I26" s="31">
        <f t="shared" si="6"/>
        <v>1859967.869481713</v>
      </c>
      <c r="J26" s="31"/>
      <c r="K26" s="31"/>
      <c r="L26" s="31"/>
      <c r="M26" s="31">
        <f t="shared" si="7"/>
        <v>1859967.869481713</v>
      </c>
      <c r="N26" s="120">
        <v>135112553</v>
      </c>
      <c r="O26" s="122" t="s">
        <v>115</v>
      </c>
    </row>
    <row r="27" spans="1:15" x14ac:dyDescent="0.25">
      <c r="A27" s="4">
        <f>IF(ISBLANK(B27),"",MAX(A$6:A26)+1)</f>
        <v>15</v>
      </c>
      <c r="B27" s="42" t="s">
        <v>29</v>
      </c>
      <c r="C27" s="31">
        <f>'[1]Exh p2'!N32</f>
        <v>0</v>
      </c>
      <c r="D27" s="31"/>
      <c r="E27" s="31"/>
      <c r="F27" s="31"/>
      <c r="G27" s="31">
        <f t="shared" si="5"/>
        <v>0</v>
      </c>
      <c r="H27" s="66"/>
      <c r="I27" s="31">
        <f t="shared" si="6"/>
        <v>0</v>
      </c>
      <c r="J27" s="31"/>
      <c r="K27" s="31"/>
      <c r="L27" s="31"/>
      <c r="M27" s="31">
        <f t="shared" si="7"/>
        <v>0</v>
      </c>
      <c r="N27" s="120">
        <v>39655706</v>
      </c>
      <c r="O27" s="122" t="s">
        <v>115</v>
      </c>
    </row>
    <row r="28" spans="1:15" x14ac:dyDescent="0.25">
      <c r="A28" s="4">
        <f>IF(ISBLANK(B28),"",MAX(A$6:A27)+1)</f>
        <v>16</v>
      </c>
      <c r="B28" s="42" t="s">
        <v>30</v>
      </c>
      <c r="C28" s="31">
        <f>'[1]Exh p2'!N33</f>
        <v>59028745.442951232</v>
      </c>
      <c r="D28" s="31"/>
      <c r="E28" s="31"/>
      <c r="F28" s="31"/>
      <c r="G28" s="31">
        <f t="shared" si="5"/>
        <v>59028745.442951232</v>
      </c>
      <c r="H28" s="66">
        <f>[3]Gas_OMDetail!D195</f>
        <v>2.0158787434836345E-2</v>
      </c>
      <c r="I28" s="31">
        <f t="shared" si="6"/>
        <v>61842688.44066745</v>
      </c>
      <c r="J28" s="31"/>
      <c r="K28" s="31"/>
      <c r="L28" s="31"/>
      <c r="M28" s="31">
        <f t="shared" si="7"/>
        <v>61842688.44066745</v>
      </c>
      <c r="N28" s="122" t="s">
        <v>116</v>
      </c>
      <c r="O28" s="122" t="s">
        <v>115</v>
      </c>
    </row>
    <row r="29" spans="1:15" x14ac:dyDescent="0.25">
      <c r="A29" s="4">
        <f>IF(ISBLANK(B29),"",MAX(A$6:A28)+1)</f>
        <v>17</v>
      </c>
      <c r="B29" s="42" t="s">
        <v>1</v>
      </c>
      <c r="C29" s="31">
        <f>'[1]Exh p2'!N34</f>
        <v>116245307.5580999</v>
      </c>
      <c r="D29" s="31">
        <f>[3]CRM!X36</f>
        <v>-2616179.6237217812</v>
      </c>
      <c r="E29" s="31">
        <f>-[3]AMI!F50</f>
        <v>-2455596.1125766858</v>
      </c>
      <c r="F29" s="31">
        <f>-'[3]GTZ Historical RB'!E65</f>
        <v>-3294178.3411877672</v>
      </c>
      <c r="G29" s="31">
        <f t="shared" si="5"/>
        <v>107879353.48061366</v>
      </c>
      <c r="H29" s="75"/>
      <c r="I29" s="31">
        <f>'[6]Gas Consol'!$K$42-I30</f>
        <v>130500613.27754354</v>
      </c>
      <c r="J29" s="31"/>
      <c r="K29" s="61" t="s">
        <v>112</v>
      </c>
      <c r="L29" s="31"/>
      <c r="M29" s="31">
        <f t="shared" si="7"/>
        <v>130500613.27754354</v>
      </c>
      <c r="N29" s="120">
        <v>9860279</v>
      </c>
      <c r="O29" s="122" t="s">
        <v>115</v>
      </c>
    </row>
    <row r="30" spans="1:15" x14ac:dyDescent="0.25">
      <c r="A30" s="4">
        <f>IF(ISBLANK(B30),"",MAX(A$6:A29)+1)</f>
        <v>18</v>
      </c>
      <c r="B30" s="42" t="s">
        <v>31</v>
      </c>
      <c r="C30" s="31">
        <f>'[1]Exh p2'!N35</f>
        <v>26117569.960000005</v>
      </c>
      <c r="D30" s="31"/>
      <c r="E30" s="31"/>
      <c r="F30" s="31"/>
      <c r="G30" s="31">
        <f t="shared" si="5"/>
        <v>26117569.960000005</v>
      </c>
      <c r="H30" s="66"/>
      <c r="I30" s="31">
        <f>SUM('[6]Gas Consol'!$J$35:$K$35,'[6]Gas Consol'!$J$40:$K$40)</f>
        <v>34854133.766985893</v>
      </c>
      <c r="J30" s="31"/>
      <c r="K30" s="31"/>
      <c r="L30" s="61" t="s">
        <v>112</v>
      </c>
      <c r="M30" s="31">
        <f t="shared" si="7"/>
        <v>34854133.766985893</v>
      </c>
      <c r="N30" s="120">
        <v>25907771</v>
      </c>
      <c r="O30" s="122" t="s">
        <v>115</v>
      </c>
    </row>
    <row r="31" spans="1:15" x14ac:dyDescent="0.25">
      <c r="A31" s="4">
        <f>IF(ISBLANK(B31),"",MAX(A$6:A30)+1)</f>
        <v>19</v>
      </c>
      <c r="B31" s="42" t="s">
        <v>79</v>
      </c>
      <c r="C31" s="31">
        <f>'[1]Exh p2'!N36</f>
        <v>0</v>
      </c>
      <c r="D31" s="31"/>
      <c r="E31" s="31"/>
      <c r="F31" s="31"/>
      <c r="G31" s="31">
        <f t="shared" si="5"/>
        <v>0</v>
      </c>
      <c r="H31" s="66"/>
      <c r="I31" s="31">
        <f t="shared" si="6"/>
        <v>0</v>
      </c>
      <c r="J31" s="31"/>
      <c r="K31" s="31"/>
      <c r="L31" s="31"/>
      <c r="M31" s="31">
        <f t="shared" si="7"/>
        <v>0</v>
      </c>
      <c r="N31" s="120">
        <v>18601041</v>
      </c>
      <c r="O31" s="122" t="s">
        <v>115</v>
      </c>
    </row>
    <row r="32" spans="1:15" x14ac:dyDescent="0.25">
      <c r="A32" s="4">
        <f>IF(ISBLANK(B32),"",MAX(A$6:A31)+1)</f>
        <v>20</v>
      </c>
      <c r="B32" s="42" t="s">
        <v>33</v>
      </c>
      <c r="C32" s="31">
        <f>'[1]Exh p2'!N37</f>
        <v>13480872.685260143</v>
      </c>
      <c r="D32" s="31"/>
      <c r="E32" s="31"/>
      <c r="F32" s="31"/>
      <c r="G32" s="31">
        <f t="shared" si="5"/>
        <v>13480872.685260143</v>
      </c>
      <c r="H32" s="66">
        <v>0</v>
      </c>
      <c r="I32" s="31">
        <f t="shared" si="6"/>
        <v>13480872.685260143</v>
      </c>
      <c r="J32" s="31"/>
      <c r="K32" s="31"/>
      <c r="L32" s="31"/>
      <c r="M32" s="31">
        <f t="shared" si="7"/>
        <v>13480872.685260143</v>
      </c>
      <c r="N32" s="120">
        <v>-19499196</v>
      </c>
      <c r="O32" s="122" t="s">
        <v>115</v>
      </c>
    </row>
    <row r="33" spans="1:15" x14ac:dyDescent="0.25">
      <c r="A33" s="4">
        <f>IF(ISBLANK(B33),"",MAX(A$6:A32)+1)</f>
        <v>21</v>
      </c>
      <c r="B33" s="42" t="s">
        <v>35</v>
      </c>
      <c r="C33" s="31">
        <f>'[1]Exh p2'!N38</f>
        <v>24101717.31928394</v>
      </c>
      <c r="D33" s="31"/>
      <c r="E33" s="31"/>
      <c r="F33" s="31"/>
      <c r="G33" s="31">
        <f t="shared" si="5"/>
        <v>24101717.31928394</v>
      </c>
      <c r="H33" s="66">
        <f>[3]Gas_TOTI!D30</f>
        <v>3.1473722098515289E-2</v>
      </c>
      <c r="I33" s="31">
        <f t="shared" si="6"/>
        <v>25908983.905639637</v>
      </c>
      <c r="J33" s="31"/>
      <c r="K33" s="31"/>
      <c r="L33" s="31"/>
      <c r="M33" s="31">
        <f t="shared" si="7"/>
        <v>25908983.905639637</v>
      </c>
      <c r="N33" s="120">
        <v>371153854</v>
      </c>
      <c r="O33" s="122" t="s">
        <v>115</v>
      </c>
    </row>
    <row r="34" spans="1:15" x14ac:dyDescent="0.25">
      <c r="A34" s="4">
        <f>IF(ISBLANK(B34),"",MAX(A$6:A33)+1)</f>
        <v>22</v>
      </c>
      <c r="B34" s="42" t="s">
        <v>36</v>
      </c>
      <c r="C34" s="31">
        <f>'[1]Exh p2'!N39</f>
        <v>4873210.4824172268</v>
      </c>
      <c r="D34" s="31"/>
      <c r="E34" s="31"/>
      <c r="F34" s="31"/>
      <c r="G34" s="31">
        <f t="shared" si="5"/>
        <v>4873210.4824172268</v>
      </c>
      <c r="H34" s="66"/>
      <c r="I34" s="31">
        <f>'[6]ETR '!$H$11+'[6]ETR '!$H$15</f>
        <v>19867752.445857201</v>
      </c>
      <c r="J34" s="31"/>
      <c r="K34" s="31"/>
      <c r="L34" s="31"/>
      <c r="M34" s="31">
        <f>I34</f>
        <v>19867752.445857201</v>
      </c>
      <c r="N34" s="122" t="s">
        <v>116</v>
      </c>
      <c r="O34" s="122" t="s">
        <v>115</v>
      </c>
    </row>
    <row r="35" spans="1:15" x14ac:dyDescent="0.25">
      <c r="A35" s="4">
        <f>IF(ISBLANK(B35),"",MAX(A$6:A34)+1)</f>
        <v>23</v>
      </c>
      <c r="B35" s="42" t="s">
        <v>37</v>
      </c>
      <c r="C35" s="32">
        <v>523320</v>
      </c>
      <c r="D35" s="32"/>
      <c r="E35" s="32"/>
      <c r="F35" s="32"/>
      <c r="G35" s="32">
        <f t="shared" si="5"/>
        <v>523320</v>
      </c>
      <c r="H35" s="66"/>
      <c r="I35" s="32">
        <f>SUM('[6]ETR '!$H$12:$H$14)</f>
        <v>-18603530.476263545</v>
      </c>
      <c r="J35" s="32"/>
      <c r="K35" s="32"/>
      <c r="L35" s="32"/>
      <c r="M35" s="32">
        <f>I35</f>
        <v>-18603530.476263545</v>
      </c>
      <c r="N35" s="120">
        <v>92040991</v>
      </c>
      <c r="O35" s="122" t="s">
        <v>115</v>
      </c>
    </row>
    <row r="36" spans="1:15" x14ac:dyDescent="0.25">
      <c r="A36" s="4">
        <f>IF(ISBLANK(B36),"",MAX(A$6:A35)+1)</f>
        <v>24</v>
      </c>
      <c r="B36" s="42" t="s">
        <v>38</v>
      </c>
      <c r="C36" s="132">
        <f>SUM(C20:C35)</f>
        <v>341043477.87108648</v>
      </c>
      <c r="D36" s="132">
        <f>SUM(D20:D35)</f>
        <v>-2616179.6237217812</v>
      </c>
      <c r="E36" s="132">
        <f>SUM(E20:E35)</f>
        <v>-2455596.1125766858</v>
      </c>
      <c r="F36" s="132">
        <f>SUM(F20:F35)</f>
        <v>-3294178.3411877672</v>
      </c>
      <c r="G36" s="15">
        <f>SUM(G20:G35)</f>
        <v>332677523.79360026</v>
      </c>
      <c r="H36" s="47"/>
      <c r="I36" s="132">
        <f t="shared" ref="I36:L36" si="8">SUM(I20:I35)</f>
        <v>367284269.47397357</v>
      </c>
      <c r="J36" s="132">
        <f t="shared" si="8"/>
        <v>0</v>
      </c>
      <c r="K36" s="132">
        <f t="shared" si="8"/>
        <v>0</v>
      </c>
      <c r="L36" s="132">
        <f t="shared" si="8"/>
        <v>0</v>
      </c>
      <c r="M36" s="15">
        <f t="shared" ref="M36" si="9">SUM(M20:M35)</f>
        <v>367284269.47397357</v>
      </c>
      <c r="N36" s="120">
        <v>91142836</v>
      </c>
      <c r="O36" s="122" t="s">
        <v>115</v>
      </c>
    </row>
    <row r="37" spans="1:15" s="71" customFormat="1" x14ac:dyDescent="0.25">
      <c r="A37" s="76" t="str">
        <f>IF(ISBLANK(B37),"",MAX(A$6:A36)+1)</f>
        <v/>
      </c>
      <c r="C37" s="78"/>
      <c r="D37" s="78"/>
      <c r="E37" s="78"/>
      <c r="F37" s="100" t="s">
        <v>121</v>
      </c>
      <c r="G37" s="78">
        <f>G22+G23+G24+G25+G26+G28</f>
        <v>155701479.86602533</v>
      </c>
      <c r="H37" s="79"/>
      <c r="I37" s="78">
        <f>I22+I23+I24+I25+I26+I28</f>
        <v>161275443.86895066</v>
      </c>
      <c r="J37" s="78"/>
      <c r="K37" s="78"/>
      <c r="L37" s="100"/>
      <c r="M37" s="78"/>
      <c r="N37" s="123">
        <v>2293103160</v>
      </c>
      <c r="O37" s="100" t="s">
        <v>115</v>
      </c>
    </row>
    <row r="38" spans="1:15" x14ac:dyDescent="0.25">
      <c r="A38" s="4">
        <f>IF(ISBLANK(B38),"",MAX(A$6:A37)+1)</f>
        <v>25</v>
      </c>
      <c r="B38" s="42" t="s">
        <v>39</v>
      </c>
      <c r="C38" s="82">
        <f>C11-C36</f>
        <v>107072127.96880794</v>
      </c>
      <c r="D38" s="82">
        <f>D11-D36</f>
        <v>2616179.6237217812</v>
      </c>
      <c r="E38" s="82">
        <f>E11-E36</f>
        <v>2455596.1125766858</v>
      </c>
      <c r="F38" s="82">
        <f>F11-F36</f>
        <v>3294178.3411877672</v>
      </c>
      <c r="G38" s="82">
        <f>G11-G36</f>
        <v>115438082.04629415</v>
      </c>
      <c r="H38" s="47"/>
      <c r="I38" s="82">
        <f>I11-I36</f>
        <v>95910575.391631067</v>
      </c>
      <c r="J38" s="82"/>
      <c r="K38" s="82"/>
      <c r="L38" s="82"/>
      <c r="M38" s="82">
        <f>M11-M36</f>
        <v>95910575.391631067</v>
      </c>
      <c r="N38" s="122" t="s">
        <v>116</v>
      </c>
      <c r="O38" s="122" t="s">
        <v>115</v>
      </c>
    </row>
    <row r="39" spans="1:15" x14ac:dyDescent="0.25">
      <c r="A39" s="4">
        <f>IF(ISBLANK(B39),"",MAX(A$6:A38)+1)</f>
        <v>26</v>
      </c>
      <c r="B39" s="42" t="s">
        <v>98</v>
      </c>
      <c r="C39" s="124">
        <f>C38+C34+C35</f>
        <v>112468658.45122516</v>
      </c>
      <c r="D39" s="124"/>
      <c r="E39" s="124"/>
      <c r="F39" s="124"/>
      <c r="G39" s="124"/>
      <c r="H39" s="47"/>
      <c r="I39" s="124"/>
      <c r="J39" s="124"/>
      <c r="K39" s="124"/>
      <c r="L39" s="124"/>
      <c r="M39" s="124">
        <f>M11-SUM(M22:M33)</f>
        <v>97174797.361224771</v>
      </c>
      <c r="N39" s="120">
        <v>0</v>
      </c>
      <c r="O39" s="122" t="s">
        <v>115</v>
      </c>
    </row>
    <row r="40" spans="1:15" x14ac:dyDescent="0.25">
      <c r="A40" s="4">
        <f>IF(ISBLANK(B40),"",MAX(A$6:A39)+1)</f>
        <v>27</v>
      </c>
      <c r="B40" s="42" t="s">
        <v>40</v>
      </c>
      <c r="C40" s="16">
        <f>C51</f>
        <v>1931978461.7002866</v>
      </c>
      <c r="D40" s="16">
        <f>D51</f>
        <v>-73516466.176427826</v>
      </c>
      <c r="E40" s="16">
        <f>E51</f>
        <v>-13642850.873609414</v>
      </c>
      <c r="F40" s="16">
        <f t="shared" ref="F40" si="10">F51</f>
        <v>-14239197.195381718</v>
      </c>
      <c r="G40" s="16">
        <f t="shared" ref="G40" si="11">G51</f>
        <v>1830579947.4548671</v>
      </c>
      <c r="H40" s="47"/>
      <c r="I40" s="16">
        <f>I51</f>
        <v>1939650485.0660014</v>
      </c>
      <c r="J40" s="16"/>
      <c r="K40" s="16"/>
      <c r="L40" s="16"/>
      <c r="M40" s="16">
        <f>M51</f>
        <v>2144494388.3272765</v>
      </c>
      <c r="N40" s="122" t="s">
        <v>116</v>
      </c>
      <c r="O40" s="122" t="s">
        <v>115</v>
      </c>
    </row>
    <row r="41" spans="1:15" x14ac:dyDescent="0.25">
      <c r="A41" s="4" t="str">
        <f>IF(ISBLANK(B41),"",MAX(A$6:A40)+1)</f>
        <v/>
      </c>
      <c r="C41" s="121"/>
      <c r="D41" s="121"/>
      <c r="E41" s="121"/>
      <c r="F41" s="121"/>
      <c r="G41" s="121"/>
      <c r="H41" s="47"/>
      <c r="I41" s="121"/>
      <c r="J41" s="121"/>
      <c r="K41" s="121"/>
      <c r="L41" s="121"/>
      <c r="M41" s="121"/>
      <c r="N41" s="122" t="s">
        <v>116</v>
      </c>
      <c r="O41" s="122" t="s">
        <v>115</v>
      </c>
    </row>
    <row r="42" spans="1:15" x14ac:dyDescent="0.25">
      <c r="A42" s="4">
        <f>IF(ISBLANK(B42),"",MAX(A$6:A41)+1)</f>
        <v>28</v>
      </c>
      <c r="B42" s="42" t="s">
        <v>41</v>
      </c>
      <c r="C42" s="18">
        <v>6.5199999999999994E-2</v>
      </c>
      <c r="D42" s="18"/>
      <c r="E42" s="18"/>
      <c r="F42" s="18"/>
      <c r="G42" s="18">
        <v>6.5199999999999994E-2</v>
      </c>
      <c r="H42" s="47"/>
      <c r="I42" s="18">
        <v>6.5199999999999994E-2</v>
      </c>
      <c r="J42" s="18"/>
      <c r="K42" s="18"/>
      <c r="L42" s="18"/>
      <c r="M42" s="18">
        <v>6.5199999999999994E-2</v>
      </c>
      <c r="N42" s="120">
        <v>4787924829</v>
      </c>
      <c r="O42" s="122" t="s">
        <v>115</v>
      </c>
    </row>
    <row r="43" spans="1:15" x14ac:dyDescent="0.25">
      <c r="A43" s="4" t="str">
        <f>IF(ISBLANK(B43),"",MAX(A$6:A42)+1)</f>
        <v/>
      </c>
      <c r="C43" s="34"/>
      <c r="D43" s="34"/>
      <c r="E43" s="34"/>
      <c r="F43" s="34"/>
      <c r="G43" s="34"/>
      <c r="H43" s="47"/>
      <c r="I43" s="34"/>
      <c r="J43" s="34"/>
      <c r="K43" s="34"/>
      <c r="L43" s="34"/>
      <c r="M43" s="34"/>
      <c r="N43" s="120">
        <v>-1921395502</v>
      </c>
      <c r="O43" s="122" t="s">
        <v>115</v>
      </c>
    </row>
    <row r="44" spans="1:15" x14ac:dyDescent="0.25">
      <c r="A44" s="4">
        <f>IF(ISBLANK(B44),"",MAX(A$6:A43)+1)</f>
        <v>29</v>
      </c>
      <c r="B44" s="42" t="s">
        <v>42</v>
      </c>
      <c r="C44" s="3"/>
      <c r="D44" s="3"/>
      <c r="E44" s="3"/>
      <c r="F44" s="3"/>
      <c r="G44" s="3"/>
      <c r="H44" s="47"/>
      <c r="I44" s="3"/>
      <c r="J44" s="3"/>
      <c r="K44" s="3"/>
      <c r="L44" s="3"/>
      <c r="M44" s="3"/>
      <c r="N44" s="120">
        <v>-597905505</v>
      </c>
      <c r="O44" s="122" t="s">
        <v>115</v>
      </c>
    </row>
    <row r="45" spans="1:15" x14ac:dyDescent="0.25">
      <c r="A45" s="4">
        <f>IF(ISBLANK(B45),"",MAX(A$6:A44)+1)</f>
        <v>30</v>
      </c>
      <c r="B45" s="42" t="s">
        <v>80</v>
      </c>
      <c r="C45" s="35">
        <f t="shared" ref="C45:F45" si="12">C59</f>
        <v>4068253156.5320997</v>
      </c>
      <c r="D45" s="35">
        <f t="shared" si="12"/>
        <v>-84751774.307916671</v>
      </c>
      <c r="E45" s="35">
        <f t="shared" si="12"/>
        <v>-16228881.069029139</v>
      </c>
      <c r="F45" s="35">
        <f t="shared" si="12"/>
        <v>-16597798.789668249</v>
      </c>
      <c r="G45" s="35">
        <f>SUM(C45:F45)</f>
        <v>3950674702.3654857</v>
      </c>
      <c r="H45" s="66"/>
      <c r="I45" s="35">
        <f t="shared" ref="I45:L45" si="13">I59</f>
        <v>4384832458.2834406</v>
      </c>
      <c r="J45" s="35">
        <f t="shared" si="13"/>
        <v>105802468.1600001</v>
      </c>
      <c r="K45" s="35">
        <f t="shared" si="13"/>
        <v>66784661.41225782</v>
      </c>
      <c r="L45" s="35">
        <f t="shared" si="13"/>
        <v>82865659.666204244</v>
      </c>
      <c r="M45" s="35">
        <f t="shared" ref="M45" si="14">M59</f>
        <v>4640285247.5219021</v>
      </c>
      <c r="N45" s="120">
        <v>-29952462</v>
      </c>
      <c r="O45" s="122" t="s">
        <v>115</v>
      </c>
    </row>
    <row r="46" spans="1:15" x14ac:dyDescent="0.25">
      <c r="A46" s="4">
        <f>IF(ISBLANK(B46),"",MAX(A$6:A45)+1)</f>
        <v>31</v>
      </c>
      <c r="B46" s="42" t="s">
        <v>81</v>
      </c>
      <c r="C46" s="36">
        <f t="shared" ref="C46:F46" si="15">C67</f>
        <v>-1568683550.8624966</v>
      </c>
      <c r="D46" s="36">
        <f t="shared" si="15"/>
        <v>3209723.1798207625</v>
      </c>
      <c r="E46" s="36">
        <f t="shared" si="15"/>
        <v>1296178.4092875994</v>
      </c>
      <c r="F46" s="36">
        <f t="shared" si="15"/>
        <v>1430783.8862761646</v>
      </c>
      <c r="G46" s="36">
        <f>SUM(C46:F46)</f>
        <v>-1562746865.3871119</v>
      </c>
      <c r="H46" s="66"/>
      <c r="I46" s="36">
        <f>I67</f>
        <v>-1876852767.0350256</v>
      </c>
      <c r="J46" s="36">
        <f t="shared" ref="J46:L46" si="16">J67</f>
        <v>-10067230.849618189</v>
      </c>
      <c r="K46" s="36">
        <f t="shared" si="16"/>
        <v>-10582560.510378484</v>
      </c>
      <c r="L46" s="36">
        <f t="shared" si="16"/>
        <v>-18729954.286813222</v>
      </c>
      <c r="M46" s="36">
        <f t="shared" ref="M46" si="17">M67</f>
        <v>-1916232512.6818357</v>
      </c>
      <c r="N46" s="120">
        <v>2238671360</v>
      </c>
      <c r="O46" s="122" t="s">
        <v>115</v>
      </c>
    </row>
    <row r="47" spans="1:15" x14ac:dyDescent="0.25">
      <c r="A47" s="4">
        <f>IF(ISBLANK(B47),"",MAX(A$6:A46)+1)</f>
        <v>32</v>
      </c>
      <c r="B47" s="42" t="s">
        <v>82</v>
      </c>
      <c r="C47" s="37">
        <f t="shared" ref="C47:F47" si="18">C91+C101</f>
        <v>-600960584.07799876</v>
      </c>
      <c r="D47" s="37">
        <f t="shared" si="18"/>
        <v>8025584.9516680902</v>
      </c>
      <c r="E47" s="37">
        <f t="shared" si="18"/>
        <v>1289851.786132125</v>
      </c>
      <c r="F47" s="37">
        <f t="shared" si="18"/>
        <v>927817.70801036642</v>
      </c>
      <c r="G47" s="37">
        <f>SUM(C47:F47)</f>
        <v>-590717329.6321882</v>
      </c>
      <c r="H47" s="66"/>
      <c r="I47" s="37">
        <f>I91+I101</f>
        <v>-601698646.2910955</v>
      </c>
      <c r="J47" s="37">
        <f>J91+J101</f>
        <v>-8937256.0344074257</v>
      </c>
      <c r="K47" s="37">
        <f>K91+K101</f>
        <v>-3098028.4348515272</v>
      </c>
      <c r="L47" s="37">
        <f>L91+L101</f>
        <v>806144.13888261456</v>
      </c>
      <c r="M47" s="37">
        <f>M91+M101</f>
        <v>-612927786.62147176</v>
      </c>
      <c r="N47" s="120">
        <v>54431800</v>
      </c>
      <c r="O47" s="122" t="s">
        <v>115</v>
      </c>
    </row>
    <row r="48" spans="1:15" x14ac:dyDescent="0.25">
      <c r="A48" s="4">
        <f>IF(ISBLANK(B48),"",MAX(A$6:A47)+1)</f>
        <v>33</v>
      </c>
      <c r="B48" s="42" t="s">
        <v>83</v>
      </c>
      <c r="C48" s="38">
        <f>C102</f>
        <v>-21062359.944484368</v>
      </c>
      <c r="D48" s="38">
        <f t="shared" ref="D48:F48" si="19">D102</f>
        <v>0</v>
      </c>
      <c r="E48" s="38">
        <f t="shared" si="19"/>
        <v>0</v>
      </c>
      <c r="F48" s="38">
        <f t="shared" si="19"/>
        <v>0</v>
      </c>
      <c r="G48" s="38">
        <f>SUM(C48:F48)</f>
        <v>-21062359.944484368</v>
      </c>
      <c r="H48" s="66"/>
      <c r="I48" s="38">
        <f t="shared" ref="I48:L48" si="20">I102</f>
        <v>-21062359.944484368</v>
      </c>
      <c r="J48" s="38">
        <f>J102</f>
        <v>0</v>
      </c>
      <c r="K48" s="38">
        <f>K102</f>
        <v>0</v>
      </c>
      <c r="L48" s="38">
        <f t="shared" si="20"/>
        <v>0</v>
      </c>
      <c r="M48" s="38">
        <f t="shared" ref="M48" si="21">M102</f>
        <v>-21062359.944484368</v>
      </c>
      <c r="N48" s="120">
        <v>2293103160</v>
      </c>
      <c r="O48" s="122" t="s">
        <v>115</v>
      </c>
    </row>
    <row r="49" spans="1:15" x14ac:dyDescent="0.25">
      <c r="A49" s="4">
        <f>IF(ISBLANK(B49),"",MAX(A$6:A48)+1)</f>
        <v>34</v>
      </c>
      <c r="B49" s="42" t="s">
        <v>84</v>
      </c>
      <c r="C49" s="134">
        <f t="shared" ref="C49:F49" si="22">SUM(C45:C48)</f>
        <v>1877546661.6471202</v>
      </c>
      <c r="D49" s="134">
        <f t="shared" si="22"/>
        <v>-73516466.176427826</v>
      </c>
      <c r="E49" s="134">
        <f t="shared" si="22"/>
        <v>-13642850.873609414</v>
      </c>
      <c r="F49" s="134">
        <f t="shared" si="22"/>
        <v>-14239197.195381718</v>
      </c>
      <c r="G49" s="39">
        <f t="shared" ref="G49" si="23">SUM(G45:G48)</f>
        <v>1776148147.4017007</v>
      </c>
      <c r="H49" s="73"/>
      <c r="I49" s="134">
        <f t="shared" ref="I49:L49" si="24">SUM(I45:I48)</f>
        <v>1885218685.012835</v>
      </c>
      <c r="J49" s="134">
        <f t="shared" si="24"/>
        <v>86797981.275974497</v>
      </c>
      <c r="K49" s="134">
        <f t="shared" si="24"/>
        <v>53104072.467027813</v>
      </c>
      <c r="L49" s="134">
        <f t="shared" si="24"/>
        <v>64941849.518273637</v>
      </c>
      <c r="M49" s="39">
        <f t="shared" ref="M49" si="25">SUM(M45:M48)</f>
        <v>2090062588.2741101</v>
      </c>
      <c r="N49" s="122" t="s">
        <v>116</v>
      </c>
      <c r="O49" s="122" t="s">
        <v>115</v>
      </c>
    </row>
    <row r="50" spans="1:15" x14ac:dyDescent="0.25">
      <c r="A50" s="4">
        <f>IF(ISBLANK(B50),"",MAX(A$6:A49)+1)</f>
        <v>35</v>
      </c>
      <c r="B50" s="42" t="s">
        <v>48</v>
      </c>
      <c r="C50" s="38">
        <f t="shared" ref="C50:F50" si="26">C103</f>
        <v>54431800.053166389</v>
      </c>
      <c r="D50" s="38">
        <f t="shared" si="26"/>
        <v>0</v>
      </c>
      <c r="E50" s="38">
        <f t="shared" si="26"/>
        <v>0</v>
      </c>
      <c r="F50" s="38">
        <f t="shared" si="26"/>
        <v>0</v>
      </c>
      <c r="G50" s="38">
        <f>SUM(C50:F50)</f>
        <v>54431800.053166389</v>
      </c>
      <c r="H50" s="66"/>
      <c r="I50" s="38">
        <f t="shared" ref="I50:L50" si="27">I103</f>
        <v>54431800.053166389</v>
      </c>
      <c r="J50" s="38">
        <f>J103</f>
        <v>0</v>
      </c>
      <c r="K50" s="38">
        <f>K103</f>
        <v>0</v>
      </c>
      <c r="L50" s="38">
        <f t="shared" si="27"/>
        <v>0</v>
      </c>
      <c r="M50" s="38">
        <f t="shared" ref="M50" si="28">M103</f>
        <v>54431800.053166389</v>
      </c>
      <c r="N50" s="122" t="s">
        <v>116</v>
      </c>
      <c r="O50" s="122" t="s">
        <v>115</v>
      </c>
    </row>
    <row r="51" spans="1:15" ht="15.75" thickBot="1" x14ac:dyDescent="0.3">
      <c r="A51" s="4">
        <f>IF(ISBLANK(B51),"",MAX(A$6:A50)+1)</f>
        <v>36</v>
      </c>
      <c r="B51" s="42" t="s">
        <v>50</v>
      </c>
      <c r="C51" s="40">
        <f>SUM(C49:C50)</f>
        <v>1931978461.7002866</v>
      </c>
      <c r="D51" s="40">
        <f>SUM(D49:D50)</f>
        <v>-73516466.176427826</v>
      </c>
      <c r="E51" s="40">
        <f>SUM(E49:E50)</f>
        <v>-13642850.873609414</v>
      </c>
      <c r="F51" s="40">
        <f t="shared" ref="F51" si="29">SUM(F49:F50)</f>
        <v>-14239197.195381718</v>
      </c>
      <c r="G51" s="40">
        <f t="shared" ref="G51" si="30">SUM(G49:G50)</f>
        <v>1830579947.4548671</v>
      </c>
      <c r="H51" s="73"/>
      <c r="I51" s="40">
        <f t="shared" ref="I51:L51" si="31">SUM(I49:I50)</f>
        <v>1939650485.0660014</v>
      </c>
      <c r="J51" s="40">
        <f>SUM(J49:J50)</f>
        <v>86797981.275974497</v>
      </c>
      <c r="K51" s="40">
        <f>SUM(K49:K50)</f>
        <v>53104072.467027813</v>
      </c>
      <c r="L51" s="40">
        <f t="shared" si="31"/>
        <v>64941849.518273637</v>
      </c>
      <c r="M51" s="40">
        <f t="shared" ref="M51" si="32">SUM(M49:M50)</f>
        <v>2144494388.3272765</v>
      </c>
      <c r="N51" s="120">
        <v>70765039</v>
      </c>
      <c r="O51" s="122" t="s">
        <v>115</v>
      </c>
    </row>
    <row r="52" spans="1:15" ht="15.75" thickTop="1" x14ac:dyDescent="0.25">
      <c r="A52" s="4" t="str">
        <f>IF(ISBLANK(B52),"",MAX(A$6:A51)+1)</f>
        <v/>
      </c>
      <c r="B52" s="125"/>
      <c r="C52" s="126">
        <f>ROUNDDOWN('[1]Exh p2'!$N$56-C51,0)</f>
        <v>0</v>
      </c>
      <c r="D52" s="126"/>
      <c r="E52" s="126"/>
      <c r="F52" s="126"/>
      <c r="G52" s="126"/>
      <c r="H52" s="47"/>
      <c r="I52" s="126"/>
      <c r="J52" s="126"/>
      <c r="K52" s="126"/>
      <c r="L52" s="126"/>
      <c r="M52" s="126"/>
      <c r="N52" s="122" t="s">
        <v>116</v>
      </c>
      <c r="O52" s="122" t="s">
        <v>115</v>
      </c>
    </row>
    <row r="53" spans="1:15" x14ac:dyDescent="0.25">
      <c r="A53" s="4">
        <f>IF(ISBLANK(B53),"",MAX(A$6:A52)+1)</f>
        <v>37</v>
      </c>
      <c r="B53" s="80" t="s">
        <v>51</v>
      </c>
      <c r="H53" s="47"/>
      <c r="N53" s="120">
        <v>4256298752</v>
      </c>
      <c r="O53" s="122" t="s">
        <v>115</v>
      </c>
    </row>
    <row r="54" spans="1:15" x14ac:dyDescent="0.25">
      <c r="A54" s="4">
        <f>IF(ISBLANK(B54),"",MAX(A$6:A53)+1)</f>
        <v>38</v>
      </c>
      <c r="B54" s="50" t="s">
        <v>85</v>
      </c>
      <c r="C54" s="43">
        <f>[3]Gas_CBR!M56</f>
        <v>76474409.469999999</v>
      </c>
      <c r="D54" s="43"/>
      <c r="E54" s="43"/>
      <c r="F54" s="43"/>
      <c r="G54" s="43">
        <f>SUM(C54:F54)</f>
        <v>76474409.469999999</v>
      </c>
      <c r="H54" s="66">
        <f>[3]Gas_PPlant!D28</f>
        <v>1.448641380401364E-2</v>
      </c>
      <c r="I54" s="27">
        <f>'[6]Gas Consol'!M45</f>
        <v>70919860.86282602</v>
      </c>
      <c r="J54" s="27"/>
      <c r="K54" s="27"/>
      <c r="L54" s="27"/>
      <c r="M54" s="27">
        <f>SUM(I54:L54)</f>
        <v>70919860.86282602</v>
      </c>
      <c r="N54" s="120">
        <v>235759683</v>
      </c>
      <c r="O54" s="122" t="s">
        <v>115</v>
      </c>
    </row>
    <row r="55" spans="1:15" x14ac:dyDescent="0.25">
      <c r="A55" s="4">
        <f>IF(ISBLANK(B55),"",MAX(A$6:A54)+1)</f>
        <v>39</v>
      </c>
      <c r="B55" s="50" t="s">
        <v>53</v>
      </c>
      <c r="C55" s="36">
        <f>[3]Gas_CBR!M57</f>
        <v>0</v>
      </c>
      <c r="D55" s="36"/>
      <c r="E55" s="36"/>
      <c r="F55" s="36"/>
      <c r="G55" s="36">
        <f>SUM(C55:F55)</f>
        <v>0</v>
      </c>
      <c r="H55" s="66"/>
      <c r="I55" s="7">
        <f>'[6]Gas Consol'!M46</f>
        <v>0</v>
      </c>
      <c r="J55" s="7"/>
      <c r="K55" s="7"/>
      <c r="L55" s="7"/>
      <c r="M55" s="7">
        <f>SUM(I55:L55)</f>
        <v>0</v>
      </c>
      <c r="N55" s="120">
        <v>225101354</v>
      </c>
      <c r="O55" s="122" t="s">
        <v>115</v>
      </c>
    </row>
    <row r="56" spans="1:15" x14ac:dyDescent="0.25">
      <c r="A56" s="4">
        <f>IF(ISBLANK(B56),"",MAX(A$6:A55)+1)</f>
        <v>40</v>
      </c>
      <c r="B56" s="50" t="s">
        <v>54</v>
      </c>
      <c r="C56" s="36">
        <f>[3]Gas_CBR!M58+'[9]Detailed Summary'!$AV$51</f>
        <v>3678759560.8600001</v>
      </c>
      <c r="D56" s="36">
        <f>[3]Gas_CBR!$M117</f>
        <v>-84751774.307916671</v>
      </c>
      <c r="E56" s="36">
        <f>[3]Gas_CBR!$M118</f>
        <v>-16228881.069029139</v>
      </c>
      <c r="F56" s="36"/>
      <c r="G56" s="36">
        <f>SUM(C56:F56)</f>
        <v>3577778905.4830542</v>
      </c>
      <c r="H56" s="66">
        <f>[3]Gas_DPlant!F28</f>
        <v>3.4601235940379081E-2</v>
      </c>
      <c r="I56" s="63">
        <f>'[6]Gas Consol'!M47</f>
        <v>3958257471.3066883</v>
      </c>
      <c r="J56" s="63">
        <f>'[6]Gas Consol'!$M$50</f>
        <v>105802468.1600001</v>
      </c>
      <c r="K56" s="63">
        <f>'[6]Gas Consol'!$M$51</f>
        <v>66784661.41225782</v>
      </c>
      <c r="L56" s="63"/>
      <c r="M56" s="63">
        <f>SUM(I56:L56)</f>
        <v>4130844600.8789463</v>
      </c>
      <c r="N56" s="120">
        <v>4787924829</v>
      </c>
      <c r="O56" s="122" t="s">
        <v>115</v>
      </c>
    </row>
    <row r="57" spans="1:15" x14ac:dyDescent="0.25">
      <c r="A57" s="4">
        <f>IF(ISBLANK(B57),"",MAX(A$6:A56)+1)</f>
        <v>41</v>
      </c>
      <c r="B57" s="50" t="s">
        <v>55</v>
      </c>
      <c r="C57" s="36">
        <f>[3]Gas_CBR!M59+'[9]Detailed Summary'!$X$51</f>
        <v>139418656.4883</v>
      </c>
      <c r="D57" s="36"/>
      <c r="E57" s="36"/>
      <c r="F57" s="36">
        <f>[3]Gas_CBR!$M133</f>
        <v>-16597798.789668249</v>
      </c>
      <c r="G57" s="36">
        <f>SUM(C57:F57)</f>
        <v>122820857.69863175</v>
      </c>
      <c r="H57" s="66">
        <f>[3]Gas_IPlant!F28</f>
        <v>7.1563563546242756E-2</v>
      </c>
      <c r="I57" s="63">
        <f>'[6]Gas Consol'!M48</f>
        <v>133616619.89883812</v>
      </c>
      <c r="J57" s="63"/>
      <c r="K57" s="63"/>
      <c r="L57" s="63">
        <f>'[6]Gas Consol'!$M$52</f>
        <v>82865659.666204244</v>
      </c>
      <c r="M57" s="63">
        <f>SUM(I57:L57)</f>
        <v>216482279.56504238</v>
      </c>
      <c r="N57" s="122" t="s">
        <v>116</v>
      </c>
      <c r="O57" s="122" t="s">
        <v>115</v>
      </c>
    </row>
    <row r="58" spans="1:15" x14ac:dyDescent="0.25">
      <c r="A58" s="4">
        <f>IF(ISBLANK(B58),"",MAX(A$6:A57)+1)</f>
        <v>42</v>
      </c>
      <c r="B58" s="50" t="s">
        <v>56</v>
      </c>
      <c r="C58" s="36">
        <f>[3]Gas_CBR!M60</f>
        <v>173600529.71380004</v>
      </c>
      <c r="D58" s="36"/>
      <c r="E58" s="36"/>
      <c r="F58" s="36"/>
      <c r="G58" s="36">
        <f>SUM(C58:F58)</f>
        <v>173600529.71380004</v>
      </c>
      <c r="H58" s="66">
        <f>[3]Gas_GPlant!D28</f>
        <v>2.1418763089883639E-2</v>
      </c>
      <c r="I58" s="63">
        <f>'[6]Gas Consol'!M49</f>
        <v>222038506.21508816</v>
      </c>
      <c r="J58" s="63"/>
      <c r="K58" s="63"/>
      <c r="L58" s="63"/>
      <c r="M58" s="63">
        <f>SUM(I58:L58)</f>
        <v>222038506.21508816</v>
      </c>
      <c r="N58" s="122" t="s">
        <v>116</v>
      </c>
      <c r="O58" s="122" t="s">
        <v>115</v>
      </c>
    </row>
    <row r="59" spans="1:15" x14ac:dyDescent="0.25">
      <c r="A59" s="4">
        <f>IF(ISBLANK(B59),"",MAX(A$6:A58)+1)</f>
        <v>43</v>
      </c>
      <c r="B59" s="51" t="s">
        <v>0</v>
      </c>
      <c r="C59" s="135">
        <f>SUM(C54:C58)</f>
        <v>4068253156.5320997</v>
      </c>
      <c r="D59" s="135">
        <f>SUM(D54:D58)</f>
        <v>-84751774.307916671</v>
      </c>
      <c r="E59" s="135">
        <f>SUM(E54:E58)</f>
        <v>-16228881.069029139</v>
      </c>
      <c r="F59" s="135">
        <f t="shared" ref="F59" si="33">SUM(F54:F58)</f>
        <v>-16597798.789668249</v>
      </c>
      <c r="G59" s="48">
        <f t="shared" ref="G59:M59" si="34">SUM(G54:G58)</f>
        <v>3950674702.3654857</v>
      </c>
      <c r="H59" s="74"/>
      <c r="I59" s="58">
        <f t="shared" ref="I59:L59" si="35">SUM(I54:I58)</f>
        <v>4384832458.2834406</v>
      </c>
      <c r="J59" s="58">
        <f>SUM(J54:J58)</f>
        <v>105802468.1600001</v>
      </c>
      <c r="K59" s="58">
        <f>SUM(K54:K58)</f>
        <v>66784661.41225782</v>
      </c>
      <c r="L59" s="58">
        <f t="shared" si="35"/>
        <v>82865659.666204244</v>
      </c>
      <c r="M59" s="58">
        <f t="shared" si="34"/>
        <v>4640285247.5219021</v>
      </c>
      <c r="N59" s="120">
        <v>-36714096</v>
      </c>
      <c r="O59" s="122" t="s">
        <v>115</v>
      </c>
    </row>
    <row r="60" spans="1:15" x14ac:dyDescent="0.25">
      <c r="A60" s="4" t="str">
        <f>IF(ISBLANK(B60),"",MAX(A$6:A59)+1)</f>
        <v/>
      </c>
      <c r="B60" s="80"/>
      <c r="H60" s="47"/>
      <c r="I60" s="136"/>
      <c r="N60" s="122" t="s">
        <v>116</v>
      </c>
      <c r="O60" s="122" t="s">
        <v>115</v>
      </c>
    </row>
    <row r="61" spans="1:15" x14ac:dyDescent="0.25">
      <c r="A61" s="4">
        <f>IF(ISBLANK(B61),"",MAX(A$6:A60)+1)</f>
        <v>44</v>
      </c>
      <c r="B61" s="49" t="s">
        <v>86</v>
      </c>
      <c r="H61" s="47"/>
      <c r="N61" s="120">
        <v>-1680697298</v>
      </c>
      <c r="O61" s="122" t="s">
        <v>115</v>
      </c>
    </row>
    <row r="62" spans="1:15" x14ac:dyDescent="0.25">
      <c r="A62" s="4">
        <f>IF(ISBLANK(B62),"",MAX(A$6:A61)+1)</f>
        <v>45</v>
      </c>
      <c r="B62" s="50" t="s">
        <v>85</v>
      </c>
      <c r="C62" s="43">
        <f>[3]Gas_CBR!M64</f>
        <v>-33125037.959271803</v>
      </c>
      <c r="D62" s="43"/>
      <c r="E62" s="43"/>
      <c r="F62" s="43"/>
      <c r="G62" s="43">
        <f>SUM(C62:F62)</f>
        <v>-33125037.959271803</v>
      </c>
      <c r="H62" s="66"/>
      <c r="I62" s="27">
        <f>'[6]Gas Consol'!M32</f>
        <v>-36719336.818337262</v>
      </c>
      <c r="J62" s="27"/>
      <c r="K62" s="27"/>
      <c r="L62" s="27"/>
      <c r="M62" s="27">
        <f>SUM(I62:L62)</f>
        <v>-36719336.818337262</v>
      </c>
      <c r="N62" s="120">
        <v>-118401632</v>
      </c>
      <c r="O62" s="122" t="s">
        <v>115</v>
      </c>
    </row>
    <row r="63" spans="1:15" x14ac:dyDescent="0.25">
      <c r="A63" s="4">
        <f>IF(ISBLANK(B63),"",MAX(A$6:A62)+1)</f>
        <v>46</v>
      </c>
      <c r="B63" s="50" t="s">
        <v>53</v>
      </c>
      <c r="C63" s="36">
        <f>[3]Gas_CBR!M65</f>
        <v>0</v>
      </c>
      <c r="D63" s="36"/>
      <c r="E63" s="36"/>
      <c r="F63" s="36"/>
      <c r="G63" s="36">
        <f>SUM(C63:F63)</f>
        <v>0</v>
      </c>
      <c r="H63" s="66"/>
      <c r="I63" s="7">
        <f>'[6]Gas Consol'!M33</f>
        <v>0</v>
      </c>
      <c r="J63" s="7"/>
      <c r="K63" s="7"/>
      <c r="L63" s="7"/>
      <c r="M63" s="7">
        <f>SUM(I63:L63)</f>
        <v>0</v>
      </c>
      <c r="N63" s="120">
        <v>-85582475</v>
      </c>
      <c r="O63" s="122" t="s">
        <v>115</v>
      </c>
    </row>
    <row r="64" spans="1:15" x14ac:dyDescent="0.25">
      <c r="A64" s="4">
        <f>IF(ISBLANK(B64),"",MAX(A$6:A63)+1)</f>
        <v>47</v>
      </c>
      <c r="B64" s="50" t="s">
        <v>54</v>
      </c>
      <c r="C64" s="36">
        <f>[3]Gas_CBR!M66+'[9]Detailed Summary'!$AV$52</f>
        <v>-1432026202.7756066</v>
      </c>
      <c r="D64" s="36">
        <f>[3]Gas_CBR!$M$122</f>
        <v>3209723.1798207625</v>
      </c>
      <c r="E64" s="36">
        <f>[3]Gas_CBR!$M$123</f>
        <v>1296178.4092875994</v>
      </c>
      <c r="F64" s="36"/>
      <c r="G64" s="36">
        <f>SUM(C64:F64)</f>
        <v>-1427520301.1864982</v>
      </c>
      <c r="H64" s="66"/>
      <c r="I64" s="63">
        <f>'[6]Gas Consol'!M34+'[6]Gas Consol'!$M$37</f>
        <v>-1660527496.5849085</v>
      </c>
      <c r="J64" s="63">
        <v>-10067230.849618189</v>
      </c>
      <c r="K64" s="63">
        <f>'[6]Gas Consol'!$M$39</f>
        <v>-10582560.510378484</v>
      </c>
      <c r="L64" s="63"/>
      <c r="M64" s="63">
        <f>SUM(I64:L64)</f>
        <v>-1681177287.9449053</v>
      </c>
      <c r="N64" s="120">
        <v>-1921395502</v>
      </c>
      <c r="O64" s="122" t="s">
        <v>115</v>
      </c>
    </row>
    <row r="65" spans="1:15" x14ac:dyDescent="0.25">
      <c r="A65" s="4">
        <f>IF(ISBLANK(B65),"",MAX(A$6:A64)+1)</f>
        <v>48</v>
      </c>
      <c r="B65" s="50" t="s">
        <v>55</v>
      </c>
      <c r="C65" s="36">
        <f>[3]Gas_CBR!M67</f>
        <v>-47274087.95805271</v>
      </c>
      <c r="D65" s="36"/>
      <c r="E65" s="36"/>
      <c r="F65" s="36">
        <f>[3]Gas_CBR!$M$137</f>
        <v>1430783.8862761646</v>
      </c>
      <c r="G65" s="36">
        <f>SUM(C65:F65)</f>
        <v>-45843304.071776547</v>
      </c>
      <c r="H65" s="66"/>
      <c r="I65" s="63">
        <f>'[6]Gas Consol'!M35</f>
        <v>-94276462.0724466</v>
      </c>
      <c r="J65" s="63"/>
      <c r="K65" s="63"/>
      <c r="L65" s="63">
        <f>'[6]Gas Consol'!$M$40</f>
        <v>-18729954.286813222</v>
      </c>
      <c r="M65" s="63">
        <f>SUM(I65:L65)</f>
        <v>-113006416.35925981</v>
      </c>
      <c r="N65" s="122" t="s">
        <v>116</v>
      </c>
      <c r="O65" s="122" t="s">
        <v>115</v>
      </c>
    </row>
    <row r="66" spans="1:15" x14ac:dyDescent="0.25">
      <c r="A66" s="4">
        <f>IF(ISBLANK(B66),"",MAX(A$6:A65)+1)</f>
        <v>49</v>
      </c>
      <c r="B66" s="50" t="s">
        <v>56</v>
      </c>
      <c r="C66" s="36">
        <f>[3]Gas_CBR!M68</f>
        <v>-56258222.169565432</v>
      </c>
      <c r="D66" s="36"/>
      <c r="E66" s="36"/>
      <c r="F66" s="36"/>
      <c r="G66" s="36">
        <f>SUM(C66:F66)</f>
        <v>-56258222.169565432</v>
      </c>
      <c r="H66" s="66"/>
      <c r="I66" s="63">
        <f>'[6]Gas Consol'!M36</f>
        <v>-85329471.559333384</v>
      </c>
      <c r="J66" s="63"/>
      <c r="K66" s="63"/>
      <c r="L66" s="63"/>
      <c r="M66" s="63">
        <f>SUM(I66:L66)</f>
        <v>-85329471.559333384</v>
      </c>
      <c r="N66" s="122" t="s">
        <v>116</v>
      </c>
      <c r="O66" s="122" t="s">
        <v>115</v>
      </c>
    </row>
    <row r="67" spans="1:15" x14ac:dyDescent="0.25">
      <c r="A67" s="4">
        <f>IF(ISBLANK(B67),"",MAX(A$6:A66)+1)</f>
        <v>50</v>
      </c>
      <c r="B67" s="51" t="s">
        <v>0</v>
      </c>
      <c r="C67" s="135">
        <f t="shared" ref="C67:F67" si="36">SUM(C62:C66)</f>
        <v>-1568683550.8624966</v>
      </c>
      <c r="D67" s="135">
        <f t="shared" si="36"/>
        <v>3209723.1798207625</v>
      </c>
      <c r="E67" s="135">
        <f t="shared" si="36"/>
        <v>1296178.4092875994</v>
      </c>
      <c r="F67" s="135">
        <f t="shared" si="36"/>
        <v>1430783.8862761646</v>
      </c>
      <c r="G67" s="48">
        <f t="shared" ref="G67" si="37">SUM(G62:G66)</f>
        <v>-1562746865.3871121</v>
      </c>
      <c r="H67" s="74"/>
      <c r="I67" s="58">
        <f t="shared" ref="I67:L67" si="38">SUM(I62:I66)</f>
        <v>-1876852767.0350256</v>
      </c>
      <c r="J67" s="58">
        <f t="shared" si="38"/>
        <v>-10067230.849618189</v>
      </c>
      <c r="K67" s="58">
        <f t="shared" si="38"/>
        <v>-10582560.510378484</v>
      </c>
      <c r="L67" s="58">
        <f t="shared" si="38"/>
        <v>-18729954.286813222</v>
      </c>
      <c r="M67" s="58">
        <f t="shared" ref="M67" si="39">SUM(M62:M66)</f>
        <v>-1916232512.6818357</v>
      </c>
      <c r="N67" s="122" t="s">
        <v>116</v>
      </c>
      <c r="O67" s="122" t="s">
        <v>115</v>
      </c>
    </row>
    <row r="68" spans="1:15" x14ac:dyDescent="0.25">
      <c r="A68" s="4" t="str">
        <f>IF(ISBLANK(B68),"",MAX(A$6:A67)+1)</f>
        <v/>
      </c>
      <c r="B68" s="80"/>
      <c r="H68" s="47"/>
      <c r="N68" s="122" t="s">
        <v>116</v>
      </c>
      <c r="O68" s="122" t="s">
        <v>115</v>
      </c>
    </row>
    <row r="69" spans="1:15" x14ac:dyDescent="0.25">
      <c r="A69" s="4">
        <f>IF(ISBLANK(B69),"",MAX(A$6:A68)+1)</f>
        <v>51</v>
      </c>
      <c r="B69" s="49" t="s">
        <v>73</v>
      </c>
      <c r="H69" s="47"/>
      <c r="N69" s="122" t="s">
        <v>116</v>
      </c>
      <c r="O69" s="122" t="s">
        <v>115</v>
      </c>
    </row>
    <row r="70" spans="1:15" x14ac:dyDescent="0.25">
      <c r="A70" s="4">
        <f>IF(ISBLANK(B70),"",MAX(A$6:A69)+1)</f>
        <v>52</v>
      </c>
      <c r="B70" s="50" t="s">
        <v>85</v>
      </c>
      <c r="C70" s="43">
        <f>[3]Gas_CBR!M72</f>
        <v>0</v>
      </c>
      <c r="D70" s="43"/>
      <c r="E70" s="43"/>
      <c r="F70" s="43"/>
      <c r="G70" s="43">
        <f>SUM(C70:F70)</f>
        <v>0</v>
      </c>
      <c r="H70" s="66"/>
      <c r="I70" s="27"/>
      <c r="J70" s="27"/>
      <c r="K70" s="27"/>
      <c r="L70" s="27"/>
      <c r="M70" s="27">
        <f>SUM(I70:L70)</f>
        <v>0</v>
      </c>
      <c r="N70" s="122" t="s">
        <v>116</v>
      </c>
      <c r="O70" s="122" t="s">
        <v>115</v>
      </c>
    </row>
    <row r="71" spans="1:15" x14ac:dyDescent="0.25">
      <c r="A71" s="4">
        <f>IF(ISBLANK(B71),"",MAX(A$6:A70)+1)</f>
        <v>53</v>
      </c>
      <c r="B71" s="50" t="s">
        <v>53</v>
      </c>
      <c r="C71" s="36">
        <f>[3]Gas_CBR!M73</f>
        <v>0</v>
      </c>
      <c r="D71" s="36"/>
      <c r="E71" s="36"/>
      <c r="F71" s="36"/>
      <c r="G71" s="36">
        <f>SUM(C71:F71)</f>
        <v>0</v>
      </c>
      <c r="H71" s="66"/>
      <c r="I71" s="7"/>
      <c r="J71" s="7"/>
      <c r="K71" s="7"/>
      <c r="L71" s="7"/>
      <c r="M71" s="7">
        <f>SUM(I71:L71)</f>
        <v>0</v>
      </c>
      <c r="N71" s="122" t="s">
        <v>116</v>
      </c>
      <c r="O71" s="122" t="s">
        <v>115</v>
      </c>
    </row>
    <row r="72" spans="1:15" x14ac:dyDescent="0.25">
      <c r="A72" s="4">
        <f>IF(ISBLANK(B72),"",MAX(A$6:A71)+1)</f>
        <v>54</v>
      </c>
      <c r="B72" s="50" t="s">
        <v>54</v>
      </c>
      <c r="C72" s="36">
        <f>[3]Gas_CBR!M74</f>
        <v>-271846932.69267762</v>
      </c>
      <c r="D72" s="36">
        <f>[3]Gas_CBR!$M$127</f>
        <v>8025584.9516680902</v>
      </c>
      <c r="E72" s="36">
        <f>[3]Gas_CBR!$M$128</f>
        <v>1289851.786132125</v>
      </c>
      <c r="F72" s="36"/>
      <c r="G72" s="36">
        <f>SUM(C72:F72)</f>
        <v>-262531495.95487741</v>
      </c>
      <c r="H72" s="66"/>
      <c r="I72" s="63"/>
      <c r="J72" s="63"/>
      <c r="K72" s="63"/>
      <c r="L72" s="63"/>
      <c r="M72" s="63">
        <f t="shared" ref="M72:M74" si="40">SUM(I72:L72)</f>
        <v>0</v>
      </c>
      <c r="N72" s="122" t="s">
        <v>116</v>
      </c>
      <c r="O72" s="122" t="s">
        <v>115</v>
      </c>
    </row>
    <row r="73" spans="1:15" x14ac:dyDescent="0.25">
      <c r="A73" s="4">
        <f>IF(ISBLANK(B73),"",MAX(A$6:A72)+1)</f>
        <v>55</v>
      </c>
      <c r="B73" s="50" t="s">
        <v>55</v>
      </c>
      <c r="C73" s="36">
        <f>[3]Gas_CBR!M75</f>
        <v>-16932625.893549934</v>
      </c>
      <c r="D73" s="36"/>
      <c r="E73" s="36"/>
      <c r="F73" s="36">
        <f>[3]Gas_CBR!$M$141</f>
        <v>927817.70801036642</v>
      </c>
      <c r="G73" s="36">
        <f>SUM(C73:F73)</f>
        <v>-16004808.185539568</v>
      </c>
      <c r="H73" s="66"/>
      <c r="I73" s="63"/>
      <c r="J73" s="63"/>
      <c r="K73" s="63"/>
      <c r="L73" s="63"/>
      <c r="M73" s="63">
        <f t="shared" si="40"/>
        <v>0</v>
      </c>
      <c r="N73" s="122" t="s">
        <v>116</v>
      </c>
      <c r="O73" s="122" t="s">
        <v>115</v>
      </c>
    </row>
    <row r="74" spans="1:15" x14ac:dyDescent="0.25">
      <c r="A74" s="4">
        <f>IF(ISBLANK(B74),"",MAX(A$6:A73)+1)</f>
        <v>56</v>
      </c>
      <c r="B74" s="50" t="s">
        <v>56</v>
      </c>
      <c r="C74" s="36">
        <f>[3]Gas_CBR!M76</f>
        <v>-21066947.020244144</v>
      </c>
      <c r="D74" s="36"/>
      <c r="E74" s="36"/>
      <c r="F74" s="36"/>
      <c r="G74" s="36">
        <f>SUM(C74:F74)</f>
        <v>-21066947.020244144</v>
      </c>
      <c r="H74" s="66"/>
      <c r="I74" s="63"/>
      <c r="J74" s="63"/>
      <c r="K74" s="63"/>
      <c r="L74" s="63"/>
      <c r="M74" s="63">
        <f t="shared" si="40"/>
        <v>0</v>
      </c>
      <c r="N74" s="122" t="s">
        <v>116</v>
      </c>
      <c r="O74" s="122" t="s">
        <v>115</v>
      </c>
    </row>
    <row r="75" spans="1:15" x14ac:dyDescent="0.25">
      <c r="A75" s="4">
        <f>IF(ISBLANK(B75),"",MAX(A$6:A74)+1)</f>
        <v>57</v>
      </c>
      <c r="B75" s="51" t="s">
        <v>0</v>
      </c>
      <c r="C75" s="135">
        <f t="shared" ref="C75:F75" si="41">SUM(C70:C74)</f>
        <v>-309846505.60647166</v>
      </c>
      <c r="D75" s="135">
        <f t="shared" si="41"/>
        <v>8025584.9516680902</v>
      </c>
      <c r="E75" s="135">
        <f t="shared" si="41"/>
        <v>1289851.786132125</v>
      </c>
      <c r="F75" s="135">
        <f t="shared" si="41"/>
        <v>927817.70801036642</v>
      </c>
      <c r="G75" s="48">
        <f t="shared" ref="G75" si="42">SUM(G70:G74)</f>
        <v>-299603251.1606611</v>
      </c>
      <c r="H75" s="74"/>
      <c r="I75" s="58">
        <f t="shared" ref="I75:L75" si="43">SUM(I70:I74)</f>
        <v>0</v>
      </c>
      <c r="J75" s="58">
        <f t="shared" si="43"/>
        <v>0</v>
      </c>
      <c r="K75" s="58">
        <f t="shared" si="43"/>
        <v>0</v>
      </c>
      <c r="L75" s="58">
        <f t="shared" si="43"/>
        <v>0</v>
      </c>
      <c r="M75" s="58">
        <f t="shared" ref="M75" si="44">SUM(M70:M74)</f>
        <v>0</v>
      </c>
      <c r="N75" s="122" t="s">
        <v>116</v>
      </c>
      <c r="O75" s="122" t="s">
        <v>115</v>
      </c>
    </row>
    <row r="76" spans="1:15" x14ac:dyDescent="0.25">
      <c r="A76" s="4" t="str">
        <f>IF(ISBLANK(B76),"",MAX(A$6:A75)+1)</f>
        <v/>
      </c>
      <c r="B76" s="49"/>
      <c r="H76" s="47"/>
      <c r="N76" s="122" t="s">
        <v>116</v>
      </c>
      <c r="O76" s="122" t="s">
        <v>115</v>
      </c>
    </row>
    <row r="77" spans="1:15" x14ac:dyDescent="0.25">
      <c r="A77" s="4">
        <f>IF(ISBLANK(B77),"",MAX(A$6:A76)+1)</f>
        <v>58</v>
      </c>
      <c r="B77" s="49" t="s">
        <v>74</v>
      </c>
      <c r="H77" s="47"/>
      <c r="N77" s="122" t="s">
        <v>116</v>
      </c>
      <c r="O77" s="122" t="s">
        <v>115</v>
      </c>
    </row>
    <row r="78" spans="1:15" x14ac:dyDescent="0.25">
      <c r="A78" s="4">
        <f>IF(ISBLANK(B78),"",MAX(A$6:A77)+1)</f>
        <v>59</v>
      </c>
      <c r="B78" s="50" t="s">
        <v>85</v>
      </c>
      <c r="C78" s="43">
        <f>[3]Gas_CBR!M80</f>
        <v>0</v>
      </c>
      <c r="D78" s="43"/>
      <c r="E78" s="43"/>
      <c r="F78" s="43"/>
      <c r="G78" s="43">
        <f>SUM(C78:F78)</f>
        <v>0</v>
      </c>
      <c r="H78" s="66"/>
      <c r="I78" s="27"/>
      <c r="J78" s="27"/>
      <c r="K78" s="27"/>
      <c r="L78" s="27"/>
      <c r="M78" s="27">
        <f>SUM(I78:L78)</f>
        <v>0</v>
      </c>
      <c r="N78" s="122" t="s">
        <v>116</v>
      </c>
      <c r="O78" s="122" t="s">
        <v>115</v>
      </c>
    </row>
    <row r="79" spans="1:15" x14ac:dyDescent="0.25">
      <c r="A79" s="4">
        <f>IF(ISBLANK(B79),"",MAX(A$6:A78)+1)</f>
        <v>60</v>
      </c>
      <c r="B79" s="50" t="s">
        <v>53</v>
      </c>
      <c r="C79" s="36">
        <f>[3]Gas_CBR!M81</f>
        <v>0</v>
      </c>
      <c r="D79" s="36"/>
      <c r="E79" s="36"/>
      <c r="F79" s="36"/>
      <c r="G79" s="36">
        <f>SUM(C79:F79)</f>
        <v>0</v>
      </c>
      <c r="H79" s="66"/>
      <c r="I79" s="7"/>
      <c r="J79" s="7"/>
      <c r="K79" s="7"/>
      <c r="L79" s="7"/>
      <c r="M79" s="7">
        <f>SUM(I79:L79)</f>
        <v>0</v>
      </c>
      <c r="N79" s="122" t="s">
        <v>116</v>
      </c>
      <c r="O79" s="122" t="s">
        <v>115</v>
      </c>
    </row>
    <row r="80" spans="1:15" x14ac:dyDescent="0.25">
      <c r="A80" s="4">
        <f>IF(ISBLANK(B80),"",MAX(A$6:A79)+1)</f>
        <v>61</v>
      </c>
      <c r="B80" s="50" t="s">
        <v>54</v>
      </c>
      <c r="C80" s="36">
        <f>[3]Gas_CBR!M82+'[9]Detailed Summary'!$AV$53</f>
        <v>-249929943.41848913</v>
      </c>
      <c r="D80" s="36"/>
      <c r="E80" s="36"/>
      <c r="F80" s="36"/>
      <c r="G80" s="36">
        <f>SUM(C80:F80)</f>
        <v>-249929943.41848913</v>
      </c>
      <c r="H80" s="66"/>
      <c r="I80" s="63"/>
      <c r="J80" s="63"/>
      <c r="K80" s="63"/>
      <c r="L80" s="63"/>
      <c r="M80" s="63">
        <f t="shared" ref="M80:M82" si="45">SUM(I80:L80)</f>
        <v>0</v>
      </c>
      <c r="N80" s="122" t="s">
        <v>116</v>
      </c>
      <c r="O80" s="122" t="s">
        <v>115</v>
      </c>
    </row>
    <row r="81" spans="1:15" x14ac:dyDescent="0.25">
      <c r="A81" s="4">
        <f>IF(ISBLANK(B81),"",MAX(A$6:A80)+1)</f>
        <v>62</v>
      </c>
      <c r="B81" s="50" t="s">
        <v>55</v>
      </c>
      <c r="C81" s="36">
        <f>[3]Gas_CBR!M83+'[9]Detailed Summary'!$X$53</f>
        <v>-15866663.571115604</v>
      </c>
      <c r="D81" s="36"/>
      <c r="E81" s="36"/>
      <c r="F81" s="36"/>
      <c r="G81" s="36">
        <f>SUM(C81:F81)</f>
        <v>-15866663.571115604</v>
      </c>
      <c r="H81" s="66"/>
      <c r="I81" s="63"/>
      <c r="J81" s="63"/>
      <c r="K81" s="63"/>
      <c r="L81" s="63"/>
      <c r="M81" s="63">
        <f t="shared" si="45"/>
        <v>0</v>
      </c>
      <c r="N81" s="122" t="s">
        <v>116</v>
      </c>
      <c r="O81" s="122" t="s">
        <v>115</v>
      </c>
    </row>
    <row r="82" spans="1:15" x14ac:dyDescent="0.25">
      <c r="A82" s="4">
        <f>IF(ISBLANK(B82),"",MAX(A$6:A81)+1)</f>
        <v>63</v>
      </c>
      <c r="B82" s="50" t="s">
        <v>56</v>
      </c>
      <c r="C82" s="36">
        <f>[3]Gas_CBR!M84</f>
        <v>-19750584.467418134</v>
      </c>
      <c r="D82" s="36"/>
      <c r="E82" s="36"/>
      <c r="F82" s="36"/>
      <c r="G82" s="36">
        <f>SUM(C82:F82)</f>
        <v>-19750584.467418134</v>
      </c>
      <c r="H82" s="66"/>
      <c r="I82" s="63"/>
      <c r="J82" s="63"/>
      <c r="K82" s="63"/>
      <c r="L82" s="63"/>
      <c r="M82" s="63">
        <f t="shared" si="45"/>
        <v>0</v>
      </c>
      <c r="N82" s="122" t="s">
        <v>116</v>
      </c>
      <c r="O82" s="122" t="s">
        <v>115</v>
      </c>
    </row>
    <row r="83" spans="1:15" x14ac:dyDescent="0.25">
      <c r="A83" s="4">
        <f>IF(ISBLANK(B83),"",MAX(A$6:A82)+1)</f>
        <v>64</v>
      </c>
      <c r="B83" s="51" t="s">
        <v>0</v>
      </c>
      <c r="C83" s="135">
        <f t="shared" ref="C83:F83" si="46">SUM(C78:C82)</f>
        <v>-285547191.45702291</v>
      </c>
      <c r="D83" s="135">
        <f t="shared" si="46"/>
        <v>0</v>
      </c>
      <c r="E83" s="135">
        <f t="shared" si="46"/>
        <v>0</v>
      </c>
      <c r="F83" s="135">
        <f t="shared" si="46"/>
        <v>0</v>
      </c>
      <c r="G83" s="48">
        <f t="shared" ref="G83" si="47">SUM(G78:G82)</f>
        <v>-285547191.45702291</v>
      </c>
      <c r="H83" s="74"/>
      <c r="I83" s="58">
        <f t="shared" ref="I83:L83" si="48">SUM(I78:I82)</f>
        <v>0</v>
      </c>
      <c r="J83" s="58">
        <f t="shared" si="48"/>
        <v>0</v>
      </c>
      <c r="K83" s="58">
        <f t="shared" si="48"/>
        <v>0</v>
      </c>
      <c r="L83" s="58">
        <f t="shared" si="48"/>
        <v>0</v>
      </c>
      <c r="M83" s="58">
        <f t="shared" ref="M83" si="49">SUM(M78:M82)</f>
        <v>0</v>
      </c>
      <c r="N83" s="120">
        <v>-22996</v>
      </c>
      <c r="O83" s="122" t="s">
        <v>115</v>
      </c>
    </row>
    <row r="84" spans="1:15" x14ac:dyDescent="0.25">
      <c r="A84" s="4" t="str">
        <f>IF(ISBLANK(B84),"",MAX(A$6:A83)+1)</f>
        <v/>
      </c>
      <c r="B84" s="49"/>
      <c r="H84" s="47"/>
      <c r="N84" s="122" t="s">
        <v>116</v>
      </c>
      <c r="O84" s="122" t="s">
        <v>115</v>
      </c>
    </row>
    <row r="85" spans="1:15" x14ac:dyDescent="0.25">
      <c r="A85" s="4">
        <f>IF(ISBLANK(B85),"",MAX(A$6:A84)+1)</f>
        <v>65</v>
      </c>
      <c r="B85" s="49" t="s">
        <v>75</v>
      </c>
      <c r="H85" s="47"/>
      <c r="N85" s="120">
        <v>-522082599</v>
      </c>
      <c r="O85" s="122" t="s">
        <v>115</v>
      </c>
    </row>
    <row r="86" spans="1:15" x14ac:dyDescent="0.25">
      <c r="A86" s="4">
        <f>IF(ISBLANK(B86),"",MAX(A$6:A85)+1)</f>
        <v>66</v>
      </c>
      <c r="B86" s="50" t="s">
        <v>85</v>
      </c>
      <c r="C86" s="43">
        <f t="shared" ref="C86:F90" si="50">C70+C78</f>
        <v>0</v>
      </c>
      <c r="D86" s="43">
        <f t="shared" si="50"/>
        <v>0</v>
      </c>
      <c r="E86" s="43">
        <f t="shared" si="50"/>
        <v>0</v>
      </c>
      <c r="F86" s="43">
        <f t="shared" si="50"/>
        <v>0</v>
      </c>
      <c r="G86" s="43">
        <f t="shared" ref="G86" si="51">G70+G78</f>
        <v>0</v>
      </c>
      <c r="H86" s="47"/>
      <c r="I86" s="43">
        <f>'[6]Gas Consol'!K18</f>
        <v>-25135.234639213828</v>
      </c>
      <c r="J86" s="43"/>
      <c r="K86" s="43"/>
      <c r="L86" s="43"/>
      <c r="M86" s="43">
        <f>SUM(I86:L86)</f>
        <v>-25135.234639213828</v>
      </c>
      <c r="N86" s="120">
        <v>-1334692</v>
      </c>
      <c r="O86" s="122" t="s">
        <v>115</v>
      </c>
    </row>
    <row r="87" spans="1:15" x14ac:dyDescent="0.25">
      <c r="A87" s="4">
        <f>IF(ISBLANK(B87),"",MAX(A$6:A86)+1)</f>
        <v>67</v>
      </c>
      <c r="B87" s="50" t="s">
        <v>53</v>
      </c>
      <c r="C87" s="36">
        <f t="shared" si="50"/>
        <v>0</v>
      </c>
      <c r="D87" s="36">
        <f t="shared" si="50"/>
        <v>0</v>
      </c>
      <c r="E87" s="36">
        <f t="shared" si="50"/>
        <v>0</v>
      </c>
      <c r="F87" s="36">
        <f t="shared" si="50"/>
        <v>0</v>
      </c>
      <c r="G87" s="36">
        <f>G71+G79</f>
        <v>0</v>
      </c>
      <c r="H87" s="47"/>
      <c r="I87" s="43">
        <f>'[6]Gas Consol'!K19</f>
        <v>0</v>
      </c>
      <c r="J87" s="36"/>
      <c r="K87" s="36"/>
      <c r="L87" s="36"/>
      <c r="M87" s="36">
        <f>SUM(I87:L87)</f>
        <v>0</v>
      </c>
      <c r="N87" s="120">
        <v>-74465217</v>
      </c>
      <c r="O87" s="122" t="s">
        <v>115</v>
      </c>
    </row>
    <row r="88" spans="1:15" x14ac:dyDescent="0.25">
      <c r="A88" s="4">
        <f>IF(ISBLANK(B88),"",MAX(A$6:A87)+1)</f>
        <v>68</v>
      </c>
      <c r="B88" s="50" t="s">
        <v>54</v>
      </c>
      <c r="C88" s="36">
        <f t="shared" si="50"/>
        <v>-521776876.11116672</v>
      </c>
      <c r="D88" s="36">
        <f t="shared" si="50"/>
        <v>8025584.9516680902</v>
      </c>
      <c r="E88" s="36">
        <f t="shared" si="50"/>
        <v>1289851.786132125</v>
      </c>
      <c r="F88" s="36">
        <f t="shared" si="50"/>
        <v>0</v>
      </c>
      <c r="G88" s="36">
        <f>G72+G80</f>
        <v>-512461439.37336653</v>
      </c>
      <c r="H88" s="47"/>
      <c r="I88" s="43">
        <f>'[6]Gas Consol'!K20+'[6]Gas Consol'!$K$23</f>
        <v>-519928798.04532766</v>
      </c>
      <c r="J88" s="36">
        <v>-8937256.0344074257</v>
      </c>
      <c r="K88" s="36">
        <f>'[6]Gas Consol'!$K$25</f>
        <v>-3098028.4348515272</v>
      </c>
      <c r="L88" s="36"/>
      <c r="M88" s="36">
        <f>SUM(I88:L88)</f>
        <v>-531964082.51458663</v>
      </c>
      <c r="N88" s="120">
        <v>-597905505</v>
      </c>
      <c r="O88" s="122" t="s">
        <v>115</v>
      </c>
    </row>
    <row r="89" spans="1:15" x14ac:dyDescent="0.25">
      <c r="A89" s="4">
        <f>IF(ISBLANK(B89),"",MAX(A$6:A88)+1)</f>
        <v>69</v>
      </c>
      <c r="B89" s="50" t="s">
        <v>55</v>
      </c>
      <c r="C89" s="36">
        <f t="shared" si="50"/>
        <v>-32799289.46466554</v>
      </c>
      <c r="D89" s="36">
        <f t="shared" si="50"/>
        <v>0</v>
      </c>
      <c r="E89" s="36">
        <f t="shared" si="50"/>
        <v>0</v>
      </c>
      <c r="F89" s="36">
        <f t="shared" si="50"/>
        <v>927817.70801036642</v>
      </c>
      <c r="G89" s="36">
        <f>G73+G81</f>
        <v>-31871471.756655172</v>
      </c>
      <c r="H89" s="47"/>
      <c r="I89" s="43">
        <f>'[6]Gas Consol'!K21</f>
        <v>-1749450.9290312438</v>
      </c>
      <c r="J89" s="36"/>
      <c r="K89" s="36"/>
      <c r="L89" s="36">
        <f>'[6]Gas Consol'!$K$26</f>
        <v>806144.13888261456</v>
      </c>
      <c r="M89" s="36">
        <f>SUM(I89:L89)</f>
        <v>-943306.79014862922</v>
      </c>
      <c r="N89" s="122" t="s">
        <v>116</v>
      </c>
      <c r="O89" s="122" t="s">
        <v>115</v>
      </c>
    </row>
    <row r="90" spans="1:15" x14ac:dyDescent="0.25">
      <c r="A90" s="4">
        <f>IF(ISBLANK(B90),"",MAX(A$6:A89)+1)</f>
        <v>70</v>
      </c>
      <c r="B90" s="50" t="s">
        <v>56</v>
      </c>
      <c r="C90" s="36">
        <f t="shared" si="50"/>
        <v>-40817531.487662278</v>
      </c>
      <c r="D90" s="36">
        <f t="shared" si="50"/>
        <v>0</v>
      </c>
      <c r="E90" s="36">
        <f t="shared" si="50"/>
        <v>0</v>
      </c>
      <c r="F90" s="36">
        <f t="shared" si="50"/>
        <v>0</v>
      </c>
      <c r="G90" s="36">
        <f>G74+G82</f>
        <v>-40817531.487662278</v>
      </c>
      <c r="H90" s="47"/>
      <c r="I90" s="43">
        <f>'[6]Gas Consol'!K22</f>
        <v>-74428375.067593127</v>
      </c>
      <c r="J90" s="36"/>
      <c r="K90" s="36"/>
      <c r="L90" s="36"/>
      <c r="M90" s="36">
        <f>SUM(I90:L90)</f>
        <v>-74428375.067593127</v>
      </c>
      <c r="N90" s="122" t="s">
        <v>116</v>
      </c>
      <c r="O90" s="122" t="s">
        <v>115</v>
      </c>
    </row>
    <row r="91" spans="1:15" x14ac:dyDescent="0.25">
      <c r="A91" s="4">
        <f>IF(ISBLANK(B91),"",MAX(A$6:A90)+1)</f>
        <v>71</v>
      </c>
      <c r="B91" s="51" t="s">
        <v>0</v>
      </c>
      <c r="C91" s="135">
        <f t="shared" ref="C91:F91" si="52">SUM(C86:C90)</f>
        <v>-595393697.06349456</v>
      </c>
      <c r="D91" s="135">
        <f t="shared" si="52"/>
        <v>8025584.9516680902</v>
      </c>
      <c r="E91" s="135">
        <f t="shared" si="52"/>
        <v>1289851.786132125</v>
      </c>
      <c r="F91" s="135">
        <f t="shared" si="52"/>
        <v>927817.70801036642</v>
      </c>
      <c r="G91" s="48">
        <f t="shared" ref="G91" si="53">SUM(G86:G90)</f>
        <v>-585150442.61768401</v>
      </c>
      <c r="H91" s="74"/>
      <c r="I91" s="135">
        <f t="shared" ref="I91:L91" si="54">SUM(I86:I90)</f>
        <v>-596131759.2765913</v>
      </c>
      <c r="J91" s="135">
        <f>SUM(J86:J90)</f>
        <v>-8937256.0344074257</v>
      </c>
      <c r="K91" s="135">
        <f>SUM(K86:K90)</f>
        <v>-3098028.4348515272</v>
      </c>
      <c r="L91" s="135">
        <f t="shared" si="54"/>
        <v>806144.13888261456</v>
      </c>
      <c r="M91" s="48">
        <f t="shared" ref="M91" si="55">SUM(M86:M90)</f>
        <v>-607360899.60696757</v>
      </c>
      <c r="N91" s="120">
        <v>34027948</v>
      </c>
      <c r="O91" s="122" t="s">
        <v>115</v>
      </c>
    </row>
    <row r="92" spans="1:15" x14ac:dyDescent="0.25">
      <c r="A92" s="4" t="str">
        <f>IF(ISBLANK(B92),"",MAX(A$6:A91)+1)</f>
        <v/>
      </c>
      <c r="B92" s="80"/>
      <c r="H92" s="47"/>
      <c r="N92" s="122" t="s">
        <v>116</v>
      </c>
      <c r="O92" s="122" t="s">
        <v>115</v>
      </c>
    </row>
    <row r="93" spans="1:15" x14ac:dyDescent="0.25">
      <c r="A93" s="4">
        <f>IF(ISBLANK(B93),"",MAX(A$6:A92)+1)</f>
        <v>72</v>
      </c>
      <c r="B93" s="49" t="s">
        <v>92</v>
      </c>
      <c r="H93" s="47"/>
      <c r="N93" s="120">
        <v>2053518854</v>
      </c>
      <c r="O93" s="122" t="s">
        <v>115</v>
      </c>
    </row>
    <row r="94" spans="1:15" x14ac:dyDescent="0.25">
      <c r="A94" s="4">
        <f>IF(ISBLANK(B94),"",MAX(A$6:A93)+1)</f>
        <v>73</v>
      </c>
      <c r="B94" s="50" t="s">
        <v>85</v>
      </c>
      <c r="C94" s="43">
        <f t="shared" ref="C94:F98" si="56">C54+C62+C86</f>
        <v>43349371.510728195</v>
      </c>
      <c r="D94" s="43">
        <f t="shared" si="56"/>
        <v>0</v>
      </c>
      <c r="E94" s="43">
        <f t="shared" si="56"/>
        <v>0</v>
      </c>
      <c r="F94" s="43">
        <f t="shared" si="56"/>
        <v>0</v>
      </c>
      <c r="G94" s="43">
        <f t="shared" ref="G94" si="57">G54+G62+G86</f>
        <v>43349371.510728195</v>
      </c>
      <c r="H94" s="47"/>
      <c r="I94" s="43">
        <f t="shared" ref="I94:L98" si="58">I54+I62+I86</f>
        <v>34175388.809849545</v>
      </c>
      <c r="J94" s="43">
        <f t="shared" si="58"/>
        <v>0</v>
      </c>
      <c r="K94" s="43">
        <f t="shared" si="58"/>
        <v>0</v>
      </c>
      <c r="L94" s="43">
        <f t="shared" si="58"/>
        <v>0</v>
      </c>
      <c r="M94" s="43">
        <f t="shared" ref="M94:M98" si="59">M54+M62+M86</f>
        <v>34175388.809849545</v>
      </c>
      <c r="N94" s="120">
        <v>116023358</v>
      </c>
      <c r="O94" s="122" t="s">
        <v>115</v>
      </c>
    </row>
    <row r="95" spans="1:15" x14ac:dyDescent="0.25">
      <c r="A95" s="4">
        <f>IF(ISBLANK(B95),"",MAX(A$6:A94)+1)</f>
        <v>74</v>
      </c>
      <c r="B95" s="50" t="s">
        <v>53</v>
      </c>
      <c r="C95" s="36">
        <f t="shared" si="56"/>
        <v>0</v>
      </c>
      <c r="D95" s="36">
        <f t="shared" si="56"/>
        <v>0</v>
      </c>
      <c r="E95" s="36">
        <f t="shared" si="56"/>
        <v>0</v>
      </c>
      <c r="F95" s="36">
        <f t="shared" si="56"/>
        <v>0</v>
      </c>
      <c r="G95" s="36">
        <f>G55+G63+G87</f>
        <v>0</v>
      </c>
      <c r="H95" s="47"/>
      <c r="I95" s="36">
        <f t="shared" si="58"/>
        <v>0</v>
      </c>
      <c r="J95" s="36">
        <f t="shared" si="58"/>
        <v>0</v>
      </c>
      <c r="K95" s="36">
        <f t="shared" si="58"/>
        <v>0</v>
      </c>
      <c r="L95" s="36">
        <f t="shared" si="58"/>
        <v>0</v>
      </c>
      <c r="M95" s="36">
        <f t="shared" si="59"/>
        <v>0</v>
      </c>
      <c r="N95" s="120">
        <v>65053662</v>
      </c>
      <c r="O95" s="122" t="s">
        <v>115</v>
      </c>
    </row>
    <row r="96" spans="1:15" x14ac:dyDescent="0.25">
      <c r="A96" s="4">
        <f>IF(ISBLANK(B96),"",MAX(A$6:A95)+1)</f>
        <v>75</v>
      </c>
      <c r="B96" s="50" t="s">
        <v>54</v>
      </c>
      <c r="C96" s="36">
        <f t="shared" si="56"/>
        <v>1724956481.9732268</v>
      </c>
      <c r="D96" s="36">
        <f t="shared" si="56"/>
        <v>-73516466.176427826</v>
      </c>
      <c r="E96" s="36">
        <f t="shared" si="56"/>
        <v>-13642850.873609414</v>
      </c>
      <c r="F96" s="36">
        <f t="shared" si="56"/>
        <v>0</v>
      </c>
      <c r="G96" s="36">
        <f>G56+G64+G88</f>
        <v>1637797164.9231894</v>
      </c>
      <c r="H96" s="47"/>
      <c r="I96" s="36">
        <f t="shared" si="58"/>
        <v>1777801176.6764522</v>
      </c>
      <c r="J96" s="36">
        <f t="shared" si="58"/>
        <v>86797981.275974497</v>
      </c>
      <c r="K96" s="36">
        <f t="shared" si="58"/>
        <v>53104072.467027813</v>
      </c>
      <c r="L96" s="36">
        <f t="shared" si="58"/>
        <v>0</v>
      </c>
      <c r="M96" s="36">
        <f t="shared" si="59"/>
        <v>1917703230.4194543</v>
      </c>
      <c r="N96" s="120">
        <v>2268623823</v>
      </c>
      <c r="O96" s="122" t="s">
        <v>115</v>
      </c>
    </row>
    <row r="97" spans="1:15" x14ac:dyDescent="0.25">
      <c r="A97" s="4">
        <f>IF(ISBLANK(B97),"",MAX(A$6:A96)+1)</f>
        <v>76</v>
      </c>
      <c r="B97" s="50" t="s">
        <v>55</v>
      </c>
      <c r="C97" s="36">
        <f t="shared" si="56"/>
        <v>59345279.065581746</v>
      </c>
      <c r="D97" s="36">
        <f t="shared" si="56"/>
        <v>0</v>
      </c>
      <c r="E97" s="36">
        <f t="shared" si="56"/>
        <v>0</v>
      </c>
      <c r="F97" s="36">
        <f t="shared" si="56"/>
        <v>-14239197.195381718</v>
      </c>
      <c r="G97" s="36">
        <f>G57+G65+G89</f>
        <v>45106081.870200023</v>
      </c>
      <c r="H97" s="47"/>
      <c r="I97" s="36">
        <f t="shared" si="58"/>
        <v>37590706.897360273</v>
      </c>
      <c r="J97" s="36">
        <f t="shared" si="58"/>
        <v>0</v>
      </c>
      <c r="K97" s="36">
        <f t="shared" si="58"/>
        <v>0</v>
      </c>
      <c r="L97" s="36">
        <f t="shared" si="58"/>
        <v>64941849.518273637</v>
      </c>
      <c r="M97" s="36">
        <f t="shared" si="59"/>
        <v>102532556.41563393</v>
      </c>
      <c r="N97" s="122" t="s">
        <v>116</v>
      </c>
      <c r="O97" s="122" t="s">
        <v>115</v>
      </c>
    </row>
    <row r="98" spans="1:15" x14ac:dyDescent="0.25">
      <c r="A98" s="4">
        <f>IF(ISBLANK(B98),"",MAX(A$6:A97)+1)</f>
        <v>77</v>
      </c>
      <c r="B98" s="50" t="s">
        <v>56</v>
      </c>
      <c r="C98" s="36">
        <f t="shared" si="56"/>
        <v>76524776.056572318</v>
      </c>
      <c r="D98" s="36">
        <f t="shared" si="56"/>
        <v>0</v>
      </c>
      <c r="E98" s="36">
        <f t="shared" si="56"/>
        <v>0</v>
      </c>
      <c r="F98" s="36">
        <f t="shared" si="56"/>
        <v>0</v>
      </c>
      <c r="G98" s="36">
        <f>G58+G66+G90</f>
        <v>76524776.056572318</v>
      </c>
      <c r="H98" s="45"/>
      <c r="I98" s="36">
        <f t="shared" si="58"/>
        <v>62280659.588161647</v>
      </c>
      <c r="J98" s="36">
        <f t="shared" si="58"/>
        <v>0</v>
      </c>
      <c r="K98" s="36">
        <f t="shared" si="58"/>
        <v>0</v>
      </c>
      <c r="L98" s="36">
        <f t="shared" si="58"/>
        <v>0</v>
      </c>
      <c r="M98" s="36">
        <f t="shared" si="59"/>
        <v>62280659.588161647</v>
      </c>
      <c r="N98" s="120">
        <v>-3699966</v>
      </c>
      <c r="O98" s="122" t="s">
        <v>115</v>
      </c>
    </row>
    <row r="99" spans="1:15" x14ac:dyDescent="0.25">
      <c r="A99" s="4">
        <f>IF(ISBLANK(B99),"",MAX(A$6:A98)+1)</f>
        <v>78</v>
      </c>
      <c r="B99" s="51" t="s">
        <v>0</v>
      </c>
      <c r="C99" s="135">
        <f t="shared" ref="C99:F99" si="60">SUM(C94:C98)</f>
        <v>1904175908.6061091</v>
      </c>
      <c r="D99" s="135">
        <f t="shared" si="60"/>
        <v>-73516466.176427826</v>
      </c>
      <c r="E99" s="135">
        <f t="shared" si="60"/>
        <v>-13642850.873609414</v>
      </c>
      <c r="F99" s="135">
        <f t="shared" si="60"/>
        <v>-14239197.195381718</v>
      </c>
      <c r="G99" s="48">
        <f t="shared" ref="G99" si="61">SUM(G94:G98)</f>
        <v>1802777394.3606896</v>
      </c>
      <c r="H99" s="44"/>
      <c r="I99" s="135">
        <f t="shared" ref="I99:L99" si="62">SUM(I94:I98)</f>
        <v>1911847931.9718237</v>
      </c>
      <c r="J99" s="135">
        <f>SUM(J94:J98)</f>
        <v>86797981.275974497</v>
      </c>
      <c r="K99" s="135">
        <f>SUM(K94:K98)</f>
        <v>53104072.467027813</v>
      </c>
      <c r="L99" s="135">
        <f t="shared" si="62"/>
        <v>64941849.518273637</v>
      </c>
      <c r="M99" s="48">
        <f t="shared" ref="M99" si="63">SUM(M94:M98)</f>
        <v>2116691835.2330995</v>
      </c>
      <c r="N99" s="120">
        <v>-29952462</v>
      </c>
      <c r="O99" s="122" t="s">
        <v>115</v>
      </c>
    </row>
    <row r="100" spans="1:15" x14ac:dyDescent="0.25">
      <c r="A100" s="4" t="str">
        <f>IF(ISBLANK(B100),"",MAX(A$6:A99)+1)</f>
        <v/>
      </c>
      <c r="B100" s="80"/>
      <c r="H100" s="45"/>
      <c r="N100" s="120">
        <v>54431800</v>
      </c>
      <c r="O100" s="122" t="s">
        <v>115</v>
      </c>
    </row>
    <row r="101" spans="1:15" x14ac:dyDescent="0.25">
      <c r="A101" s="4">
        <f>IF(ISBLANK(B101),"",MAX(A$6:A100)+1)</f>
        <v>79</v>
      </c>
      <c r="B101" s="50" t="s">
        <v>87</v>
      </c>
      <c r="C101" s="43">
        <f>[3]Gas_CBR!M103+'[1]Exh p2'!$I$52+'[1]Exh p2'!$J$52</f>
        <v>-5566887.0145042082</v>
      </c>
      <c r="D101" s="43"/>
      <c r="E101" s="43"/>
      <c r="F101" s="43"/>
      <c r="G101" s="43">
        <f>SUM(C101:F101)</f>
        <v>-5566887.0145042082</v>
      </c>
      <c r="H101" s="45"/>
      <c r="I101" s="43">
        <f t="shared" ref="I101:I103" si="64">G101*(1+H101)^(28/12)</f>
        <v>-5566887.0145042082</v>
      </c>
      <c r="J101" s="43"/>
      <c r="K101" s="43"/>
      <c r="L101" s="43"/>
      <c r="M101" s="43">
        <f>SUM(I101:L101)</f>
        <v>-5566887.0145042082</v>
      </c>
      <c r="N101" s="120">
        <v>2289403195</v>
      </c>
      <c r="O101" s="122" t="s">
        <v>115</v>
      </c>
    </row>
    <row r="102" spans="1:15" x14ac:dyDescent="0.25">
      <c r="A102" s="4">
        <f>IF(ISBLANK(B102),"",MAX(A$6:A101)+1)</f>
        <v>80</v>
      </c>
      <c r="B102" s="50" t="s">
        <v>88</v>
      </c>
      <c r="C102" s="36">
        <f>'[1]Exh p2'!$N$53+'[1]Exh p2'!$N$55</f>
        <v>-21062359.944484368</v>
      </c>
      <c r="D102" s="36"/>
      <c r="E102" s="36"/>
      <c r="F102" s="36"/>
      <c r="G102" s="36">
        <f>SUM(C102:F102)</f>
        <v>-21062359.944484368</v>
      </c>
      <c r="H102" s="7"/>
      <c r="I102" s="36">
        <f t="shared" si="64"/>
        <v>-21062359.944484368</v>
      </c>
      <c r="J102" s="36"/>
      <c r="K102" s="36"/>
      <c r="L102" s="36"/>
      <c r="M102" s="36">
        <f>SUM(I102:L102)</f>
        <v>-21062359.944484368</v>
      </c>
      <c r="N102" s="122" t="s">
        <v>116</v>
      </c>
      <c r="O102" s="122" t="s">
        <v>115</v>
      </c>
    </row>
    <row r="103" spans="1:15" x14ac:dyDescent="0.25">
      <c r="A103" s="4">
        <f>IF(ISBLANK(B103),"",MAX(A$6:A102)+1)</f>
        <v>81</v>
      </c>
      <c r="B103" s="50" t="s">
        <v>64</v>
      </c>
      <c r="C103" s="36">
        <f>'[1]Exh p2'!$N$54</f>
        <v>54431800.053166389</v>
      </c>
      <c r="D103" s="36"/>
      <c r="E103" s="36"/>
      <c r="F103" s="36"/>
      <c r="G103" s="36">
        <f>SUM(C103:F103)</f>
        <v>54431800.053166389</v>
      </c>
      <c r="H103" s="7"/>
      <c r="I103" s="36">
        <f t="shared" si="64"/>
        <v>54431800.053166389</v>
      </c>
      <c r="J103" s="36"/>
      <c r="K103" s="36"/>
      <c r="L103" s="36"/>
      <c r="M103" s="36">
        <f>SUM(I103:L103)</f>
        <v>54431800.053166389</v>
      </c>
      <c r="N103" s="120">
        <v>0</v>
      </c>
      <c r="O103" s="122" t="s">
        <v>115</v>
      </c>
    </row>
    <row r="104" spans="1:15" ht="15.75" thickBot="1" x14ac:dyDescent="0.3">
      <c r="A104" s="4">
        <f>IF(ISBLANK(B104),"",MAX(A$6:A103)+1)</f>
        <v>82</v>
      </c>
      <c r="B104" s="127" t="s">
        <v>89</v>
      </c>
      <c r="C104" s="128">
        <f t="shared" ref="C104:F104" si="65">SUM(C99:C103)</f>
        <v>1931978461.7002869</v>
      </c>
      <c r="D104" s="128">
        <f t="shared" si="65"/>
        <v>-73516466.176427826</v>
      </c>
      <c r="E104" s="128">
        <f t="shared" si="65"/>
        <v>-13642850.873609414</v>
      </c>
      <c r="F104" s="128">
        <f t="shared" si="65"/>
        <v>-14239197.195381718</v>
      </c>
      <c r="G104" s="128">
        <f t="shared" ref="G104" si="66">SUM(G99:G103)</f>
        <v>1830579947.4548674</v>
      </c>
      <c r="H104" s="44"/>
      <c r="I104" s="128">
        <f t="shared" ref="I104:L104" si="67">SUM(I99:I103)</f>
        <v>1939650485.0660014</v>
      </c>
      <c r="J104" s="128">
        <f t="shared" si="67"/>
        <v>86797981.275974497</v>
      </c>
      <c r="K104" s="128">
        <f t="shared" si="67"/>
        <v>53104072.467027813</v>
      </c>
      <c r="L104" s="128">
        <f t="shared" si="67"/>
        <v>64941849.518273637</v>
      </c>
      <c r="M104" s="128">
        <f t="shared" ref="M104" si="68">SUM(M99:M103)</f>
        <v>2144494388.3272772</v>
      </c>
      <c r="N104" s="120">
        <v>174734461</v>
      </c>
      <c r="O104" s="122" t="s">
        <v>115</v>
      </c>
    </row>
    <row r="105" spans="1:15" ht="15.75" thickTop="1" x14ac:dyDescent="0.25">
      <c r="A105" s="4" t="str">
        <f>IF(ISBLANK(B105),"",MAX(A$6:A104)+1)</f>
        <v/>
      </c>
      <c r="B105" s="129"/>
      <c r="H105" s="45"/>
      <c r="M105" s="130"/>
      <c r="N105" s="120">
        <v>82693470</v>
      </c>
      <c r="O105" s="122" t="s">
        <v>115</v>
      </c>
    </row>
    <row r="106" spans="1:15" x14ac:dyDescent="0.25">
      <c r="A106" s="4">
        <f>IF(ISBLANK(B106),"",MAX(A$6:A105)+1)</f>
        <v>83</v>
      </c>
      <c r="B106" s="42" t="s">
        <v>66</v>
      </c>
      <c r="C106" s="54"/>
      <c r="H106" s="45"/>
      <c r="M106" s="54">
        <f>'[9]COC, Def, ConvF'!$H$14</f>
        <v>7.3300000000000004E-2</v>
      </c>
      <c r="N106" s="120">
        <v>1</v>
      </c>
      <c r="O106" s="122" t="s">
        <v>115</v>
      </c>
    </row>
    <row r="107" spans="1:15" x14ac:dyDescent="0.25">
      <c r="A107" s="4">
        <f>IF(ISBLANK(B107),"",MAX(A$6:A106)+1)</f>
        <v>84</v>
      </c>
      <c r="B107" s="42" t="s">
        <v>67</v>
      </c>
      <c r="C107" s="43"/>
      <c r="D107" s="43"/>
      <c r="E107" s="43"/>
      <c r="F107" s="43"/>
      <c r="G107" s="43"/>
      <c r="H107" s="45"/>
      <c r="I107" s="43"/>
      <c r="J107" s="43"/>
      <c r="K107" s="43"/>
      <c r="L107" s="43"/>
      <c r="M107" s="43">
        <f>M51*M106</f>
        <v>157191438.66438937</v>
      </c>
      <c r="N107" s="120">
        <v>109658929</v>
      </c>
      <c r="O107" s="122" t="s">
        <v>115</v>
      </c>
    </row>
    <row r="108" spans="1:15" x14ac:dyDescent="0.25">
      <c r="A108" s="4">
        <f>IF(ISBLANK(B108),"",MAX(A$6:A107)+1)</f>
        <v>85</v>
      </c>
      <c r="B108" s="42" t="s">
        <v>68</v>
      </c>
      <c r="C108" s="43"/>
      <c r="H108" s="45"/>
      <c r="M108" s="43">
        <f>M107-M38</f>
        <v>61280863.272758305</v>
      </c>
      <c r="N108" s="120">
        <v>1</v>
      </c>
      <c r="O108" s="122" t="s">
        <v>115</v>
      </c>
    </row>
    <row r="109" spans="1:15" x14ac:dyDescent="0.25">
      <c r="A109" s="4">
        <f>IF(ISBLANK(B109),"",MAX(A$6:A108)+1)</f>
        <v>86</v>
      </c>
      <c r="B109" s="42" t="s">
        <v>69</v>
      </c>
      <c r="C109" s="60"/>
      <c r="D109" s="63"/>
      <c r="E109" s="63"/>
      <c r="F109" s="63"/>
      <c r="G109" s="63"/>
      <c r="H109" s="45"/>
      <c r="I109" s="63"/>
      <c r="J109" s="63"/>
      <c r="K109" s="63"/>
      <c r="L109" s="63"/>
      <c r="M109" s="59">
        <f>'[9]COC, Def, ConvF'!$M$20</f>
        <v>0.75409700000000002</v>
      </c>
      <c r="N109" s="120">
        <v>108111438</v>
      </c>
      <c r="O109" s="122" t="s">
        <v>115</v>
      </c>
    </row>
    <row r="110" spans="1:15" x14ac:dyDescent="0.25">
      <c r="A110" s="4">
        <f>IF(ISBLANK(B110),"",MAX(A$6:A109)+1)</f>
        <v>87</v>
      </c>
      <c r="B110" s="42" t="s">
        <v>70</v>
      </c>
      <c r="C110" s="43"/>
      <c r="H110" s="45"/>
      <c r="M110" s="43">
        <f>M108/M109</f>
        <v>81263900.098738357</v>
      </c>
      <c r="N110" s="122"/>
      <c r="O110" s="122" t="s">
        <v>115</v>
      </c>
    </row>
    <row r="111" spans="1:15" x14ac:dyDescent="0.25">
      <c r="A111" s="4">
        <f>IF(ISBLANK(B111),"",MAX(A$6:A110)+1)</f>
        <v>88</v>
      </c>
      <c r="B111" s="42" t="s">
        <v>71</v>
      </c>
      <c r="C111" s="54"/>
      <c r="D111" s="63"/>
      <c r="E111" s="63"/>
      <c r="F111" s="63"/>
      <c r="G111" s="63"/>
      <c r="H111" s="45"/>
      <c r="I111" s="63"/>
      <c r="J111" s="63"/>
      <c r="K111" s="63"/>
      <c r="L111" s="63"/>
      <c r="M111" s="59">
        <f>1+H11</f>
        <v>1.0142853088385619</v>
      </c>
      <c r="N111" s="122"/>
      <c r="O111" s="120">
        <v>0</v>
      </c>
    </row>
    <row r="112" spans="1:15" x14ac:dyDescent="0.25">
      <c r="A112" s="4">
        <f>IF(ISBLANK(B112),"",MAX(A$6:A111)+1)</f>
        <v>89</v>
      </c>
      <c r="B112" s="42" t="s">
        <v>72</v>
      </c>
      <c r="C112" s="63"/>
      <c r="D112" s="63"/>
      <c r="E112" s="63"/>
      <c r="F112" s="63"/>
      <c r="G112" s="63"/>
      <c r="H112" s="45"/>
      <c r="I112" s="63"/>
      <c r="J112" s="63"/>
      <c r="K112" s="63"/>
      <c r="L112" s="63"/>
      <c r="M112" s="43">
        <f>M110/M111</f>
        <v>80119370.15216364</v>
      </c>
      <c r="N112" s="122"/>
      <c r="O112" s="120">
        <v>174734461</v>
      </c>
    </row>
    <row r="113" spans="1:15" x14ac:dyDescent="0.25">
      <c r="A113" s="4" t="str">
        <f>IF(ISBLANK(B113),"",MAX(A$6:A112)+1)</f>
        <v/>
      </c>
      <c r="C113" s="63"/>
      <c r="D113" s="63"/>
      <c r="E113" s="63"/>
      <c r="F113" s="63"/>
      <c r="G113" s="63"/>
      <c r="H113" s="45"/>
      <c r="I113" s="63"/>
      <c r="J113" s="63"/>
      <c r="K113" s="63"/>
      <c r="L113" s="63"/>
      <c r="M113" s="63"/>
      <c r="O113" s="120">
        <v>82693470</v>
      </c>
    </row>
    <row r="114" spans="1:15" x14ac:dyDescent="0.25">
      <c r="A114" s="4" t="str">
        <f>IF(ISBLANK(B114),"",MAX(A$6:A113)+1)</f>
        <v/>
      </c>
      <c r="C114" s="63"/>
      <c r="D114" s="63"/>
      <c r="E114" s="63"/>
      <c r="F114" s="63"/>
      <c r="G114" s="63"/>
      <c r="H114" s="45"/>
      <c r="I114" s="63"/>
      <c r="J114" s="63"/>
      <c r="K114" s="63"/>
      <c r="L114" s="63"/>
      <c r="M114" s="63"/>
      <c r="O114" s="120">
        <v>1</v>
      </c>
    </row>
    <row r="115" spans="1:15" x14ac:dyDescent="0.25">
      <c r="A115" s="4" t="str">
        <f>IF(ISBLANK(B115),"",MAX(A$6:A114)+1)</f>
        <v/>
      </c>
      <c r="H115" s="45"/>
      <c r="M115" s="63"/>
      <c r="O115" s="120">
        <v>109658929</v>
      </c>
    </row>
    <row r="116" spans="1:15" x14ac:dyDescent="0.25">
      <c r="A116" s="4" t="str">
        <f>IF(ISBLANK(B116),"",MAX(A$6:A115)+1)</f>
        <v/>
      </c>
      <c r="C116" s="43"/>
      <c r="D116" s="43"/>
      <c r="E116" s="43"/>
      <c r="F116" s="43"/>
      <c r="G116" s="43"/>
      <c r="H116" s="45"/>
      <c r="I116" s="43"/>
      <c r="J116" s="43"/>
      <c r="K116" s="43"/>
      <c r="L116" s="43"/>
      <c r="M116" s="63"/>
      <c r="O116" s="120">
        <v>1</v>
      </c>
    </row>
    <row r="117" spans="1:15" x14ac:dyDescent="0.25">
      <c r="A117" s="4" t="str">
        <f>IF(ISBLANK(B117),"",MAX(A$6:A116)+1)</f>
        <v/>
      </c>
      <c r="C117" s="43"/>
      <c r="D117" s="43"/>
      <c r="E117" s="43"/>
      <c r="F117" s="43"/>
      <c r="G117" s="43"/>
      <c r="H117" s="45"/>
      <c r="I117" s="43"/>
      <c r="J117" s="43"/>
      <c r="K117" s="43"/>
      <c r="L117" s="43"/>
      <c r="M117" s="63"/>
      <c r="O117" s="120">
        <v>108111438</v>
      </c>
    </row>
    <row r="118" spans="1:15" x14ac:dyDescent="0.25">
      <c r="A118" s="4" t="str">
        <f>IF(ISBLANK(B118),"",MAX(A$6:A117)+1)</f>
        <v/>
      </c>
      <c r="C118" s="43"/>
      <c r="D118" s="43"/>
      <c r="E118" s="43"/>
      <c r="F118" s="43"/>
      <c r="G118" s="43"/>
      <c r="H118" s="45"/>
      <c r="I118" s="43"/>
      <c r="J118" s="43"/>
      <c r="K118" s="43"/>
      <c r="L118" s="43"/>
      <c r="M118" s="63"/>
      <c r="O118" s="122" t="s">
        <v>115</v>
      </c>
    </row>
    <row r="119" spans="1:15" x14ac:dyDescent="0.25">
      <c r="A119" s="4" t="str">
        <f>IF(ISBLANK(B119),"",MAX(A$6:A118)+1)</f>
        <v/>
      </c>
      <c r="H119" s="45"/>
      <c r="M119" s="63"/>
      <c r="O119" s="122" t="s">
        <v>115</v>
      </c>
    </row>
    <row r="120" spans="1:15" x14ac:dyDescent="0.25">
      <c r="C120" s="43"/>
      <c r="D120" s="43"/>
      <c r="E120" s="43"/>
      <c r="F120" s="43"/>
      <c r="G120" s="43"/>
      <c r="H120" s="45"/>
      <c r="I120" s="43"/>
      <c r="J120" s="43"/>
      <c r="K120" s="43"/>
      <c r="L120" s="43"/>
      <c r="M120" s="63"/>
      <c r="O120" s="122" t="s">
        <v>115</v>
      </c>
    </row>
    <row r="121" spans="1:15" x14ac:dyDescent="0.25">
      <c r="H121" s="45"/>
      <c r="M121" s="63"/>
      <c r="O121" s="122" t="s">
        <v>115</v>
      </c>
    </row>
    <row r="122" spans="1:15" x14ac:dyDescent="0.25">
      <c r="M122" s="63"/>
      <c r="O122" s="122" t="s">
        <v>115</v>
      </c>
    </row>
    <row r="123" spans="1:15" x14ac:dyDescent="0.25">
      <c r="C123" s="43"/>
      <c r="D123" s="43"/>
      <c r="E123" s="43"/>
      <c r="F123" s="43"/>
      <c r="G123" s="43"/>
      <c r="I123" s="43"/>
      <c r="J123" s="43"/>
      <c r="K123" s="43"/>
      <c r="L123" s="43"/>
      <c r="M123" s="63"/>
      <c r="O123" s="122" t="s">
        <v>115</v>
      </c>
    </row>
    <row r="124" spans="1:15" x14ac:dyDescent="0.25">
      <c r="M124" s="63"/>
      <c r="O124" s="122" t="s">
        <v>115</v>
      </c>
    </row>
    <row r="125" spans="1:15" x14ac:dyDescent="0.25">
      <c r="M125" s="63"/>
      <c r="O125" s="122" t="s">
        <v>115</v>
      </c>
    </row>
    <row r="126" spans="1:15" x14ac:dyDescent="0.25">
      <c r="M126" s="63"/>
      <c r="O126" s="122" t="s">
        <v>115</v>
      </c>
    </row>
    <row r="127" spans="1:15" x14ac:dyDescent="0.25">
      <c r="M127" s="63"/>
      <c r="O127" s="122">
        <v>0</v>
      </c>
    </row>
    <row r="128" spans="1:15" x14ac:dyDescent="0.25">
      <c r="C128" s="63"/>
      <c r="D128" s="63"/>
      <c r="E128" s="63"/>
      <c r="F128" s="63"/>
      <c r="G128" s="63"/>
      <c r="I128" s="63"/>
      <c r="J128" s="63"/>
      <c r="K128" s="63"/>
      <c r="L128" s="63"/>
      <c r="M128" s="63"/>
      <c r="O128" s="122">
        <v>0</v>
      </c>
    </row>
    <row r="129" spans="13:15" x14ac:dyDescent="0.25">
      <c r="M129" s="63"/>
      <c r="O129" s="122">
        <v>0</v>
      </c>
    </row>
    <row r="130" spans="13:15" x14ac:dyDescent="0.25">
      <c r="M130" s="63"/>
    </row>
    <row r="131" spans="13:15" x14ac:dyDescent="0.25">
      <c r="M131" s="63"/>
    </row>
  </sheetData>
  <printOptions horizontalCentered="1"/>
  <pageMargins left="0.2" right="0.2" top="0.7" bottom="0.5" header="0.2" footer="0.2"/>
  <pageSetup scale="56" fitToWidth="2" fitToHeight="2" orientation="landscape" horizontalDpi="1200" verticalDpi="1200" r:id="rId1"/>
  <headerFooter>
    <oddHeader xml:space="preserve">&amp;R&amp;"Times New Roman,Regular"Exh. JL-19
Dockets UE 190529 / UG-190530 and 
UE-190274 / UG-190275 (consol.)
Page &amp;P of &amp;N &amp;"-,Regular"
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ADA8E67FA331FF43BF84E9D28D09DA2F" PreviousValue="false"/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C404823-F18C-4A1F-9CD2-63236F8B8CEF}"/>
</file>

<file path=customXml/itemProps2.xml><?xml version="1.0" encoding="utf-8"?>
<ds:datastoreItem xmlns:ds="http://schemas.openxmlformats.org/officeDocument/2006/customXml" ds:itemID="{5E3B56F0-D875-4E13-B315-E82FB627A9AC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74ffd6c-51ec-4664-9ef0-dda9ef28b62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A86153-7EDB-420E-BF1E-20AEE2119A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2D76431-78B8-42F6-903E-BF4BD6D9A152}"/>
</file>

<file path=customXml/itemProps5.xml><?xml version="1.0" encoding="utf-8"?>
<ds:datastoreItem xmlns:ds="http://schemas.openxmlformats.org/officeDocument/2006/customXml" ds:itemID="{5E979943-EEB2-4BFB-BE83-BDEC283A5B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RJA-3_Electric_Attrition</vt:lpstr>
      <vt:lpstr>RJA-4_Gas_Attrition</vt:lpstr>
      <vt:lpstr>'RJA-3_Electric_Attrition'!Print_Area</vt:lpstr>
      <vt:lpstr>'RJA-4_Gas_Attrition'!Print_Area</vt:lpstr>
      <vt:lpstr>'RJA-3_Electric_Attrition'!Print_Titles</vt:lpstr>
      <vt:lpstr>'RJA-4_Gas_Attrition'!Print_Titles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Attrition Analysis Results</dc:title>
  <dc:creator>Patil, Alok A</dc:creator>
  <dc:description/>
  <cp:lastModifiedBy>Liu, Jing (UTC)</cp:lastModifiedBy>
  <cp:revision/>
  <cp:lastPrinted>2019-11-22T07:32:24Z</cp:lastPrinted>
  <dcterms:created xsi:type="dcterms:W3CDTF">2019-04-11T17:39:59Z</dcterms:created>
  <dcterms:modified xsi:type="dcterms:W3CDTF">2019-11-22T07:34:24Z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{1DEFBF65-9874-41F7-9D67-FA5922B935AE}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kwsk">
    <vt:lpwstr/>
  </property>
  <property fmtid="{D5CDD505-2E9C-101B-9397-08002B2CF9AE}" pid="6" name="EfsecDocumentType">
    <vt:lpwstr>Documents</vt:lpwstr>
  </property>
  <property fmtid="{D5CDD505-2E9C-101B-9397-08002B2CF9AE}" pid="12" name="IsOfficialRecord">
    <vt:bool>false</vt:bool>
  </property>
  <property fmtid="{D5CDD505-2E9C-101B-9397-08002B2CF9AE}" pid="13" name="IsVisibleToEfsecCouncil">
    <vt:bool>false</vt:bool>
  </property>
  <property fmtid="{D5CDD505-2E9C-101B-9397-08002B2CF9AE}" pid="20" name="_docset_NoMedatataSyncRequired">
    <vt:lpwstr>False</vt:lpwstr>
  </property>
  <property fmtid="{D5CDD505-2E9C-101B-9397-08002B2CF9AE}" pid="21" name="IsEFSEC">
    <vt:bool>false</vt:bool>
  </property>
</Properties>
</file>