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15480" windowHeight="5175" activeTab="0"/>
  </bookViews>
  <sheets>
    <sheet name="21.20 E" sheetId="1" r:id="rId1"/>
    <sheet name="13.20 G" sheetId="2" r:id="rId2"/>
    <sheet name="Non-Union Wage Incr" sheetId="3" r:id="rId3"/>
    <sheet name="Union Wage Increases " sheetId="4" r:id="rId4"/>
    <sheet name="Inv Plan" sheetId="5" r:id="rId5"/>
    <sheet name="rate case 2010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ECURRENT" hidden="1">'[1]ConsolidatingPL'!#REF!</definedName>
    <definedName name="_C_._DOWN_TERM_">'[2]CST STD!'!#REF!</definedName>
    <definedName name="_DOWN___COUPON_">'[2]CST STD!'!#REF!</definedName>
    <definedName name="_End">'[3]1.06'!#REF!</definedName>
    <definedName name="_END__DOWN__DOW">'[2]CST STD!'!#REF!</definedName>
    <definedName name="_Fill">#REF!</definedName>
    <definedName name="_GOTO_TABLE__PR">'[2]CST STD!'!#REF!</definedName>
    <definedName name="_HOME__GOTO_YIE">'[2]CST STD!'!#REF!</definedName>
    <definedName name="_LET_YIELD__IRR">'[2]CST STD!'!#REF!</definedName>
    <definedName name="_Order1" hidden="1">255</definedName>
    <definedName name="_Order2" hidden="1">255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'[5]STD Cost'!#REF!</definedName>
    <definedName name="AccessDatabase" hidden="1">"I:\COMTREL\FINICLE\TradeSummary.mdb"</definedName>
    <definedName name="apeek">#REF!</definedName>
    <definedName name="Apr03AMA">'[6]BS C&amp;L'!#REF!</definedName>
    <definedName name="Apr04">'[7]BS'!$U$7:$U$3582</definedName>
    <definedName name="Apr04AMA">'[7]BS'!$AG$7:$AG$3582</definedName>
    <definedName name="Apr05">'[3]1.06'!#REF!</definedName>
    <definedName name="Apr05AMA">'[3]1.06'!#REF!</definedName>
    <definedName name="Aug03AMA">'[6]BS C&amp;L'!#REF!</definedName>
    <definedName name="Aug04">'[7]BS'!$Y$7:$Y$3582</definedName>
    <definedName name="Aug04AMA">'[7]BS'!$AK$7:$AK$3582</definedName>
    <definedName name="Aug05">'[3]1.06'!#REF!</definedName>
    <definedName name="Aug05AMA">'[3]1.06'!#REF!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ADDEBT">#REF!</definedName>
    <definedName name="BD">#REF!</definedName>
    <definedName name="BEP">#REF!</definedName>
    <definedName name="CASHFLOWS">'[2]CST STD!'!#REF!</definedName>
    <definedName name="CBWorkbookPriority" hidden="1">-2060790043</definedName>
    <definedName name="COLHOUSE">#REF!</definedName>
    <definedName name="COLXFER">#REF!</definedName>
    <definedName name="combp1">#REF!</definedName>
    <definedName name="combp2">#REF!</definedName>
    <definedName name="CombWC_LineItem">'[3]1.06'!#REF!</definedName>
    <definedName name="COMMON_ADMIN_ALLOCATED">#REF!</definedName>
    <definedName name="COMPINSR">#REF!</definedName>
    <definedName name="CONSERV">#REF!</definedName>
    <definedName name="CONVFACT">#REF!</definedName>
    <definedName name="CUSTDEP">#REF!</definedName>
    <definedName name="Dec03">'[9]BS'!$T$7:$T$3582</definedName>
    <definedName name="Dec03AMA">'[9]BS'!$AJ$7:$AJ$3582</definedName>
    <definedName name="Dec04">'[7]BS'!$AC$7:$AC$3580</definedName>
    <definedName name="Dec04AMA">'[7]BS'!$AO$7:$AO$3582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EPRECIATION">#REF!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OCKET">#REF!</definedName>
    <definedName name="Electp1">#REF!</definedName>
    <definedName name="Electp2">#REF!</definedName>
    <definedName name="ElecWC_LineItems">'[3]1.06'!#REF!</definedName>
    <definedName name="ElRBLine">'[7]BS'!$AQ$7:$AQ$3303</definedName>
    <definedName name="EMPLBENE">#REF!</definedName>
    <definedName name="FACTORS">#REF!</definedName>
    <definedName name="Feb03AMA">'[6]BS C&amp;L'!#REF!</definedName>
    <definedName name="Feb04">'[7]BS'!$S$7:$S$3582</definedName>
    <definedName name="Feb04AMA">'[7]BS'!$AE$7:$AE$3582</definedName>
    <definedName name="Feb05">'[3]1.06'!#REF!</definedName>
    <definedName name="Feb05AMA">'[3]1.06'!#REF!</definedName>
    <definedName name="FF">#REF!</definedName>
    <definedName name="FIELDCHRG">#REF!</definedName>
    <definedName name="FIT">#REF!</definedName>
    <definedName name="GasRBLine">'[7]BS'!$AS$7:$AS$3631</definedName>
    <definedName name="GasWC_LineItem">'[7]BS'!$AR$7:$AR$3631</definedName>
    <definedName name="INCSTMNT">#REF!</definedName>
    <definedName name="INCSTMT">#REF!</definedName>
    <definedName name="INTRESEXCH">#REF!</definedName>
    <definedName name="INVPLAN">#REF!</definedName>
    <definedName name="Jan03AMA">'[6]BS C&amp;L'!#REF!</definedName>
    <definedName name="Jan04">'[7]BS'!$R$7:$R$3582</definedName>
    <definedName name="Jan04AMA">'[7]BS'!$AD$7:$AD$3582</definedName>
    <definedName name="Jan05">'[3]1.06'!#REF!</definedName>
    <definedName name="Jan05AMA">'[3]1.06'!#REF!</definedName>
    <definedName name="Jul03AMA">'[6]BS C&amp;L'!#REF!</definedName>
    <definedName name="Jul04">'[7]BS'!$X$7:$X$3582</definedName>
    <definedName name="Jul04AMA">'[7]BS'!$AJ$7:$AJ$3582</definedName>
    <definedName name="Jul05">'[3]1.06'!#REF!</definedName>
    <definedName name="Jul05AMA">'[3]1.06'!#REF!</definedName>
    <definedName name="Jun03AMA">'[6]BS C&amp;L'!#REF!</definedName>
    <definedName name="Jun04">'[7]BS'!$W$7:$W$3582</definedName>
    <definedName name="Jun04AMA">'[7]BS'!$AI$7:$AI$3582</definedName>
    <definedName name="Jun05">'[3]1.06'!#REF!</definedName>
    <definedName name="Jun05AMA">'[3]1.06'!#REF!</definedName>
    <definedName name="LATEPAY">#REF!</definedName>
    <definedName name="Mar03AMA">'[6]BS C&amp;L'!#REF!</definedName>
    <definedName name="Mar04">'[7]BS'!$T$7:$T$3582</definedName>
    <definedName name="Mar04AMA">'[7]BS'!$AF$7:$AF$3582</definedName>
    <definedName name="Mar05">'[3]1.06'!#REF!</definedName>
    <definedName name="Mar05AMA">'[3]1.06'!#REF!</definedName>
    <definedName name="May03AMA">'[6]BS C&amp;L'!#REF!</definedName>
    <definedName name="May04">'[7]BS'!$V$7:$V$3582</definedName>
    <definedName name="May04AMA">'[7]BS'!$AH$7:$AH$3582</definedName>
    <definedName name="May05">'[3]1.06'!#REF!</definedName>
    <definedName name="May05AMA">'[3]1.06'!#REF!</definedName>
    <definedName name="MISCELLANEOUS">#REF!</definedName>
    <definedName name="MT">#REF!</definedName>
    <definedName name="Nov03">'[9]BS'!$S$7:$S$3582</definedName>
    <definedName name="Nov03AMA">'[9]BS'!$AI$7:$AI$3582</definedName>
    <definedName name="Nov04">'[7]BS'!$AB$7:$AB$3582</definedName>
    <definedName name="Nov04AMA">'[7]BS'!$AN$7:$AN$3582</definedName>
    <definedName name="OBCLEASE">#REF!</definedName>
    <definedName name="Oct03">'[9]BS'!$R$7:$R$3582</definedName>
    <definedName name="Oct03AMA">'[9]BS'!$AH$7:$AH$3582</definedName>
    <definedName name="Oct04">'[7]BS'!$AA$7:$AA$3582</definedName>
    <definedName name="Oct04AMA">'[7]BS'!$AM$7:$AM$3582</definedName>
    <definedName name="OPEXPPF">#REF!</definedName>
    <definedName name="OPEXPRS">#REF!</definedName>
    <definedName name="Page1">#REF!</definedName>
    <definedName name="Page2">#REF!</definedName>
    <definedName name="PEBBLE">#REF!</definedName>
    <definedName name="PERCENTAGES_CALCULATED">#REF!</definedName>
    <definedName name="PRO_FORMA">#REF!</definedName>
    <definedName name="PRODADJ">#REF!</definedName>
    <definedName name="PROPSALES">#REF!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RATEBASE">#REF!</definedName>
    <definedName name="RATEBASE_U95">#REF!</definedName>
    <definedName name="RATECASE">#REF!</definedName>
    <definedName name="RESTATING">#REF!</definedName>
    <definedName name="RETIREPLAN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ep03">'[9]BS'!$Q$7:$Q$3582</definedName>
    <definedName name="Sep03AMA">'[9]BS'!$AG$7:$AG$3582</definedName>
    <definedName name="Sep04">'[7]BS'!$Z$7:$Z$3582</definedName>
    <definedName name="Sep04AMA">'[7]BS'!$AL$7:$AL$3582</definedName>
    <definedName name="Sep05">'[3]1.06'!#REF!</definedName>
    <definedName name="SKAGIT">#REF!</definedName>
    <definedName name="SLFINSURANCE">#REF!</definedName>
    <definedName name="STAFFREDUC">#REF!</definedName>
    <definedName name="STORM">#REF!</definedName>
    <definedName name="SUMMARY">#REF!</definedName>
    <definedName name="TABLE">'[2]CST STD!'!#REF!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st">'[3]1.06'!#REF!</definedName>
    <definedName name="TESTYEAR" localSheetId="1">'13.20 G'!$A$6</definedName>
    <definedName name="TESTYEAR" localSheetId="2">#REF!</definedName>
    <definedName name="TESTYEAR" localSheetId="3">#REF!</definedName>
    <definedName name="TESTYEAR">'21.20 E'!$A$6</definedName>
    <definedName name="Total_Annual_Charge">'[5]BONDRATE'!#REF!</definedName>
    <definedName name="Total_OS_Amount">'[5]BONDRATE'!#REF!</definedName>
    <definedName name="UNITCOMPARE">#REF!</definedName>
    <definedName name="UNITCOSTS">#REF!</definedName>
    <definedName name="UTG">#REF!</definedName>
    <definedName name="UTN">#REF!</definedName>
    <definedName name="WAGES">#REF!</definedName>
    <definedName name="WRKCAP">#REF!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comments5.xml><?xml version="1.0" encoding="utf-8"?>
<comments xmlns="http://schemas.openxmlformats.org/spreadsheetml/2006/main">
  <authors>
    <author>pse</author>
  </authors>
  <commentList>
    <comment ref="B16" authorId="0">
      <text>
        <r>
          <rPr>
            <b/>
            <sz val="8"/>
            <rFont val="Tahoma"/>
            <family val="2"/>
          </rPr>
          <t>pse:</t>
        </r>
        <r>
          <rPr>
            <sz val="8"/>
            <rFont val="Tahoma"/>
            <family val="2"/>
          </rPr>
          <t xml:space="preserve">
excludes estimated excess match of $104,031.36 due to programming error.
</t>
        </r>
      </text>
    </comment>
  </commentList>
</comments>
</file>

<file path=xl/sharedStrings.xml><?xml version="1.0" encoding="utf-8"?>
<sst xmlns="http://schemas.openxmlformats.org/spreadsheetml/2006/main" count="173" uniqueCount="108">
  <si>
    <t xml:space="preserve"> </t>
  </si>
  <si>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</si>
  <si>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</si>
  <si>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</si>
  <si>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</si>
  <si>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</si>
  <si>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</si>
  <si>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</si>
  <si>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</si>
  <si>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 xml:space="preserve">RATE YEAR MANAGEMENT WAGE INCREASE 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</si>
  <si>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</si>
  <si>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</si>
  <si>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</si>
  <si>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</si>
  <si>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</si>
  <si>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Match &amp; 1%</t>
  </si>
  <si>
    <t>Non-Union,excludes Execs.</t>
  </si>
  <si>
    <t>UA</t>
  </si>
  <si>
    <t>IBEW</t>
  </si>
  <si>
    <t>Execs, VP+</t>
  </si>
  <si>
    <t>Investment Plan Expense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</si>
  <si>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</si>
  <si>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</si>
  <si>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</si>
  <si>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</si>
  <si>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</si>
  <si>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</si>
  <si>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</si>
  <si>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</si>
  <si>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</si>
  <si>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</si>
  <si>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Totals Execs separate line</t>
  </si>
  <si>
    <t>Match only</t>
  </si>
  <si>
    <t>1% only</t>
  </si>
  <si>
    <t>NON-UNION (EXCLUDING. EXECUTIVES)</t>
  </si>
  <si>
    <t>NON-UNION (EXECUTIVES)</t>
  </si>
  <si>
    <t>NON-UNION (EXCLUDING EXECUTIVES)</t>
  </si>
  <si>
    <t>NON-UNION ( EXECUTIVES)</t>
  </si>
  <si>
    <t>TOTAL PROFORMA COSTS (LN 4 + LN 9 + LN 14 + LN 19)</t>
  </si>
  <si>
    <t>For the Test Year Ended 12/31/2010</t>
  </si>
  <si>
    <t>Match &amp; 1% for January 1, 2010 through December 31, 2010</t>
  </si>
  <si>
    <t>Non-Union,excludes Execs. + VP</t>
  </si>
  <si>
    <t>Puget Sound Energy</t>
  </si>
  <si>
    <t>Union Wage Increases</t>
  </si>
  <si>
    <t>(a)</t>
  </si>
  <si>
    <t>(b)</t>
  </si>
  <si>
    <t>(c)</t>
  </si>
  <si>
    <t>(d)</t>
  </si>
  <si>
    <t>(e)</t>
  </si>
  <si>
    <t>(f)</t>
  </si>
  <si>
    <t>(g) =</t>
  </si>
  <si>
    <t>Line</t>
  </si>
  <si>
    <t>(f) + 1</t>
  </si>
  <si>
    <t>IBEW:</t>
  </si>
  <si>
    <t>from</t>
  </si>
  <si>
    <t>to</t>
  </si>
  <si>
    <t>Compound IBEW Wage Increase</t>
  </si>
  <si>
    <t>Total</t>
  </si>
  <si>
    <t>UA:</t>
  </si>
  <si>
    <t>Compound UA Wage Increase</t>
  </si>
  <si>
    <t>Non-Union Wage Increase</t>
  </si>
  <si>
    <t xml:space="preserve">Effective </t>
  </si>
  <si>
    <t xml:space="preserve">Budgeted </t>
  </si>
  <si>
    <t>Effective Rate</t>
  </si>
  <si>
    <t>Wage Increase</t>
  </si>
  <si>
    <t xml:space="preserve">Wage </t>
  </si>
  <si>
    <t>Increase</t>
  </si>
  <si>
    <t>Compounded</t>
  </si>
  <si>
    <t>(c )</t>
  </si>
  <si>
    <t>(g)</t>
  </si>
  <si>
    <t>March 1, 2006</t>
  </si>
  <si>
    <t>March 1, 2007</t>
  </si>
  <si>
    <t>March 1, 2008</t>
  </si>
  <si>
    <t>March 1, 2009</t>
  </si>
  <si>
    <t xml:space="preserve">4 Year Compounded Increase </t>
  </si>
  <si>
    <t>Slippage Calculation (Effective Increase/Wage Increase)</t>
  </si>
  <si>
    <t>Rate Year Increase (col (g) = col (d) * col (e))</t>
  </si>
  <si>
    <t>Rate Year Increase Compounded:</t>
  </si>
  <si>
    <t>Wage Rate Increase in 2011</t>
  </si>
  <si>
    <t>Compound Wage Increase</t>
  </si>
  <si>
    <t xml:space="preserve">(1+Line 28)*(1+Line 30)*(1+Line 34)-1 </t>
  </si>
  <si>
    <t># of non-union</t>
  </si>
  <si>
    <t>Total non-</t>
  </si>
  <si>
    <t>Amount per</t>
  </si>
  <si>
    <t>UTC Slippage Calculation</t>
  </si>
  <si>
    <t>employees</t>
  </si>
  <si>
    <t>union wages</t>
  </si>
  <si>
    <t>employee</t>
  </si>
  <si>
    <t>Percentage</t>
  </si>
  <si>
    <t>March 1, 2005</t>
  </si>
  <si>
    <t>CHARGED TO EXPENSE FOR YEAR ENDED 12/31/10</t>
  </si>
  <si>
    <t>FOR THE TWELVE MONTHS ENDED DECEMBER 31, 2010</t>
  </si>
  <si>
    <t>2011 GENERAL RATE INCREASE</t>
  </si>
  <si>
    <t>Test Year:  Twelve Months Ended 12/31/2010</t>
  </si>
  <si>
    <t>4 Year Average Increase (row 9 divided by 4 years)</t>
  </si>
  <si>
    <t>Wage  Rate Increase in 2011</t>
  </si>
  <si>
    <t>Wage  Rate Increase in 2012</t>
  </si>
  <si>
    <t>Wage  Rate Increase in 2013</t>
  </si>
  <si>
    <t xml:space="preserve">Less Portion Outside of Rate Year </t>
  </si>
  <si>
    <t>Subtotal</t>
  </si>
  <si>
    <t>Wage Increase in 2011</t>
  </si>
  <si>
    <t>Wage Increase in 2012</t>
  </si>
  <si>
    <t>Wage Increase in 2013</t>
  </si>
  <si>
    <t xml:space="preserve">Subtotal </t>
  </si>
  <si>
    <t>March 1, 2010</t>
  </si>
  <si>
    <t>PAGE 21.20</t>
  </si>
  <si>
    <t>PAGE 13.20</t>
  </si>
  <si>
    <t>Test Period:  Twelve Months Ended 12/31/2010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</si>
</sst>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;\-&quot;$&quot;#,##0"/>
    <numFmt numFmtId="166" formatCode="_(* #,##0_);_(* \(#,##0\);_(* &quot;-&quot;??_);_(@_)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&quot;$&quot;#,##0.00"/>
    <numFmt numFmtId="171" formatCode="0.00_)"/>
    <numFmt numFmtId="172" formatCode="mmmm\ d\,\ yyyy"/>
    <numFmt numFmtId="173" formatCode="0.000000"/>
    <numFmt numFmtId="174" formatCode="0.0%\ ;\(0.0%\);&quot;0.00% &quot;"/>
    <numFmt numFmtId="175" formatCode="0.0%\ ;\(0.0%\);&quot;0.0% &quot;"/>
    <numFmt numFmtId="176" formatCode="mm/dd/yy"/>
    <numFmt numFmtId="177" formatCode="________@"/>
    <numFmt numFmtId="178" formatCode="#,##0.00_-;#,##0.00\-;&quot; &quot;"/>
    <numFmt numFmtId="179" formatCode="__@"/>
    <numFmt numFmtId="180" formatCode="#,##0.0_);\(#,##0.0\)"/>
    <numFmt numFmtId="181" formatCode="______@"/>
    <numFmt numFmtId="182" formatCode="0.00000000"/>
    <numFmt numFmtId="183" formatCode="0.0000000"/>
    <numFmt numFmtId="184" formatCode="0.00000"/>
    <numFmt numFmtId="185" formatCode="0.0000"/>
    <numFmt numFmtId="186" formatCode="_(&quot;$&quot;* #,##0.0_);_(&quot;$&quot;* \(#,##0.0\);_(&quot;$&quot;* &quot;-&quot;??_);_(@_)"/>
    <numFmt numFmtId="187" formatCode="_(* #,##0.0000_);_(* \(#,##0.0000\);_(* &quot;-&quot;????_);_(@_)"/>
    <numFmt numFmtId="188" formatCode="_(* #,##0.000_);_(* \(#,##0.000\);_(* &quot;-&quot;??_);_(@_)"/>
    <numFmt numFmtId="189" formatCode="_(* #,##0.0000_);_(* \(#,##0.0000\);_(* &quot;-&quot;??_);_(@_)"/>
    <numFmt numFmtId="190" formatCode="0.000%"/>
    <numFmt numFmtId="191" formatCode="_(* #,##0.0_);_(* \(#,##0.0\);_(* &quot;-&quot;??_);_(@_)"/>
    <numFmt numFmtId="192" formatCode="0.0000%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#,##0.00;\-#,##0.00;&quot; &quot;"/>
    <numFmt numFmtId="198" formatCode="#,##0;\-#,##0;&quot; 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/d/yy;@"/>
    <numFmt numFmtId="205" formatCode="#,##0.00000000_);\(#,##0.00000000\)"/>
    <numFmt numFmtId="206" formatCode="#,##0.00000_);\(#,##0.00000\)"/>
    <numFmt numFmtId="207" formatCode="#,##0.0000_);\(#,##0.0000\)"/>
    <numFmt numFmtId="208" formatCode="000\-00\-0000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0.000"/>
    <numFmt numFmtId="212" formatCode="_(* #,##0.0_);_(* \(#,##0.0\);_(* &quot;-&quot;_);_(@_)"/>
    <numFmt numFmtId="213" formatCode="_(* #,##0.00_);_(* \(#,##0.00\);_(* &quot;-&quot;_);_(@_)"/>
    <numFmt numFmtId="214" formatCode="mm/yy"/>
    <numFmt numFmtId="215" formatCode="m/d/yy"/>
    <numFmt numFmtId="216" formatCode="#,##0.0000"/>
    <numFmt numFmtId="217" formatCode="_(* #,##0.00000_);_(* \(#,##0.00000\);_(* &quot;-&quot;??_);_(@_)"/>
    <numFmt numFmtId="218" formatCode="d\.mmm\.yy"/>
    <numFmt numFmtId="219" formatCode="#."/>
    <numFmt numFmtId="220" formatCode="_(* ###0_);_(* \(###0\);_(* &quot;-&quot;_);_(@_)"/>
    <numFmt numFmtId="221" formatCode="_(&quot;$&quot;* #,##0.0000_);_(&quot;$&quot;* \(#,##0.0000\);_(&quot;$&quot;* &quot;-&quot;????_);_(@_)"/>
    <numFmt numFmtId="222" formatCode="#,##0.000000_);\(#,##0.000000\)"/>
  </numFmts>
  <fonts count="63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4"/>
      <name val="Arial"/>
      <family val="2"/>
    </font>
    <font>
      <sz val="6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8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6" fillId="0" borderId="0">
      <alignment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217" fontId="0" fillId="0" borderId="0">
      <alignment horizontal="left" wrapText="1"/>
      <protection/>
    </xf>
    <xf numFmtId="0" fontId="16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218" fontId="17" fillId="0" borderId="0" applyFill="0" applyBorder="0" applyAlignment="0"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219" fontId="21" fillId="0" borderId="0">
      <alignment/>
      <protection locked="0"/>
    </xf>
    <xf numFmtId="0" fontId="20" fillId="0" borderId="0">
      <alignment/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0" fillId="0" borderId="0">
      <alignment/>
      <protection/>
    </xf>
    <xf numFmtId="0" fontId="4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  <xf numFmtId="38" fontId="7" fillId="2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54" fillId="7" borderId="1" applyNumberFormat="0" applyAlignment="0" applyProtection="0"/>
    <xf numFmtId="10" fontId="7" fillId="22" borderId="8" applyNumberFormat="0" applyBorder="0" applyAlignment="0" applyProtection="0"/>
    <xf numFmtId="41" fontId="26" fillId="23" borderId="9">
      <alignment horizontal="left"/>
      <protection locked="0"/>
    </xf>
    <xf numFmtId="10" fontId="26" fillId="23" borderId="9">
      <alignment horizontal="right"/>
      <protection locked="0"/>
    </xf>
    <xf numFmtId="0" fontId="7" fillId="20" borderId="0">
      <alignment/>
      <protection/>
    </xf>
    <xf numFmtId="3" fontId="27" fillId="0" borderId="0" applyFill="0" applyBorder="0" applyAlignment="0" applyProtection="0"/>
    <xf numFmtId="0" fontId="55" fillId="0" borderId="10" applyNumberFormat="0" applyFill="0" applyAlignment="0" applyProtection="0"/>
    <xf numFmtId="44" fontId="10" fillId="0" borderId="11" applyNumberFormat="0" applyFont="0" applyAlignment="0">
      <protection/>
    </xf>
    <xf numFmtId="44" fontId="10" fillId="0" borderId="12" applyNumberFormat="0" applyFont="0" applyAlignment="0">
      <protection/>
    </xf>
    <xf numFmtId="0" fontId="56" fillId="23" borderId="0" applyNumberFormat="0" applyBorder="0" applyAlignment="0" applyProtection="0"/>
    <xf numFmtId="37" fontId="28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172" fontId="0" fillId="0" borderId="0">
      <alignment horizontal="left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24" borderId="13" applyNumberFormat="0" applyFont="0" applyAlignment="0" applyProtection="0"/>
    <xf numFmtId="0" fontId="14" fillId="24" borderId="13" applyNumberFormat="0" applyFont="0" applyAlignment="0" applyProtection="0"/>
    <xf numFmtId="0" fontId="14" fillId="24" borderId="13" applyNumberFormat="0" applyFont="0" applyAlignment="0" applyProtection="0"/>
    <xf numFmtId="0" fontId="14" fillId="24" borderId="13" applyNumberFormat="0" applyFont="0" applyAlignment="0" applyProtection="0"/>
    <xf numFmtId="0" fontId="57" fillId="20" borderId="1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30" fillId="0" borderId="15">
      <alignment horizontal="center"/>
      <protection/>
    </xf>
    <xf numFmtId="3" fontId="13" fillId="0" borderId="0" applyFont="0" applyFill="0" applyBorder="0" applyAlignment="0" applyProtection="0"/>
    <xf numFmtId="0" fontId="13" fillId="26" borderId="0" applyNumberFormat="0" applyFont="0" applyBorder="0" applyAlignment="0" applyProtection="0"/>
    <xf numFmtId="0" fontId="20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10" fillId="22" borderId="17" applyNumberFormat="0">
      <alignment horizontal="center" vertical="center" wrapText="1"/>
      <protection/>
    </xf>
    <xf numFmtId="10" fontId="0" fillId="22" borderId="0">
      <alignment/>
      <protection/>
    </xf>
    <xf numFmtId="221" fontId="0" fillId="22" borderId="0">
      <alignment/>
      <protection/>
    </xf>
    <xf numFmtId="166" fontId="8" fillId="0" borderId="0" applyBorder="0" applyAlignment="0">
      <protection/>
    </xf>
    <xf numFmtId="42" fontId="0" fillId="22" borderId="18">
      <alignment horizontal="left"/>
      <protection/>
    </xf>
    <xf numFmtId="221" fontId="33" fillId="22" borderId="18">
      <alignment horizontal="left"/>
      <protection/>
    </xf>
    <xf numFmtId="14" fontId="29" fillId="0" borderId="0" applyNumberFormat="0" applyFill="0" applyBorder="0" applyAlignment="0" applyProtection="0"/>
    <xf numFmtId="212" fontId="0" fillId="0" borderId="0" applyFont="0" applyFill="0" applyAlignment="0">
      <protection/>
    </xf>
    <xf numFmtId="4" fontId="34" fillId="23" borderId="14" applyNumberFormat="0" applyProtection="0">
      <alignment vertical="center"/>
    </xf>
    <xf numFmtId="4" fontId="35" fillId="23" borderId="14" applyNumberFormat="0" applyProtection="0">
      <alignment vertical="center"/>
    </xf>
    <xf numFmtId="4" fontId="34" fillId="23" borderId="14" applyNumberFormat="0" applyProtection="0">
      <alignment horizontal="left" vertical="center" indent="1"/>
    </xf>
    <xf numFmtId="4" fontId="34" fillId="23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34" fillId="3" borderId="14" applyNumberFormat="0" applyProtection="0">
      <alignment horizontal="right" vertical="center"/>
    </xf>
    <xf numFmtId="4" fontId="34" fillId="9" borderId="14" applyNumberFormat="0" applyProtection="0">
      <alignment horizontal="right" vertical="center"/>
    </xf>
    <xf numFmtId="4" fontId="34" fillId="17" borderId="14" applyNumberFormat="0" applyProtection="0">
      <alignment horizontal="right" vertical="center"/>
    </xf>
    <xf numFmtId="4" fontId="34" fillId="11" borderId="14" applyNumberFormat="0" applyProtection="0">
      <alignment horizontal="right" vertical="center"/>
    </xf>
    <xf numFmtId="4" fontId="34" fillId="15" borderId="14" applyNumberFormat="0" applyProtection="0">
      <alignment horizontal="right" vertical="center"/>
    </xf>
    <xf numFmtId="4" fontId="34" fillId="19" borderId="14" applyNumberFormat="0" applyProtection="0">
      <alignment horizontal="right" vertical="center"/>
    </xf>
    <xf numFmtId="4" fontId="34" fillId="18" borderId="14" applyNumberFormat="0" applyProtection="0">
      <alignment horizontal="right" vertical="center"/>
    </xf>
    <xf numFmtId="4" fontId="34" fillId="27" borderId="14" applyNumberFormat="0" applyProtection="0">
      <alignment horizontal="right" vertical="center"/>
    </xf>
    <xf numFmtId="4" fontId="34" fillId="10" borderId="14" applyNumberFormat="0" applyProtection="0">
      <alignment horizontal="right" vertical="center"/>
    </xf>
    <xf numFmtId="4" fontId="36" fillId="28" borderId="14" applyNumberFormat="0" applyProtection="0">
      <alignment horizontal="left" vertical="center" indent="1"/>
    </xf>
    <xf numFmtId="4" fontId="34" fillId="29" borderId="19" applyNumberFormat="0" applyProtection="0">
      <alignment horizontal="left" vertical="center" indent="1"/>
    </xf>
    <xf numFmtId="4" fontId="37" fillId="30" borderId="0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34" fillId="29" borderId="14" applyNumberFormat="0" applyProtection="0">
      <alignment horizontal="left" vertical="center" indent="1"/>
    </xf>
    <xf numFmtId="4" fontId="34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0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4" fontId="34" fillId="24" borderId="14" applyNumberFormat="0" applyProtection="0">
      <alignment vertical="center"/>
    </xf>
    <xf numFmtId="4" fontId="35" fillId="24" borderId="14" applyNumberFormat="0" applyProtection="0">
      <alignment vertical="center"/>
    </xf>
    <xf numFmtId="4" fontId="34" fillId="24" borderId="14" applyNumberFormat="0" applyProtection="0">
      <alignment horizontal="left" vertical="center" indent="1"/>
    </xf>
    <xf numFmtId="4" fontId="34" fillId="24" borderId="14" applyNumberFormat="0" applyProtection="0">
      <alignment horizontal="left" vertical="center" indent="1"/>
    </xf>
    <xf numFmtId="4" fontId="34" fillId="29" borderId="14" applyNumberFormat="0" applyProtection="0">
      <alignment horizontal="right" vertical="center"/>
    </xf>
    <xf numFmtId="4" fontId="35" fillId="29" borderId="14" applyNumberFormat="0" applyProtection="0">
      <alignment horizontal="right" vertical="center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center" indent="1"/>
    </xf>
    <xf numFmtId="0" fontId="38" fillId="0" borderId="0">
      <alignment/>
      <protection/>
    </xf>
    <xf numFmtId="4" fontId="39" fillId="29" borderId="14" applyNumberFormat="0" applyProtection="0">
      <alignment horizontal="right" vertical="center"/>
    </xf>
    <xf numFmtId="39" fontId="0" fillId="32" borderId="0">
      <alignment/>
      <protection/>
    </xf>
    <xf numFmtId="38" fontId="7" fillId="0" borderId="20">
      <alignment/>
      <protection/>
    </xf>
    <xf numFmtId="38" fontId="8" fillId="0" borderId="18">
      <alignment/>
      <protection/>
    </xf>
    <xf numFmtId="39" fontId="29" fillId="33" borderId="0">
      <alignment/>
      <protection/>
    </xf>
    <xf numFmtId="173" fontId="0" fillId="0" borderId="0">
      <alignment horizontal="left" wrapText="1"/>
      <protection/>
    </xf>
    <xf numFmtId="217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40" fillId="0" borderId="0" applyBorder="0">
      <alignment horizontal="right"/>
      <protection/>
    </xf>
    <xf numFmtId="41" fontId="41" fillId="22" borderId="0">
      <alignment horizontal="left"/>
      <protection/>
    </xf>
    <xf numFmtId="0" fontId="58" fillId="0" borderId="0" applyNumberFormat="0" applyFill="0" applyBorder="0" applyAlignment="0" applyProtection="0"/>
    <xf numFmtId="170" fontId="42" fillId="22" borderId="0">
      <alignment horizontal="left" vertical="center"/>
      <protection/>
    </xf>
    <xf numFmtId="0" fontId="10" fillId="22" borderId="0">
      <alignment horizontal="left" wrapText="1"/>
      <protection/>
    </xf>
    <xf numFmtId="0" fontId="43" fillId="0" borderId="0">
      <alignment horizontal="left" vertical="center"/>
      <protection/>
    </xf>
    <xf numFmtId="0" fontId="59" fillId="0" borderId="21" applyNumberFormat="0" applyFill="0" applyAlignment="0" applyProtection="0"/>
    <xf numFmtId="0" fontId="20" fillId="0" borderId="22">
      <alignment/>
      <protection/>
    </xf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43" fontId="1" fillId="0" borderId="0" xfId="7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 quotePrefix="1">
      <alignment horizontal="right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4" fontId="2" fillId="0" borderId="0" xfId="94" applyFont="1" applyFill="1" applyAlignment="1">
      <alignment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7" fontId="2" fillId="0" borderId="17" xfId="70" applyNumberFormat="1" applyFont="1" applyFill="1" applyBorder="1" applyAlignment="1">
      <alignment/>
    </xf>
    <xf numFmtId="37" fontId="2" fillId="0" borderId="0" xfId="7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3" fontId="0" fillId="0" borderId="0" xfId="70" applyBorder="1" applyAlignment="1">
      <alignment/>
    </xf>
    <xf numFmtId="43" fontId="0" fillId="0" borderId="18" xfId="0" applyNumberFormat="1" applyBorder="1" applyAlignment="1">
      <alignment/>
    </xf>
    <xf numFmtId="43" fontId="0" fillId="0" borderId="18" xfId="7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24" xfId="94" applyBorder="1" applyAlignment="1">
      <alignment/>
    </xf>
    <xf numFmtId="10" fontId="0" fillId="0" borderId="0" xfId="148" applyNumberFormat="1" applyAlignment="1">
      <alignment/>
    </xf>
    <xf numFmtId="39" fontId="0" fillId="0" borderId="0" xfId="0" applyNumberFormat="1" applyAlignment="1">
      <alignment/>
    </xf>
    <xf numFmtId="5" fontId="2" fillId="0" borderId="0" xfId="94" applyNumberFormat="1" applyFont="1" applyFill="1" applyBorder="1" applyAlignment="1">
      <alignment/>
    </xf>
    <xf numFmtId="37" fontId="2" fillId="0" borderId="0" xfId="70" applyNumberFormat="1" applyFont="1" applyFill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43" fontId="0" fillId="0" borderId="0" xfId="70" applyFill="1" applyBorder="1" applyAlignment="1">
      <alignment/>
    </xf>
    <xf numFmtId="43" fontId="0" fillId="0" borderId="18" xfId="70" applyFill="1" applyBorder="1" applyAlignment="1">
      <alignment/>
    </xf>
    <xf numFmtId="4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0" fontId="10" fillId="0" borderId="0" xfId="148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70" fontId="0" fillId="0" borderId="0" xfId="94" applyNumberFormat="1" applyBorder="1" applyAlignment="1">
      <alignment/>
    </xf>
    <xf numFmtId="4" fontId="10" fillId="0" borderId="0" xfId="0" applyNumberFormat="1" applyFont="1" applyAlignment="1">
      <alignment/>
    </xf>
    <xf numFmtId="166" fontId="2" fillId="0" borderId="0" xfId="7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top"/>
    </xf>
    <xf numFmtId="170" fontId="0" fillId="0" borderId="8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166" fontId="0" fillId="0" borderId="8" xfId="70" applyNumberFormat="1" applyFont="1" applyFill="1" applyBorder="1" applyAlignment="1">
      <alignment/>
    </xf>
    <xf numFmtId="166" fontId="0" fillId="0" borderId="8" xfId="70" applyNumberFormat="1" applyFont="1" applyBorder="1" applyAlignment="1">
      <alignment/>
    </xf>
    <xf numFmtId="170" fontId="0" fillId="0" borderId="25" xfId="0" applyNumberFormat="1" applyFill="1" applyBorder="1" applyAlignment="1">
      <alignment/>
    </xf>
    <xf numFmtId="166" fontId="0" fillId="0" borderId="25" xfId="70" applyNumberFormat="1" applyFont="1" applyFill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27" xfId="0" applyFont="1" applyBorder="1" applyAlignment="1">
      <alignment horizontal="center"/>
    </xf>
    <xf numFmtId="170" fontId="0" fillId="0" borderId="24" xfId="94" applyNumberFormat="1" applyFill="1" applyBorder="1" applyAlignment="1">
      <alignment/>
    </xf>
    <xf numFmtId="0" fontId="5" fillId="0" borderId="0" xfId="132" applyFont="1" applyFill="1">
      <alignment/>
      <protection/>
    </xf>
    <xf numFmtId="0" fontId="0" fillId="0" borderId="0" xfId="132" applyFill="1">
      <alignment/>
      <protection/>
    </xf>
    <xf numFmtId="0" fontId="0" fillId="0" borderId="0" xfId="132" applyFill="1" applyAlignment="1">
      <alignment horizontal="centerContinuous"/>
      <protection/>
    </xf>
    <xf numFmtId="0" fontId="0" fillId="0" borderId="0" xfId="132" applyFill="1" applyAlignment="1">
      <alignment horizontal="center"/>
      <protection/>
    </xf>
    <xf numFmtId="0" fontId="0" fillId="0" borderId="0" xfId="132" applyFont="1" applyFill="1" applyAlignment="1">
      <alignment horizontal="center"/>
      <protection/>
    </xf>
    <xf numFmtId="0" fontId="0" fillId="0" borderId="0" xfId="132" applyFill="1" applyAlignment="1" quotePrefix="1">
      <alignment horizontal="center"/>
      <protection/>
    </xf>
    <xf numFmtId="0" fontId="0" fillId="0" borderId="17" xfId="132" applyFill="1" applyBorder="1" applyAlignment="1">
      <alignment horizontal="center"/>
      <protection/>
    </xf>
    <xf numFmtId="0" fontId="0" fillId="0" borderId="17" xfId="132" applyFont="1" applyFill="1" applyBorder="1" applyAlignment="1">
      <alignment horizontal="center"/>
      <protection/>
    </xf>
    <xf numFmtId="0" fontId="0" fillId="0" borderId="17" xfId="132" applyFill="1" applyBorder="1" applyAlignment="1" quotePrefix="1">
      <alignment horizontal="center"/>
      <protection/>
    </xf>
    <xf numFmtId="0" fontId="10" fillId="0" borderId="0" xfId="132" applyFont="1" applyFill="1">
      <alignment/>
      <protection/>
    </xf>
    <xf numFmtId="0" fontId="15" fillId="0" borderId="0" xfId="132" applyFont="1" applyFill="1" applyAlignment="1">
      <alignment horizontal="center"/>
      <protection/>
    </xf>
    <xf numFmtId="14" fontId="10" fillId="0" borderId="0" xfId="132" applyNumberFormat="1" applyFont="1" applyFill="1" applyAlignment="1">
      <alignment horizontal="center"/>
      <protection/>
    </xf>
    <xf numFmtId="10" fontId="10" fillId="0" borderId="0" xfId="132" applyNumberFormat="1" applyFont="1" applyFill="1" applyAlignment="1">
      <alignment horizontal="center"/>
      <protection/>
    </xf>
    <xf numFmtId="16" fontId="10" fillId="0" borderId="0" xfId="132" applyNumberFormat="1" applyFont="1" applyFill="1">
      <alignment/>
      <protection/>
    </xf>
    <xf numFmtId="10" fontId="10" fillId="0" borderId="0" xfId="132" applyNumberFormat="1" applyFont="1" applyFill="1" applyBorder="1">
      <alignment/>
      <protection/>
    </xf>
    <xf numFmtId="14" fontId="0" fillId="0" borderId="0" xfId="132" applyNumberFormat="1" applyFont="1" applyFill="1" applyAlignment="1">
      <alignment horizontal="center"/>
      <protection/>
    </xf>
    <xf numFmtId="10" fontId="0" fillId="0" borderId="0" xfId="132" applyNumberFormat="1" applyFont="1" applyFill="1" applyAlignment="1">
      <alignment horizontal="center"/>
      <protection/>
    </xf>
    <xf numFmtId="10" fontId="0" fillId="0" borderId="0" xfId="132" applyNumberFormat="1" applyFont="1" applyFill="1" applyBorder="1">
      <alignment/>
      <protection/>
    </xf>
    <xf numFmtId="16" fontId="0" fillId="0" borderId="0" xfId="132" applyNumberFormat="1" applyFont="1" applyFill="1">
      <alignment/>
      <protection/>
    </xf>
    <xf numFmtId="0" fontId="0" fillId="0" borderId="0" xfId="132" applyFont="1" applyFill="1">
      <alignment/>
      <protection/>
    </xf>
    <xf numFmtId="10" fontId="0" fillId="0" borderId="0" xfId="132" applyNumberFormat="1" applyFill="1" applyAlignment="1">
      <alignment horizontal="center"/>
      <protection/>
    </xf>
    <xf numFmtId="0" fontId="0" fillId="0" borderId="0" xfId="132" applyFill="1" applyAlignment="1">
      <alignment horizontal="left" indent="2"/>
      <protection/>
    </xf>
    <xf numFmtId="0" fontId="0" fillId="0" borderId="0" xfId="132" applyFill="1" applyBorder="1" applyAlignment="1">
      <alignment horizontal="center"/>
      <protection/>
    </xf>
    <xf numFmtId="0" fontId="0" fillId="0" borderId="0" xfId="132" applyFill="1" applyBorder="1" applyAlignment="1">
      <alignment horizontal="center" vertical="center"/>
      <protection/>
    </xf>
    <xf numFmtId="0" fontId="0" fillId="0" borderId="0" xfId="132" applyFill="1" applyBorder="1" applyAlignment="1" quotePrefix="1">
      <alignment horizontal="center"/>
      <protection/>
    </xf>
    <xf numFmtId="0" fontId="0" fillId="0" borderId="17" xfId="132" applyFill="1" applyBorder="1">
      <alignment/>
      <protection/>
    </xf>
    <xf numFmtId="0" fontId="0" fillId="0" borderId="0" xfId="132">
      <alignment/>
      <protection/>
    </xf>
    <xf numFmtId="0" fontId="0" fillId="0" borderId="0" xfId="132" applyFill="1" applyAlignment="1" quotePrefix="1">
      <alignment/>
      <protection/>
    </xf>
    <xf numFmtId="166" fontId="14" fillId="0" borderId="0" xfId="79" applyNumberFormat="1" applyFont="1" applyFill="1" applyAlignment="1">
      <alignment horizontal="left" indent="1"/>
    </xf>
    <xf numFmtId="10" fontId="0" fillId="0" borderId="0" xfId="132" applyNumberFormat="1" applyFill="1" quotePrefix="1">
      <alignment/>
      <protection/>
    </xf>
    <xf numFmtId="216" fontId="0" fillId="0" borderId="0" xfId="132" applyNumberFormat="1" applyFill="1">
      <alignment/>
      <protection/>
    </xf>
    <xf numFmtId="0" fontId="0" fillId="0" borderId="0" xfId="132" applyFill="1" applyAlignment="1">
      <alignment/>
      <protection/>
    </xf>
    <xf numFmtId="216" fontId="0" fillId="0" borderId="0" xfId="132" applyNumberFormat="1" applyFill="1" applyBorder="1">
      <alignment/>
      <protection/>
    </xf>
    <xf numFmtId="10" fontId="0" fillId="0" borderId="0" xfId="132" applyNumberFormat="1" applyFill="1" applyBorder="1" quotePrefix="1">
      <alignment/>
      <protection/>
    </xf>
    <xf numFmtId="10" fontId="0" fillId="0" borderId="0" xfId="132" applyNumberFormat="1">
      <alignment/>
      <protection/>
    </xf>
    <xf numFmtId="10" fontId="14" fillId="0" borderId="0" xfId="152" applyNumberFormat="1" applyFont="1" applyFill="1" applyAlignment="1">
      <alignment/>
    </xf>
    <xf numFmtId="43" fontId="10" fillId="0" borderId="0" xfId="132" applyNumberFormat="1" applyFont="1" applyFill="1">
      <alignment/>
      <protection/>
    </xf>
    <xf numFmtId="0" fontId="7" fillId="0" borderId="0" xfId="132" applyFont="1" applyFill="1">
      <alignment/>
      <protection/>
    </xf>
    <xf numFmtId="10" fontId="0" fillId="0" borderId="0" xfId="132" applyNumberFormat="1" applyFill="1">
      <alignment/>
      <protection/>
    </xf>
    <xf numFmtId="10" fontId="10" fillId="0" borderId="24" xfId="152" applyNumberFormat="1" applyFont="1" applyFill="1" applyBorder="1" applyAlignment="1">
      <alignment/>
    </xf>
    <xf numFmtId="10" fontId="10" fillId="0" borderId="0" xfId="152" applyNumberFormat="1" applyFont="1" applyFill="1" applyBorder="1" applyAlignment="1">
      <alignment/>
    </xf>
    <xf numFmtId="14" fontId="0" fillId="0" borderId="0" xfId="132" applyNumberFormat="1" applyFill="1" applyAlignment="1">
      <alignment horizontal="center"/>
      <protection/>
    </xf>
    <xf numFmtId="166" fontId="14" fillId="0" borderId="0" xfId="79" applyNumberFormat="1" applyFont="1" applyFill="1" applyAlignment="1">
      <alignment/>
    </xf>
    <xf numFmtId="10" fontId="0" fillId="0" borderId="0" xfId="132" applyNumberFormat="1" applyFill="1" applyBorder="1">
      <alignment/>
      <protection/>
    </xf>
    <xf numFmtId="10" fontId="0" fillId="0" borderId="17" xfId="132" applyNumberFormat="1" applyFill="1" applyBorder="1">
      <alignment/>
      <protection/>
    </xf>
    <xf numFmtId="188" fontId="14" fillId="0" borderId="0" xfId="79" applyNumberFormat="1" applyFont="1" applyFill="1" applyAlignment="1">
      <alignment/>
    </xf>
    <xf numFmtId="188" fontId="0" fillId="0" borderId="0" xfId="132" applyNumberFormat="1">
      <alignment/>
      <protection/>
    </xf>
    <xf numFmtId="10" fontId="10" fillId="0" borderId="0" xfId="132" applyNumberFormat="1" applyFont="1" applyFill="1">
      <alignment/>
      <protection/>
    </xf>
    <xf numFmtId="10" fontId="10" fillId="0" borderId="24" xfId="132" applyNumberFormat="1" applyFont="1" applyFill="1" applyBorder="1">
      <alignment/>
      <protection/>
    </xf>
    <xf numFmtId="216" fontId="14" fillId="0" borderId="0" xfId="152" applyNumberFormat="1" applyFont="1" applyFill="1" applyAlignment="1">
      <alignment/>
    </xf>
    <xf numFmtId="217" fontId="14" fillId="0" borderId="0" xfId="79" applyNumberFormat="1" applyFont="1" applyAlignment="1">
      <alignment/>
    </xf>
    <xf numFmtId="0" fontId="44" fillId="0" borderId="0" xfId="132" applyFont="1" applyFill="1" applyAlignment="1">
      <alignment horizontal="right"/>
      <protection/>
    </xf>
    <xf numFmtId="41" fontId="0" fillId="0" borderId="0" xfId="132" applyNumberFormat="1" applyFill="1">
      <alignment/>
      <protection/>
    </xf>
    <xf numFmtId="166" fontId="0" fillId="0" borderId="0" xfId="79" applyNumberFormat="1" applyFill="1" applyAlignment="1">
      <alignment/>
    </xf>
    <xf numFmtId="0" fontId="0" fillId="0" borderId="0" xfId="132" applyFill="1" quotePrefix="1">
      <alignment/>
      <protection/>
    </xf>
    <xf numFmtId="43" fontId="0" fillId="0" borderId="0" xfId="0" applyNumberFormat="1" applyAlignment="1">
      <alignment/>
    </xf>
    <xf numFmtId="222" fontId="0" fillId="0" borderId="0" xfId="0" applyNumberFormat="1" applyAlignment="1">
      <alignment/>
    </xf>
    <xf numFmtId="216" fontId="14" fillId="0" borderId="0" xfId="152" applyNumberFormat="1" applyFont="1" applyFill="1" applyAlignment="1">
      <alignment/>
    </xf>
    <xf numFmtId="166" fontId="14" fillId="0" borderId="0" xfId="79" applyNumberFormat="1" applyFont="1" applyFill="1" applyAlignment="1">
      <alignment/>
    </xf>
    <xf numFmtId="10" fontId="61" fillId="0" borderId="0" xfId="0" applyNumberFormat="1" applyFont="1" applyFill="1" applyBorder="1" applyAlignment="1">
      <alignment horizontal="center"/>
    </xf>
    <xf numFmtId="37" fontId="61" fillId="0" borderId="17" xfId="70" applyNumberFormat="1" applyFont="1" applyFill="1" applyBorder="1" applyAlignment="1">
      <alignment/>
    </xf>
    <xf numFmtId="37" fontId="61" fillId="0" borderId="0" xfId="7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37" fontId="61" fillId="0" borderId="18" xfId="70" applyNumberFormat="1" applyFont="1" applyFill="1" applyBorder="1" applyAlignment="1">
      <alignment/>
    </xf>
    <xf numFmtId="37" fontId="61" fillId="0" borderId="0" xfId="70" applyNumberFormat="1" applyFont="1" applyFill="1" applyAlignment="1">
      <alignment vertical="top"/>
    </xf>
    <xf numFmtId="37" fontId="61" fillId="0" borderId="0" xfId="70" applyNumberFormat="1" applyFont="1" applyFill="1" applyAlignment="1">
      <alignment/>
    </xf>
    <xf numFmtId="37" fontId="61" fillId="0" borderId="0" xfId="70" applyNumberFormat="1" applyFont="1" applyFill="1" applyAlignment="1" applyProtection="1">
      <alignment vertical="center"/>
      <protection locked="0"/>
    </xf>
    <xf numFmtId="37" fontId="61" fillId="0" borderId="0" xfId="70" applyNumberFormat="1" applyFont="1" applyFill="1" applyBorder="1" applyAlignment="1" applyProtection="1">
      <alignment/>
      <protection locked="0"/>
    </xf>
    <xf numFmtId="5" fontId="61" fillId="0" borderId="16" xfId="94" applyNumberFormat="1" applyFont="1" applyFill="1" applyBorder="1" applyAlignment="1">
      <alignment/>
    </xf>
    <xf numFmtId="166" fontId="14" fillId="0" borderId="0" xfId="79" applyNumberFormat="1" applyFont="1" applyFill="1" applyAlignment="1">
      <alignment/>
    </xf>
    <xf numFmtId="10" fontId="41" fillId="0" borderId="0" xfId="132" applyNumberFormat="1" applyFont="1" applyFill="1" applyBorder="1">
      <alignment/>
      <protection/>
    </xf>
    <xf numFmtId="0" fontId="41" fillId="0" borderId="0" xfId="132" applyFont="1" applyFill="1" quotePrefix="1">
      <alignment/>
      <protection/>
    </xf>
    <xf numFmtId="216" fontId="62" fillId="0" borderId="0" xfId="152" applyNumberFormat="1" applyFont="1" applyFill="1" applyAlignment="1">
      <alignment/>
    </xf>
    <xf numFmtId="10" fontId="41" fillId="0" borderId="17" xfId="132" applyNumberFormat="1" applyFont="1" applyFill="1" applyBorder="1">
      <alignment/>
      <protection/>
    </xf>
    <xf numFmtId="0" fontId="41" fillId="0" borderId="0" xfId="132" applyFont="1" applyFill="1">
      <alignment/>
      <protection/>
    </xf>
    <xf numFmtId="10" fontId="41" fillId="0" borderId="24" xfId="132" applyNumberFormat="1" applyFont="1" applyFill="1" applyBorder="1">
      <alignment/>
      <protection/>
    </xf>
    <xf numFmtId="166" fontId="62" fillId="0" borderId="0" xfId="79" applyNumberFormat="1" applyFont="1" applyFill="1" applyAlignment="1">
      <alignment/>
    </xf>
    <xf numFmtId="16" fontId="41" fillId="0" borderId="0" xfId="132" applyNumberFormat="1" applyFont="1" applyFill="1">
      <alignment/>
      <protection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</cellXfs>
  <cellStyles count="215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10" xfId="72"/>
    <cellStyle name="Comma 2" xfId="73"/>
    <cellStyle name="Comma 3" xfId="74"/>
    <cellStyle name="Comma 4" xfId="75"/>
    <cellStyle name="Comma 5" xfId="76"/>
    <cellStyle name="Comma 6" xfId="77"/>
    <cellStyle name="Comma 7" xfId="78"/>
    <cellStyle name="Comma 8" xfId="79"/>
    <cellStyle name="Comma 8 2" xfId="80"/>
    <cellStyle name="Comma 9" xfId="81"/>
    <cellStyle name="Comma0" xfId="82"/>
    <cellStyle name="Comma0 - Style2" xfId="83"/>
    <cellStyle name="Comma0 - Style4" xfId="84"/>
    <cellStyle name="Comma0 - Style5" xfId="85"/>
    <cellStyle name="Comma0_00COS Ind Allocators" xfId="86"/>
    <cellStyle name="Comma1 - Style1" xfId="87"/>
    <cellStyle name="Copied" xfId="88"/>
    <cellStyle name="COST1" xfId="89"/>
    <cellStyle name="Curren - Style1" xfId="90"/>
    <cellStyle name="Curren - Style2" xfId="91"/>
    <cellStyle name="Curren - Style5" xfId="92"/>
    <cellStyle name="Curren - Style6" xfId="93"/>
    <cellStyle name="Currency" xfId="94"/>
    <cellStyle name="Currency [0]" xfId="95"/>
    <cellStyle name="Currency 2" xfId="96"/>
    <cellStyle name="Currency 3" xfId="97"/>
    <cellStyle name="Currency 4" xfId="98"/>
    <cellStyle name="Currency0" xfId="99"/>
    <cellStyle name="Date" xfId="100"/>
    <cellStyle name="Entered" xfId="101"/>
    <cellStyle name="Explanatory Text" xfId="102"/>
    <cellStyle name="Fixed" xfId="103"/>
    <cellStyle name="Fixed3 - Style3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eading1" xfId="114"/>
    <cellStyle name="Heading2" xfId="115"/>
    <cellStyle name="Hyperlink" xfId="116"/>
    <cellStyle name="Input" xfId="117"/>
    <cellStyle name="Input [yellow]" xfId="118"/>
    <cellStyle name="Input Cells" xfId="119"/>
    <cellStyle name="Input Cells Percent" xfId="120"/>
    <cellStyle name="Lines" xfId="121"/>
    <cellStyle name="LINKED" xfId="122"/>
    <cellStyle name="Linked Cell" xfId="123"/>
    <cellStyle name="modified border" xfId="124"/>
    <cellStyle name="modified border1" xfId="125"/>
    <cellStyle name="Neutral" xfId="126"/>
    <cellStyle name="no dec" xfId="127"/>
    <cellStyle name="Normal - Style1" xfId="128"/>
    <cellStyle name="Normal 10" xfId="129"/>
    <cellStyle name="Normal 2" xfId="130"/>
    <cellStyle name="Normal 2 2" xfId="131"/>
    <cellStyle name="Normal 2 2 2" xfId="132"/>
    <cellStyle name="Normal 2_Allocation Method - Working File" xfId="133"/>
    <cellStyle name="Normal 3" xfId="134"/>
    <cellStyle name="Normal 4" xfId="135"/>
    <cellStyle name="Normal 6" xfId="136"/>
    <cellStyle name="Normal 7" xfId="137"/>
    <cellStyle name="Normal 8" xfId="138"/>
    <cellStyle name="Normal 9" xfId="139"/>
    <cellStyle name="Note" xfId="140"/>
    <cellStyle name="Note 2" xfId="141"/>
    <cellStyle name="Note 3" xfId="142"/>
    <cellStyle name="Note 4" xfId="143"/>
    <cellStyle name="Output" xfId="144"/>
    <cellStyle name="Percen - Style1" xfId="145"/>
    <cellStyle name="Percen - Style2" xfId="146"/>
    <cellStyle name="Percen - Style3" xfId="147"/>
    <cellStyle name="Percent" xfId="148"/>
    <cellStyle name="Percent [2]" xfId="149"/>
    <cellStyle name="Percent 2" xfId="150"/>
    <cellStyle name="Percent 3" xfId="151"/>
    <cellStyle name="Percent 4" xfId="152"/>
    <cellStyle name="Percent 5" xfId="153"/>
    <cellStyle name="Percent 6" xfId="154"/>
    <cellStyle name="Processing" xfId="155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purple - Style8" xfId="162"/>
    <cellStyle name="RED" xfId="163"/>
    <cellStyle name="Red - Style7" xfId="164"/>
    <cellStyle name="Report" xfId="165"/>
    <cellStyle name="Report Bar" xfId="166"/>
    <cellStyle name="Report Heading" xfId="167"/>
    <cellStyle name="Report Percent" xfId="168"/>
    <cellStyle name="Report Unit Cost" xfId="169"/>
    <cellStyle name="Reports" xfId="170"/>
    <cellStyle name="Reports Total" xfId="171"/>
    <cellStyle name="Reports Unit Cost Total" xfId="172"/>
    <cellStyle name="RevList" xfId="173"/>
    <cellStyle name="round100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resData" xfId="203"/>
    <cellStyle name="SAPBEXresDataEmph" xfId="204"/>
    <cellStyle name="SAPBEXresItem" xfId="205"/>
    <cellStyle name="SAPBEXresItemX" xfId="206"/>
    <cellStyle name="SAPBEXstdData" xfId="207"/>
    <cellStyle name="SAPBEXstdDataEmph" xfId="208"/>
    <cellStyle name="SAPBEXstdItem" xfId="209"/>
    <cellStyle name="SAPBEXstdItemX" xfId="210"/>
    <cellStyle name="SAPBEXtitle" xfId="211"/>
    <cellStyle name="SAPBEXundefined" xfId="212"/>
    <cellStyle name="shade" xfId="213"/>
    <cellStyle name="StmtTtl1" xfId="214"/>
    <cellStyle name="StmtTtl2" xfId="215"/>
    <cellStyle name="STYL1 - Style1" xfId="216"/>
    <cellStyle name="Style 1" xfId="217"/>
    <cellStyle name="Style 1 2" xfId="218"/>
    <cellStyle name="Style 1 3" xfId="219"/>
    <cellStyle name="Subtotal" xfId="220"/>
    <cellStyle name="Sub-total" xfId="221"/>
    <cellStyle name="Title" xfId="222"/>
    <cellStyle name="Title: Major" xfId="223"/>
    <cellStyle name="Title: Minor" xfId="224"/>
    <cellStyle name="Title: Worksheet" xfId="225"/>
    <cellStyle name="Total" xfId="226"/>
    <cellStyle name="Total4 - Style4" xfId="227"/>
    <cellStyle name="Warning Text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07%20GRC%20-%20to%20be%20filed%20December%201,%202007\Models%20&amp;%20Adjustments\1.06%20ALLOC%20METH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#%202010%20GRC\ZZNOT%20FILED%202010%20GRC%20for%20July\Models%20and%20Adjustments\4.26E%20&amp;%204.19G%20Investment%20Pla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of%20Capital\Cost%20of%20Capital\COC%20Mar%2099\CocJun98\COC%20DEC%2097\AFUDC%20Dec%209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Quarterly%20Reporting\2005\3rd%20Quarter%202005\WC_RB%203Q2005\WC-RB%20Overvi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Semi%20Annual%20Report\Dec_31_04\WC-RB%202004-12%20Monthly%20R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Workpapers\SupportingDocsOrig2011GRC\Wage%20Adjustment\Wage-FTE%20Data%20Sent%20to%20Bob%20Williams%20v2%20(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.puget.com\rpl\GrpRevnu\PUBLIC\WUTC\Puget%20Sound%20Energy\Semi%20Annual%20Report\Dec_31_04\WC-RB%202004-12%20Month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6 E"/>
      <sheetName val="4.19 G"/>
      <sheetName val="Inv Pl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age Data Payroll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50.7109375" style="0" customWidth="1"/>
    <col min="3" max="3" width="10.7109375" style="0" customWidth="1"/>
    <col min="4" max="4" width="15.421875" style="0" customWidth="1"/>
    <col min="5" max="5" width="15.7109375" style="0" customWidth="1"/>
    <col min="6" max="6" width="9.57421875" style="0" customWidth="1"/>
    <col min="7" max="7" width="12.8515625" style="0" bestFit="1" customWidth="1"/>
  </cols>
  <sheetData>
    <row r="1" spans="1:5" ht="12.75">
      <c r="A1" s="3"/>
      <c r="B1" s="2"/>
      <c r="E1" s="24"/>
    </row>
    <row r="2" spans="1:5" ht="13.5" thickBot="1">
      <c r="A2" s="2"/>
      <c r="B2" s="2"/>
      <c r="E2" s="24"/>
    </row>
    <row r="3" spans="1:5" ht="14.25" thickBot="1" thickTop="1">
      <c r="A3" s="4"/>
      <c r="B3" s="4"/>
      <c r="E3" s="5" t="s">
        <v>105</v>
      </c>
    </row>
    <row r="4" spans="1:4" ht="13.5" thickTop="1">
      <c r="A4" s="4"/>
      <c r="B4" s="4"/>
      <c r="C4" s="4"/>
      <c r="D4" s="4"/>
    </row>
    <row r="5" spans="1:5" ht="12.75">
      <c r="A5" s="6" t="s">
        <v>14</v>
      </c>
      <c r="B5" s="7"/>
      <c r="C5" s="7"/>
      <c r="D5" s="7"/>
      <c r="E5" s="7"/>
    </row>
    <row r="6" spans="1:5" ht="12.75">
      <c r="A6" s="7" t="s">
        <v>7</v>
      </c>
      <c r="B6" s="7"/>
      <c r="C6" s="7"/>
      <c r="D6" s="7"/>
      <c r="E6" s="8"/>
    </row>
    <row r="7" spans="1:5" ht="12.75">
      <c r="A7" s="7" t="s">
        <v>91</v>
      </c>
      <c r="B7" s="7"/>
      <c r="C7" s="7"/>
      <c r="D7" s="7"/>
      <c r="E7" s="9"/>
    </row>
    <row r="8" spans="1:5" ht="12.75">
      <c r="A8" s="6" t="s">
        <v>92</v>
      </c>
      <c r="B8" s="7"/>
      <c r="C8" s="7"/>
      <c r="D8" s="7"/>
      <c r="E8" s="9"/>
    </row>
    <row r="9" spans="1:5" ht="12.75">
      <c r="A9" s="4"/>
      <c r="B9" s="10"/>
      <c r="C9" s="11"/>
      <c r="D9" s="11"/>
      <c r="E9" s="11"/>
    </row>
    <row r="10" spans="1:5" ht="12.75">
      <c r="A10" s="12" t="s">
        <v>2</v>
      </c>
      <c r="B10" s="4"/>
      <c r="C10" s="4"/>
      <c r="D10" s="4"/>
      <c r="E10" s="13" t="s">
        <v>0</v>
      </c>
    </row>
    <row r="11" spans="1:5" ht="12.75">
      <c r="A11" s="14" t="s">
        <v>3</v>
      </c>
      <c r="B11" s="15" t="s">
        <v>4</v>
      </c>
      <c r="C11" s="16"/>
      <c r="D11" s="16"/>
      <c r="E11" s="16" t="s">
        <v>5</v>
      </c>
    </row>
    <row r="12" spans="1:5" ht="12.75">
      <c r="A12" s="17"/>
      <c r="B12" s="18"/>
      <c r="C12" s="19"/>
      <c r="D12" s="19"/>
      <c r="E12" s="20"/>
    </row>
    <row r="13" spans="1:4" ht="12.75">
      <c r="A13" s="17">
        <v>1</v>
      </c>
      <c r="B13" s="72" t="s">
        <v>34</v>
      </c>
      <c r="C13" s="21"/>
      <c r="D13" s="25"/>
    </row>
    <row r="14" spans="1:4" ht="12.75">
      <c r="A14" s="17">
        <f aca="true" t="shared" si="0" ref="A14:A40">A13+1</f>
        <v>2</v>
      </c>
      <c r="B14" s="26" t="s">
        <v>8</v>
      </c>
      <c r="C14" s="17"/>
      <c r="D14" s="51">
        <f>'Inv Plan'!C11</f>
        <v>5398752.811058</v>
      </c>
    </row>
    <row r="15" spans="1:5" ht="12.75">
      <c r="A15" s="17">
        <f t="shared" si="0"/>
        <v>3</v>
      </c>
      <c r="B15" s="21" t="s">
        <v>9</v>
      </c>
      <c r="C15" s="35">
        <f>'Non-Union Wage Incr'!G27</f>
        <v>0.0297</v>
      </c>
      <c r="D15" s="27">
        <f>+D14*C15</f>
        <v>160342.9584884226</v>
      </c>
      <c r="E15" s="42"/>
    </row>
    <row r="16" spans="1:5" ht="12.75">
      <c r="A16" s="17">
        <f t="shared" si="0"/>
        <v>4</v>
      </c>
      <c r="B16" s="22" t="s">
        <v>10</v>
      </c>
      <c r="C16" s="17"/>
      <c r="D16" s="17"/>
      <c r="E16" s="52">
        <f>SUM(D14:D15)</f>
        <v>5559095.769546422</v>
      </c>
    </row>
    <row r="17" spans="1:5" ht="12.75">
      <c r="A17" s="17">
        <f t="shared" si="0"/>
        <v>5</v>
      </c>
      <c r="B17" s="22"/>
      <c r="C17" s="17"/>
      <c r="D17" s="17"/>
      <c r="E17" s="52"/>
    </row>
    <row r="18" spans="1:4" ht="12.75">
      <c r="A18" s="17">
        <f t="shared" si="0"/>
        <v>6</v>
      </c>
      <c r="B18" s="72" t="s">
        <v>35</v>
      </c>
      <c r="C18" s="21"/>
      <c r="D18" s="25"/>
    </row>
    <row r="19" spans="1:4" ht="12.75">
      <c r="A19" s="17">
        <f t="shared" si="0"/>
        <v>7</v>
      </c>
      <c r="B19" s="26" t="s">
        <v>8</v>
      </c>
      <c r="C19" s="17"/>
      <c r="D19" s="71">
        <f>'Inv Plan'!C12</f>
        <v>132721.89838600002</v>
      </c>
    </row>
    <row r="20" spans="1:5" ht="12.75">
      <c r="A20" s="17">
        <f t="shared" si="0"/>
        <v>8</v>
      </c>
      <c r="B20" s="21" t="s">
        <v>9</v>
      </c>
      <c r="C20" s="35">
        <v>0</v>
      </c>
      <c r="D20" s="27">
        <f>+D19*C20</f>
        <v>0</v>
      </c>
      <c r="E20" s="42"/>
    </row>
    <row r="21" spans="1:5" ht="12.75">
      <c r="A21" s="17">
        <f t="shared" si="0"/>
        <v>9</v>
      </c>
      <c r="B21" s="22" t="s">
        <v>10</v>
      </c>
      <c r="C21" s="17"/>
      <c r="D21" s="17"/>
      <c r="E21" s="52">
        <f>SUM(D19:D20)</f>
        <v>132721.89838600002</v>
      </c>
    </row>
    <row r="22" spans="1:5" ht="12.75">
      <c r="A22" s="17">
        <f t="shared" si="0"/>
        <v>10</v>
      </c>
      <c r="B22" s="22"/>
      <c r="C22" s="17"/>
      <c r="D22" s="17"/>
      <c r="E22" s="52"/>
    </row>
    <row r="23" spans="1:5" ht="12.75">
      <c r="A23" s="17">
        <f t="shared" si="0"/>
        <v>11</v>
      </c>
      <c r="B23" s="72" t="s">
        <v>18</v>
      </c>
      <c r="C23" s="29"/>
      <c r="D23" s="29"/>
      <c r="E23" s="52"/>
    </row>
    <row r="24" spans="1:5" ht="12.75">
      <c r="A24" s="17">
        <f t="shared" si="0"/>
        <v>12</v>
      </c>
      <c r="B24" s="26" t="s">
        <v>25</v>
      </c>
      <c r="C24" s="17"/>
      <c r="D24" s="28">
        <f>+'Inv Plan'!C16</f>
        <v>1409135.5231</v>
      </c>
      <c r="E24" s="42"/>
    </row>
    <row r="25" spans="1:5" ht="13.5">
      <c r="A25" s="17">
        <f t="shared" si="0"/>
        <v>13</v>
      </c>
      <c r="B25" s="21" t="s">
        <v>26</v>
      </c>
      <c r="C25" s="143">
        <f>'Union Wage Increases '!G23</f>
        <v>0.021938000000000013</v>
      </c>
      <c r="D25" s="144">
        <f>+D24*C25</f>
        <v>30913.61510576782</v>
      </c>
      <c r="E25" s="42"/>
    </row>
    <row r="26" spans="1:5" ht="13.5">
      <c r="A26" s="17">
        <f t="shared" si="0"/>
        <v>14</v>
      </c>
      <c r="B26" s="22" t="s">
        <v>27</v>
      </c>
      <c r="C26" s="162"/>
      <c r="D26" s="22"/>
      <c r="E26" s="145">
        <f>SUM(D24:D25)</f>
        <v>1440049.1382057678</v>
      </c>
    </row>
    <row r="27" spans="1:5" ht="13.5">
      <c r="A27" s="17">
        <f t="shared" si="0"/>
        <v>15</v>
      </c>
      <c r="B27" s="21"/>
      <c r="C27" s="163"/>
      <c r="D27" s="21"/>
      <c r="E27" s="145"/>
    </row>
    <row r="28" spans="1:5" ht="13.5">
      <c r="A28" s="17">
        <f t="shared" si="0"/>
        <v>16</v>
      </c>
      <c r="B28" s="72" t="s">
        <v>17</v>
      </c>
      <c r="C28" s="164"/>
      <c r="D28" s="29"/>
      <c r="E28" s="145"/>
    </row>
    <row r="29" spans="1:5" ht="13.5">
      <c r="A29" s="17">
        <f t="shared" si="0"/>
        <v>17</v>
      </c>
      <c r="B29" s="26" t="s">
        <v>28</v>
      </c>
      <c r="C29" s="165"/>
      <c r="D29" s="28">
        <f>+'Inv Plan'!C15</f>
        <v>936138.7431620001</v>
      </c>
      <c r="E29" s="146"/>
    </row>
    <row r="30" spans="1:5" ht="13.5">
      <c r="A30" s="17">
        <f t="shared" si="0"/>
        <v>18</v>
      </c>
      <c r="B30" s="21" t="s">
        <v>29</v>
      </c>
      <c r="C30" s="143">
        <f>'Union Wage Increases '!G35</f>
        <v>0.022624999999999895</v>
      </c>
      <c r="D30" s="144">
        <f>+D29*C30</f>
        <v>21180.139064040155</v>
      </c>
      <c r="E30" s="146"/>
    </row>
    <row r="31" spans="1:5" ht="13.5">
      <c r="A31" s="17">
        <f t="shared" si="0"/>
        <v>19</v>
      </c>
      <c r="B31" s="22" t="s">
        <v>30</v>
      </c>
      <c r="C31" s="22"/>
      <c r="D31" s="22"/>
      <c r="E31" s="145">
        <f>SUM(D29:D30)</f>
        <v>957318.8822260402</v>
      </c>
    </row>
    <row r="32" spans="1:5" ht="13.5">
      <c r="A32" s="17">
        <f t="shared" si="0"/>
        <v>20</v>
      </c>
      <c r="B32" s="21"/>
      <c r="C32" s="21"/>
      <c r="D32" s="21"/>
      <c r="E32" s="147"/>
    </row>
    <row r="33" spans="1:5" ht="13.5">
      <c r="A33" s="17">
        <f t="shared" si="0"/>
        <v>21</v>
      </c>
      <c r="B33" s="73" t="s">
        <v>1</v>
      </c>
      <c r="C33" s="30"/>
      <c r="D33" s="30"/>
      <c r="E33" s="148"/>
    </row>
    <row r="34" spans="1:7" ht="13.5">
      <c r="A34" s="17">
        <f t="shared" si="0"/>
        <v>22</v>
      </c>
      <c r="B34" s="31" t="s">
        <v>38</v>
      </c>
      <c r="C34" s="17"/>
      <c r="D34" s="17"/>
      <c r="E34" s="149">
        <f>+E16+E26+E31+E21</f>
        <v>8089185.68836423</v>
      </c>
      <c r="G34" s="139"/>
    </row>
    <row r="35" spans="1:5" ht="13.5">
      <c r="A35" s="17">
        <f t="shared" si="0"/>
        <v>23</v>
      </c>
      <c r="B35" s="31" t="s">
        <v>11</v>
      </c>
      <c r="C35" s="35">
        <v>0.6056</v>
      </c>
      <c r="D35" s="35"/>
      <c r="E35" s="149">
        <f>+E34*C35</f>
        <v>4898810.8528733775</v>
      </c>
    </row>
    <row r="36" spans="1:6" ht="13.5">
      <c r="A36" s="17">
        <f t="shared" si="0"/>
        <v>24</v>
      </c>
      <c r="B36" s="26" t="s">
        <v>90</v>
      </c>
      <c r="C36" s="32"/>
      <c r="D36" s="32"/>
      <c r="E36" s="144">
        <f>(+D14+D24+D29+D19)*C35</f>
        <v>4770159.179687554</v>
      </c>
      <c r="F36" s="2"/>
    </row>
    <row r="37" spans="1:5" ht="13.5">
      <c r="A37" s="17">
        <f t="shared" si="0"/>
        <v>25</v>
      </c>
      <c r="B37" s="33" t="s">
        <v>12</v>
      </c>
      <c r="C37" s="34"/>
      <c r="D37" s="34"/>
      <c r="E37" s="150">
        <f>E35-E36</f>
        <v>128651.67318582349</v>
      </c>
    </row>
    <row r="38" spans="1:5" ht="13.5">
      <c r="A38" s="17">
        <f t="shared" si="0"/>
        <v>26</v>
      </c>
      <c r="B38" s="21"/>
      <c r="C38" s="17"/>
      <c r="D38" s="17"/>
      <c r="E38" s="149"/>
    </row>
    <row r="39" spans="1:5" ht="13.5">
      <c r="A39" s="17">
        <f t="shared" si="0"/>
        <v>27</v>
      </c>
      <c r="B39" s="26" t="s">
        <v>13</v>
      </c>
      <c r="C39" s="32">
        <v>0.35</v>
      </c>
      <c r="D39" s="32"/>
      <c r="E39" s="151">
        <f>ROUND(-E37*C39,0)</f>
        <v>-45028</v>
      </c>
    </row>
    <row r="40" spans="1:5" ht="14.25" thickBot="1">
      <c r="A40" s="17">
        <f t="shared" si="0"/>
        <v>28</v>
      </c>
      <c r="B40" s="26" t="s">
        <v>6</v>
      </c>
      <c r="C40" s="17"/>
      <c r="D40" s="17"/>
      <c r="E40" s="152">
        <f>-E37-E39</f>
        <v>-83623.67318582349</v>
      </c>
    </row>
    <row r="41" spans="1:5" ht="13.5" thickTop="1">
      <c r="A41" s="21"/>
      <c r="B41" s="21"/>
      <c r="C41" s="21"/>
      <c r="D41" s="21"/>
      <c r="E41" s="23"/>
    </row>
    <row r="42" ht="12.75">
      <c r="E42" s="50"/>
    </row>
    <row r="46" ht="12.75">
      <c r="A46" s="1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Footer>&amp;L&amp;"Arial,Bold Italic"&amp;8Note:  Amounts presented in bold italic have changed since the September 1, 2011 supplemental filing.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E44" sqref="E44"/>
    </sheetView>
  </sheetViews>
  <sheetFormatPr defaultColWidth="9.140625" defaultRowHeight="12.75"/>
  <cols>
    <col min="2" max="2" width="50.7109375" style="0" customWidth="1"/>
    <col min="3" max="3" width="10.7109375" style="0" customWidth="1"/>
    <col min="4" max="4" width="15.421875" style="0" customWidth="1"/>
    <col min="5" max="5" width="15.7109375" style="0" customWidth="1"/>
    <col min="6" max="6" width="9.57421875" style="0" customWidth="1"/>
    <col min="7" max="7" width="16.421875" style="0" bestFit="1" customWidth="1"/>
  </cols>
  <sheetData>
    <row r="1" spans="1:5" ht="12.75">
      <c r="A1" s="3"/>
      <c r="B1" s="2"/>
      <c r="E1" s="24"/>
    </row>
    <row r="2" spans="1:5" ht="13.5" thickBot="1">
      <c r="A2" s="2"/>
      <c r="B2" s="2"/>
      <c r="E2" s="24"/>
    </row>
    <row r="3" spans="1:5" ht="14.25" thickBot="1" thickTop="1">
      <c r="A3" s="4"/>
      <c r="B3" s="4"/>
      <c r="E3" s="5" t="s">
        <v>106</v>
      </c>
    </row>
    <row r="4" spans="1:4" ht="13.5" thickTop="1">
      <c r="A4" s="4"/>
      <c r="B4" s="4"/>
      <c r="C4" s="4"/>
      <c r="D4" s="4"/>
    </row>
    <row r="5" spans="1:5" ht="12.75">
      <c r="A5" s="6" t="s">
        <v>24</v>
      </c>
      <c r="B5" s="7"/>
      <c r="C5" s="7"/>
      <c r="D5" s="7"/>
      <c r="E5" s="7"/>
    </row>
    <row r="6" spans="1:5" ht="12.75">
      <c r="A6" s="7" t="s">
        <v>7</v>
      </c>
      <c r="B6" s="7"/>
      <c r="C6" s="7"/>
      <c r="D6" s="7"/>
      <c r="E6" s="8"/>
    </row>
    <row r="7" spans="1:5" ht="12.75">
      <c r="A7" s="7" t="s">
        <v>91</v>
      </c>
      <c r="B7" s="7"/>
      <c r="C7" s="7"/>
      <c r="D7" s="7"/>
      <c r="E7" s="9"/>
    </row>
    <row r="8" spans="1:5" ht="12.75">
      <c r="A8" s="6" t="s">
        <v>92</v>
      </c>
      <c r="B8" s="7"/>
      <c r="C8" s="7"/>
      <c r="D8" s="7"/>
      <c r="E8" s="9"/>
    </row>
    <row r="9" spans="1:5" ht="12.75">
      <c r="A9" s="4"/>
      <c r="B9" s="10"/>
      <c r="C9" s="11"/>
      <c r="D9" s="11"/>
      <c r="E9" s="11"/>
    </row>
    <row r="10" spans="1:5" ht="12.75">
      <c r="A10" s="12" t="s">
        <v>2</v>
      </c>
      <c r="B10" s="4"/>
      <c r="C10" s="4"/>
      <c r="D10" s="4"/>
      <c r="E10" s="13" t="s">
        <v>0</v>
      </c>
    </row>
    <row r="11" spans="1:5" ht="12.75">
      <c r="A11" s="14" t="s">
        <v>3</v>
      </c>
      <c r="B11" s="15" t="s">
        <v>4</v>
      </c>
      <c r="C11" s="16"/>
      <c r="D11" s="16"/>
      <c r="E11" s="16" t="s">
        <v>5</v>
      </c>
    </row>
    <row r="12" spans="1:5" ht="12.75">
      <c r="A12" s="17"/>
      <c r="B12" s="18"/>
      <c r="C12" s="19"/>
      <c r="D12" s="19"/>
      <c r="E12" s="20"/>
    </row>
    <row r="13" spans="1:5" ht="12.75">
      <c r="A13" s="17">
        <v>1</v>
      </c>
      <c r="B13" s="72" t="s">
        <v>36</v>
      </c>
      <c r="C13" s="21"/>
      <c r="D13" s="21"/>
      <c r="E13" s="25"/>
    </row>
    <row r="14" spans="1:4" ht="12.75">
      <c r="A14" s="17">
        <f aca="true" t="shared" si="0" ref="A14:A40">A13+1</f>
        <v>2</v>
      </c>
      <c r="B14" s="26" t="s">
        <v>8</v>
      </c>
      <c r="C14" s="17"/>
      <c r="D14" s="51">
        <f>'Inv Plan'!D11</f>
        <v>2621976.368942</v>
      </c>
    </row>
    <row r="15" spans="1:5" ht="12.75">
      <c r="A15" s="17">
        <f t="shared" si="0"/>
        <v>3</v>
      </c>
      <c r="B15" s="21" t="s">
        <v>9</v>
      </c>
      <c r="C15" s="35">
        <f>+'21.20 E'!C15</f>
        <v>0.0297</v>
      </c>
      <c r="D15" s="27">
        <f>+D14*C15</f>
        <v>77872.6981575774</v>
      </c>
      <c r="E15" s="42"/>
    </row>
    <row r="16" spans="1:5" ht="12.75">
      <c r="A16" s="17">
        <f t="shared" si="0"/>
        <v>4</v>
      </c>
      <c r="B16" s="22" t="s">
        <v>10</v>
      </c>
      <c r="C16" s="17"/>
      <c r="D16" s="17"/>
      <c r="E16" s="52">
        <f>SUM(D14:D15)</f>
        <v>2699849.0670995773</v>
      </c>
    </row>
    <row r="17" spans="1:5" ht="12.75">
      <c r="A17" s="17">
        <f t="shared" si="0"/>
        <v>5</v>
      </c>
      <c r="B17" s="22"/>
      <c r="C17" s="17"/>
      <c r="D17" s="17"/>
      <c r="E17" s="52"/>
    </row>
    <row r="18" spans="1:5" ht="12.75">
      <c r="A18" s="17">
        <f t="shared" si="0"/>
        <v>6</v>
      </c>
      <c r="B18" s="72" t="s">
        <v>37</v>
      </c>
      <c r="C18" s="29"/>
      <c r="D18" s="29"/>
      <c r="E18" s="52"/>
    </row>
    <row r="19" spans="1:5" ht="12.75">
      <c r="A19" s="17">
        <f t="shared" si="0"/>
        <v>7</v>
      </c>
      <c r="B19" s="26" t="s">
        <v>25</v>
      </c>
      <c r="C19" s="17"/>
      <c r="D19" s="28">
        <f>'Inv Plan'!D12</f>
        <v>64458.161614000004</v>
      </c>
      <c r="E19" s="42"/>
    </row>
    <row r="20" spans="1:5" ht="12.75">
      <c r="A20" s="17">
        <f t="shared" si="0"/>
        <v>8</v>
      </c>
      <c r="B20" s="21" t="s">
        <v>26</v>
      </c>
      <c r="C20" s="68">
        <v>0</v>
      </c>
      <c r="D20" s="27">
        <f>+D19*C20</f>
        <v>0</v>
      </c>
      <c r="E20" s="42"/>
    </row>
    <row r="21" spans="1:5" ht="12.75">
      <c r="A21" s="17">
        <f t="shared" si="0"/>
        <v>9</v>
      </c>
      <c r="B21" s="22" t="s">
        <v>27</v>
      </c>
      <c r="C21" s="22"/>
      <c r="D21" s="22"/>
      <c r="E21" s="52">
        <f>SUM(D19:D20)</f>
        <v>64458.161614000004</v>
      </c>
    </row>
    <row r="22" spans="1:5" ht="12.75">
      <c r="A22" s="17">
        <f t="shared" si="0"/>
        <v>10</v>
      </c>
      <c r="B22" s="21"/>
      <c r="C22" s="21"/>
      <c r="D22" s="21"/>
      <c r="E22" s="52"/>
    </row>
    <row r="23" spans="1:5" ht="12.75">
      <c r="A23" s="17">
        <f t="shared" si="0"/>
        <v>11</v>
      </c>
      <c r="B23" s="72" t="s">
        <v>18</v>
      </c>
      <c r="C23" s="29"/>
      <c r="D23" s="29"/>
      <c r="E23" s="52"/>
    </row>
    <row r="24" spans="1:5" ht="12.75">
      <c r="A24" s="17">
        <f t="shared" si="0"/>
        <v>12</v>
      </c>
      <c r="B24" s="26" t="s">
        <v>25</v>
      </c>
      <c r="C24" s="17"/>
      <c r="D24" s="28">
        <f>'Inv Plan'!D16</f>
        <v>684365.4769</v>
      </c>
      <c r="E24" s="42"/>
    </row>
    <row r="25" spans="1:5" ht="13.5">
      <c r="A25" s="17">
        <f t="shared" si="0"/>
        <v>13</v>
      </c>
      <c r="B25" s="21" t="s">
        <v>26</v>
      </c>
      <c r="C25" s="143">
        <v>0.021938000000000013</v>
      </c>
      <c r="D25" s="144">
        <f>+D24*C25</f>
        <v>15013.609832232209</v>
      </c>
      <c r="E25" s="42"/>
    </row>
    <row r="26" spans="1:5" ht="13.5">
      <c r="A26" s="17">
        <f t="shared" si="0"/>
        <v>14</v>
      </c>
      <c r="B26" s="22" t="s">
        <v>27</v>
      </c>
      <c r="C26" s="22"/>
      <c r="D26" s="22"/>
      <c r="E26" s="145">
        <f>SUM(D24:D25)</f>
        <v>699379.0867322322</v>
      </c>
    </row>
    <row r="27" spans="1:5" ht="13.5">
      <c r="A27" s="17">
        <f t="shared" si="0"/>
        <v>15</v>
      </c>
      <c r="B27" s="21"/>
      <c r="C27" s="21"/>
      <c r="D27" s="21"/>
      <c r="E27" s="145"/>
    </row>
    <row r="28" spans="1:5" ht="13.5">
      <c r="A28" s="17">
        <f t="shared" si="0"/>
        <v>16</v>
      </c>
      <c r="B28" s="72" t="s">
        <v>17</v>
      </c>
      <c r="C28" s="29"/>
      <c r="D28" s="29"/>
      <c r="E28" s="145"/>
    </row>
    <row r="29" spans="1:5" ht="12.75">
      <c r="A29" s="17">
        <f t="shared" si="0"/>
        <v>17</v>
      </c>
      <c r="B29" s="26" t="s">
        <v>28</v>
      </c>
      <c r="C29" s="17"/>
      <c r="D29" s="28">
        <f>+'Inv Plan'!D15</f>
        <v>454648.27683800005</v>
      </c>
      <c r="E29" s="146"/>
    </row>
    <row r="30" spans="1:5" ht="13.5">
      <c r="A30" s="17">
        <f t="shared" si="0"/>
        <v>18</v>
      </c>
      <c r="B30" s="21" t="s">
        <v>29</v>
      </c>
      <c r="C30" s="143">
        <v>0.022624999999999895</v>
      </c>
      <c r="D30" s="144">
        <f>+D29*C30</f>
        <v>10286.417263459703</v>
      </c>
      <c r="E30" s="146"/>
    </row>
    <row r="31" spans="1:5" ht="13.5">
      <c r="A31" s="17">
        <f t="shared" si="0"/>
        <v>19</v>
      </c>
      <c r="B31" s="22" t="s">
        <v>30</v>
      </c>
      <c r="C31" s="22"/>
      <c r="D31" s="22"/>
      <c r="E31" s="145">
        <f>SUM(D29:D30)</f>
        <v>464934.69410145975</v>
      </c>
    </row>
    <row r="32" spans="1:5" ht="13.5">
      <c r="A32" s="17">
        <f t="shared" si="0"/>
        <v>20</v>
      </c>
      <c r="B32" s="21"/>
      <c r="C32" s="21"/>
      <c r="D32" s="21"/>
      <c r="E32" s="147"/>
    </row>
    <row r="33" spans="1:5" ht="13.5">
      <c r="A33" s="17">
        <f t="shared" si="0"/>
        <v>21</v>
      </c>
      <c r="B33" s="73" t="s">
        <v>1</v>
      </c>
      <c r="C33" s="30"/>
      <c r="D33" s="30"/>
      <c r="E33" s="148"/>
    </row>
    <row r="34" spans="1:5" ht="13.5">
      <c r="A34" s="17">
        <f t="shared" si="0"/>
        <v>22</v>
      </c>
      <c r="B34" s="31" t="s">
        <v>38</v>
      </c>
      <c r="C34" s="17"/>
      <c r="D34" s="17"/>
      <c r="E34" s="149">
        <f>+E16+E21+E31+E26</f>
        <v>3928621.009547269</v>
      </c>
    </row>
    <row r="35" spans="1:7" ht="13.5">
      <c r="A35" s="17">
        <f t="shared" si="0"/>
        <v>23</v>
      </c>
      <c r="B35" s="31" t="s">
        <v>11</v>
      </c>
      <c r="C35" s="35">
        <f>+'21.20 E'!C35</f>
        <v>0.6056</v>
      </c>
      <c r="D35" s="35"/>
      <c r="E35" s="149">
        <f>+E34*C35</f>
        <v>2379172.8833818263</v>
      </c>
      <c r="G35" s="140"/>
    </row>
    <row r="36" spans="1:6" ht="12.75">
      <c r="A36" s="17">
        <f t="shared" si="0"/>
        <v>24</v>
      </c>
      <c r="B36" s="26" t="s">
        <v>90</v>
      </c>
      <c r="C36" s="32"/>
      <c r="D36" s="32"/>
      <c r="E36" s="27">
        <f>(+D14+D19+D29+D24)*C35</f>
        <v>2316691.4809684465</v>
      </c>
      <c r="F36" s="2"/>
    </row>
    <row r="37" spans="1:5" ht="13.5">
      <c r="A37" s="17">
        <f t="shared" si="0"/>
        <v>25</v>
      </c>
      <c r="B37" s="33" t="s">
        <v>12</v>
      </c>
      <c r="C37" s="34"/>
      <c r="D37" s="34"/>
      <c r="E37" s="150">
        <f>E35-E36</f>
        <v>62481.40241337987</v>
      </c>
    </row>
    <row r="38" spans="1:5" ht="13.5">
      <c r="A38" s="17">
        <f t="shared" si="0"/>
        <v>26</v>
      </c>
      <c r="B38" s="21"/>
      <c r="C38" s="17"/>
      <c r="D38" s="17"/>
      <c r="E38" s="149"/>
    </row>
    <row r="39" spans="1:5" ht="13.5">
      <c r="A39" s="17">
        <f t="shared" si="0"/>
        <v>27</v>
      </c>
      <c r="B39" s="26" t="s">
        <v>13</v>
      </c>
      <c r="C39" s="32">
        <v>0.35</v>
      </c>
      <c r="D39" s="32"/>
      <c r="E39" s="151">
        <f>ROUND(-E37*C39,0)</f>
        <v>-21868</v>
      </c>
    </row>
    <row r="40" spans="1:5" ht="14.25" thickBot="1">
      <c r="A40" s="17">
        <f t="shared" si="0"/>
        <v>28</v>
      </c>
      <c r="B40" s="26" t="s">
        <v>6</v>
      </c>
      <c r="C40" s="17"/>
      <c r="D40" s="17"/>
      <c r="E40" s="152">
        <f>-E37-E39</f>
        <v>-40613.40241337987</v>
      </c>
    </row>
    <row r="41" spans="1:5" ht="13.5" thickTop="1">
      <c r="A41" s="21"/>
      <c r="B41" s="21"/>
      <c r="C41" s="21"/>
      <c r="D41" s="21"/>
      <c r="E41" s="23"/>
    </row>
    <row r="42" spans="4:5" ht="12.75">
      <c r="D42" s="140"/>
      <c r="E42" s="50"/>
    </row>
    <row r="46" ht="12.75">
      <c r="A46" s="1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Footer>&amp;L&amp;"Arial,Bold Italic"&amp;8Note:  Amounts presented in bold italic have changed since the June 13th Original filing.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6.140625" style="85" bestFit="1" customWidth="1"/>
    <col min="2" max="2" width="38.7109375" style="85" customWidth="1"/>
    <col min="3" max="3" width="28.7109375" style="85" customWidth="1"/>
    <col min="4" max="4" width="14.140625" style="85" customWidth="1"/>
    <col min="5" max="5" width="17.140625" style="85" customWidth="1"/>
    <col min="6" max="7" width="14.140625" style="85" customWidth="1"/>
    <col min="8" max="9" width="8.28125" style="85" customWidth="1"/>
    <col min="10" max="10" width="9.140625" style="85" customWidth="1"/>
    <col min="11" max="11" width="16.421875" style="85" bestFit="1" customWidth="1"/>
    <col min="12" max="16384" width="9.140625" style="85" customWidth="1"/>
  </cols>
  <sheetData>
    <row r="1" ht="12.75">
      <c r="A1" s="84"/>
    </row>
    <row r="5" spans="1:7" ht="12.75">
      <c r="A5" s="86" t="s">
        <v>42</v>
      </c>
      <c r="B5" s="86"/>
      <c r="C5" s="86"/>
      <c r="D5" s="86"/>
      <c r="E5" s="86"/>
      <c r="F5" s="86"/>
      <c r="G5" s="86"/>
    </row>
    <row r="6" spans="1:7" ht="12.75">
      <c r="A6" s="86" t="s">
        <v>60</v>
      </c>
      <c r="B6" s="86"/>
      <c r="C6" s="86"/>
      <c r="D6" s="86"/>
      <c r="E6" s="86"/>
      <c r="F6" s="86"/>
      <c r="G6" s="86"/>
    </row>
    <row r="7" spans="1:7" ht="12.75">
      <c r="A7" s="86" t="s">
        <v>107</v>
      </c>
      <c r="B7" s="86"/>
      <c r="C7" s="86"/>
      <c r="D7" s="86"/>
      <c r="E7" s="86"/>
      <c r="F7" s="86"/>
      <c r="G7" s="86"/>
    </row>
    <row r="8" spans="1:7" ht="12.75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7"/>
      <c r="B10" s="87"/>
      <c r="C10" s="87"/>
      <c r="D10" s="87"/>
      <c r="E10" s="87" t="s">
        <v>61</v>
      </c>
      <c r="F10" s="87"/>
      <c r="G10" s="87" t="s">
        <v>62</v>
      </c>
    </row>
    <row r="11" spans="1:8" ht="12.75">
      <c r="A11" s="87"/>
      <c r="B11" s="87"/>
      <c r="C11" s="87"/>
      <c r="D11" s="87" t="s">
        <v>63</v>
      </c>
      <c r="E11" s="87" t="s">
        <v>64</v>
      </c>
      <c r="F11" s="87" t="s">
        <v>65</v>
      </c>
      <c r="G11" s="87" t="s">
        <v>64</v>
      </c>
      <c r="H11" s="87" t="s">
        <v>50</v>
      </c>
    </row>
    <row r="12" spans="4:8" ht="12.75">
      <c r="D12" s="106" t="s">
        <v>66</v>
      </c>
      <c r="E12" s="106" t="s">
        <v>67</v>
      </c>
      <c r="F12" s="107" t="s">
        <v>66</v>
      </c>
      <c r="G12" s="106" t="s">
        <v>67</v>
      </c>
      <c r="H12" s="108" t="s">
        <v>52</v>
      </c>
    </row>
    <row r="13" spans="1:8" ht="12.75">
      <c r="A13" s="90" t="s">
        <v>51</v>
      </c>
      <c r="B13" s="91" t="s">
        <v>44</v>
      </c>
      <c r="C13" s="91" t="s">
        <v>45</v>
      </c>
      <c r="D13" s="91" t="s">
        <v>68</v>
      </c>
      <c r="E13" s="90" t="s">
        <v>47</v>
      </c>
      <c r="F13" s="90" t="s">
        <v>48</v>
      </c>
      <c r="G13" s="90" t="s">
        <v>69</v>
      </c>
      <c r="H13" s="109"/>
    </row>
    <row r="14" spans="1:8" s="110" customFormat="1" ht="12.75">
      <c r="A14" s="85"/>
      <c r="B14" s="85"/>
      <c r="C14" s="85"/>
      <c r="D14" s="85"/>
      <c r="E14" s="85"/>
      <c r="F14" s="85"/>
      <c r="G14" s="85"/>
      <c r="H14" s="85"/>
    </row>
    <row r="15" spans="1:8" s="110" customFormat="1" ht="15">
      <c r="A15" s="87">
        <v>1</v>
      </c>
      <c r="B15" s="111" t="s">
        <v>71</v>
      </c>
      <c r="C15" s="112"/>
      <c r="D15" s="113">
        <f>G48</f>
        <v>0.04417129324507083</v>
      </c>
      <c r="E15" s="114">
        <f>(1+D15)</f>
        <v>1.0441712932450709</v>
      </c>
      <c r="F15" s="113">
        <v>0.0302</v>
      </c>
      <c r="G15" s="114">
        <f>(1+F15)</f>
        <v>1.0302</v>
      </c>
      <c r="H15" s="85"/>
    </row>
    <row r="16" spans="1:8" s="110" customFormat="1" ht="15">
      <c r="A16" s="87">
        <f aca="true" t="shared" si="0" ref="A16:A52">A15+1</f>
        <v>2</v>
      </c>
      <c r="B16" s="115"/>
      <c r="C16" s="112"/>
      <c r="D16" s="85"/>
      <c r="E16" s="114"/>
      <c r="F16" s="113"/>
      <c r="G16" s="114"/>
      <c r="H16" s="85"/>
    </row>
    <row r="17" spans="1:8" s="110" customFormat="1" ht="15">
      <c r="A17" s="87">
        <f t="shared" si="0"/>
        <v>3</v>
      </c>
      <c r="B17" s="111" t="s">
        <v>72</v>
      </c>
      <c r="C17" s="112"/>
      <c r="D17" s="113">
        <f>G50</f>
        <v>0.012925767674987576</v>
      </c>
      <c r="E17" s="116">
        <f>E15*(1+D17)</f>
        <v>1.0576680087944481</v>
      </c>
      <c r="F17" s="117">
        <v>0.0341</v>
      </c>
      <c r="G17" s="116">
        <f>G15*(1+F17)</f>
        <v>1.06532982</v>
      </c>
      <c r="H17" s="85"/>
    </row>
    <row r="18" spans="1:8" s="110" customFormat="1" ht="12.75">
      <c r="A18" s="87">
        <f t="shared" si="0"/>
        <v>4</v>
      </c>
      <c r="H18" s="85"/>
    </row>
    <row r="19" spans="1:8" s="110" customFormat="1" ht="12.75">
      <c r="A19" s="87">
        <f t="shared" si="0"/>
        <v>5</v>
      </c>
      <c r="B19" s="111" t="s">
        <v>73</v>
      </c>
      <c r="D19" s="118">
        <f>G52</f>
        <v>0.035322464541430815</v>
      </c>
      <c r="E19" s="116">
        <f>E17*(1+D19)</f>
        <v>1.0950274495316956</v>
      </c>
      <c r="F19" s="118">
        <v>0.0334</v>
      </c>
      <c r="G19" s="116">
        <f>G17*(1+F19)</f>
        <v>1.1009118359880001</v>
      </c>
      <c r="H19" s="85"/>
    </row>
    <row r="20" spans="1:8" s="110" customFormat="1" ht="12.75">
      <c r="A20" s="87">
        <f t="shared" si="0"/>
        <v>6</v>
      </c>
      <c r="H20" s="85"/>
    </row>
    <row r="21" spans="1:8" s="110" customFormat="1" ht="12.75">
      <c r="A21" s="87">
        <f t="shared" si="0"/>
        <v>7</v>
      </c>
      <c r="B21" s="111" t="s">
        <v>104</v>
      </c>
      <c r="D21" s="118">
        <f>G54</f>
        <v>-0.0023731210650517155</v>
      </c>
      <c r="E21" s="116">
        <f>E19*(1+D21)</f>
        <v>1.092428816824402</v>
      </c>
      <c r="F21" s="118">
        <v>0</v>
      </c>
      <c r="G21" s="116">
        <f>G19*(1+F21)</f>
        <v>1.1009118359880001</v>
      </c>
      <c r="H21" s="85"/>
    </row>
    <row r="22" spans="1:8" s="110" customFormat="1" ht="15">
      <c r="A22" s="87">
        <f t="shared" si="0"/>
        <v>8</v>
      </c>
      <c r="B22" s="111"/>
      <c r="C22" s="112"/>
      <c r="D22" s="113"/>
      <c r="E22" s="116"/>
      <c r="F22" s="113"/>
      <c r="G22" s="116"/>
      <c r="H22" s="85"/>
    </row>
    <row r="23" spans="1:8" s="110" customFormat="1" ht="15">
      <c r="A23" s="87">
        <f t="shared" si="0"/>
        <v>9</v>
      </c>
      <c r="B23" s="85" t="s">
        <v>74</v>
      </c>
      <c r="C23" s="85"/>
      <c r="D23" s="85"/>
      <c r="E23" s="119">
        <f>ROUND(E21-1,4)</f>
        <v>0.0924</v>
      </c>
      <c r="F23" s="85"/>
      <c r="G23" s="119">
        <f>ROUND(G21-1,4)</f>
        <v>0.1009</v>
      </c>
      <c r="H23" s="85"/>
    </row>
    <row r="24" spans="1:8" s="110" customFormat="1" ht="12.75">
      <c r="A24" s="87">
        <f t="shared" si="0"/>
        <v>10</v>
      </c>
      <c r="B24" s="93"/>
      <c r="C24" s="93"/>
      <c r="D24" s="93"/>
      <c r="E24" s="93"/>
      <c r="F24" s="120"/>
      <c r="G24" s="93"/>
      <c r="H24" s="93"/>
    </row>
    <row r="25" spans="1:9" s="110" customFormat="1" ht="15">
      <c r="A25" s="87">
        <f t="shared" si="0"/>
        <v>11</v>
      </c>
      <c r="B25" s="85" t="s">
        <v>75</v>
      </c>
      <c r="C25" s="85"/>
      <c r="D25" s="85"/>
      <c r="E25" s="85"/>
      <c r="F25" s="85"/>
      <c r="G25" s="119">
        <f>+E23/G23</f>
        <v>0.9157581764122893</v>
      </c>
      <c r="H25" s="121" t="str">
        <f>"= "&amp;E23*100&amp;" % / "&amp;G23*100&amp;" %"</f>
        <v>= 9.24 % / 10.09 %</v>
      </c>
      <c r="I25" s="85"/>
    </row>
    <row r="26" spans="1:8" s="110" customFormat="1" ht="12.75">
      <c r="A26" s="87">
        <f t="shared" si="0"/>
        <v>12</v>
      </c>
      <c r="B26" s="85"/>
      <c r="C26" s="85"/>
      <c r="D26" s="85"/>
      <c r="E26" s="85"/>
      <c r="F26" s="85"/>
      <c r="G26" s="85"/>
      <c r="H26" s="85"/>
    </row>
    <row r="27" spans="1:8" s="110" customFormat="1" ht="15.75" thickBot="1">
      <c r="A27" s="87">
        <f t="shared" si="0"/>
        <v>13</v>
      </c>
      <c r="B27" s="85" t="s">
        <v>76</v>
      </c>
      <c r="C27" s="85"/>
      <c r="D27" s="85"/>
      <c r="E27" s="122">
        <f>ROUND(+G25,4)</f>
        <v>0.9158</v>
      </c>
      <c r="F27" s="119">
        <f>G37</f>
        <v>0.032399999999999984</v>
      </c>
      <c r="G27" s="123">
        <f>ROUND(+E27*F27,4)</f>
        <v>0.0297</v>
      </c>
      <c r="H27" s="121" t="str">
        <f>"= "&amp;E27*100&amp;" % * "&amp;F27*100&amp;" %"</f>
        <v>= 91.58 % * 3.24 %</v>
      </c>
    </row>
    <row r="28" spans="1:11" s="110" customFormat="1" ht="15.75" thickTop="1">
      <c r="A28" s="87">
        <f t="shared" si="0"/>
        <v>14</v>
      </c>
      <c r="B28" s="85"/>
      <c r="C28" s="85"/>
      <c r="D28" s="85"/>
      <c r="E28" s="122"/>
      <c r="F28" s="119"/>
      <c r="G28" s="124"/>
      <c r="H28" s="85"/>
      <c r="K28" s="118"/>
    </row>
    <row r="29" spans="1:8" s="110" customFormat="1" ht="15">
      <c r="A29" s="87">
        <f t="shared" si="0"/>
        <v>15</v>
      </c>
      <c r="B29" s="85" t="s">
        <v>94</v>
      </c>
      <c r="C29" s="85"/>
      <c r="D29" s="85"/>
      <c r="E29" s="122">
        <f>+E23/4</f>
        <v>0.0231</v>
      </c>
      <c r="F29" s="119"/>
      <c r="G29" s="122">
        <f>+G23/4</f>
        <v>0.025225</v>
      </c>
      <c r="H29" s="85"/>
    </row>
    <row r="30" spans="1:8" s="110" customFormat="1" ht="15">
      <c r="A30" s="87">
        <f t="shared" si="0"/>
        <v>16</v>
      </c>
      <c r="B30" s="85"/>
      <c r="C30" s="85"/>
      <c r="D30" s="85"/>
      <c r="E30" s="85"/>
      <c r="F30" s="119"/>
      <c r="G30" s="122"/>
      <c r="H30" s="85"/>
    </row>
    <row r="31" spans="1:8" s="110" customFormat="1" ht="12.75">
      <c r="A31" s="87">
        <f t="shared" si="0"/>
        <v>17</v>
      </c>
      <c r="B31" s="85"/>
      <c r="C31" s="85"/>
      <c r="D31" s="85"/>
      <c r="E31" s="85"/>
      <c r="F31" s="85"/>
      <c r="G31" s="85"/>
      <c r="H31" s="85"/>
    </row>
    <row r="32" spans="1:8" s="110" customFormat="1" ht="12.75">
      <c r="A32" s="87">
        <f t="shared" si="0"/>
        <v>18</v>
      </c>
      <c r="B32" s="85" t="s">
        <v>77</v>
      </c>
      <c r="C32" s="85"/>
      <c r="D32" s="85"/>
      <c r="E32" s="85"/>
      <c r="F32" s="85"/>
      <c r="G32" s="85"/>
      <c r="H32" s="85"/>
    </row>
    <row r="33" spans="1:8" s="110" customFormat="1" ht="12.75">
      <c r="A33" s="87">
        <f t="shared" si="0"/>
        <v>19</v>
      </c>
      <c r="B33" s="85"/>
      <c r="C33" s="94" t="s">
        <v>54</v>
      </c>
      <c r="D33" s="94" t="s">
        <v>55</v>
      </c>
      <c r="E33" s="85"/>
      <c r="F33" s="85"/>
      <c r="G33" s="106"/>
      <c r="H33" s="85"/>
    </row>
    <row r="34" spans="1:8" s="110" customFormat="1" ht="15">
      <c r="A34" s="87">
        <f t="shared" si="0"/>
        <v>20</v>
      </c>
      <c r="B34" s="85"/>
      <c r="C34" s="125"/>
      <c r="D34" s="125"/>
      <c r="E34" s="104"/>
      <c r="F34" s="126"/>
      <c r="G34" s="127"/>
      <c r="H34" s="85"/>
    </row>
    <row r="35" spans="1:11" s="110" customFormat="1" ht="15">
      <c r="A35" s="87">
        <f t="shared" si="0"/>
        <v>21</v>
      </c>
      <c r="B35" s="85" t="s">
        <v>78</v>
      </c>
      <c r="C35" s="125">
        <v>40603</v>
      </c>
      <c r="D35" s="125">
        <v>40967</v>
      </c>
      <c r="E35" s="104">
        <v>0.0324</v>
      </c>
      <c r="F35" s="126" t="str">
        <f>"*"&amp;ROUND((D35-C35)/30,0)&amp;"/12"</f>
        <v>*12/12</v>
      </c>
      <c r="G35" s="128">
        <v>0.0324</v>
      </c>
      <c r="H35" s="129">
        <f>G35+1</f>
        <v>1.0324</v>
      </c>
      <c r="K35" s="130"/>
    </row>
    <row r="36" spans="1:8" s="110" customFormat="1" ht="15">
      <c r="A36" s="87">
        <f t="shared" si="0"/>
        <v>22</v>
      </c>
      <c r="B36" s="85"/>
      <c r="C36" s="95"/>
      <c r="D36" s="95"/>
      <c r="E36" s="131"/>
      <c r="F36" s="93"/>
      <c r="G36" s="131"/>
      <c r="H36" s="129"/>
    </row>
    <row r="37" spans="1:11" s="110" customFormat="1" ht="15.75" thickBot="1">
      <c r="A37" s="87">
        <f t="shared" si="0"/>
        <v>23</v>
      </c>
      <c r="B37" s="85" t="s">
        <v>79</v>
      </c>
      <c r="C37" s="95"/>
      <c r="D37" s="95"/>
      <c r="E37" s="93"/>
      <c r="F37" s="93" t="s">
        <v>57</v>
      </c>
      <c r="G37" s="132">
        <f>H37-1</f>
        <v>0.032399999999999984</v>
      </c>
      <c r="H37" s="133">
        <f>H35</f>
        <v>1.0324</v>
      </c>
      <c r="K37" s="134"/>
    </row>
    <row r="38" spans="1:8" s="110" customFormat="1" ht="13.5" thickTop="1">
      <c r="A38" s="87">
        <f t="shared" si="0"/>
        <v>24</v>
      </c>
      <c r="B38" s="85"/>
      <c r="C38" s="85"/>
      <c r="D38" s="85"/>
      <c r="E38" s="85"/>
      <c r="F38" s="85"/>
      <c r="G38" s="135" t="s">
        <v>80</v>
      </c>
      <c r="H38" s="85"/>
    </row>
    <row r="39" spans="1:8" s="110" customFormat="1" ht="12.75">
      <c r="A39" s="87">
        <f t="shared" si="0"/>
        <v>25</v>
      </c>
      <c r="B39" s="85"/>
      <c r="C39" s="85"/>
      <c r="D39" s="85"/>
      <c r="E39" s="85"/>
      <c r="F39" s="85"/>
      <c r="G39" s="135"/>
      <c r="H39" s="85"/>
    </row>
    <row r="40" spans="1:8" s="110" customFormat="1" ht="12.75">
      <c r="A40" s="87">
        <f t="shared" si="0"/>
        <v>26</v>
      </c>
      <c r="B40" s="85"/>
      <c r="C40" s="85"/>
      <c r="D40" s="85"/>
      <c r="E40" s="85"/>
      <c r="F40" s="85"/>
      <c r="G40" s="87" t="s">
        <v>61</v>
      </c>
      <c r="H40" s="85"/>
    </row>
    <row r="41" spans="1:8" s="110" customFormat="1" ht="12.75">
      <c r="A41" s="87">
        <f t="shared" si="0"/>
        <v>27</v>
      </c>
      <c r="B41" s="85"/>
      <c r="C41" s="85"/>
      <c r="D41" s="87" t="s">
        <v>81</v>
      </c>
      <c r="E41" s="87" t="s">
        <v>82</v>
      </c>
      <c r="F41" s="87" t="s">
        <v>83</v>
      </c>
      <c r="G41" s="87" t="s">
        <v>64</v>
      </c>
      <c r="H41" s="85"/>
    </row>
    <row r="42" spans="1:8" s="110" customFormat="1" ht="12.75">
      <c r="A42" s="87">
        <f t="shared" si="0"/>
        <v>28</v>
      </c>
      <c r="B42" s="109" t="s">
        <v>84</v>
      </c>
      <c r="C42" s="90"/>
      <c r="D42" s="90" t="s">
        <v>85</v>
      </c>
      <c r="E42" s="90" t="s">
        <v>86</v>
      </c>
      <c r="F42" s="90" t="s">
        <v>87</v>
      </c>
      <c r="G42" s="90" t="s">
        <v>88</v>
      </c>
      <c r="H42" s="85"/>
    </row>
    <row r="43" spans="1:8" s="110" customFormat="1" ht="12.75">
      <c r="A43" s="87">
        <f t="shared" si="0"/>
        <v>29</v>
      </c>
      <c r="B43" s="85"/>
      <c r="C43" s="85"/>
      <c r="D43" s="85"/>
      <c r="E43" s="85"/>
      <c r="F43" s="85"/>
      <c r="G43" s="85"/>
      <c r="H43" s="85"/>
    </row>
    <row r="44" spans="1:8" s="110" customFormat="1" ht="12.75">
      <c r="A44" s="87">
        <f t="shared" si="0"/>
        <v>30</v>
      </c>
      <c r="B44" s="111" t="s">
        <v>89</v>
      </c>
      <c r="C44" s="115"/>
      <c r="D44" s="136">
        <v>1130.78</v>
      </c>
      <c r="E44" s="137">
        <v>78244153</v>
      </c>
      <c r="F44" s="137">
        <f>E44/D44</f>
        <v>69194.85045720653</v>
      </c>
      <c r="G44" s="85"/>
      <c r="H44" s="85"/>
    </row>
    <row r="45" spans="1:8" s="110" customFormat="1" ht="12.75">
      <c r="A45" s="87">
        <f t="shared" si="0"/>
        <v>31</v>
      </c>
      <c r="B45" s="115"/>
      <c r="C45" s="115"/>
      <c r="D45" s="137"/>
      <c r="E45" s="137"/>
      <c r="F45" s="85"/>
      <c r="G45" s="85"/>
      <c r="H45" s="85"/>
    </row>
    <row r="46" spans="1:8" s="110" customFormat="1" ht="15">
      <c r="A46" s="87">
        <f t="shared" si="0"/>
        <v>32</v>
      </c>
      <c r="B46" s="111" t="s">
        <v>70</v>
      </c>
      <c r="C46" s="111"/>
      <c r="D46" s="137">
        <v>1186</v>
      </c>
      <c r="E46" s="137">
        <v>84465864.99960002</v>
      </c>
      <c r="F46" s="137">
        <f>E46/D46</f>
        <v>71219.11045497473</v>
      </c>
      <c r="G46" s="119">
        <f>(F46-F44)/F44</f>
        <v>0.02925448908976395</v>
      </c>
      <c r="H46" s="85"/>
    </row>
    <row r="47" spans="1:8" s="110" customFormat="1" ht="15">
      <c r="A47" s="87">
        <f t="shared" si="0"/>
        <v>33</v>
      </c>
      <c r="B47" s="111"/>
      <c r="C47" s="111"/>
      <c r="D47" s="137"/>
      <c r="E47" s="137"/>
      <c r="F47" s="137"/>
      <c r="G47" s="119"/>
      <c r="H47" s="85"/>
    </row>
    <row r="48" spans="1:8" s="110" customFormat="1" ht="15">
      <c r="A48" s="87">
        <f t="shared" si="0"/>
        <v>34</v>
      </c>
      <c r="B48" s="111" t="s">
        <v>71</v>
      </c>
      <c r="C48" s="111"/>
      <c r="D48" s="137">
        <v>1229</v>
      </c>
      <c r="E48" s="137">
        <v>91394524.3703999</v>
      </c>
      <c r="F48" s="137">
        <f>E48/D48</f>
        <v>74364.9506675345</v>
      </c>
      <c r="G48" s="119">
        <f>(F48-F46)/F46</f>
        <v>0.04417129324507083</v>
      </c>
      <c r="H48" s="85"/>
    </row>
    <row r="49" spans="1:8" s="110" customFormat="1" ht="12.75">
      <c r="A49" s="87">
        <f t="shared" si="0"/>
        <v>35</v>
      </c>
      <c r="B49" s="85"/>
      <c r="C49" s="85"/>
      <c r="D49" s="85"/>
      <c r="E49" s="85"/>
      <c r="F49" s="85"/>
      <c r="G49" s="85"/>
      <c r="H49" s="85"/>
    </row>
    <row r="50" spans="1:8" s="110" customFormat="1" ht="15">
      <c r="A50" s="87">
        <f t="shared" si="0"/>
        <v>36</v>
      </c>
      <c r="B50" s="111" t="s">
        <v>72</v>
      </c>
      <c r="C50" s="111"/>
      <c r="D50" s="137">
        <v>1362</v>
      </c>
      <c r="E50" s="137">
        <v>102594250</v>
      </c>
      <c r="F50" s="137">
        <f>E50/D50</f>
        <v>75326.17474302497</v>
      </c>
      <c r="G50" s="119">
        <f>(F50-F48)/F48</f>
        <v>0.012925767674987576</v>
      </c>
      <c r="H50" s="138"/>
    </row>
    <row r="51" spans="1:8" s="110" customFormat="1" ht="15">
      <c r="A51" s="87">
        <f t="shared" si="0"/>
        <v>37</v>
      </c>
      <c r="B51" s="111"/>
      <c r="C51" s="111"/>
      <c r="D51" s="137"/>
      <c r="E51" s="137"/>
      <c r="F51" s="137"/>
      <c r="G51" s="119"/>
      <c r="H51" s="138"/>
    </row>
    <row r="52" spans="1:8" s="110" customFormat="1" ht="15">
      <c r="A52" s="87">
        <f t="shared" si="0"/>
        <v>38</v>
      </c>
      <c r="B52" s="111" t="s">
        <v>73</v>
      </c>
      <c r="C52" s="111"/>
      <c r="D52" s="137">
        <v>1496.025442796977</v>
      </c>
      <c r="E52" s="137">
        <v>116670358</v>
      </c>
      <c r="F52" s="137">
        <f>E52/D52</f>
        <v>77986.88087942709</v>
      </c>
      <c r="G52" s="119">
        <f>(F52-F50)/F50</f>
        <v>0.035322464541430815</v>
      </c>
      <c r="H52" s="138"/>
    </row>
    <row r="53" spans="1:8" s="110" customFormat="1" ht="12.75">
      <c r="A53" s="87">
        <f>A52+1</f>
        <v>39</v>
      </c>
      <c r="H53" s="85"/>
    </row>
    <row r="54" spans="1:8" s="110" customFormat="1" ht="15">
      <c r="A54" s="87">
        <f>A53+1</f>
        <v>40</v>
      </c>
      <c r="B54" s="111" t="s">
        <v>104</v>
      </c>
      <c r="C54" s="111"/>
      <c r="D54" s="137">
        <v>1614.1755610684818</v>
      </c>
      <c r="E54" s="137">
        <v>125585778</v>
      </c>
      <c r="F54" s="137">
        <f>E54/D54</f>
        <v>77801.80856961444</v>
      </c>
      <c r="G54" s="119">
        <f>(F54-F52)/F52</f>
        <v>-0.0023731210650517155</v>
      </c>
      <c r="H54" s="85"/>
    </row>
  </sheetData>
  <sheetProtection/>
  <printOptions horizontalCentered="1"/>
  <pageMargins left="0.5" right="0.5" top="0.25" bottom="0.75" header="0" footer="0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421875" style="85" customWidth="1"/>
    <col min="2" max="2" width="40.140625" style="85" customWidth="1"/>
    <col min="3" max="3" width="11.28125" style="85" bestFit="1" customWidth="1"/>
    <col min="4" max="4" width="10.7109375" style="85" customWidth="1"/>
    <col min="5" max="5" width="13.8515625" style="85" bestFit="1" customWidth="1"/>
    <col min="6" max="6" width="11.140625" style="85" customWidth="1"/>
    <col min="7" max="7" width="9.140625" style="85" customWidth="1"/>
    <col min="8" max="8" width="3.140625" style="85" bestFit="1" customWidth="1"/>
    <col min="9" max="16384" width="9.140625" style="85" customWidth="1"/>
  </cols>
  <sheetData>
    <row r="1" ht="12.75">
      <c r="A1" s="84"/>
    </row>
    <row r="5" spans="1:7" ht="12.75">
      <c r="A5" s="86" t="s">
        <v>42</v>
      </c>
      <c r="B5" s="86"/>
      <c r="C5" s="86"/>
      <c r="D5" s="86"/>
      <c r="E5" s="86"/>
      <c r="F5" s="86"/>
      <c r="G5" s="86"/>
    </row>
    <row r="6" spans="1:7" ht="12.75">
      <c r="A6" s="86" t="s">
        <v>43</v>
      </c>
      <c r="B6" s="86"/>
      <c r="C6" s="86"/>
      <c r="D6" s="86"/>
      <c r="E6" s="86"/>
      <c r="F6" s="86"/>
      <c r="G6" s="86"/>
    </row>
    <row r="7" spans="1:7" ht="12.75">
      <c r="A7" s="86" t="s">
        <v>93</v>
      </c>
      <c r="B7" s="86"/>
      <c r="C7" s="86"/>
      <c r="D7" s="86"/>
      <c r="E7" s="86"/>
      <c r="F7" s="86"/>
      <c r="G7" s="86"/>
    </row>
    <row r="8" spans="1:7" ht="12.75">
      <c r="A8" s="86"/>
      <c r="B8" s="86"/>
      <c r="C8" s="86"/>
      <c r="D8" s="86"/>
      <c r="E8" s="86"/>
      <c r="F8" s="86"/>
      <c r="G8" s="86"/>
    </row>
    <row r="9" spans="1:7" ht="12.75">
      <c r="A9" s="87"/>
      <c r="B9" s="87"/>
      <c r="C9" s="87"/>
      <c r="D9" s="87"/>
      <c r="E9" s="87"/>
      <c r="F9" s="87"/>
      <c r="G9" s="87"/>
    </row>
    <row r="10" spans="2:9" ht="12.75">
      <c r="B10" s="88" t="s">
        <v>44</v>
      </c>
      <c r="C10" s="88" t="s">
        <v>45</v>
      </c>
      <c r="D10" s="87" t="s">
        <v>46</v>
      </c>
      <c r="E10" s="89" t="s">
        <v>47</v>
      </c>
      <c r="F10" s="87" t="s">
        <v>48</v>
      </c>
      <c r="G10" s="87" t="s">
        <v>49</v>
      </c>
      <c r="I10" s="87" t="s">
        <v>50</v>
      </c>
    </row>
    <row r="11" spans="1:9" ht="12.75">
      <c r="A11" s="90" t="s">
        <v>51</v>
      </c>
      <c r="B11" s="91"/>
      <c r="C11" s="91"/>
      <c r="D11" s="91"/>
      <c r="E11" s="91"/>
      <c r="F11" s="91"/>
      <c r="G11" s="91"/>
      <c r="H11" s="91"/>
      <c r="I11" s="92" t="s">
        <v>52</v>
      </c>
    </row>
    <row r="13" spans="1:4" ht="12.75">
      <c r="A13" s="87">
        <v>1</v>
      </c>
      <c r="B13" s="93" t="s">
        <v>53</v>
      </c>
      <c r="C13" s="94" t="s">
        <v>54</v>
      </c>
      <c r="D13" s="94" t="s">
        <v>55</v>
      </c>
    </row>
    <row r="14" spans="1:10" ht="15">
      <c r="A14" s="87">
        <f aca="true" t="shared" si="0" ref="A14:A37">A13+1</f>
        <v>2</v>
      </c>
      <c r="C14" s="95"/>
      <c r="D14" s="95"/>
      <c r="E14" s="96"/>
      <c r="F14" s="97"/>
      <c r="G14" s="98"/>
      <c r="I14" s="141"/>
      <c r="J14" s="142"/>
    </row>
    <row r="15" spans="1:10" ht="11.25" customHeight="1">
      <c r="A15" s="87">
        <f t="shared" si="0"/>
        <v>3</v>
      </c>
      <c r="B15" s="85" t="s">
        <v>95</v>
      </c>
      <c r="C15" s="99">
        <v>40634</v>
      </c>
      <c r="D15" s="99">
        <v>40999</v>
      </c>
      <c r="E15" s="100">
        <v>0.02</v>
      </c>
      <c r="F15" s="153" t="str">
        <f>"*"&amp;ROUND((D15-C15)/30,0)&amp;"/12"</f>
        <v>*12/12</v>
      </c>
      <c r="G15" s="154">
        <f>ROUND(E15*(ROUND((D15-C15)/30,0))/12,4)</f>
        <v>0.02</v>
      </c>
      <c r="H15" s="155"/>
      <c r="I15" s="156">
        <f>1+G15</f>
        <v>1.02</v>
      </c>
      <c r="J15" s="142"/>
    </row>
    <row r="16" spans="1:10" ht="11.25" customHeight="1">
      <c r="A16" s="87">
        <f t="shared" si="0"/>
        <v>4</v>
      </c>
      <c r="C16" s="99"/>
      <c r="D16" s="99"/>
      <c r="E16" s="100"/>
      <c r="F16" s="153"/>
      <c r="G16" s="154"/>
      <c r="H16" s="155"/>
      <c r="I16" s="156"/>
      <c r="J16" s="142"/>
    </row>
    <row r="17" spans="1:10" ht="11.25" customHeight="1">
      <c r="A17" s="87">
        <f t="shared" si="0"/>
        <v>5</v>
      </c>
      <c r="B17" s="85" t="s">
        <v>96</v>
      </c>
      <c r="C17" s="99">
        <v>41000</v>
      </c>
      <c r="D17" s="99">
        <v>41044</v>
      </c>
      <c r="E17" s="100">
        <v>0.0225</v>
      </c>
      <c r="F17" s="160" t="str">
        <f>"*"&amp;ROUND((D17-C17)/30,0)&amp;"/12"</f>
        <v>*1/12</v>
      </c>
      <c r="G17" s="154">
        <f>ROUND(E17*(ROUND((D17-C17)/30,0))/12,4)</f>
        <v>0.0019</v>
      </c>
      <c r="H17" s="155"/>
      <c r="I17" s="156">
        <f>1+G17</f>
        <v>1.0019</v>
      </c>
      <c r="J17" s="142"/>
    </row>
    <row r="18" spans="1:10" ht="11.25" customHeight="1">
      <c r="A18" s="87">
        <f t="shared" si="0"/>
        <v>6</v>
      </c>
      <c r="C18" s="99"/>
      <c r="D18" s="99"/>
      <c r="E18" s="100"/>
      <c r="F18" s="153"/>
      <c r="G18" s="154"/>
      <c r="H18" s="155"/>
      <c r="I18" s="156"/>
      <c r="J18" s="142"/>
    </row>
    <row r="19" spans="1:10" ht="11.25" customHeight="1">
      <c r="A19" s="87">
        <f t="shared" si="0"/>
        <v>7</v>
      </c>
      <c r="B19" s="85" t="s">
        <v>97</v>
      </c>
      <c r="C19" s="99">
        <v>41365</v>
      </c>
      <c r="D19" s="99">
        <v>41729</v>
      </c>
      <c r="E19" s="100">
        <v>0.025</v>
      </c>
      <c r="F19" s="153" t="str">
        <f>"*"&amp;ROUND((D19-C19)/30,0)&amp;"/12"</f>
        <v>*12/12</v>
      </c>
      <c r="G19" s="154">
        <v>0</v>
      </c>
      <c r="H19" s="155"/>
      <c r="I19" s="156"/>
      <c r="J19" s="142"/>
    </row>
    <row r="20" spans="1:10" ht="11.25" customHeight="1">
      <c r="A20" s="87">
        <f t="shared" si="0"/>
        <v>8</v>
      </c>
      <c r="B20" s="85" t="s">
        <v>98</v>
      </c>
      <c r="C20" s="99">
        <v>41395</v>
      </c>
      <c r="D20" s="99">
        <v>41729</v>
      </c>
      <c r="E20" s="100">
        <f>-E19</f>
        <v>-0.025</v>
      </c>
      <c r="F20" s="102" t="str">
        <f>"*"&amp;ROUND((D20-C20)/30,0)&amp;"/12"</f>
        <v>*11/12</v>
      </c>
      <c r="G20" s="157">
        <v>0</v>
      </c>
      <c r="H20" s="155"/>
      <c r="I20" s="156"/>
      <c r="J20" s="142"/>
    </row>
    <row r="21" spans="1:10" ht="11.25" customHeight="1">
      <c r="A21" s="87">
        <f t="shared" si="0"/>
        <v>9</v>
      </c>
      <c r="C21" s="99"/>
      <c r="D21" s="99"/>
      <c r="E21" s="100"/>
      <c r="F21" s="102" t="s">
        <v>99</v>
      </c>
      <c r="G21" s="154">
        <f>SUM(G19:G20)</f>
        <v>0</v>
      </c>
      <c r="H21" s="155"/>
      <c r="I21" s="156">
        <f>1+G21</f>
        <v>1</v>
      </c>
      <c r="J21" s="142"/>
    </row>
    <row r="22" spans="1:9" ht="15">
      <c r="A22" s="87">
        <f t="shared" si="0"/>
        <v>10</v>
      </c>
      <c r="C22" s="99"/>
      <c r="D22" s="99"/>
      <c r="E22" s="100"/>
      <c r="F22" s="142"/>
      <c r="G22" s="154"/>
      <c r="H22" s="158"/>
      <c r="I22" s="156"/>
    </row>
    <row r="23" spans="1:9" ht="15.75" thickBot="1">
      <c r="A23" s="87">
        <f t="shared" si="0"/>
        <v>11</v>
      </c>
      <c r="B23" s="85" t="s">
        <v>56</v>
      </c>
      <c r="C23" s="99"/>
      <c r="D23" s="99"/>
      <c r="E23" s="103"/>
      <c r="F23" s="103" t="s">
        <v>57</v>
      </c>
      <c r="G23" s="159">
        <f>I23-1</f>
        <v>0.021938000000000013</v>
      </c>
      <c r="H23" s="158"/>
      <c r="I23" s="156">
        <f>I15*I17*I21</f>
        <v>1.021938</v>
      </c>
    </row>
    <row r="24" spans="1:10" ht="13.5" thickTop="1">
      <c r="A24" s="87">
        <f t="shared" si="0"/>
        <v>12</v>
      </c>
      <c r="C24" s="103"/>
      <c r="D24" s="103"/>
      <c r="E24" s="100"/>
      <c r="F24" s="100"/>
      <c r="G24" s="100"/>
      <c r="H24" s="100"/>
      <c r="I24" s="100"/>
      <c r="J24" s="104"/>
    </row>
    <row r="25" spans="1:10" ht="15">
      <c r="A25" s="87">
        <f t="shared" si="0"/>
        <v>13</v>
      </c>
      <c r="B25" s="93" t="s">
        <v>58</v>
      </c>
      <c r="C25" s="103"/>
      <c r="D25" s="103"/>
      <c r="E25" s="88"/>
      <c r="F25" s="103"/>
      <c r="G25" s="103"/>
      <c r="H25" s="103"/>
      <c r="I25" s="103"/>
      <c r="J25" s="142"/>
    </row>
    <row r="26" spans="1:10" ht="15">
      <c r="A26" s="87">
        <f t="shared" si="0"/>
        <v>14</v>
      </c>
      <c r="B26" s="93"/>
      <c r="C26" s="103"/>
      <c r="D26" s="103"/>
      <c r="E26" s="88"/>
      <c r="F26" s="103"/>
      <c r="G26" s="103"/>
      <c r="H26" s="103"/>
      <c r="I26" s="103"/>
      <c r="J26" s="142"/>
    </row>
    <row r="27" spans="1:10" ht="15">
      <c r="A27" s="87">
        <f t="shared" si="0"/>
        <v>15</v>
      </c>
      <c r="B27" s="85" t="s">
        <v>100</v>
      </c>
      <c r="C27" s="99">
        <v>40544</v>
      </c>
      <c r="D27" s="99">
        <v>40908</v>
      </c>
      <c r="E27" s="100">
        <v>0.01</v>
      </c>
      <c r="F27" s="102" t="str">
        <f>"*"&amp;ROUND((D27-C27)/30,0)&amp;"/12"</f>
        <v>*12/12</v>
      </c>
      <c r="G27" s="101">
        <f>ROUND(E27*(ROUND((D27-C27)/30,0))/12,4)</f>
        <v>0.01</v>
      </c>
      <c r="H27" s="103"/>
      <c r="I27" s="141">
        <f>1+G27</f>
        <v>1.01</v>
      </c>
      <c r="J27" s="142"/>
    </row>
    <row r="28" spans="1:10" ht="15">
      <c r="A28" s="87">
        <f t="shared" si="0"/>
        <v>16</v>
      </c>
      <c r="C28" s="99"/>
      <c r="D28" s="99"/>
      <c r="E28" s="100"/>
      <c r="F28" s="102"/>
      <c r="G28" s="101"/>
      <c r="H28" s="103"/>
      <c r="I28" s="141"/>
      <c r="J28" s="142"/>
    </row>
    <row r="29" spans="1:10" ht="15">
      <c r="A29" s="87">
        <f t="shared" si="0"/>
        <v>17</v>
      </c>
      <c r="B29" s="85" t="s">
        <v>101</v>
      </c>
      <c r="C29" s="99">
        <v>40909</v>
      </c>
      <c r="D29" s="99">
        <v>41044</v>
      </c>
      <c r="E29" s="100">
        <v>0.03</v>
      </c>
      <c r="F29" s="161" t="str">
        <f>"*"&amp;ROUND((D29-C29)/30,0)&amp;"/12"</f>
        <v>*5/12</v>
      </c>
      <c r="G29" s="154">
        <f>ROUND(E29*(ROUND((D29-C29)/30,0))/12,4)</f>
        <v>0.0125</v>
      </c>
      <c r="H29" s="158"/>
      <c r="I29" s="156">
        <f>1+G29</f>
        <v>1.0125</v>
      </c>
      <c r="J29" s="142"/>
    </row>
    <row r="30" spans="1:10" ht="15">
      <c r="A30" s="87">
        <f t="shared" si="0"/>
        <v>18</v>
      </c>
      <c r="C30" s="99"/>
      <c r="D30" s="99"/>
      <c r="E30" s="100"/>
      <c r="F30" s="161"/>
      <c r="G30" s="154"/>
      <c r="H30" s="158"/>
      <c r="I30" s="156"/>
      <c r="J30" s="142"/>
    </row>
    <row r="31" spans="1:10" ht="15">
      <c r="A31" s="87">
        <f t="shared" si="0"/>
        <v>19</v>
      </c>
      <c r="B31" s="85" t="s">
        <v>102</v>
      </c>
      <c r="C31" s="99">
        <v>41275</v>
      </c>
      <c r="D31" s="99">
        <v>41639</v>
      </c>
      <c r="E31" s="100">
        <v>0.0375</v>
      </c>
      <c r="F31" s="102" t="str">
        <f>"*"&amp;ROUND((D31-C31)/30,0)&amp;"/12"</f>
        <v>*12/12</v>
      </c>
      <c r="G31" s="154"/>
      <c r="H31" s="158"/>
      <c r="I31" s="156"/>
      <c r="J31" s="142"/>
    </row>
    <row r="32" spans="1:10" ht="15">
      <c r="A32" s="87">
        <f t="shared" si="0"/>
        <v>20</v>
      </c>
      <c r="B32" s="85" t="s">
        <v>98</v>
      </c>
      <c r="C32" s="99">
        <v>41395</v>
      </c>
      <c r="D32" s="99">
        <v>41639</v>
      </c>
      <c r="E32" s="100">
        <f>-E31</f>
        <v>-0.0375</v>
      </c>
      <c r="F32" s="102" t="str">
        <f>"*"&amp;ROUND((D32-C32)/30,0)&amp;"/12"</f>
        <v>*8/12</v>
      </c>
      <c r="G32" s="157"/>
      <c r="H32" s="158"/>
      <c r="I32" s="156"/>
      <c r="J32" s="142"/>
    </row>
    <row r="33" spans="1:10" ht="15">
      <c r="A33" s="87">
        <f t="shared" si="0"/>
        <v>21</v>
      </c>
      <c r="C33" s="99"/>
      <c r="D33" s="99"/>
      <c r="E33" s="100"/>
      <c r="F33" s="102" t="s">
        <v>103</v>
      </c>
      <c r="G33" s="154">
        <f>SUM(G31:G32)</f>
        <v>0</v>
      </c>
      <c r="H33" s="158"/>
      <c r="I33" s="156">
        <f>1+G33</f>
        <v>1</v>
      </c>
      <c r="J33" s="142"/>
    </row>
    <row r="34" spans="1:9" ht="15">
      <c r="A34" s="87">
        <f t="shared" si="0"/>
        <v>22</v>
      </c>
      <c r="C34" s="99"/>
      <c r="D34" s="99"/>
      <c r="E34" s="100"/>
      <c r="F34" s="160"/>
      <c r="G34" s="154"/>
      <c r="H34" s="158"/>
      <c r="I34" s="158"/>
    </row>
    <row r="35" spans="1:9" ht="15.75" thickBot="1">
      <c r="A35" s="87">
        <f t="shared" si="0"/>
        <v>23</v>
      </c>
      <c r="B35" s="85" t="s">
        <v>59</v>
      </c>
      <c r="C35" s="99"/>
      <c r="D35" s="99"/>
      <c r="E35" s="103"/>
      <c r="F35" s="158" t="s">
        <v>57</v>
      </c>
      <c r="G35" s="159">
        <f>I35-1</f>
        <v>0.022624999999999895</v>
      </c>
      <c r="H35" s="158"/>
      <c r="I35" s="156">
        <f>I27*I29*I33</f>
        <v>1.022625</v>
      </c>
    </row>
    <row r="36" ht="13.5" thickTop="1">
      <c r="A36" s="87">
        <f t="shared" si="0"/>
        <v>24</v>
      </c>
    </row>
    <row r="37" ht="12.75">
      <c r="A37" s="87">
        <f t="shared" si="0"/>
        <v>25</v>
      </c>
    </row>
    <row r="38" spans="1:2" ht="12.75">
      <c r="A38" s="87"/>
      <c r="B38" s="105"/>
    </row>
    <row r="39" ht="12.75">
      <c r="A39" s="87"/>
    </row>
    <row r="40" ht="12.75">
      <c r="A40" s="87"/>
    </row>
  </sheetData>
  <sheetProtection/>
  <printOptions/>
  <pageMargins left="0.5" right="0.5" top="0.25" bottom="0.75" header="0" footer="0"/>
  <pageSetup fitToHeight="1" fitToWidth="1" horizontalDpi="600" verticalDpi="600" orientation="portrait" scale="86" r:id="rId1"/>
  <headerFooter alignWithMargins="0">
    <oddFooter>&amp;L&amp;"Arial,Bold Italic"&amp;8Note:  Amounts presented in bold italic have changed since the June 13th Original filing.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4.421875" style="0" bestFit="1" customWidth="1"/>
    <col min="2" max="2" width="14.140625" style="0" customWidth="1"/>
    <col min="3" max="4" width="13.57421875" style="0" customWidth="1"/>
    <col min="5" max="5" width="32.8515625" style="0" bestFit="1" customWidth="1"/>
  </cols>
  <sheetData>
    <row r="1" spans="2:5" ht="12.75">
      <c r="B1" s="43"/>
      <c r="C1" s="43"/>
      <c r="D1" s="42"/>
      <c r="E1" s="42"/>
    </row>
    <row r="2" spans="2:5" ht="12.75">
      <c r="B2" s="43"/>
      <c r="C2" s="43"/>
      <c r="D2" s="42"/>
      <c r="E2" s="42"/>
    </row>
    <row r="3" spans="2:5" ht="12.75">
      <c r="B3" s="43"/>
      <c r="C3" s="43"/>
      <c r="D3" s="42"/>
      <c r="E3" s="42"/>
    </row>
    <row r="4" spans="2:5" ht="12.75">
      <c r="B4" s="44" t="s">
        <v>20</v>
      </c>
      <c r="C4" s="43"/>
      <c r="D4" s="42"/>
      <c r="E4" s="42"/>
    </row>
    <row r="5" spans="2:6" ht="12.75">
      <c r="B5" s="65" t="s">
        <v>39</v>
      </c>
      <c r="C5" s="66"/>
      <c r="D5" s="66"/>
      <c r="E5" s="36"/>
      <c r="F5" s="45"/>
    </row>
    <row r="6" spans="2:6" ht="12.75">
      <c r="B6" s="36"/>
      <c r="C6" s="36"/>
      <c r="D6" s="36"/>
      <c r="E6" s="36"/>
      <c r="F6" s="45"/>
    </row>
    <row r="7" spans="2:6" ht="12.75">
      <c r="B7" s="36"/>
      <c r="C7" s="36"/>
      <c r="D7" s="36"/>
      <c r="E7" s="36"/>
      <c r="F7" s="45"/>
    </row>
    <row r="8" spans="2:6" ht="12.75">
      <c r="B8" s="36"/>
      <c r="C8" s="67">
        <v>0.6731</v>
      </c>
      <c r="D8" s="67">
        <v>0.3269</v>
      </c>
      <c r="E8" s="46" t="s">
        <v>23</v>
      </c>
      <c r="F8" s="45"/>
    </row>
    <row r="9" spans="2:5" ht="12.75">
      <c r="B9" s="37" t="s">
        <v>15</v>
      </c>
      <c r="C9" s="37" t="s">
        <v>21</v>
      </c>
      <c r="D9" s="37" t="s">
        <v>22</v>
      </c>
      <c r="E9" s="47"/>
    </row>
    <row r="10" spans="2:5" ht="12.75">
      <c r="B10" s="36"/>
      <c r="C10" s="36"/>
      <c r="D10" s="36"/>
      <c r="E10" s="47"/>
    </row>
    <row r="11" spans="1:4" ht="12.75">
      <c r="A11" s="47" t="s">
        <v>16</v>
      </c>
      <c r="B11" s="57">
        <f>'rate case 2010'!B8</f>
        <v>8020729.18</v>
      </c>
      <c r="C11" s="69">
        <f>B11*$C$8</f>
        <v>5398752.811058</v>
      </c>
      <c r="D11" s="69">
        <f>B11*$D$8</f>
        <v>2621976.368942</v>
      </c>
    </row>
    <row r="12" spans="1:4" ht="12.75">
      <c r="A12" s="47" t="s">
        <v>19</v>
      </c>
      <c r="B12" s="61">
        <f>'rate case 2010'!B11</f>
        <v>197180.06</v>
      </c>
      <c r="C12" s="38">
        <f>B12*$C$8</f>
        <v>132721.89838600002</v>
      </c>
      <c r="D12" s="38">
        <f>B12*$D$8</f>
        <v>64458.161614000004</v>
      </c>
    </row>
    <row r="13" spans="1:4" ht="12.75">
      <c r="A13" s="47"/>
      <c r="B13" s="74">
        <f>SUM(B11:B12)</f>
        <v>8217909.239999999</v>
      </c>
      <c r="C13" s="40">
        <f>SUM(C11:C12)</f>
        <v>5531474.709443999</v>
      </c>
      <c r="D13" s="40">
        <f>SUM(D11:D12)</f>
        <v>2686434.530556</v>
      </c>
    </row>
    <row r="14" spans="1:4" ht="12.75">
      <c r="A14" s="47"/>
      <c r="B14" s="62"/>
      <c r="C14" s="40"/>
      <c r="D14" s="40"/>
    </row>
    <row r="15" spans="1:4" ht="12.75">
      <c r="A15" s="47" t="s">
        <v>17</v>
      </c>
      <c r="B15" s="61">
        <f>'rate case 2010'!B9</f>
        <v>1390787.02</v>
      </c>
      <c r="C15" s="38">
        <f>B15*$C$8</f>
        <v>936138.7431620001</v>
      </c>
      <c r="D15" s="38">
        <f>B15*$D$8</f>
        <v>454648.27683800005</v>
      </c>
    </row>
    <row r="16" spans="1:4" ht="12.75">
      <c r="A16" s="47" t="s">
        <v>18</v>
      </c>
      <c r="B16" s="61">
        <f>'rate case 2010'!B10</f>
        <v>2093501</v>
      </c>
      <c r="C16" s="38">
        <f>B16*$C$8</f>
        <v>1409135.5231</v>
      </c>
      <c r="D16" s="38">
        <f>B16*$D$8</f>
        <v>684365.4769</v>
      </c>
    </row>
    <row r="17" spans="2:4" ht="12.75">
      <c r="B17" s="63">
        <f>SUM(B15:B16)</f>
        <v>3484288.02</v>
      </c>
      <c r="C17" s="39">
        <f>SUM(C15:C16)</f>
        <v>2345274.2662620004</v>
      </c>
      <c r="D17" s="39">
        <f>SUM(D15:D16)</f>
        <v>1139013.753738</v>
      </c>
    </row>
    <row r="18" spans="2:4" ht="12.75">
      <c r="B18" s="64"/>
      <c r="C18" s="41"/>
      <c r="D18" s="41"/>
    </row>
    <row r="19" spans="2:5" ht="13.5" thickBot="1">
      <c r="B19" s="83">
        <f>B13+B17</f>
        <v>11702197.26</v>
      </c>
      <c r="C19" s="48">
        <f>C13+C17</f>
        <v>7876748.975706</v>
      </c>
      <c r="D19" s="48">
        <f>D13+D17</f>
        <v>3825448.284294</v>
      </c>
      <c r="E19" s="47"/>
    </row>
    <row r="20" ht="13.5" thickTop="1"/>
    <row r="25" ht="12.75">
      <c r="D25" s="49"/>
    </row>
    <row r="26" ht="12.75">
      <c r="D26" s="49"/>
    </row>
  </sheetData>
  <sheetProtection/>
  <printOptions/>
  <pageMargins left="0.75" right="0.46" top="0.25" bottom="1" header="0.5" footer="0.5"/>
  <pageSetup fitToHeight="1" fitToWidth="1" horizontalDpi="600" verticalDpi="600" orientation="portrait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0.7109375" style="0" customWidth="1"/>
    <col min="2" max="2" width="18.28125" style="0" customWidth="1"/>
    <col min="3" max="3" width="14.00390625" style="54" bestFit="1" customWidth="1"/>
    <col min="4" max="4" width="12.7109375" style="54" bestFit="1" customWidth="1"/>
    <col min="6" max="8" width="12.7109375" style="0" bestFit="1" customWidth="1"/>
    <col min="9" max="9" width="25.140625" style="0" customWidth="1"/>
    <col min="10" max="10" width="2.00390625" style="0" customWidth="1"/>
    <col min="11" max="11" width="12.7109375" style="0" bestFit="1" customWidth="1"/>
    <col min="12" max="12" width="11.140625" style="0" bestFit="1" customWidth="1"/>
  </cols>
  <sheetData>
    <row r="1" spans="2:3" ht="12.75">
      <c r="B1" s="53" t="s">
        <v>40</v>
      </c>
      <c r="C1" s="70"/>
    </row>
    <row r="2" s="55" customFormat="1" ht="12.75"/>
    <row r="3" spans="3:4" ht="12.75">
      <c r="C3"/>
      <c r="D3"/>
    </row>
    <row r="4" spans="3:4" ht="12.75">
      <c r="C4"/>
      <c r="D4"/>
    </row>
    <row r="5" spans="2:6" ht="12.75">
      <c r="B5" s="42"/>
      <c r="C5" s="42"/>
      <c r="D5" s="42"/>
      <c r="E5" s="42"/>
      <c r="F5" s="42"/>
    </row>
    <row r="6" spans="2:6" ht="12.75">
      <c r="B6" s="166" t="s">
        <v>31</v>
      </c>
      <c r="C6" s="166"/>
      <c r="D6" s="166"/>
      <c r="E6" s="166"/>
      <c r="F6" s="166"/>
    </row>
    <row r="7" spans="2:6" ht="12.75">
      <c r="B7" s="80" t="s">
        <v>15</v>
      </c>
      <c r="C7" s="81" t="s">
        <v>32</v>
      </c>
      <c r="D7" s="82" t="s">
        <v>33</v>
      </c>
      <c r="E7" s="42"/>
      <c r="F7" s="42"/>
    </row>
    <row r="8" spans="1:6" ht="12.75">
      <c r="A8" s="56" t="s">
        <v>41</v>
      </c>
      <c r="B8" s="78">
        <v>8020729.18</v>
      </c>
      <c r="C8" s="79">
        <v>6897660.67</v>
      </c>
      <c r="D8" s="78">
        <v>1123068.51</v>
      </c>
      <c r="E8" s="58"/>
      <c r="F8" s="58"/>
    </row>
    <row r="9" spans="1:6" ht="12.75">
      <c r="A9" s="56" t="s">
        <v>17</v>
      </c>
      <c r="B9" s="74">
        <v>1390787.02</v>
      </c>
      <c r="C9" s="76">
        <v>1190055.51</v>
      </c>
      <c r="D9" s="74">
        <v>200731.51</v>
      </c>
      <c r="E9" s="58"/>
      <c r="F9" s="58"/>
    </row>
    <row r="10" spans="1:6" ht="12.75">
      <c r="A10" s="56" t="s">
        <v>18</v>
      </c>
      <c r="B10" s="74">
        <v>2093501</v>
      </c>
      <c r="C10" s="76">
        <v>2093501</v>
      </c>
      <c r="D10" s="74">
        <v>0</v>
      </c>
      <c r="E10" s="58"/>
      <c r="F10" s="58"/>
    </row>
    <row r="11" spans="1:6" ht="12.75">
      <c r="A11" s="59" t="s">
        <v>19</v>
      </c>
      <c r="B11" s="74">
        <v>197180.06</v>
      </c>
      <c r="C11" s="76">
        <v>168781.82</v>
      </c>
      <c r="D11" s="74">
        <v>28398.24</v>
      </c>
      <c r="E11" s="58"/>
      <c r="F11" s="58"/>
    </row>
    <row r="12" spans="1:6" ht="12.75">
      <c r="A12" s="60"/>
      <c r="B12" s="75">
        <f>SUM(B8:B11)</f>
        <v>11702197.26</v>
      </c>
      <c r="C12" s="77">
        <f>SUM(C8:C11)</f>
        <v>10349999</v>
      </c>
      <c r="D12" s="75">
        <f>SUM(D8:D11)</f>
        <v>1352198.26</v>
      </c>
      <c r="F12" s="58"/>
    </row>
    <row r="13" spans="2:4" ht="12.75">
      <c r="B13" s="54" t="s">
        <v>0</v>
      </c>
      <c r="C13"/>
      <c r="D13"/>
    </row>
    <row r="14" spans="2:4" ht="12.75">
      <c r="B14" s="54"/>
      <c r="C14" t="s">
        <v>0</v>
      </c>
      <c r="D14"/>
    </row>
    <row r="15" spans="2:4" ht="12.75">
      <c r="B15" s="58"/>
      <c r="C15" s="58" t="s">
        <v>0</v>
      </c>
      <c r="D15" t="s">
        <v>0</v>
      </c>
    </row>
    <row r="16" spans="2:4" ht="12.75">
      <c r="B16" s="58"/>
      <c r="C16" s="58" t="s">
        <v>0</v>
      </c>
      <c r="D16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</sheetData>
  <sheetProtection/>
  <mergeCells count="1">
    <mergeCell ref="B6:F6"/>
  </mergeCells>
  <printOptions/>
  <pageMargins left="0.69" right="0.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ckrueg</dc:creator>
  <cp:keywords/>
  <dc:description/>
  <cp:lastModifiedBy>miov</cp:lastModifiedBy>
  <cp:lastPrinted>2012-01-12T17:37:46Z</cp:lastPrinted>
  <dcterms:created xsi:type="dcterms:W3CDTF">2003-11-17T18:47:52Z</dcterms:created>
  <dcterms:modified xsi:type="dcterms:W3CDTF">2012-01-12T17:37:53Z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