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4290" windowWidth="17400" windowHeight="7530" tabRatio="813" activeTab="0"/>
  </bookViews>
  <sheets>
    <sheet name="21.10 Electric" sheetId="1" r:id="rId1"/>
    <sheet name="Incntv Pay - Allocated Electric" sheetId="2" r:id="rId2"/>
    <sheet name="Electric wage increase ratios" sheetId="3" r:id="rId3"/>
    <sheet name="4 Year Average 2010- RY" sheetId="4" r:id="rId4"/>
    <sheet name="4 Year Average 2009- RY" sheetId="5" r:id="rId5"/>
    <sheet name="Non-Utility O-U clearings" sheetId="6" state="hidden" r:id="rId6"/>
    <sheet name="4 Year Average 2008 - RY" sheetId="7" r:id="rId7"/>
    <sheet name="Report 2010" sheetId="8" r:id="rId8"/>
    <sheet name="PR Taxes Alloc" sheetId="9" r:id="rId9"/>
    <sheet name="Incent &amp; Related PR Tax - TY" sheetId="10" r:id="rId10"/>
    <sheet name="TY Manual Clearing" sheetId="11" r:id="rId11"/>
    <sheet name="Incentive Allocation " sheetId="12" r:id="rId12"/>
    <sheet name="SAP" sheetId="13" r:id="rId13"/>
    <sheet name="3.05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123Graph_ECURRENT" hidden="1">'[3]ConsolidatingPL'!#REF!</definedName>
    <definedName name="_End" localSheetId="6">'[10]BS'!#REF!</definedName>
    <definedName name="_End" localSheetId="2">'[1]1.06'!#REF!</definedName>
    <definedName name="_End" localSheetId="9">'[5]1.06'!#REF!</definedName>
    <definedName name="_End" localSheetId="11">'[1]1.06'!#REF!</definedName>
    <definedName name="_End" localSheetId="8">'[1]1.06'!#REF!</definedName>
    <definedName name="_End">'[10]BS'!#REF!</definedName>
    <definedName name="_Fill" localSheetId="13" hidden="1">#REF!</definedName>
    <definedName name="_Fill" localSheetId="6">#REF!</definedName>
    <definedName name="_Fill" localSheetId="11">#REF!</definedName>
    <definedName name="_Fill" localSheetId="8">#REF!</definedName>
    <definedName name="_Fill">#REF!</definedName>
    <definedName name="_Order1" hidden="1">255</definedName>
    <definedName name="_Order2" hidden="1">255</definedName>
    <definedName name="_xlfn.IFERROR" hidden="1">#NAME?</definedName>
    <definedName name="a">'[1]1.06'!#REF!</definedName>
    <definedName name="AccessDatabase" hidden="1">"I:\COMTREL\FINICLE\TradeSummary.mdb"</definedName>
    <definedName name="Acq1Plant">'[11]Acquisition Inputs'!$C$8</definedName>
    <definedName name="Acq2Plant">'[11]Acquisition Inputs'!$C$70</definedName>
    <definedName name="apeek">#REF!</definedName>
    <definedName name="Apr03AMA" localSheetId="6">'[2]BS C&amp;L'!#REF!</definedName>
    <definedName name="Apr03AMA" localSheetId="11">'[2]BS C&amp;L'!#REF!</definedName>
    <definedName name="Apr03AMA" localSheetId="8">'[2]BS C&amp;L'!#REF!</definedName>
    <definedName name="Apr03AMA">'[2]BS C&amp;L'!#REF!</definedName>
    <definedName name="Apr04">'[8]BS'!$U$7:$U$3582</definedName>
    <definedName name="Apr04AMA">'[8]BS'!$AG$7:$AG$3582</definedName>
    <definedName name="Apr05" localSheetId="6">'[10]BS'!#REF!</definedName>
    <definedName name="Apr05" localSheetId="2">'[1]1.06'!#REF!</definedName>
    <definedName name="Apr05" localSheetId="9">'[5]1.06'!#REF!</definedName>
    <definedName name="Apr05" localSheetId="11">'[1]1.06'!#REF!</definedName>
    <definedName name="Apr05" localSheetId="8">'[1]1.06'!#REF!</definedName>
    <definedName name="Apr05">'[10]BS'!#REF!</definedName>
    <definedName name="Apr05AMA" localSheetId="6">'[10]BS'!#REF!</definedName>
    <definedName name="Apr05AMA" localSheetId="2">'[1]1.06'!#REF!</definedName>
    <definedName name="Apr05AMA" localSheetId="9">'[5]1.06'!#REF!</definedName>
    <definedName name="Apr05AMA" localSheetId="11">'[1]1.06'!#REF!</definedName>
    <definedName name="Apr05AMA" localSheetId="8">'[1]1.06'!#REF!</definedName>
    <definedName name="Apr05AMA">'[10]BS'!#REF!</definedName>
    <definedName name="Aug03AMA" localSheetId="6">'[2]BS C&amp;L'!#REF!</definedName>
    <definedName name="Aug03AMA" localSheetId="11">'[2]BS C&amp;L'!#REF!</definedName>
    <definedName name="Aug03AMA" localSheetId="8">'[2]BS C&amp;L'!#REF!</definedName>
    <definedName name="Aug03AMA">'[2]BS C&amp;L'!#REF!</definedName>
    <definedName name="Aug04">'[8]BS'!$Y$7:$Y$3582</definedName>
    <definedName name="Aug04AMA">'[8]BS'!$AK$7:$AK$3582</definedName>
    <definedName name="Aug05" localSheetId="6">'[10]BS'!#REF!</definedName>
    <definedName name="Aug05" localSheetId="2">'[1]1.06'!#REF!</definedName>
    <definedName name="Aug05" localSheetId="9">'[5]1.06'!#REF!</definedName>
    <definedName name="Aug05" localSheetId="11">'[1]1.06'!#REF!</definedName>
    <definedName name="Aug05" localSheetId="8">'[1]1.06'!#REF!</definedName>
    <definedName name="Aug05">'[10]BS'!#REF!</definedName>
    <definedName name="Aug05AMA" localSheetId="6">'[10]BS'!#REF!</definedName>
    <definedName name="Aug05AMA" localSheetId="2">'[1]1.06'!#REF!</definedName>
    <definedName name="Aug05AMA" localSheetId="9">'[5]1.06'!#REF!</definedName>
    <definedName name="Aug05AMA" localSheetId="11">'[1]1.06'!#REF!</definedName>
    <definedName name="Aug05AMA" localSheetId="8">'[1]1.06'!#REF!</definedName>
    <definedName name="Aug05AMA">'[10]BS'!#REF!</definedName>
    <definedName name="Aurora_Prices">"Monthly Price Summary'!$C$4:$H$63"</definedName>
    <definedName name="b" localSheetId="13" hidden="1">{#N/A,#N/A,FALSE,"Coversheet";#N/A,#N/A,FALSE,"QA"}</definedName>
    <definedName name="b" localSheetId="6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localSheetId="9" hidden="1">{#N/A,#N/A,FALSE,"Coversheet";#N/A,#N/A,FALSE,"QA"}</definedName>
    <definedName name="b" localSheetId="11" hidden="1">{#N/A,#N/A,FALSE,"Coversheet";#N/A,#N/A,FALSE,"QA"}</definedName>
    <definedName name="b" localSheetId="8" hidden="1">{#N/A,#N/A,FALSE,"Coversheet";#N/A,#N/A,FALSE,"QA"}</definedName>
    <definedName name="b" hidden="1">{#N/A,#N/A,FALSE,"Coversheet";#N/A,#N/A,FALSE,"QA"}</definedName>
    <definedName name="BADDEBT" localSheetId="6">#REF!</definedName>
    <definedName name="BADDEBT" localSheetId="11">#REF!</definedName>
    <definedName name="BADDEBT" localSheetId="8">#REF!</definedName>
    <definedName name="BADDEBT">#REF!</definedName>
    <definedName name="BD">#REF!</definedName>
    <definedName name="BEP">#REF!</definedName>
    <definedName name="Button_1">"TradeSummary_Ken_Finicle_List"</definedName>
    <definedName name="Capacity">#REF!</definedName>
    <definedName name="CaseDescription">'[11]Dispatch Cases'!$C$11</definedName>
    <definedName name="CBWorkbookPriority" hidden="1">-2060790043</definedName>
    <definedName name="CCGT_HeatRate">'[11]Assumptions'!$H$23</definedName>
    <definedName name="CCGTPrice">'[11]Assumptions'!$H$22</definedName>
    <definedName name="COLHOUSE">#REF!</definedName>
    <definedName name="COLXFER" localSheetId="6">#REF!</definedName>
    <definedName name="COLXFER" localSheetId="11">#REF!</definedName>
    <definedName name="COLXFER" localSheetId="8">#REF!</definedName>
    <definedName name="COLXFER">#REF!</definedName>
    <definedName name="combp1">#REF!</definedName>
    <definedName name="combp2">#REF!</definedName>
    <definedName name="CombWC_LineItem" localSheetId="6">'[10]BS'!#REF!</definedName>
    <definedName name="CombWC_LineItem" localSheetId="2">'[1]1.06'!#REF!</definedName>
    <definedName name="CombWC_LineItem" localSheetId="9">'[5]1.06'!#REF!</definedName>
    <definedName name="CombWC_LineItem" localSheetId="11">'[1]1.06'!#REF!</definedName>
    <definedName name="CombWC_LineItem" localSheetId="8">'[1]1.06'!#REF!</definedName>
    <definedName name="CombWC_LineItem">'[10]BS'!#REF!</definedName>
    <definedName name="COMMON_ADMIN_ALLOCATED">#REF!</definedName>
    <definedName name="COMPINSR">#REF!</definedName>
    <definedName name="CONSERV">#REF!</definedName>
    <definedName name="ContractDate" localSheetId="6">'[15]Dispatch Cases'!#REF!</definedName>
    <definedName name="ContractDate">'[15]Dispatch Cases'!#REF!</definedName>
    <definedName name="ConversionFactor">'[11]Assumptions'!$I$65</definedName>
    <definedName name="CONVFACT">#REF!</definedName>
    <definedName name="CUSTDEP">#REF!</definedName>
    <definedName name="Data" localSheetId="7">'Report 2010'!$A$1:$M$33</definedName>
    <definedName name="Data">#REF!</definedName>
    <definedName name="DebtPerc">'[11]Assumptions'!$I$58</definedName>
    <definedName name="Dec03">'[9]BS'!$T$7:$T$3582</definedName>
    <definedName name="Dec03AMA">'[9]BS'!$AJ$7:$AJ$3582</definedName>
    <definedName name="Dec04">'[8]BS'!$AC$7:$AC$3580</definedName>
    <definedName name="Dec04AMA">'[8]BS'!$AO$7:$AO$3582</definedName>
    <definedName name="DELETE01" localSheetId="13" hidden="1">{#N/A,#N/A,FALSE,"Coversheet";#N/A,#N/A,FALSE,"QA"}</definedName>
    <definedName name="DELETE01" localSheetId="6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localSheetId="9" hidden="1">{#N/A,#N/A,FALSE,"Coversheet";#N/A,#N/A,FALSE,"QA"}</definedName>
    <definedName name="DELETE01" localSheetId="11" hidden="1">{#N/A,#N/A,FALSE,"Coversheet";#N/A,#N/A,FALSE,"QA"}</definedName>
    <definedName name="DELETE01" localSheetId="8" hidden="1">{#N/A,#N/A,FALSE,"Coversheet";#N/A,#N/A,FALSE,"QA"}</definedName>
    <definedName name="DELETE01" hidden="1">{#N/A,#N/A,FALSE,"Coversheet";#N/A,#N/A,FALSE,"QA"}</definedName>
    <definedName name="DELETE02" localSheetId="13" hidden="1">{#N/A,#N/A,FALSE,"Schedule F";#N/A,#N/A,FALSE,"Schedule G"}</definedName>
    <definedName name="DELETE02" localSheetId="6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localSheetId="9" hidden="1">{#N/A,#N/A,FALSE,"Schedule F";#N/A,#N/A,FALSE,"Schedule G"}</definedName>
    <definedName name="DELETE02" localSheetId="11" hidden="1">{#N/A,#N/A,FALSE,"Schedule F";#N/A,#N/A,FALSE,"Schedule G"}</definedName>
    <definedName name="DELETE02" localSheetId="8" hidden="1">{#N/A,#N/A,FALSE,"Schedule F";#N/A,#N/A,FALSE,"Schedule G"}</definedName>
    <definedName name="DELETE02" hidden="1">{#N/A,#N/A,FALSE,"Schedule F";#N/A,#N/A,FALSE,"Schedule G"}</definedName>
    <definedName name="Delete06" localSheetId="13" hidden="1">{#N/A,#N/A,FALSE,"Coversheet";#N/A,#N/A,FALSE,"QA"}</definedName>
    <definedName name="Delete06" localSheetId="6" hidden="1">{#N/A,#N/A,FALSE,"Coversheet";#N/A,#N/A,FALSE,"QA"}</definedName>
    <definedName name="Delete06" localSheetId="3" hidden="1">{#N/A,#N/A,FALSE,"Coversheet";#N/A,#N/A,FALSE,"QA"}</definedName>
    <definedName name="Delete06" localSheetId="11" hidden="1">{#N/A,#N/A,FALSE,"Coversheet";#N/A,#N/A,FALSE,"QA"}</definedName>
    <definedName name="Delete06" hidden="1">{#N/A,#N/A,FALSE,"Coversheet";#N/A,#N/A,FALSE,"QA"}</definedName>
    <definedName name="Delete09" localSheetId="13" hidden="1">{#N/A,#N/A,FALSE,"Coversheet";#N/A,#N/A,FALSE,"QA"}</definedName>
    <definedName name="Delete09" localSheetId="6" hidden="1">{#N/A,#N/A,FALSE,"Coversheet";#N/A,#N/A,FALSE,"QA"}</definedName>
    <definedName name="Delete09" localSheetId="3" hidden="1">{#N/A,#N/A,FALSE,"Coversheet";#N/A,#N/A,FALSE,"QA"}</definedName>
    <definedName name="Delete09" localSheetId="11" hidden="1">{#N/A,#N/A,FALSE,"Coversheet";#N/A,#N/A,FALSE,"QA"}</definedName>
    <definedName name="Delete09" hidden="1">{#N/A,#N/A,FALSE,"Coversheet";#N/A,#N/A,FALSE,"QA"}</definedName>
    <definedName name="Delete1" localSheetId="13" hidden="1">{#N/A,#N/A,FALSE,"Coversheet";#N/A,#N/A,FALSE,"QA"}</definedName>
    <definedName name="Delete1" localSheetId="6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localSheetId="9" hidden="1">{#N/A,#N/A,FALSE,"Coversheet";#N/A,#N/A,FALSE,"QA"}</definedName>
    <definedName name="Delete1" localSheetId="11" hidden="1">{#N/A,#N/A,FALSE,"Coversheet";#N/A,#N/A,FALSE,"QA"}</definedName>
    <definedName name="Delete1" localSheetId="8" hidden="1">{#N/A,#N/A,FALSE,"Coversheet";#N/A,#N/A,FALSE,"QA"}</definedName>
    <definedName name="Delete1" hidden="1">{#N/A,#N/A,FALSE,"Coversheet";#N/A,#N/A,FALSE,"QA"}</definedName>
    <definedName name="Delete10" localSheetId="13" hidden="1">{#N/A,#N/A,FALSE,"Schedule F";#N/A,#N/A,FALSE,"Schedule G"}</definedName>
    <definedName name="Delete10" localSheetId="6" hidden="1">{#N/A,#N/A,FALSE,"Schedule F";#N/A,#N/A,FALSE,"Schedule G"}</definedName>
    <definedName name="Delete10" localSheetId="3" hidden="1">{#N/A,#N/A,FALSE,"Schedule F";#N/A,#N/A,FALSE,"Schedule G"}</definedName>
    <definedName name="Delete10" localSheetId="11" hidden="1">{#N/A,#N/A,FALSE,"Schedule F";#N/A,#N/A,FALSE,"Schedule G"}</definedName>
    <definedName name="Delete10" hidden="1">{#N/A,#N/A,FALSE,"Schedule F";#N/A,#N/A,FALSE,"Schedule G"}</definedName>
    <definedName name="Delete21" localSheetId="13" hidden="1">{#N/A,#N/A,FALSE,"Coversheet";#N/A,#N/A,FALSE,"QA"}</definedName>
    <definedName name="Delete21" localSheetId="6" hidden="1">{#N/A,#N/A,FALSE,"Coversheet";#N/A,#N/A,FALSE,"QA"}</definedName>
    <definedName name="Delete21" localSheetId="3" hidden="1">{#N/A,#N/A,FALSE,"Coversheet";#N/A,#N/A,FALSE,"QA"}</definedName>
    <definedName name="Delete21" localSheetId="11" hidden="1">{#N/A,#N/A,FALSE,"Coversheet";#N/A,#N/A,FALSE,"QA"}</definedName>
    <definedName name="Delete21" hidden="1">{#N/A,#N/A,FALSE,"Coversheet";#N/A,#N/A,FALSE,"QA"}</definedName>
    <definedName name="DEPRECIATION">#REF!</definedName>
    <definedName name="DF_HeatRate">'[11]Assumptions'!$L$23</definedName>
    <definedName name="DFIT" localSheetId="13" hidden="1">{#N/A,#N/A,FALSE,"Coversheet";#N/A,#N/A,FALSE,"QA"}</definedName>
    <definedName name="DFIT" localSheetId="6" hidden="1">{#N/A,#N/A,FALSE,"Coversheet";#N/A,#N/A,FALSE,"QA"}</definedName>
    <definedName name="DFIT" localSheetId="3" hidden="1">{#N/A,#N/A,FALSE,"Coversheet";#N/A,#N/A,FALSE,"QA"}</definedName>
    <definedName name="DFIT" localSheetId="11" hidden="1">{#N/A,#N/A,FALSE,"Coversheet";#N/A,#N/A,FALSE,"QA"}</definedName>
    <definedName name="DFIT" hidden="1">{#N/A,#N/A,FALSE,"Coversheet";#N/A,#N/A,FALSE,"QA"}</definedName>
    <definedName name="Disc" localSheetId="6">'[15]Debt Amortization'!#REF!</definedName>
    <definedName name="Disc">'[15]Debt Amortization'!#REF!</definedName>
    <definedName name="DOCKET" localSheetId="6">#REF!</definedName>
    <definedName name="DOCKET" localSheetId="2">'Electric wage increase ratios'!$A$8</definedName>
    <definedName name="DOCKET" localSheetId="9">#REF!</definedName>
    <definedName name="DOCKET" localSheetId="11">#REF!</definedName>
    <definedName name="DOCKET" localSheetId="8">#REF!</definedName>
    <definedName name="DOCKET">#REF!</definedName>
    <definedName name="Electp1">#REF!</definedName>
    <definedName name="Electp2">#REF!</definedName>
    <definedName name="Electric_Prices">'[17]Monthly Price Summary'!$B$4:$E$27</definedName>
    <definedName name="ElecWC_LineItems" localSheetId="6">'[10]BS'!#REF!</definedName>
    <definedName name="ElecWC_LineItems" localSheetId="2">'[1]1.06'!#REF!</definedName>
    <definedName name="ElecWC_LineItems" localSheetId="9">'[5]1.06'!#REF!</definedName>
    <definedName name="ElecWC_LineItems" localSheetId="11">'[1]1.06'!#REF!</definedName>
    <definedName name="ElecWC_LineItems" localSheetId="8">'[1]1.06'!#REF!</definedName>
    <definedName name="ElecWC_LineItems">'[10]BS'!#REF!</definedName>
    <definedName name="ElRBLine">'[8]BS'!$AQ$7:$AQ$3303</definedName>
    <definedName name="EMPLBENE">#REF!</definedName>
    <definedName name="EndDate">'[11]Assumptions'!$C$11</definedName>
    <definedName name="ExternalData1" localSheetId="8">'PR Taxes Alloc'!$A$3:$B$33</definedName>
    <definedName name="FACTORS">#REF!</definedName>
    <definedName name="Feb03AMA" localSheetId="6">'[2]BS C&amp;L'!#REF!</definedName>
    <definedName name="Feb03AMA" localSheetId="11">'[2]BS C&amp;L'!#REF!</definedName>
    <definedName name="Feb03AMA" localSheetId="8">'[2]BS C&amp;L'!#REF!</definedName>
    <definedName name="Feb03AMA">'[2]BS C&amp;L'!#REF!</definedName>
    <definedName name="Feb04">'[8]BS'!$S$7:$S$3582</definedName>
    <definedName name="Feb04AMA">'[8]BS'!$AE$7:$AE$3582</definedName>
    <definedName name="Feb05" localSheetId="6">'[10]BS'!#REF!</definedName>
    <definedName name="Feb05" localSheetId="2">'[1]1.06'!#REF!</definedName>
    <definedName name="Feb05" localSheetId="9">'[5]1.06'!#REF!</definedName>
    <definedName name="Feb05" localSheetId="11">'[1]1.06'!#REF!</definedName>
    <definedName name="Feb05" localSheetId="8">'[1]1.06'!#REF!</definedName>
    <definedName name="Feb05">'[10]BS'!#REF!</definedName>
    <definedName name="Feb05AMA" localSheetId="6">'[10]BS'!#REF!</definedName>
    <definedName name="Feb05AMA" localSheetId="2">'[1]1.06'!#REF!</definedName>
    <definedName name="Feb05AMA" localSheetId="9">'[5]1.06'!#REF!</definedName>
    <definedName name="Feb05AMA" localSheetId="11">'[1]1.06'!#REF!</definedName>
    <definedName name="Feb05AMA" localSheetId="8">'[1]1.06'!#REF!</definedName>
    <definedName name="Feb05AMA">'[10]BS'!#REF!</definedName>
    <definedName name="Fed_Cap_Tax">'[13]Inputs'!$E$112</definedName>
    <definedName name="FedTaxRate">'[11]Assumptions'!$C$33</definedName>
    <definedName name="FF">#REF!</definedName>
    <definedName name="ffff" localSheetId="6" hidden="1">{#N/A,#N/A,FALSE,"Coversheet";#N/A,#N/A,FALSE,"QA"}</definedName>
    <definedName name="ffff" localSheetId="3" hidden="1">{#N/A,#N/A,FALSE,"Coversheet";#N/A,#N/A,FALSE,"QA"}</definedName>
    <definedName name="ffff" localSheetId="11" hidden="1">{#N/A,#N/A,FALSE,"Coversheet";#N/A,#N/A,FALSE,"QA"}</definedName>
    <definedName name="ffff" localSheetId="8" hidden="1">{#N/A,#N/A,FALSE,"Coversheet";#N/A,#N/A,FALSE,"QA"}</definedName>
    <definedName name="ffff" hidden="1">{#N/A,#N/A,FALSE,"Coversheet";#N/A,#N/A,FALSE,"QA"}</definedName>
    <definedName name="fffgf" localSheetId="6" hidden="1">{#N/A,#N/A,FALSE,"Coversheet";#N/A,#N/A,FALSE,"QA"}</definedName>
    <definedName name="fffgf" localSheetId="3" hidden="1">{#N/A,#N/A,FALSE,"Coversheet";#N/A,#N/A,FALSE,"QA"}</definedName>
    <definedName name="fffgf" localSheetId="11" hidden="1">{#N/A,#N/A,FALSE,"Coversheet";#N/A,#N/A,FALSE,"QA"}</definedName>
    <definedName name="fffgf" localSheetId="8" hidden="1">{#N/A,#N/A,FALSE,"Coversheet";#N/A,#N/A,FALSE,"QA"}</definedName>
    <definedName name="fffgf" hidden="1">{#N/A,#N/A,FALSE,"Coversheet";#N/A,#N/A,FALSE,"QA"}</definedName>
    <definedName name="FIELDCHRG" localSheetId="6">#REF!</definedName>
    <definedName name="FIELDCHRG" localSheetId="11">#REF!</definedName>
    <definedName name="FIELDCHRG" localSheetId="8">#REF!</definedName>
    <definedName name="FIELDCHRG">#REF!</definedName>
    <definedName name="FIT" localSheetId="6">#REF!</definedName>
    <definedName name="FIT" localSheetId="2">#REF!</definedName>
    <definedName name="FIT" localSheetId="9">#REF!</definedName>
    <definedName name="FIT" localSheetId="11">#REF!</definedName>
    <definedName name="FIT" localSheetId="8">#REF!</definedName>
    <definedName name="FIT">#REF!</definedName>
    <definedName name="GasRBLine">'[8]BS'!$AS$7:$AS$3631</definedName>
    <definedName name="GasWC_LineItem">'[8]BS'!$AR$7:$AR$3631</definedName>
    <definedName name="GeoDate" localSheetId="6">'[15]Dispatch Cases'!#REF!</definedName>
    <definedName name="GeoDate">'[15]Dispatch Cases'!#REF!</definedName>
    <definedName name="helllo" localSheetId="6" hidden="1">{#N/A,#N/A,FALSE,"Pg 6b CustCount_Gas";#N/A,#N/A,FALSE,"QA";#N/A,#N/A,FALSE,"Report";#N/A,#N/A,FALSE,"forecast"}</definedName>
    <definedName name="helllo" localSheetId="3" hidden="1">{#N/A,#N/A,FALSE,"Pg 6b CustCount_Gas";#N/A,#N/A,FALSE,"QA";#N/A,#N/A,FALSE,"Report";#N/A,#N/A,FALSE,"forecast"}</definedName>
    <definedName name="helllo" localSheetId="1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ydroCap">#REF!</definedName>
    <definedName name="HydroGen" localSheetId="6">'[15]Dispatch'!#REF!</definedName>
    <definedName name="HydroGen">'[15]Dispatch'!#REF!</definedName>
    <definedName name="INCSTMNT">#REF!</definedName>
    <definedName name="INCSTMT">#REF!</definedName>
    <definedName name="INTRESEXCH">#REF!</definedName>
    <definedName name="INVPLAN">#REF!</definedName>
    <definedName name="Jan03AMA" localSheetId="6">'[2]BS C&amp;L'!#REF!</definedName>
    <definedName name="Jan03AMA" localSheetId="11">'[2]BS C&amp;L'!#REF!</definedName>
    <definedName name="Jan03AMA" localSheetId="8">'[2]BS C&amp;L'!#REF!</definedName>
    <definedName name="Jan03AMA">'[2]BS C&amp;L'!#REF!</definedName>
    <definedName name="Jan04">'[8]BS'!$R$7:$R$3582</definedName>
    <definedName name="Jan04AMA">'[8]BS'!$AD$7:$AD$3582</definedName>
    <definedName name="Jan05" localSheetId="6">'[10]BS'!#REF!</definedName>
    <definedName name="Jan05" localSheetId="2">'[1]1.06'!#REF!</definedName>
    <definedName name="Jan05" localSheetId="9">'[5]1.06'!#REF!</definedName>
    <definedName name="Jan05" localSheetId="11">'[1]1.06'!#REF!</definedName>
    <definedName name="Jan05" localSheetId="8">'[1]1.06'!#REF!</definedName>
    <definedName name="Jan05">'[10]BS'!#REF!</definedName>
    <definedName name="Jan05AMA" localSheetId="6">'[10]BS'!#REF!</definedName>
    <definedName name="Jan05AMA" localSheetId="2">'[1]1.06'!#REF!</definedName>
    <definedName name="Jan05AMA" localSheetId="9">'[5]1.06'!#REF!</definedName>
    <definedName name="Jan05AMA" localSheetId="11">'[1]1.06'!#REF!</definedName>
    <definedName name="Jan05AMA" localSheetId="8">'[1]1.06'!#REF!</definedName>
    <definedName name="Jan05AMA">'[10]BS'!#REF!</definedName>
    <definedName name="Jul03AMA" localSheetId="6">'[2]BS C&amp;L'!#REF!</definedName>
    <definedName name="Jul03AMA" localSheetId="11">'[2]BS C&amp;L'!#REF!</definedName>
    <definedName name="Jul03AMA" localSheetId="8">'[2]BS C&amp;L'!#REF!</definedName>
    <definedName name="Jul03AMA">'[2]BS C&amp;L'!#REF!</definedName>
    <definedName name="Jul04">'[8]BS'!$X$7:$X$3582</definedName>
    <definedName name="Jul04AMA">'[8]BS'!$AJ$7:$AJ$3582</definedName>
    <definedName name="Jul05" localSheetId="6">'[10]BS'!#REF!</definedName>
    <definedName name="Jul05" localSheetId="2">'[1]1.06'!#REF!</definedName>
    <definedName name="Jul05" localSheetId="9">'[5]1.06'!#REF!</definedName>
    <definedName name="Jul05" localSheetId="11">'[1]1.06'!#REF!</definedName>
    <definedName name="Jul05" localSheetId="8">'[1]1.06'!#REF!</definedName>
    <definedName name="Jul05">'[10]BS'!#REF!</definedName>
    <definedName name="Jul05AMA" localSheetId="6">'[10]BS'!#REF!</definedName>
    <definedName name="Jul05AMA" localSheetId="2">'[1]1.06'!#REF!</definedName>
    <definedName name="Jul05AMA" localSheetId="9">'[5]1.06'!#REF!</definedName>
    <definedName name="Jul05AMA" localSheetId="11">'[1]1.06'!#REF!</definedName>
    <definedName name="Jul05AMA" localSheetId="8">'[1]1.06'!#REF!</definedName>
    <definedName name="Jul05AMA">'[10]BS'!#REF!</definedName>
    <definedName name="Jun03AMA" localSheetId="6">'[2]BS C&amp;L'!#REF!</definedName>
    <definedName name="Jun03AMA" localSheetId="11">'[2]BS C&amp;L'!#REF!</definedName>
    <definedName name="Jun03AMA" localSheetId="8">'[2]BS C&amp;L'!#REF!</definedName>
    <definedName name="Jun03AMA">'[2]BS C&amp;L'!#REF!</definedName>
    <definedName name="Jun04">'[8]BS'!$W$7:$W$3582</definedName>
    <definedName name="Jun04AMA">'[8]BS'!$AI$7:$AI$3582</definedName>
    <definedName name="Jun05" localSheetId="6">'[10]BS'!#REF!</definedName>
    <definedName name="Jun05" localSheetId="2">'[1]1.06'!#REF!</definedName>
    <definedName name="Jun05" localSheetId="9">'[5]1.06'!#REF!</definedName>
    <definedName name="Jun05" localSheetId="11">'[1]1.06'!#REF!</definedName>
    <definedName name="Jun05" localSheetId="8">'[1]1.06'!#REF!</definedName>
    <definedName name="Jun05">'[10]BS'!#REF!</definedName>
    <definedName name="Jun05AMA" localSheetId="6">'[10]BS'!#REF!</definedName>
    <definedName name="Jun05AMA" localSheetId="2">'[1]1.06'!#REF!</definedName>
    <definedName name="Jun05AMA" localSheetId="9">'[5]1.06'!#REF!</definedName>
    <definedName name="Jun05AMA" localSheetId="11">'[1]1.06'!#REF!</definedName>
    <definedName name="Jun05AMA" localSheetId="8">'[1]1.06'!#REF!</definedName>
    <definedName name="Jun05AMA">'[10]BS'!#REF!</definedName>
    <definedName name="Last_Row" localSheetId="13">IF('3.05'!Values_Entered,Header_Row+'3.05'!Number_of_Payments,Header_Row)</definedName>
    <definedName name="Last_Row" localSheetId="6">IF('4 Year Average 2008 - RY'!Values_Entered,Header_Row+'4 Year Average 2008 - RY'!Number_of_Payments,Header_Row)</definedName>
    <definedName name="Last_Row" localSheetId="11">IF('Incentive Allocation '!Values_Entered,Header_Row+'Incentive Allocation '!Number_of_Payments,Header_Row)</definedName>
    <definedName name="Last_Row">IF([0]!Values_Entered,Header_Row+[0]!Number_of_Payments,Header_Row)</definedName>
    <definedName name="LATEPAY">#REF!</definedName>
    <definedName name="LoadArray">'[16]Load Source Data'!$C$78:$X$89</definedName>
    <definedName name="LoadGrowthAdder">#REF!</definedName>
    <definedName name="Mar03AMA" localSheetId="6">'[2]BS C&amp;L'!#REF!</definedName>
    <definedName name="Mar03AMA" localSheetId="11">'[2]BS C&amp;L'!#REF!</definedName>
    <definedName name="Mar03AMA" localSheetId="8">'[2]BS C&amp;L'!#REF!</definedName>
    <definedName name="Mar03AMA">'[2]BS C&amp;L'!#REF!</definedName>
    <definedName name="Mar04">'[8]BS'!$T$7:$T$3582</definedName>
    <definedName name="Mar04AMA">'[8]BS'!$AF$7:$AF$3582</definedName>
    <definedName name="Mar05" localSheetId="6">'[10]BS'!#REF!</definedName>
    <definedName name="Mar05" localSheetId="2">'[1]1.06'!#REF!</definedName>
    <definedName name="Mar05" localSheetId="9">'[5]1.06'!#REF!</definedName>
    <definedName name="Mar05" localSheetId="11">'[1]1.06'!#REF!</definedName>
    <definedName name="Mar05" localSheetId="8">'[1]1.06'!#REF!</definedName>
    <definedName name="Mar05">'[10]BS'!#REF!</definedName>
    <definedName name="Mar05AMA" localSheetId="6">'[10]BS'!#REF!</definedName>
    <definedName name="Mar05AMA" localSheetId="2">'[1]1.06'!#REF!</definedName>
    <definedName name="Mar05AMA" localSheetId="9">'[5]1.06'!#REF!</definedName>
    <definedName name="Mar05AMA" localSheetId="11">'[1]1.06'!#REF!</definedName>
    <definedName name="Mar05AMA" localSheetId="8">'[1]1.06'!#REF!</definedName>
    <definedName name="Mar05AMA">'[10]BS'!#REF!</definedName>
    <definedName name="May03AMA" localSheetId="6">'[2]BS C&amp;L'!#REF!</definedName>
    <definedName name="May03AMA" localSheetId="11">'[2]BS C&amp;L'!#REF!</definedName>
    <definedName name="May03AMA" localSheetId="8">'[2]BS C&amp;L'!#REF!</definedName>
    <definedName name="May03AMA">'[2]BS C&amp;L'!#REF!</definedName>
    <definedName name="May04">'[8]BS'!$V$7:$V$3582</definedName>
    <definedName name="May04AMA">'[8]BS'!$AH$7:$AH$3582</definedName>
    <definedName name="May05" localSheetId="6">'[10]BS'!#REF!</definedName>
    <definedName name="May05" localSheetId="2">'[1]1.06'!#REF!</definedName>
    <definedName name="May05" localSheetId="9">'[5]1.06'!#REF!</definedName>
    <definedName name="May05" localSheetId="11">'[1]1.06'!#REF!</definedName>
    <definedName name="May05" localSheetId="8">'[1]1.06'!#REF!</definedName>
    <definedName name="May05">'[10]BS'!#REF!</definedName>
    <definedName name="May05AMA" localSheetId="6">'[10]BS'!#REF!</definedName>
    <definedName name="May05AMA" localSheetId="2">'[1]1.06'!#REF!</definedName>
    <definedName name="May05AMA" localSheetId="9">'[5]1.06'!#REF!</definedName>
    <definedName name="May05AMA" localSheetId="11">'[1]1.06'!#REF!</definedName>
    <definedName name="May05AMA" localSheetId="8">'[1]1.06'!#REF!</definedName>
    <definedName name="May05AMA">'[10]BS'!#REF!</definedName>
    <definedName name="MISCELLANEOUS">#REF!</definedName>
    <definedName name="MonTotalDispatch" localSheetId="6">'[15]Dispatch'!#REF!</definedName>
    <definedName name="MonTotalDispatch">'[15]Dispatch'!#REF!</definedName>
    <definedName name="MT">#REF!</definedName>
    <definedName name="MustRunGen" localSheetId="6">'[15]Dispatch'!#REF!</definedName>
    <definedName name="MustRunGen">'[15]Dispatch'!#REF!</definedName>
    <definedName name="Nov03">'[9]BS'!$S$7:$S$3582</definedName>
    <definedName name="Nov03AMA">'[9]BS'!$AI$7:$AI$3582</definedName>
    <definedName name="Nov04">'[8]BS'!$AB$7:$AB$3582</definedName>
    <definedName name="Nov04AMA">'[8]BS'!$AN$7:$AN$3582</definedName>
    <definedName name="Number_of_Payments" localSheetId="13">MATCH(0.01,End_Bal,-1)+1</definedName>
    <definedName name="Number_of_Payments" localSheetId="6">MATCH(0.01,End_Bal,-1)+1</definedName>
    <definedName name="Number_of_Payments" localSheetId="11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BCLEASE">#REF!</definedName>
    <definedName name="Oct03">'[9]BS'!$R$7:$R$3582</definedName>
    <definedName name="Oct03AMA">'[9]BS'!$AH$7:$AH$3582</definedName>
    <definedName name="Oct04">'[8]BS'!$AA$7:$AA$3582</definedName>
    <definedName name="Oct04AMA">'[8]BS'!$AM$7:$AM$3582</definedName>
    <definedName name="OPEXPPF" localSheetId="6">#REF!</definedName>
    <definedName name="OPEXPPF" localSheetId="11">#REF!</definedName>
    <definedName name="OPEXPPF" localSheetId="8">#REF!</definedName>
    <definedName name="OPEXPPF">#REF!</definedName>
    <definedName name="OPEXPRS">#REF!</definedName>
    <definedName name="Page1">#REF!</definedName>
    <definedName name="Page2">#REF!</definedName>
    <definedName name="PEBBLE" localSheetId="6">#REF!</definedName>
    <definedName name="PEBBLE" localSheetId="11">#REF!</definedName>
    <definedName name="PEBBLE" localSheetId="8">#REF!</definedName>
    <definedName name="PEBBLE">#REF!</definedName>
    <definedName name="Percent_debt">'[13]Inputs'!$E$129</definedName>
    <definedName name="PERCENTAGES_CALCULATED">#REF!</definedName>
    <definedName name="PreTaxDebtCost">'[11]Assumptions'!$I$56</definedName>
    <definedName name="PreTaxWACC">'[11]Assumptions'!$I$62</definedName>
    <definedName name="PriceCaseTable" localSheetId="6">#REF!</definedName>
    <definedName name="PriceCaseTable">#REF!</definedName>
    <definedName name="Prices_Aurora">'[17]Monthly Price Summary'!$C$4:$H$63</definedName>
    <definedName name="_xlnm.Print_Area" localSheetId="9">'Incent &amp; Related PR Tax - TY'!$A$1:$D$23</definedName>
    <definedName name="_xlnm.Print_Area" localSheetId="1">'Incntv Pay - Allocated Electric'!#REF!</definedName>
    <definedName name="PRO_FORMA">#REF!</definedName>
    <definedName name="PRODADJ" localSheetId="6">#REF!</definedName>
    <definedName name="PRODADJ" localSheetId="11">#REF!</definedName>
    <definedName name="PRODADJ" localSheetId="8">#REF!</definedName>
    <definedName name="PRODADJ">#REF!</definedName>
    <definedName name="Production_Factor">#REF!</definedName>
    <definedName name="PROPSALES" localSheetId="6">#REF!</definedName>
    <definedName name="PROPSALES" localSheetId="11">#REF!</definedName>
    <definedName name="PROPSALES" localSheetId="8">#REF!</definedName>
    <definedName name="PROPSALES">#REF!</definedName>
    <definedName name="Prov_Cap_Tax">'[13]Inputs'!$E$111</definedName>
    <definedName name="PSPL" localSheetId="2">'Electric wage increase ratios'!$A$5</definedName>
    <definedName name="PSPL" localSheetId="9">#REF!</definedName>
    <definedName name="PSPL">#REF!</definedName>
    <definedName name="PWRCSTPF" localSheetId="6">#REF!</definedName>
    <definedName name="PWRCSTPF" localSheetId="11">#REF!</definedName>
    <definedName name="PWRCSTPF" localSheetId="8">#REF!</definedName>
    <definedName name="PWRCSTPF">#REF!</definedName>
    <definedName name="PWRCSTRS">#REF!</definedName>
    <definedName name="PWRCSTWP">#REF!</definedName>
    <definedName name="PWRCSTWR">#REF!</definedName>
    <definedName name="QA" localSheetId="6">'[18]IPOA2002'!#REF!</definedName>
    <definedName name="QA" localSheetId="7">'Report 2010'!#REF!</definedName>
    <definedName name="QA">'[18]IPOA2002'!#REF!</definedName>
    <definedName name="QUERY1.keep_password" localSheetId="8" hidden="1">TRUE</definedName>
    <definedName name="QUERY1.query_connection" localSheetId="8" hidden="1">{"CollatingSequence=ASCII;DBQ=K:\;DefaultDir=K:\;Deleted=1;Driver={Driver do Microsoft dBase (*.dbf)};DriverId=533;FIL=dBase 5.0;MaxBufferSize=2048;MaxScanRows=8;PageTimeout=600;SafeTransactions=0;Statistics=0;Threads=3;UserCommitSync=Yes;"}</definedName>
    <definedName name="QUERY1.query_definition" localSheetId="8" hidden="1">{"SELECT dlf1.F1, left(dlf1.f1, instr(1,dlf1.f1, ' ',  1)-1 ) AS CODE, dlf1.f2
FROM dlf1;"}</definedName>
    <definedName name="QUERY1.query_options" localSheetId="8" hidden="1">{TRUE;FALSE}</definedName>
    <definedName name="QUERY1.query_range" localSheetId="8" hidden="1">'PR Taxes Alloc'!$A$3:$B$33</definedName>
    <definedName name="QUERY1.query_statement" localSheetId="8" hidden="1">{"SELECT dlf1.F1, left(dlf1.f1, instr(1,dlf1.f1, ' ',  1)-1 ) AS CODE, dlf1.f2
FROM dlf1;"}</definedName>
    <definedName name="RATEBASE">#REF!</definedName>
    <definedName name="RATEBASE_U95">#REF!</definedName>
    <definedName name="RATECASE" localSheetId="6">#REF!</definedName>
    <definedName name="RATECASE" localSheetId="11">#REF!</definedName>
    <definedName name="RATECASE" localSheetId="8">#REF!</definedName>
    <definedName name="RATECASE">#REF!</definedName>
    <definedName name="resource_lookup">'[14]#REF'!$B$3:$C$112</definedName>
    <definedName name="RESTATING">#REF!</definedName>
    <definedName name="RETIREPLAN" localSheetId="6">#REF!</definedName>
    <definedName name="RETIREPLAN" localSheetId="11">#REF!</definedName>
    <definedName name="RETIREPLAN" localSheetId="8">#REF!</definedName>
    <definedName name="RETIREPLAN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ep03">'[9]BS'!$Q$7:$Q$3582</definedName>
    <definedName name="Sep03AMA">'[9]BS'!$AG$7:$AG$3582</definedName>
    <definedName name="Sep04">'[8]BS'!$Z$7:$Z$3582</definedName>
    <definedName name="Sep04AMA">'[8]BS'!$AL$7:$AL$3582</definedName>
    <definedName name="Sep05" localSheetId="6">'[10]BS'!#REF!</definedName>
    <definedName name="Sep05" localSheetId="2">'[1]1.06'!#REF!</definedName>
    <definedName name="Sep05" localSheetId="9">'[5]1.06'!#REF!</definedName>
    <definedName name="Sep05" localSheetId="11">'[1]1.06'!#REF!</definedName>
    <definedName name="Sep05" localSheetId="8">'[1]1.06'!#REF!</definedName>
    <definedName name="Sep05">'[10]BS'!#REF!</definedName>
    <definedName name="SKAGIT" localSheetId="6">#REF!</definedName>
    <definedName name="SKAGIT" localSheetId="11">#REF!</definedName>
    <definedName name="SKAGIT" localSheetId="8">#REF!</definedName>
    <definedName name="SKAGIT">#REF!</definedName>
    <definedName name="SLFINSURANCE">#REF!</definedName>
    <definedName name="SolarDate">'[15]Dispatch Cases'!#REF!</definedName>
    <definedName name="STAFFREDUC">#REF!</definedName>
    <definedName name="StartDate">'[11]Assumptions'!$C$9</definedName>
    <definedName name="STORM">#REF!</definedName>
    <definedName name="SUMMARY">#REF!</definedName>
    <definedName name="TAXCORPLIC">#REF!</definedName>
    <definedName name="TAXENERGYP" localSheetId="6">#REF!</definedName>
    <definedName name="TAXENERGYP" localSheetId="11">#REF!</definedName>
    <definedName name="TAXENERGYP" localSheetId="8">#REF!</definedName>
    <definedName name="TAXENERGYP">#REF!</definedName>
    <definedName name="TAXENERGYR">#REF!</definedName>
    <definedName name="TAXEXCISE">#REF!</definedName>
    <definedName name="TAXFICA">#REF!</definedName>
    <definedName name="TAXFUT" localSheetId="6">#REF!</definedName>
    <definedName name="TAXFUT" localSheetId="11">#REF!</definedName>
    <definedName name="TAXFUT" localSheetId="8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 localSheetId="6">#REF!</definedName>
    <definedName name="TAXSUT" localSheetId="11">#REF!</definedName>
    <definedName name="TAXSUT" localSheetId="8">#REF!</definedName>
    <definedName name="TAXSUT">#REF!</definedName>
    <definedName name="TEMPADJ">#REF!</definedName>
    <definedName name="TenaskaShare" localSheetId="6">'[15]Dispatch'!#REF!</definedName>
    <definedName name="TenaskaShare">'[15]Dispatch'!#REF!</definedName>
    <definedName name="Test" localSheetId="6">'[10]BS'!#REF!</definedName>
    <definedName name="Test" localSheetId="2">'[1]1.06'!#REF!</definedName>
    <definedName name="Test" localSheetId="9">'[5]1.06'!#REF!</definedName>
    <definedName name="Test" localSheetId="11">'[1]1.06'!#REF!</definedName>
    <definedName name="Test" localSheetId="8">'[1]1.06'!#REF!</definedName>
    <definedName name="Test">'[10]BS'!#REF!</definedName>
    <definedName name="TESTYEAR" localSheetId="2">'Electric wage increase ratios'!$A$7</definedName>
    <definedName name="TESTYEAR" localSheetId="9">#REF!</definedName>
    <definedName name="TESTYEAR">#REF!</definedName>
    <definedName name="Therm_upload">#REF!</definedName>
    <definedName name="ThermalBookLife">'[11]Assumptions'!$C$25</definedName>
    <definedName name="Title">'[11]Assumptions'!$A$1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lues_Entered" localSheetId="13">IF(Loan_Amount*Interest_Rate*Loan_Years*Loan_Start&gt;0,1,0)</definedName>
    <definedName name="Values_Entered" localSheetId="6">IF(Loan_Amount*Interest_Rate*Loan_Years*Loan_Start&gt;0,1,0)</definedName>
    <definedName name="Values_Entered" localSheetId="11">IF(Loan_Amount*Interest_Rate*Loan_Years*Loan_Start&gt;0,1,0)</definedName>
    <definedName name="Values_Entered">IF(Loan_Amount*Interest_Rate*Loan_Years*Loan_Start&gt;0,1,0)</definedName>
    <definedName name="VOMEsc">'[11]Assumptions'!$C$21</definedName>
    <definedName name="WACC">'[11]Assumptions'!$I$61</definedName>
    <definedName name="WAGES" localSheetId="6">#REF!</definedName>
    <definedName name="WAGES" localSheetId="11">#REF!</definedName>
    <definedName name="WAGES" localSheetId="8">#REF!</definedName>
    <definedName name="WAGES">#REF!</definedName>
    <definedName name="WindDate" localSheetId="6">'[15]Dispatch Cases'!#REF!</definedName>
    <definedName name="WindDate">'[15]Dispatch Cases'!#REF!</definedName>
    <definedName name="WRKCAP" localSheetId="6">#REF!</definedName>
    <definedName name="WRKCAP" localSheetId="11">#REF!</definedName>
    <definedName name="WRKCAP" localSheetId="8">#REF!</definedName>
    <definedName name="WRKCAP">#REF!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3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3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localSheetId="13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13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8" hidden="1">{#N/A,#N/A,FALSE,"Schedule F";#N/A,#N/A,FALSE,"Schedule G"}</definedName>
    <definedName name="wrn.limit_reports." hidden="1">{#N/A,#N/A,FALSE,"Schedule F";#N/A,#N/A,FALSE,"Schedule G"}</definedName>
    <definedName name="wrn.MARGIN_WO_QTR." localSheetId="13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3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hidden="1">{#N/A,#N/A,FALSE,"2002 Small Tool OH";#N/A,#N/A,FALSE,"QA"}</definedName>
    <definedName name="Years_evaluated">'[12]Revison Inputs'!$B$6</definedName>
  </definedNames>
  <calcPr fullCalcOnLoad="1"/>
</workbook>
</file>

<file path=xl/sharedStrings.xml><?xml version="1.0" encoding="utf-8"?>
<sst xmlns="http://schemas.openxmlformats.org/spreadsheetml/2006/main" count="744" uniqueCount="378">
  <si>
    <t>Total</t>
  </si>
  <si>
    <t>PUGET SOUND ENERGY</t>
  </si>
  <si>
    <t>LINE</t>
  </si>
  <si>
    <t>NO.</t>
  </si>
  <si>
    <t>DESCRIPTION</t>
  </si>
  <si>
    <t>ADJUSTMENT</t>
  </si>
  <si>
    <t>INCREASE (DECREASE) FIT @</t>
  </si>
  <si>
    <t>INCREASE (DECREASE) NOI</t>
  </si>
  <si>
    <t>Puget Sound Energy</t>
  </si>
  <si>
    <t>ACTUAL</t>
  </si>
  <si>
    <t>RESTATED</t>
  </si>
  <si>
    <t>PAYROLL TAXES ASSOCI WITH MERIT PAY</t>
  </si>
  <si>
    <t>Electric</t>
  </si>
  <si>
    <t>Gas</t>
  </si>
  <si>
    <t>(a)</t>
  </si>
  <si>
    <t>(b)</t>
  </si>
  <si>
    <t>(d)</t>
  </si>
  <si>
    <t>INCENTIVE / MERIT PAY - ELECTRIC</t>
  </si>
  <si>
    <t>Calendar Year</t>
  </si>
  <si>
    <t xml:space="preserve">x YTD Direct Labor O&amp;M % </t>
  </si>
  <si>
    <t xml:space="preserve">Electric % </t>
  </si>
  <si>
    <t xml:space="preserve">Gas % </t>
  </si>
  <si>
    <t>4 Year</t>
  </si>
  <si>
    <t>Actual Incentive Payout</t>
  </si>
  <si>
    <t>TRANSMISSION</t>
  </si>
  <si>
    <t>DISTRIBUTION</t>
  </si>
  <si>
    <t>CUSTOMER ACCTS</t>
  </si>
  <si>
    <t>CUSTOMER SERVICE</t>
  </si>
  <si>
    <t>SALES</t>
  </si>
  <si>
    <t>ADMIN. &amp; GENERAL</t>
  </si>
  <si>
    <t>PUGET SOUND ENERGY-ELECTRIC</t>
  </si>
  <si>
    <t>TEST YEAR</t>
  </si>
  <si>
    <t>%</t>
  </si>
  <si>
    <t>PURCHASED POWER</t>
  </si>
  <si>
    <t>OTHER POWER SUPPLY</t>
  </si>
  <si>
    <t>RATE YEAR</t>
  </si>
  <si>
    <t>WAGES:</t>
  </si>
  <si>
    <t>TOTAL WAGE INCREASE</t>
  </si>
  <si>
    <t>2006</t>
  </si>
  <si>
    <t>(c)</t>
  </si>
  <si>
    <t>(e) = (a) + (b) + (c) + (d)</t>
  </si>
  <si>
    <t>(r1)</t>
  </si>
  <si>
    <t>(r2)</t>
  </si>
  <si>
    <t>(r3)</t>
  </si>
  <si>
    <t>(r4)</t>
  </si>
  <si>
    <t>(r5) = (r1) + (r2) + (r3) + (r4)</t>
  </si>
  <si>
    <t>4 yr. Average. - (r6) = (r5) / 4 years</t>
  </si>
  <si>
    <t>(e)</t>
  </si>
  <si>
    <t>Incentive</t>
  </si>
  <si>
    <t>Amount ($)</t>
  </si>
  <si>
    <t>(c) = (a) / (b)</t>
  </si>
  <si>
    <t>Total Wage Incr</t>
  </si>
  <si>
    <t>(f) = (d) / (e)</t>
  </si>
  <si>
    <t>% Based on Wage Incr</t>
  </si>
  <si>
    <t>Incentive Pay Total</t>
  </si>
  <si>
    <t>(f) = (d) * (e)</t>
  </si>
  <si>
    <t>(c) = (a) * (b)</t>
  </si>
  <si>
    <t>(g) = (d) - (a)</t>
  </si>
  <si>
    <t>(g) = (f) - (c)</t>
  </si>
  <si>
    <t>TOTAL INCENTIVE / MERIT PAY</t>
  </si>
  <si>
    <t>INCENTIVE / MERIT PAY</t>
  </si>
  <si>
    <t>INCENTIVE / MERIT PAY:</t>
  </si>
  <si>
    <t>Total Payroll Taxes</t>
  </si>
  <si>
    <t>Payroll Taxes</t>
  </si>
  <si>
    <t>CODE</t>
  </si>
  <si>
    <t>O&amp;M</t>
  </si>
  <si>
    <t>Allocate</t>
  </si>
  <si>
    <t>Item List</t>
  </si>
  <si>
    <t>Item</t>
  </si>
  <si>
    <t>Common</t>
  </si>
  <si>
    <t>3E     Electric Production</t>
  </si>
  <si>
    <t>3E</t>
  </si>
  <si>
    <t>4E     Electric Transmission</t>
  </si>
  <si>
    <t>4E</t>
  </si>
  <si>
    <t>5E     Electric Distribution</t>
  </si>
  <si>
    <t>5E</t>
  </si>
  <si>
    <t>6E     Electric Customer Accounts</t>
  </si>
  <si>
    <t>6E</t>
  </si>
  <si>
    <t>7E     Electric Customer Service</t>
  </si>
  <si>
    <t>7E</t>
  </si>
  <si>
    <t>8E     Electric Sales</t>
  </si>
  <si>
    <t>8E</t>
  </si>
  <si>
    <t>9E     Electric A&amp;G</t>
  </si>
  <si>
    <t>9E</t>
  </si>
  <si>
    <t>12E    Electric Production</t>
  </si>
  <si>
    <t>12E</t>
  </si>
  <si>
    <t>13E    Electric Transmission</t>
  </si>
  <si>
    <t>13E</t>
  </si>
  <si>
    <t>14E    Electric Distribution</t>
  </si>
  <si>
    <t>14E</t>
  </si>
  <si>
    <t>15E    Electric A&amp;G - Maintenance</t>
  </si>
  <si>
    <t>15E</t>
  </si>
  <si>
    <t>28G    Production Manufactured Gas</t>
  </si>
  <si>
    <t>28G</t>
  </si>
  <si>
    <t>30G    Other Gas Supply</t>
  </si>
  <si>
    <t>30G</t>
  </si>
  <si>
    <t>31G    Storage, LNG Term. &amp; Processing</t>
  </si>
  <si>
    <t>31G</t>
  </si>
  <si>
    <t>32G    Gas Transmission</t>
  </si>
  <si>
    <t>32G</t>
  </si>
  <si>
    <t>33G    Gas Distribution</t>
  </si>
  <si>
    <t>33G</t>
  </si>
  <si>
    <t>34G    Gas Customer Accounts</t>
  </si>
  <si>
    <t>34G</t>
  </si>
  <si>
    <t>35G    Gas Customer Service</t>
  </si>
  <si>
    <t>35G</t>
  </si>
  <si>
    <t>36G    Gas Sales</t>
  </si>
  <si>
    <t>36G</t>
  </si>
  <si>
    <t>37G    Gas A&amp;G</t>
  </si>
  <si>
    <t>37G</t>
  </si>
  <si>
    <t>43G    Storage/LNG Term OG RPT_FERC1Y</t>
  </si>
  <si>
    <t xml:space="preserve">43G   </t>
  </si>
  <si>
    <t>44G    Gas Transmission</t>
  </si>
  <si>
    <t>44G</t>
  </si>
  <si>
    <t>45G    Gas Distribution</t>
  </si>
  <si>
    <t>45G</t>
  </si>
  <si>
    <t>46G    Gas A&amp;G Maintenance</t>
  </si>
  <si>
    <t>46G</t>
  </si>
  <si>
    <t>CCA    Common Customer Accounts</t>
  </si>
  <si>
    <t>CCA</t>
  </si>
  <si>
    <t>CCS    Common Customer Service</t>
  </si>
  <si>
    <t>CCS</t>
  </si>
  <si>
    <t>CAG    Common A&amp;G</t>
  </si>
  <si>
    <t>CAG</t>
  </si>
  <si>
    <t>CMT    Common Maintenance</t>
  </si>
  <si>
    <t>CMT</t>
  </si>
  <si>
    <t xml:space="preserve">Electric </t>
  </si>
  <si>
    <t>Less Incentive Payroll Taxes</t>
  </si>
  <si>
    <t>Total Labor Payroll Taxes</t>
  </si>
  <si>
    <t>Incentive Allocation</t>
  </si>
  <si>
    <t>Payroll Taxes Associated w/Incentives</t>
  </si>
  <si>
    <t>12 Month Average number of Customers</t>
  </si>
  <si>
    <t>Joint Meter Reading Customers</t>
  </si>
  <si>
    <t>Non-Production Plant</t>
  </si>
  <si>
    <t>4-Factor Allocator</t>
  </si>
  <si>
    <t>Direct Labor</t>
  </si>
  <si>
    <r>
      <t xml:space="preserve"> </t>
    </r>
    <r>
      <rPr>
        <u val="single"/>
        <sz val="10"/>
        <rFont val="Arial"/>
        <family val="2"/>
      </rPr>
      <t>Allocation Method</t>
    </r>
  </si>
  <si>
    <t>Variables</t>
  </si>
  <si>
    <t>Assessment Group</t>
  </si>
  <si>
    <t>Incentives</t>
  </si>
  <si>
    <t>Paid Time Off</t>
  </si>
  <si>
    <t>Overall Result</t>
  </si>
  <si>
    <t>Amount</t>
  </si>
  <si>
    <t>FERC Rpt - Drct Lbr</t>
  </si>
  <si>
    <t>$</t>
  </si>
  <si>
    <t>107</t>
  </si>
  <si>
    <t>108</t>
  </si>
  <si>
    <t>182.1</t>
  </si>
  <si>
    <t>182.3</t>
  </si>
  <si>
    <t>184s</t>
  </si>
  <si>
    <t>400s</t>
  </si>
  <si>
    <t>500s</t>
  </si>
  <si>
    <t>7&amp;8</t>
  </si>
  <si>
    <t>900</t>
  </si>
  <si>
    <t>Other 1 &amp; 2</t>
  </si>
  <si>
    <t>Stores</t>
  </si>
  <si>
    <t>Not assigned</t>
  </si>
  <si>
    <t xml:space="preserve">Total Labor + PTO </t>
  </si>
  <si>
    <t>INCENTIVE AND RELATED PAYROLL TAXES</t>
  </si>
  <si>
    <t>DETERMINE TEST YEAR ACTUALS</t>
  </si>
  <si>
    <t>DETERMINE RESTATED TEST YEAR</t>
  </si>
  <si>
    <t>Total System Clearings</t>
  </si>
  <si>
    <t>2004 Payout</t>
  </si>
  <si>
    <t>Direct Labor O&amp;M % - Utility</t>
  </si>
  <si>
    <t>9 Months Outside Test Period</t>
  </si>
  <si>
    <t>Utility O&amp;M System Clearings</t>
  </si>
  <si>
    <t>Attributable to Test Period</t>
  </si>
  <si>
    <t>2005 Payout</t>
  </si>
  <si>
    <t>3 Months Outside Test Period</t>
  </si>
  <si>
    <t>Total O&amp;M Incentive (System &amp; Manual Clearings)</t>
  </si>
  <si>
    <t>Restated O&amp;M Incentive</t>
  </si>
  <si>
    <t>Payroll Taxe OH Rate</t>
  </si>
  <si>
    <t>Payroll Taxes on O&amp;M Incentive</t>
  </si>
  <si>
    <t>( c )</t>
  </si>
  <si>
    <t>(f)</t>
  </si>
  <si>
    <t>(g)</t>
  </si>
  <si>
    <t>(h)</t>
  </si>
  <si>
    <t>(i)</t>
  </si>
  <si>
    <t>(j)</t>
  </si>
  <si>
    <t>(k)</t>
  </si>
  <si>
    <t>(b+c)</t>
  </si>
  <si>
    <t>(a + g)</t>
  </si>
  <si>
    <t>(b + g)</t>
  </si>
  <si>
    <t>(h - i)</t>
  </si>
  <si>
    <t xml:space="preserve"> </t>
  </si>
  <si>
    <t>Monthly</t>
  </si>
  <si>
    <t>Manual Clearing CC:</t>
  </si>
  <si>
    <t>Manual</t>
  </si>
  <si>
    <t>Cumulative</t>
  </si>
  <si>
    <t>Subsidiary</t>
  </si>
  <si>
    <t>Accrued</t>
  </si>
  <si>
    <t>Net</t>
  </si>
  <si>
    <t>Prior Year</t>
  </si>
  <si>
    <t>Current Yr</t>
  </si>
  <si>
    <t>54601100;56000050;</t>
  </si>
  <si>
    <t>Clearing</t>
  </si>
  <si>
    <t>Uncleared</t>
  </si>
  <si>
    <t>Cost Centers 190</t>
  </si>
  <si>
    <t>Gross</t>
  </si>
  <si>
    <t>Costs</t>
  </si>
  <si>
    <t>System</t>
  </si>
  <si>
    <t>(Over)/Under</t>
  </si>
  <si>
    <t>Balance &amp;</t>
  </si>
  <si>
    <t>Activity</t>
  </si>
  <si>
    <t xml:space="preserve">Incentive Pay </t>
  </si>
  <si>
    <t>58000100;88000013;</t>
  </si>
  <si>
    <t>to Acct</t>
  </si>
  <si>
    <t>DR/(CR) Balance</t>
  </si>
  <si>
    <t>193, 195 &amp; 210</t>
  </si>
  <si>
    <t>Overhead</t>
  </si>
  <si>
    <t>CC 290 //</t>
  </si>
  <si>
    <t>Cleared</t>
  </si>
  <si>
    <t>Liability</t>
  </si>
  <si>
    <t>92006490;41710062</t>
  </si>
  <si>
    <t>Approx</t>
  </si>
  <si>
    <t>to B/S</t>
  </si>
  <si>
    <t>Cleared (1)</t>
  </si>
  <si>
    <t>Rate</t>
  </si>
  <si>
    <t>CC 290</t>
  </si>
  <si>
    <t>Acct 67000020</t>
  </si>
  <si>
    <t>18400483; 260</t>
  </si>
  <si>
    <t>Allocations</t>
  </si>
  <si>
    <t>Percent of Over/Under Cleared:</t>
  </si>
  <si>
    <t>NOTES:</t>
  </si>
  <si>
    <t>(1)</t>
  </si>
  <si>
    <t xml:space="preserve">(2) </t>
  </si>
  <si>
    <t>Notes:</t>
  </si>
  <si>
    <t>(2)  Amounts over or under cleared by SAP via labor dollar allocations are manually cleared from cost center 290 to Income Statement and Balance Sheet accounts using the current O&amp;M / Non-O&amp;M allocation.</t>
  </si>
  <si>
    <t>% of Incentive to Total</t>
  </si>
  <si>
    <t>Officers Incentive</t>
  </si>
  <si>
    <t>4 yr. Average Less Officers Incentive</t>
  </si>
  <si>
    <t>Percent of Officers Incentive</t>
  </si>
  <si>
    <t>Four Year Average as of December 31, 2009</t>
  </si>
  <si>
    <t xml:space="preserve">2010 Incentive Pay Overhead Analysis  </t>
  </si>
  <si>
    <t>PUGET SOUND ENERGY-ELECTRIC &amp; GAS</t>
  </si>
  <si>
    <t>ALLOCATION METHODS</t>
  </si>
  <si>
    <t>Method</t>
  </si>
  <si>
    <t>Description</t>
  </si>
  <si>
    <t>*</t>
  </si>
  <si>
    <t>12 Month Average Number of Customers</t>
  </si>
  <si>
    <t>updated</t>
  </si>
  <si>
    <t>Percent</t>
  </si>
  <si>
    <t xml:space="preserve"> Distribution</t>
  </si>
  <si>
    <t xml:space="preserve"> Transmission </t>
  </si>
  <si>
    <t xml:space="preserve"> Direct General Plant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</si>
  <si>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</si>
  <si>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</si>
  <si>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</si>
  <si>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</si>
  <si>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</si>
  <si>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</si>
  <si>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</si>
  <si>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</si>
  <si>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</si>
  <si>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Clear Overhead</t>
  </si>
  <si>
    <t>2009 Incentive True-up</t>
  </si>
  <si>
    <t>12/09 Incentive True-Up</t>
  </si>
  <si>
    <t>2009 Officers Incentive Pay (millions)</t>
  </si>
  <si>
    <t>Total 2009 Incentive Pay (millions)</t>
  </si>
  <si>
    <t>Incentive / Merit Payouts From 2006 To 2009</t>
  </si>
  <si>
    <t>Total Incentive</t>
  </si>
  <si>
    <t>Test Year Other Incentives Amount</t>
  </si>
  <si>
    <t>4 Factor</t>
  </si>
  <si>
    <t>a</t>
  </si>
  <si>
    <t>b</t>
  </si>
  <si>
    <t>d</t>
  </si>
  <si>
    <t>= a / d</t>
  </si>
  <si>
    <t>c = a + b</t>
  </si>
  <si>
    <t>SA</t>
  </si>
  <si>
    <t>Non-Utility</t>
  </si>
  <si>
    <t>Utility</t>
  </si>
  <si>
    <t>Payouts made in</t>
  </si>
  <si>
    <t>INCREASE (DECREASE ) IN EXPENSE</t>
  </si>
  <si>
    <t>06/10 Incentive True-Up</t>
  </si>
  <si>
    <t>Electric - (r7) = (r6) * 67.97%</t>
  </si>
  <si>
    <t>Gas - (r8) = (r6) * 32.03%</t>
  </si>
  <si>
    <t>(3)</t>
  </si>
  <si>
    <t>Total Manual Clearing</t>
  </si>
  <si>
    <t>Less Related to 2009 Payout</t>
  </si>
  <si>
    <t>All Other</t>
  </si>
  <si>
    <t>2011 GENERAL RATE INCREASE</t>
  </si>
  <si>
    <t>FOR THE TWELVE MONTHS ENDED DECEMBER 31, 2010</t>
  </si>
  <si>
    <t>2010 Officers Incentive Pay ($)</t>
  </si>
  <si>
    <t>2010 Officers Incentive Pay (millions)</t>
  </si>
  <si>
    <t>Incentive / Merit Payouts From 2007 To 2010</t>
  </si>
  <si>
    <t>Total 2010 Incentive Pay (millions)</t>
  </si>
  <si>
    <t>Four Year Average as of December 31, 2010</t>
  </si>
  <si>
    <t>Electric - (r7) = (r6) * 67.31%</t>
  </si>
  <si>
    <t>Gas - (r8) = (r6) * 32.69%</t>
  </si>
  <si>
    <t>12 ME December 31, 2010</t>
  </si>
  <si>
    <t>(1)  Amounts in columns (b) and ( c ) are net of SAP system processing allocations to Subsidiary CC 210 that was deactivated and merged into PSE in May 2010.</t>
  </si>
  <si>
    <t>40G</t>
  </si>
  <si>
    <t>2010 Merit Payout</t>
  </si>
  <si>
    <t>100005847</t>
  </si>
  <si>
    <t>2009 PSE Incentive Plan True-up</t>
  </si>
  <si>
    <t>54601100</t>
  </si>
  <si>
    <t>67000020</t>
  </si>
  <si>
    <t>03</t>
  </si>
  <si>
    <t>56000050</t>
  </si>
  <si>
    <t>58000100</t>
  </si>
  <si>
    <t>88000013</t>
  </si>
  <si>
    <t>92006490</t>
  </si>
  <si>
    <t>41710062</t>
  </si>
  <si>
    <t>12</t>
  </si>
  <si>
    <t>Q4, 2010 Incentive True-Up</t>
  </si>
  <si>
    <t>20100930</t>
  </si>
  <si>
    <t>Accrue Q3, 2010 Incentive True-Up</t>
  </si>
  <si>
    <t>09</t>
  </si>
  <si>
    <t>20101231</t>
  </si>
  <si>
    <t>Period</t>
  </si>
  <si>
    <t>Posting Date</t>
  </si>
  <si>
    <t>Doc Number</t>
  </si>
  <si>
    <t>Order</t>
  </si>
  <si>
    <t>Account</t>
  </si>
  <si>
    <t>Test Year: 12 Months Ended December 2010</t>
  </si>
  <si>
    <t>Rate Year:  12 Months Ended April 2013</t>
  </si>
  <si>
    <t>Text</t>
  </si>
  <si>
    <t>Acct Description</t>
  </si>
  <si>
    <t>Orders</t>
  </si>
  <si>
    <t>12 Months</t>
  </si>
  <si>
    <t>12/2010</t>
  </si>
  <si>
    <t>11/2010</t>
  </si>
  <si>
    <t>10/2010</t>
  </si>
  <si>
    <t>9/2010</t>
  </si>
  <si>
    <t>8/2010</t>
  </si>
  <si>
    <t>7/2010</t>
  </si>
  <si>
    <t>6/2010</t>
  </si>
  <si>
    <t>5/2010</t>
  </si>
  <si>
    <t>4/2010</t>
  </si>
  <si>
    <t>3/2010</t>
  </si>
  <si>
    <t>2/2010</t>
  </si>
  <si>
    <t>1/2010</t>
  </si>
  <si>
    <t xml:space="preserve">   54601100  1412 - Incentive Clearing - Electric</t>
  </si>
  <si>
    <t xml:space="preserve">   56000050  1412 - Incentive Clearing - Electric</t>
  </si>
  <si>
    <t xml:space="preserve">   58000100  1412 - Incentive Clearing - Electric</t>
  </si>
  <si>
    <t xml:space="preserve">   88000013  1412 - Incentive Clearing - Gas</t>
  </si>
  <si>
    <t xml:space="preserve">   92006490  1412 - Incentive Clearing - Common</t>
  </si>
  <si>
    <t>*  Debit</t>
  </si>
  <si>
    <t>** Over/underabsorption</t>
  </si>
  <si>
    <t>Total Utility plus non Utility</t>
  </si>
  <si>
    <t>Allocation of Common</t>
  </si>
  <si>
    <t>Total Test Year Incentive Manual Clearing</t>
  </si>
  <si>
    <t>Test Year Utilities Incentives Manual Clearing without 2009 related true up</t>
  </si>
  <si>
    <t>2009 related true up</t>
  </si>
  <si>
    <t xml:space="preserve">Total Utility </t>
  </si>
  <si>
    <t>Add Non-Utility, 41710062 - Common</t>
  </si>
  <si>
    <t xml:space="preserve">Utility O&amp;M Manual Clearings </t>
  </si>
  <si>
    <t>WAGE INCREASE ADJUSTMENT</t>
  </si>
  <si>
    <t>Allocated Incentive Pay</t>
  </si>
  <si>
    <t>Less</t>
  </si>
  <si>
    <t>Use in</t>
  </si>
  <si>
    <t>Adjustment</t>
  </si>
  <si>
    <t>Less 2009</t>
  </si>
  <si>
    <t>True Up</t>
  </si>
  <si>
    <t xml:space="preserve">   41710062  1412 - Incentive Clearing - Non-Utility</t>
  </si>
  <si>
    <t>Cost elements</t>
  </si>
  <si>
    <t>Actual</t>
  </si>
  <si>
    <t>Plan</t>
  </si>
  <si>
    <t>Abs. var.</t>
  </si>
  <si>
    <t>60090000  Salaries - Annual Incentive Award (401(k</t>
  </si>
  <si>
    <t>60091000  IBEW - Annual Incentive Award (401(k) el</t>
  </si>
  <si>
    <t>60092000  UA - Annual Incentive Award (401(k) elig</t>
  </si>
  <si>
    <t>Debit</t>
  </si>
  <si>
    <t>82200000  External Settlement Account</t>
  </si>
  <si>
    <t>Credit</t>
  </si>
  <si>
    <t>Order Group</t>
  </si>
  <si>
    <t>Reporting Period</t>
  </si>
  <si>
    <t>1145 - Annual Incentive Pay</t>
  </si>
  <si>
    <t>Incentive / Merit Payouts From 2005 To 2008</t>
  </si>
  <si>
    <t>Four Year Average as of December 31, 2008</t>
  </si>
  <si>
    <t>2005</t>
  </si>
  <si>
    <t>Electric - (r7) = (r6) * 64.94%</t>
  </si>
  <si>
    <t>Gas - (r8) = (r6) * 35.06%</t>
  </si>
  <si>
    <t>2008 Officers Incentive Pay (millions)</t>
  </si>
  <si>
    <t>Total 2008 Incentive Pay (millions)</t>
  </si>
  <si>
    <t>Docket Numbers UE-</t>
  </si>
  <si>
    <t>Exhibit No. ______</t>
  </si>
  <si>
    <t>PAGE 21.10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</si>
</sst>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&quot;$&quot;* #,##0_);_(&quot;$&quot;* \(#,##0\);_(&quot;$&quot;* &quot;-&quot;??_);_(@_)"/>
    <numFmt numFmtId="167" formatCode="0.0%"/>
    <numFmt numFmtId="168" formatCode="0.0000%"/>
    <numFmt numFmtId="169" formatCode="mmmm\-yy"/>
    <numFmt numFmtId="170" formatCode="mmmm\,\ yyyy"/>
    <numFmt numFmtId="171" formatCode="00000"/>
    <numFmt numFmtId="172" formatCode="0.00_)"/>
    <numFmt numFmtId="173" formatCode="mmmm\ d\,\ yyyy"/>
    <numFmt numFmtId="174" formatCode="0.000000"/>
    <numFmt numFmtId="175" formatCode="#,##0;\(#,##0\)"/>
    <numFmt numFmtId="176" formatCode="0.000%"/>
    <numFmt numFmtId="177" formatCode="_(&quot;$&quot;* #,##0.0000_);_(&quot;$&quot;* \(#,##0.0000\);_(&quot;$&quot;* &quot;-&quot;????_);_(@_)"/>
    <numFmt numFmtId="178" formatCode="0.0000000"/>
    <numFmt numFmtId="179" formatCode="_(* #,##0.0_);_(* \(#,##0.0\);_(* &quot;-&quot;_);_(@_)"/>
    <numFmt numFmtId="180" formatCode="&quot;$&quot;#,##0.00"/>
    <numFmt numFmtId="181" formatCode="_(* #,##0.00000_);_(* \(#,##0.00000\);_(* &quot;-&quot;??_);_(@_)"/>
    <numFmt numFmtId="182" formatCode="d\.mmm\.yy"/>
    <numFmt numFmtId="183" formatCode="#."/>
    <numFmt numFmtId="184" formatCode="_(* ###0_);_(* \(###0\);_(* &quot;-&quot;_);_(@_)"/>
    <numFmt numFmtId="185" formatCode="#,##0.00;\-#,##0.00;#,##0.00;@"/>
    <numFmt numFmtId="186" formatCode="#,##0.0_);\(#,##0.0\)"/>
    <numFmt numFmtId="187" formatCode="&quot;$&quot;#,##0.0_);\(&quot;$&quot;#,##0.0\)"/>
    <numFmt numFmtId="188" formatCode="&quot;$&quot;#,##0.0"/>
    <numFmt numFmtId="189" formatCode="_(* #,##0.000_);_(* \(#,##0.000\);_(* &quot;-&quot;???_);_(@_)"/>
    <numFmt numFmtId="190" formatCode="[$-409]dddd\,\ mmmm\ dd\,\ yyyy"/>
    <numFmt numFmtId="191" formatCode="[$-409]mmmm\ d\,\ yyyy;@"/>
    <numFmt numFmtId="192" formatCode="0.0%\ ;\(0.0%\);&quot;0.00% &quot;"/>
    <numFmt numFmtId="193" formatCode="0.0%\ ;\(0.0%\);&quot;0.0% &quot;"/>
    <numFmt numFmtId="194" formatCode="mm/dd/yy"/>
    <numFmt numFmtId="195" formatCode="_(&quot;$&quot;* #,##0.0000_);_(&quot;$&quot;* \(#,##0.0000\);_(&quot;$&quot;* &quot;-&quot;??_);_(@_)"/>
    <numFmt numFmtId="196" formatCode="#,##0.000000_);\(#,##0.000000\)"/>
    <numFmt numFmtId="197" formatCode="#,##0.00000"/>
    <numFmt numFmtId="198" formatCode="#,##0.000000"/>
    <numFmt numFmtId="199" formatCode="_(* #,##0.0_);_(* \(#,##0.0\);_(* &quot;-&quot;??_);_(@_)"/>
    <numFmt numFmtId="200" formatCode="_(&quot;$&quot;* #,##0.0_);_(&quot;$&quot;* \(#,##0.0\);_(&quot;$&quot;* &quot;-&quot;??_);_(@_)"/>
    <numFmt numFmtId="201" formatCode="mm/dd/yy;@"/>
    <numFmt numFmtId="202" formatCode="mm/dd/yyyy"/>
    <numFmt numFmtId="203" formatCode="#,##0.0"/>
    <numFmt numFmtId="204" formatCode="0.00000"/>
    <numFmt numFmtId="205" formatCode="0.000"/>
    <numFmt numFmtId="206" formatCode="0.0"/>
    <numFmt numFmtId="207" formatCode="&quot;$&quot;#,##0.0_);[Red]\(&quot;$&quot;#,##0.0\)"/>
    <numFmt numFmtId="208" formatCode="#,##0.0000"/>
    <numFmt numFmtId="209" formatCode="_(* #,##0.000_);_(* \(#,##0.000\);_(* &quot;-&quot;??_);_(@_)"/>
    <numFmt numFmtId="210" formatCode="#,##0.00000000;\-#,##0.00000000;#,##0.00000000;@"/>
    <numFmt numFmtId="211" formatCode="0.000000%"/>
    <numFmt numFmtId="212" formatCode="&quot;$&quot;#,##0"/>
    <numFmt numFmtId="213" formatCode="mmm\-yyyy"/>
    <numFmt numFmtId="214" formatCode="_(* #,##0.0000_);_(* \(#,##0.0000\);_(* &quot;-&quot;??_);_(@_)"/>
    <numFmt numFmtId="215" formatCode="_(* #,##0.000000_);_(* \(#,##0.000000\);_(* &quot;-&quot;??????_);_(@_)"/>
    <numFmt numFmtId="216" formatCode="_(&quot;$&quot;* #,##0.000_);_(&quot;$&quot;* \(#,##0.000\);_(&quot;$&quot;* &quot;-&quot;??_);_(@_)"/>
    <numFmt numFmtId="217" formatCode="_(&quot;$&quot;* #,##0.00000_);_(&quot;$&quot;* \(#,##0.00000\);_(&quot;$&quot;* &quot;-&quot;??_);_(@_)"/>
    <numFmt numFmtId="218" formatCode="_(&quot;$&quot;* #,##0.000000_);_(&quot;$&quot;* \(#,##0.000000\);_(&quot;$&quot;* &quot;-&quot;??_);_(@_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_-;#,##0\-;&quot; &quot;"/>
    <numFmt numFmtId="224" formatCode="m/d/yy"/>
    <numFmt numFmtId="225" formatCode="0.00000%"/>
    <numFmt numFmtId="226" formatCode="_(&quot;$&quot;* #,##0.000_);_(&quot;$&quot;* \(#,##0.000\);_(&quot;$&quot;* &quot;-&quot;???_);_(@_)"/>
  </numFmts>
  <fonts count="7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sz val="6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8"/>
      <name val="Helv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0"/>
      <name val="Helvetica"/>
      <family val="2"/>
    </font>
    <font>
      <sz val="10"/>
      <color indexed="8"/>
      <name val="Arial"/>
      <family val="2"/>
    </font>
    <font>
      <b/>
      <sz val="10"/>
      <name val="Helvetica"/>
      <family val="2"/>
    </font>
    <font>
      <b/>
      <sz val="14"/>
      <name val="Arial"/>
      <family val="0"/>
    </font>
    <font>
      <sz val="11"/>
      <name val="univers (E1)"/>
      <family val="0"/>
    </font>
    <font>
      <b/>
      <u val="single"/>
      <sz val="9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78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0" fontId="17" fillId="0" borderId="0">
      <alignment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0" fontId="17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182" fontId="21" fillId="0" borderId="0" applyFill="0" applyBorder="0" applyAlignment="0"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41" fontId="0" fillId="2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64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183" fontId="28" fillId="0" borderId="0">
      <alignment/>
      <protection locked="0"/>
    </xf>
    <xf numFmtId="0" fontId="27" fillId="0" borderId="0">
      <alignment/>
      <protection/>
    </xf>
    <xf numFmtId="0" fontId="29" fillId="0" borderId="0" applyNumberFormat="0" applyAlignment="0">
      <protection/>
    </xf>
    <xf numFmtId="0" fontId="30" fillId="0" borderId="0" applyNumberFormat="0" applyAlignment="0"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6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0" fillId="0" borderId="0">
      <alignment/>
      <protection/>
    </xf>
    <xf numFmtId="0" fontId="31" fillId="0" borderId="0" applyNumberFormat="0" applyFill="0" applyBorder="0" applyAlignment="0" applyProtection="0"/>
    <xf numFmtId="2" fontId="25" fillId="0" borderId="0" applyFont="0" applyFill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2" fillId="4" borderId="0" applyNumberFormat="0" applyBorder="0" applyAlignment="0" applyProtection="0"/>
    <xf numFmtId="38" fontId="9" fillId="20" borderId="0" applyNumberFormat="0" applyBorder="0" applyAlignment="0" applyProtection="0"/>
    <xf numFmtId="0" fontId="33" fillId="0" borderId="3" applyNumberFormat="0" applyAlignment="0" applyProtection="0"/>
    <xf numFmtId="0" fontId="33" fillId="0" borderId="4">
      <alignment horizontal="left"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38" fontId="12" fillId="0" borderId="0">
      <alignment/>
      <protection/>
    </xf>
    <xf numFmtId="40" fontId="12" fillId="0" borderId="0">
      <alignment/>
      <protection/>
    </xf>
    <xf numFmtId="0" fontId="8" fillId="0" borderId="0" applyNumberFormat="0" applyFill="0" applyBorder="0" applyAlignment="0" applyProtection="0"/>
    <xf numFmtId="0" fontId="37" fillId="7" borderId="1" applyNumberFormat="0" applyAlignment="0" applyProtection="0"/>
    <xf numFmtId="10" fontId="9" fillId="22" borderId="8" applyNumberFormat="0" applyBorder="0" applyAlignment="0" applyProtection="0"/>
    <xf numFmtId="41" fontId="38" fillId="23" borderId="9">
      <alignment horizontal="left"/>
      <protection locked="0"/>
    </xf>
    <xf numFmtId="10" fontId="38" fillId="23" borderId="9">
      <alignment horizontal="right"/>
      <protection locked="0"/>
    </xf>
    <xf numFmtId="0" fontId="9" fillId="20" borderId="0">
      <alignment/>
      <protection/>
    </xf>
    <xf numFmtId="3" fontId="39" fillId="0" borderId="0" applyFill="0" applyBorder="0" applyAlignment="0" applyProtection="0"/>
    <xf numFmtId="0" fontId="40" fillId="0" borderId="10" applyNumberFormat="0" applyFill="0" applyAlignment="0" applyProtection="0"/>
    <xf numFmtId="44" fontId="1" fillId="0" borderId="11" applyNumberFormat="0" applyFont="0" applyAlignment="0">
      <protection/>
    </xf>
    <xf numFmtId="44" fontId="1" fillId="0" borderId="12" applyNumberFormat="0" applyFont="0" applyAlignment="0">
      <protection/>
    </xf>
    <xf numFmtId="0" fontId="41" fillId="23" borderId="0" applyNumberFormat="0" applyBorder="0" applyAlignment="0" applyProtection="0"/>
    <xf numFmtId="37" fontId="42" fillId="0" borderId="0">
      <alignment/>
      <protection/>
    </xf>
    <xf numFmtId="172" fontId="1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173" fontId="0" fillId="0" borderId="0">
      <alignment horizontal="left" wrapText="1"/>
      <protection/>
    </xf>
    <xf numFmtId="0" fontId="18" fillId="0" borderId="0">
      <alignment/>
      <protection/>
    </xf>
    <xf numFmtId="0" fontId="44" fillId="0" borderId="0">
      <alignment/>
      <protection/>
    </xf>
    <xf numFmtId="174" fontId="0" fillId="0" borderId="0">
      <alignment horizontal="left" wrapText="1"/>
      <protection/>
    </xf>
    <xf numFmtId="0" fontId="24" fillId="0" borderId="0">
      <alignment/>
      <protection/>
    </xf>
    <xf numFmtId="0" fontId="0" fillId="24" borderId="13" applyNumberFormat="0" applyFont="0" applyAlignment="0" applyProtection="0"/>
    <xf numFmtId="0" fontId="18" fillId="24" borderId="13" applyNumberFormat="0" applyFont="0" applyAlignment="0" applyProtection="0"/>
    <xf numFmtId="0" fontId="18" fillId="24" borderId="13" applyNumberFormat="0" applyFont="0" applyAlignment="0" applyProtection="0"/>
    <xf numFmtId="0" fontId="18" fillId="24" borderId="13" applyNumberFormat="0" applyFont="0" applyAlignment="0" applyProtection="0"/>
    <xf numFmtId="0" fontId="45" fillId="20" borderId="14" applyNumberForma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25" borderId="9">
      <alignment/>
      <protection/>
    </xf>
    <xf numFmtId="0" fontId="44" fillId="0" borderId="0" applyNumberFormat="0" applyFont="0" applyFill="0" applyBorder="0" applyAlignment="0" applyProtection="0"/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6" fillId="0" borderId="15">
      <alignment horizontal="center"/>
      <protection/>
    </xf>
    <xf numFmtId="3" fontId="44" fillId="0" borderId="0" applyFont="0" applyFill="0" applyBorder="0" applyAlignment="0" applyProtection="0"/>
    <xf numFmtId="0" fontId="44" fillId="26" borderId="0" applyNumberFormat="0" applyFont="0" applyBorder="0" applyAlignment="0" applyProtection="0"/>
    <xf numFmtId="0" fontId="27" fillId="0" borderId="0">
      <alignment/>
      <protection/>
    </xf>
    <xf numFmtId="3" fontId="47" fillId="0" borderId="0" applyFill="0" applyBorder="0" applyAlignment="0" applyProtection="0"/>
    <xf numFmtId="0" fontId="48" fillId="0" borderId="0">
      <alignment/>
      <protection/>
    </xf>
    <xf numFmtId="42" fontId="0" fillId="22" borderId="0">
      <alignment/>
      <protection/>
    </xf>
    <xf numFmtId="42" fontId="0" fillId="22" borderId="16">
      <alignment vertical="center"/>
      <protection/>
    </xf>
    <xf numFmtId="0" fontId="1" fillId="22" borderId="17" applyNumberFormat="0">
      <alignment horizontal="center" vertical="center" wrapText="1"/>
      <protection/>
    </xf>
    <xf numFmtId="10" fontId="0" fillId="22" borderId="0">
      <alignment/>
      <protection/>
    </xf>
    <xf numFmtId="177" fontId="0" fillId="22" borderId="0">
      <alignment/>
      <protection/>
    </xf>
    <xf numFmtId="164" fontId="12" fillId="0" borderId="0" applyBorder="0" applyAlignment="0">
      <protection/>
    </xf>
    <xf numFmtId="42" fontId="0" fillId="22" borderId="18">
      <alignment horizontal="left"/>
      <protection/>
    </xf>
    <xf numFmtId="177" fontId="49" fillId="22" borderId="18">
      <alignment horizontal="left"/>
      <protection/>
    </xf>
    <xf numFmtId="164" fontId="12" fillId="0" borderId="0" applyBorder="0" applyAlignment="0">
      <protection/>
    </xf>
    <xf numFmtId="14" fontId="43" fillId="0" borderId="0" applyNumberFormat="0" applyFill="0" applyBorder="0" applyAlignment="0" applyProtection="0"/>
    <xf numFmtId="179" fontId="0" fillId="0" borderId="0" applyFont="0" applyFill="0" applyAlignment="0">
      <protection/>
    </xf>
    <xf numFmtId="4" fontId="61" fillId="23" borderId="14" applyNumberFormat="0" applyProtection="0">
      <alignment vertical="center"/>
    </xf>
    <xf numFmtId="4" fontId="66" fillId="23" borderId="14" applyNumberFormat="0" applyProtection="0">
      <alignment vertical="center"/>
    </xf>
    <xf numFmtId="4" fontId="61" fillId="23" borderId="14" applyNumberFormat="0" applyProtection="0">
      <alignment horizontal="left" vertical="center" indent="1"/>
    </xf>
    <xf numFmtId="4" fontId="61" fillId="23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61" fillId="3" borderId="14" applyNumberFormat="0" applyProtection="0">
      <alignment horizontal="right" vertical="center"/>
    </xf>
    <xf numFmtId="4" fontId="61" fillId="9" borderId="14" applyNumberFormat="0" applyProtection="0">
      <alignment horizontal="right" vertical="center"/>
    </xf>
    <xf numFmtId="4" fontId="61" fillId="17" borderId="14" applyNumberFormat="0" applyProtection="0">
      <alignment horizontal="right" vertical="center"/>
    </xf>
    <xf numFmtId="4" fontId="61" fillId="11" borderId="14" applyNumberFormat="0" applyProtection="0">
      <alignment horizontal="right" vertical="center"/>
    </xf>
    <xf numFmtId="4" fontId="61" fillId="15" borderId="14" applyNumberFormat="0" applyProtection="0">
      <alignment horizontal="right" vertical="center"/>
    </xf>
    <xf numFmtId="4" fontId="61" fillId="19" borderId="14" applyNumberFormat="0" applyProtection="0">
      <alignment horizontal="right" vertical="center"/>
    </xf>
    <xf numFmtId="4" fontId="61" fillId="18" borderId="14" applyNumberFormat="0" applyProtection="0">
      <alignment horizontal="right" vertical="center"/>
    </xf>
    <xf numFmtId="4" fontId="61" fillId="27" borderId="14" applyNumberFormat="0" applyProtection="0">
      <alignment horizontal="right" vertical="center"/>
    </xf>
    <xf numFmtId="4" fontId="61" fillId="10" borderId="14" applyNumberFormat="0" applyProtection="0">
      <alignment horizontal="right" vertical="center"/>
    </xf>
    <xf numFmtId="4" fontId="67" fillId="28" borderId="14" applyNumberFormat="0" applyProtection="0">
      <alignment horizontal="left" vertical="center" indent="1"/>
    </xf>
    <xf numFmtId="4" fontId="61" fillId="29" borderId="19" applyNumberFormat="0" applyProtection="0">
      <alignment horizontal="left" vertical="center" indent="1"/>
    </xf>
    <xf numFmtId="4" fontId="56" fillId="30" borderId="0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61" fillId="29" borderId="14" applyNumberFormat="0" applyProtection="0">
      <alignment horizontal="left" vertical="center" indent="1"/>
    </xf>
    <xf numFmtId="4" fontId="61" fillId="31" borderId="14" applyNumberFormat="0" applyProtection="0">
      <alignment horizontal="left" vertical="center" indent="1"/>
    </xf>
    <xf numFmtId="0" fontId="0" fillId="31" borderId="14" applyNumberFormat="0" applyProtection="0">
      <alignment horizontal="left" vertical="center" indent="1"/>
    </xf>
    <xf numFmtId="0" fontId="0" fillId="3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20" borderId="14" applyNumberFormat="0" applyProtection="0">
      <alignment horizontal="left" vertical="center" indent="1"/>
    </xf>
    <xf numFmtId="0" fontId="0" fillId="20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61" fillId="24" borderId="14" applyNumberFormat="0" applyProtection="0">
      <alignment vertical="center"/>
    </xf>
    <xf numFmtId="4" fontId="66" fillId="24" borderId="14" applyNumberFormat="0" applyProtection="0">
      <alignment vertical="center"/>
    </xf>
    <xf numFmtId="4" fontId="61" fillId="24" borderId="14" applyNumberFormat="0" applyProtection="0">
      <alignment horizontal="left" vertical="center" indent="1"/>
    </xf>
    <xf numFmtId="4" fontId="61" fillId="24" borderId="14" applyNumberFormat="0" applyProtection="0">
      <alignment horizontal="left" vertical="center" indent="1"/>
    </xf>
    <xf numFmtId="4" fontId="61" fillId="29" borderId="14" applyNumberFormat="0" applyProtection="0">
      <alignment horizontal="right" vertical="center"/>
    </xf>
    <xf numFmtId="4" fontId="66" fillId="29" borderId="14" applyNumberFormat="0" applyProtection="0">
      <alignment horizontal="right" vertical="center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0" fontId="68" fillId="0" borderId="0">
      <alignment/>
      <protection/>
    </xf>
    <xf numFmtId="4" fontId="69" fillId="29" borderId="14" applyNumberFormat="0" applyProtection="0">
      <alignment horizontal="right" vertical="center"/>
    </xf>
    <xf numFmtId="39" fontId="0" fillId="32" borderId="0">
      <alignment/>
      <protection/>
    </xf>
    <xf numFmtId="38" fontId="9" fillId="0" borderId="20">
      <alignment/>
      <protection/>
    </xf>
    <xf numFmtId="38" fontId="12" fillId="0" borderId="18">
      <alignment/>
      <protection/>
    </xf>
    <xf numFmtId="39" fontId="43" fillId="33" borderId="0">
      <alignment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40" fontId="50" fillId="0" borderId="0" applyBorder="0">
      <alignment horizontal="right"/>
      <protection/>
    </xf>
    <xf numFmtId="41" fontId="2" fillId="22" borderId="0">
      <alignment horizontal="left"/>
      <protection/>
    </xf>
    <xf numFmtId="0" fontId="51" fillId="0" borderId="0" applyNumberFormat="0" applyFill="0" applyBorder="0" applyAlignment="0" applyProtection="0"/>
    <xf numFmtId="180" fontId="52" fillId="22" borderId="0">
      <alignment horizontal="left" vertical="center"/>
      <protection/>
    </xf>
    <xf numFmtId="0" fontId="1" fillId="22" borderId="0">
      <alignment horizontal="left" wrapText="1"/>
      <protection/>
    </xf>
    <xf numFmtId="0" fontId="53" fillId="0" borderId="0">
      <alignment horizontal="left" vertical="center"/>
      <protection/>
    </xf>
    <xf numFmtId="0" fontId="54" fillId="0" borderId="21" applyNumberFormat="0" applyFill="0" applyAlignment="0" applyProtection="0"/>
    <xf numFmtId="0" fontId="27" fillId="0" borderId="22">
      <alignment/>
      <protection/>
    </xf>
    <xf numFmtId="0" fontId="55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0" xfId="94" applyNumberFormat="1" applyFont="1" applyFill="1" applyBorder="1" applyAlignment="1">
      <alignment/>
    </xf>
    <xf numFmtId="164" fontId="5" fillId="0" borderId="0" xfId="7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43" fontId="0" fillId="0" borderId="0" xfId="70" applyAlignment="1">
      <alignment/>
    </xf>
    <xf numFmtId="37" fontId="5" fillId="0" borderId="0" xfId="0" applyNumberFormat="1" applyFont="1" applyFill="1" applyAlignment="1">
      <alignment/>
    </xf>
    <xf numFmtId="42" fontId="5" fillId="0" borderId="0" xfId="0" applyNumberFormat="1" applyFont="1" applyAlignment="1">
      <alignment/>
    </xf>
    <xf numFmtId="9" fontId="5" fillId="0" borderId="0" xfId="70" applyNumberFormat="1" applyFont="1" applyFill="1" applyBorder="1" applyAlignment="1">
      <alignment/>
    </xf>
    <xf numFmtId="42" fontId="5" fillId="0" borderId="8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right"/>
    </xf>
    <xf numFmtId="166" fontId="5" fillId="0" borderId="0" xfId="94" applyNumberFormat="1" applyFont="1" applyFill="1" applyBorder="1" applyAlignment="1" applyProtection="1">
      <alignment/>
      <protection locked="0"/>
    </xf>
    <xf numFmtId="164" fontId="5" fillId="0" borderId="0" xfId="70" applyNumberFormat="1" applyFont="1" applyFill="1" applyBorder="1" applyAlignment="1" applyProtection="1">
      <alignment/>
      <protection locked="0"/>
    </xf>
    <xf numFmtId="175" fontId="5" fillId="0" borderId="0" xfId="0" applyNumberFormat="1" applyFont="1" applyFill="1" applyBorder="1" applyAlignment="1" applyProtection="1">
      <alignment/>
      <protection locked="0"/>
    </xf>
    <xf numFmtId="175" fontId="5" fillId="0" borderId="0" xfId="0" applyNumberFormat="1" applyFont="1" applyFill="1" applyBorder="1" applyAlignment="1" applyProtection="1">
      <alignment vertical="center"/>
      <protection locked="0"/>
    </xf>
    <xf numFmtId="166" fontId="5" fillId="0" borderId="0" xfId="94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69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7" fontId="0" fillId="0" borderId="0" xfId="0" applyNumberFormat="1" applyFont="1" applyFill="1" applyAlignment="1">
      <alignment/>
    </xf>
    <xf numFmtId="10" fontId="0" fillId="0" borderId="17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1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7" fontId="0" fillId="0" borderId="17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10" fontId="1" fillId="0" borderId="24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25" xfId="0" applyNumberFormat="1" applyFont="1" applyFill="1" applyBorder="1" applyAlignment="1">
      <alignment horizontal="center"/>
    </xf>
    <xf numFmtId="0" fontId="14" fillId="0" borderId="25" xfId="0" applyNumberFormat="1" applyFont="1" applyFill="1" applyBorder="1" applyAlignment="1">
      <alignment/>
    </xf>
    <xf numFmtId="10" fontId="14" fillId="0" borderId="25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69" fontId="1" fillId="0" borderId="26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center"/>
    </xf>
    <xf numFmtId="169" fontId="1" fillId="0" borderId="28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/>
    </xf>
    <xf numFmtId="169" fontId="1" fillId="0" borderId="30" xfId="0" applyNumberFormat="1" applyFont="1" applyFill="1" applyBorder="1" applyAlignment="1">
      <alignment/>
    </xf>
    <xf numFmtId="49" fontId="14" fillId="0" borderId="31" xfId="0" applyNumberFormat="1" applyFont="1" applyFill="1" applyBorder="1" applyAlignment="1">
      <alignment horizontal="center"/>
    </xf>
    <xf numFmtId="169" fontId="1" fillId="0" borderId="28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42" fontId="0" fillId="0" borderId="29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/>
    </xf>
    <xf numFmtId="169" fontId="0" fillId="0" borderId="28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/>
    </xf>
    <xf numFmtId="37" fontId="14" fillId="0" borderId="29" xfId="0" applyNumberFormat="1" applyFont="1" applyFill="1" applyBorder="1" applyAlignment="1">
      <alignment horizontal="center"/>
    </xf>
    <xf numFmtId="37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0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/>
    </xf>
    <xf numFmtId="169" fontId="0" fillId="0" borderId="33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1" fontId="5" fillId="0" borderId="17" xfId="70" applyNumberFormat="1" applyFont="1" applyBorder="1" applyAlignment="1">
      <alignment/>
    </xf>
    <xf numFmtId="41" fontId="5" fillId="0" borderId="17" xfId="70" applyNumberFormat="1" applyFont="1" applyFill="1" applyBorder="1" applyAlignment="1">
      <alignment/>
    </xf>
    <xf numFmtId="42" fontId="5" fillId="0" borderId="0" xfId="70" applyNumberFormat="1" applyFont="1" applyAlignment="1">
      <alignment/>
    </xf>
    <xf numFmtId="0" fontId="4" fillId="0" borderId="35" xfId="0" applyFont="1" applyFill="1" applyBorder="1" applyAlignment="1" quotePrefix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 horizontal="centerContinuous" vertical="center"/>
    </xf>
    <xf numFmtId="0" fontId="4" fillId="0" borderId="41" xfId="0" applyFont="1" applyFill="1" applyBorder="1" applyAlignment="1">
      <alignment horizontal="centerContinuous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175" fontId="5" fillId="0" borderId="44" xfId="0" applyNumberFormat="1" applyFont="1" applyFill="1" applyBorder="1" applyAlignment="1" applyProtection="1">
      <alignment/>
      <protection locked="0"/>
    </xf>
    <xf numFmtId="175" fontId="5" fillId="0" borderId="44" xfId="0" applyNumberFormat="1" applyFont="1" applyFill="1" applyBorder="1" applyAlignment="1" applyProtection="1">
      <alignment horizontal="center"/>
      <protection locked="0"/>
    </xf>
    <xf numFmtId="175" fontId="5" fillId="0" borderId="45" xfId="0" applyNumberFormat="1" applyFont="1" applyFill="1" applyBorder="1" applyAlignment="1" applyProtection="1">
      <alignment/>
      <protection locked="0"/>
    </xf>
    <xf numFmtId="42" fontId="5" fillId="0" borderId="46" xfId="94" applyNumberFormat="1" applyFont="1" applyFill="1" applyBorder="1" applyAlignment="1" applyProtection="1">
      <alignment/>
      <protection locked="0"/>
    </xf>
    <xf numFmtId="41" fontId="5" fillId="0" borderId="46" xfId="70" applyNumberFormat="1" applyFont="1" applyFill="1" applyBorder="1" applyAlignment="1" applyProtection="1">
      <alignment/>
      <protection locked="0"/>
    </xf>
    <xf numFmtId="41" fontId="5" fillId="0" borderId="47" xfId="70" applyNumberFormat="1" applyFont="1" applyFill="1" applyBorder="1" applyAlignment="1" applyProtection="1">
      <alignment/>
      <protection locked="0"/>
    </xf>
    <xf numFmtId="41" fontId="5" fillId="0" borderId="48" xfId="70" applyNumberFormat="1" applyFont="1" applyFill="1" applyBorder="1" applyAlignment="1" applyProtection="1">
      <alignment/>
      <protection locked="0"/>
    </xf>
    <xf numFmtId="164" fontId="5" fillId="0" borderId="48" xfId="70" applyNumberFormat="1" applyFont="1" applyFill="1" applyBorder="1" applyAlignment="1" applyProtection="1">
      <alignment/>
      <protection locked="0"/>
    </xf>
    <xf numFmtId="164" fontId="5" fillId="0" borderId="49" xfId="70" applyNumberFormat="1" applyFont="1" applyFill="1" applyBorder="1" applyAlignment="1" applyProtection="1">
      <alignment/>
      <protection locked="0"/>
    </xf>
    <xf numFmtId="0" fontId="4" fillId="0" borderId="36" xfId="0" applyFont="1" applyFill="1" applyBorder="1" applyAlignment="1">
      <alignment horizontal="center"/>
    </xf>
    <xf numFmtId="42" fontId="5" fillId="0" borderId="46" xfId="70" applyNumberFormat="1" applyFont="1" applyFill="1" applyBorder="1" applyAlignment="1" applyProtection="1">
      <alignment/>
      <protection locked="0"/>
    </xf>
    <xf numFmtId="41" fontId="5" fillId="0" borderId="46" xfId="94" applyNumberFormat="1" applyFont="1" applyFill="1" applyBorder="1" applyAlignment="1" applyProtection="1">
      <alignment/>
      <protection locked="0"/>
    </xf>
    <xf numFmtId="41" fontId="5" fillId="0" borderId="50" xfId="94" applyNumberFormat="1" applyFont="1" applyFill="1" applyBorder="1" applyAlignment="1" applyProtection="1">
      <alignment/>
      <protection locked="0"/>
    </xf>
    <xf numFmtId="42" fontId="5" fillId="0" borderId="50" xfId="94" applyNumberFormat="1" applyFont="1" applyFill="1" applyBorder="1" applyAlignment="1" applyProtection="1">
      <alignment/>
      <protection locked="0"/>
    </xf>
    <xf numFmtId="41" fontId="5" fillId="0" borderId="47" xfId="94" applyNumberFormat="1" applyFont="1" applyFill="1" applyBorder="1" applyAlignment="1" applyProtection="1">
      <alignment/>
      <protection locked="0"/>
    </xf>
    <xf numFmtId="41" fontId="5" fillId="0" borderId="51" xfId="94" applyNumberFormat="1" applyFont="1" applyFill="1" applyBorder="1" applyAlignment="1" applyProtection="1">
      <alignment/>
      <protection locked="0"/>
    </xf>
    <xf numFmtId="41" fontId="5" fillId="0" borderId="0" xfId="70" applyNumberFormat="1" applyFont="1" applyBorder="1" applyAlignment="1">
      <alignment/>
    </xf>
    <xf numFmtId="42" fontId="5" fillId="0" borderId="0" xfId="70" applyNumberFormat="1" applyFont="1" applyBorder="1" applyAlignment="1">
      <alignment/>
    </xf>
    <xf numFmtId="0" fontId="5" fillId="0" borderId="52" xfId="0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3" fontId="0" fillId="0" borderId="0" xfId="70" applyFont="1" applyFill="1" applyAlignment="1">
      <alignment horizontal="center"/>
    </xf>
    <xf numFmtId="43" fontId="0" fillId="0" borderId="0" xfId="70" applyFont="1" applyAlignment="1">
      <alignment horizont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43" fontId="0" fillId="0" borderId="17" xfId="70" applyFont="1" applyFill="1" applyBorder="1" applyAlignment="1">
      <alignment horizontal="center"/>
    </xf>
    <xf numFmtId="43" fontId="0" fillId="0" borderId="17" xfId="70" applyFont="1" applyBorder="1" applyAlignment="1">
      <alignment horizontal="center"/>
    </xf>
    <xf numFmtId="164" fontId="0" fillId="0" borderId="0" xfId="70" applyNumberFormat="1" applyFill="1" applyAlignment="1">
      <alignment/>
    </xf>
    <xf numFmtId="164" fontId="0" fillId="0" borderId="0" xfId="70" applyNumberFormat="1" applyAlignment="1">
      <alignment/>
    </xf>
    <xf numFmtId="164" fontId="0" fillId="0" borderId="17" xfId="70" applyNumberFormat="1" applyFill="1" applyBorder="1" applyAlignment="1">
      <alignment/>
    </xf>
    <xf numFmtId="164" fontId="0" fillId="0" borderId="17" xfId="70" applyNumberFormat="1" applyBorder="1" applyAlignment="1">
      <alignment/>
    </xf>
    <xf numFmtId="43" fontId="0" fillId="0" borderId="0" xfId="81" applyFill="1" applyAlignment="1">
      <alignment/>
    </xf>
    <xf numFmtId="0" fontId="0" fillId="0" borderId="0" xfId="0" applyFont="1" applyAlignment="1">
      <alignment/>
    </xf>
    <xf numFmtId="0" fontId="0" fillId="0" borderId="53" xfId="0" applyFont="1" applyFill="1" applyBorder="1" applyAlignment="1">
      <alignment horizontal="center"/>
    </xf>
    <xf numFmtId="164" fontId="0" fillId="0" borderId="18" xfId="70" applyNumberFormat="1" applyFont="1" applyFill="1" applyBorder="1" applyAlignment="1">
      <alignment/>
    </xf>
    <xf numFmtId="10" fontId="0" fillId="0" borderId="18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164" fontId="0" fillId="0" borderId="0" xfId="70" applyNumberFormat="1" applyFont="1" applyFill="1" applyBorder="1" applyAlignment="1" quotePrefix="1">
      <alignment horizontal="left"/>
    </xf>
    <xf numFmtId="10" fontId="0" fillId="0" borderId="0" xfId="153" applyNumberFormat="1" applyFont="1" applyFill="1" applyBorder="1" applyAlignment="1">
      <alignment/>
    </xf>
    <xf numFmtId="164" fontId="0" fillId="0" borderId="0" xfId="70" applyNumberFormat="1" applyFont="1" applyFill="1" applyBorder="1" applyAlignment="1">
      <alignment/>
    </xf>
    <xf numFmtId="0" fontId="0" fillId="0" borderId="55" xfId="0" applyFont="1" applyFill="1" applyBorder="1" applyAlignment="1">
      <alignment horizontal="center"/>
    </xf>
    <xf numFmtId="164" fontId="0" fillId="0" borderId="17" xfId="70" applyNumberFormat="1" applyFont="1" applyFill="1" applyBorder="1" applyAlignment="1" quotePrefix="1">
      <alignment horizontal="left"/>
    </xf>
    <xf numFmtId="10" fontId="0" fillId="0" borderId="17" xfId="153" applyNumberFormat="1" applyFont="1" applyFill="1" applyBorder="1" applyAlignment="1">
      <alignment/>
    </xf>
    <xf numFmtId="164" fontId="0" fillId="0" borderId="0" xfId="70" applyNumberFormat="1" applyFont="1" applyAlignment="1">
      <alignment/>
    </xf>
    <xf numFmtId="49" fontId="58" fillId="20" borderId="0" xfId="136" applyNumberFormat="1" applyFont="1" applyFill="1" applyBorder="1" applyAlignment="1">
      <alignment horizontal="left" vertical="center" wrapText="1"/>
      <protection/>
    </xf>
    <xf numFmtId="164" fontId="18" fillId="0" borderId="0" xfId="70" applyNumberFormat="1" applyFont="1" applyAlignment="1">
      <alignment/>
    </xf>
    <xf numFmtId="10" fontId="0" fillId="0" borderId="0" xfId="151" applyNumberFormat="1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56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57" xfId="0" applyFont="1" applyBorder="1" applyAlignment="1">
      <alignment horizontal="centerContinuous"/>
    </xf>
    <xf numFmtId="0" fontId="0" fillId="0" borderId="58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0" fontId="0" fillId="0" borderId="0" xfId="151" applyNumberFormat="1" applyFill="1" applyAlignment="1">
      <alignment horizontal="center"/>
    </xf>
    <xf numFmtId="10" fontId="0" fillId="0" borderId="0" xfId="151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10" fontId="0" fillId="0" borderId="0" xfId="70" applyNumberFormat="1" applyAlignment="1">
      <alignment/>
    </xf>
    <xf numFmtId="0" fontId="0" fillId="0" borderId="0" xfId="0" applyAlignment="1">
      <alignment horizontal="left" indent="1"/>
    </xf>
    <xf numFmtId="43" fontId="0" fillId="0" borderId="18" xfId="70" applyBorder="1" applyAlignment="1">
      <alignment/>
    </xf>
    <xf numFmtId="43" fontId="0" fillId="0" borderId="18" xfId="0" applyNumberFormat="1" applyBorder="1" applyAlignment="1">
      <alignment/>
    </xf>
    <xf numFmtId="43" fontId="0" fillId="0" borderId="0" xfId="70" applyBorder="1" applyAlignment="1">
      <alignment/>
    </xf>
    <xf numFmtId="43" fontId="0" fillId="0" borderId="0" xfId="151" applyNumberFormat="1" applyAlignment="1">
      <alignment/>
    </xf>
    <xf numFmtId="43" fontId="0" fillId="0" borderId="0" xfId="70" applyNumberFormat="1" applyAlignment="1">
      <alignment/>
    </xf>
    <xf numFmtId="7" fontId="0" fillId="0" borderId="18" xfId="70" applyNumberFormat="1" applyFill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ill="1" applyAlignment="1">
      <alignment horizontal="left" indent="1"/>
    </xf>
    <xf numFmtId="43" fontId="0" fillId="0" borderId="0" xfId="70" applyFill="1" applyBorder="1" applyAlignment="1">
      <alignment/>
    </xf>
    <xf numFmtId="0" fontId="0" fillId="20" borderId="0" xfId="0" applyFill="1" applyAlignment="1">
      <alignment/>
    </xf>
    <xf numFmtId="43" fontId="0" fillId="20" borderId="18" xfId="0" applyNumberFormat="1" applyFill="1" applyBorder="1" applyAlignment="1">
      <alignment/>
    </xf>
    <xf numFmtId="0" fontId="0" fillId="0" borderId="0" xfId="0" applyFill="1" applyAlignment="1">
      <alignment horizontal="left"/>
    </xf>
    <xf numFmtId="10" fontId="0" fillId="0" borderId="0" xfId="151" applyNumberFormat="1" applyFill="1" applyAlignment="1">
      <alignment/>
    </xf>
    <xf numFmtId="10" fontId="0" fillId="0" borderId="0" xfId="0" applyNumberFormat="1" applyFill="1" applyAlignment="1">
      <alignment/>
    </xf>
    <xf numFmtId="10" fontId="0" fillId="0" borderId="0" xfId="151" applyNumberFormat="1" applyAlignment="1">
      <alignment/>
    </xf>
    <xf numFmtId="10" fontId="0" fillId="0" borderId="0" xfId="0" applyNumberFormat="1" applyAlignment="1">
      <alignment/>
    </xf>
    <xf numFmtId="0" fontId="0" fillId="20" borderId="0" xfId="0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94" applyNumberFormat="1" applyAlignment="1">
      <alignment/>
    </xf>
    <xf numFmtId="167" fontId="0" fillId="0" borderId="0" xfId="151" applyNumberFormat="1" applyAlignment="1">
      <alignment/>
    </xf>
    <xf numFmtId="167" fontId="0" fillId="0" borderId="0" xfId="151" applyNumberFormat="1" applyBorder="1" applyAlignment="1">
      <alignment/>
    </xf>
    <xf numFmtId="39" fontId="0" fillId="0" borderId="0" xfId="94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Fill="1" applyAlignment="1">
      <alignment horizontal="center"/>
    </xf>
    <xf numFmtId="170" fontId="0" fillId="0" borderId="0" xfId="0" applyNumberFormat="1" applyAlignment="1">
      <alignment horizontal="left"/>
    </xf>
    <xf numFmtId="44" fontId="60" fillId="0" borderId="0" xfId="94" applyNumberFormat="1" applyFont="1" applyFill="1" applyAlignment="1">
      <alignment/>
    </xf>
    <xf numFmtId="44" fontId="0" fillId="0" borderId="0" xfId="94" applyNumberFormat="1" applyAlignment="1">
      <alignment/>
    </xf>
    <xf numFmtId="166" fontId="0" fillId="0" borderId="0" xfId="94" applyNumberFormat="1" applyFill="1" applyAlignment="1">
      <alignment/>
    </xf>
    <xf numFmtId="10" fontId="0" fillId="0" borderId="0" xfId="151" applyNumberFormat="1" applyFont="1" applyFill="1" applyAlignment="1">
      <alignment horizontal="center"/>
    </xf>
    <xf numFmtId="39" fontId="60" fillId="0" borderId="0" xfId="94" applyNumberFormat="1" applyFont="1" applyFill="1" applyAlignment="1">
      <alignment/>
    </xf>
    <xf numFmtId="43" fontId="60" fillId="0" borderId="0" xfId="94" applyNumberFormat="1" applyFont="1" applyFill="1" applyAlignment="1">
      <alignment/>
    </xf>
    <xf numFmtId="39" fontId="0" fillId="0" borderId="0" xfId="94" applyNumberFormat="1" applyFill="1" applyAlignment="1">
      <alignment/>
    </xf>
    <xf numFmtId="43" fontId="0" fillId="0" borderId="0" xfId="94" applyNumberFormat="1" applyFill="1" applyAlignment="1">
      <alignment/>
    </xf>
    <xf numFmtId="43" fontId="0" fillId="0" borderId="0" xfId="151" applyNumberFormat="1" applyBorder="1" applyAlignment="1" quotePrefix="1">
      <alignment horizontal="center"/>
    </xf>
    <xf numFmtId="43" fontId="0" fillId="0" borderId="0" xfId="94" applyNumberFormat="1" applyAlignment="1">
      <alignment/>
    </xf>
    <xf numFmtId="43" fontId="0" fillId="23" borderId="0" xfId="94" applyNumberFormat="1" applyFill="1" applyAlignment="1">
      <alignment/>
    </xf>
    <xf numFmtId="43" fontId="0" fillId="0" borderId="0" xfId="94" applyNumberFormat="1" applyFont="1" applyAlignment="1">
      <alignment/>
    </xf>
    <xf numFmtId="43" fontId="61" fillId="0" borderId="0" xfId="94" applyNumberFormat="1" applyFont="1" applyAlignment="1">
      <alignment/>
    </xf>
    <xf numFmtId="39" fontId="0" fillId="23" borderId="0" xfId="94" applyNumberFormat="1" applyFill="1" applyAlignment="1">
      <alignment/>
    </xf>
    <xf numFmtId="39" fontId="0" fillId="0" borderId="0" xfId="0" applyNumberFormat="1" applyAlignment="1">
      <alignment/>
    </xf>
    <xf numFmtId="39" fontId="0" fillId="0" borderId="0" xfId="70" applyNumberFormat="1" applyFont="1" applyAlignment="1">
      <alignment/>
    </xf>
    <xf numFmtId="39" fontId="61" fillId="0" borderId="0" xfId="94" applyNumberFormat="1" applyFont="1" applyAlignment="1">
      <alignment/>
    </xf>
    <xf numFmtId="39" fontId="0" fillId="0" borderId="0" xfId="94" applyNumberFormat="1" applyAlignment="1">
      <alignment/>
    </xf>
    <xf numFmtId="9" fontId="0" fillId="0" borderId="0" xfId="151" applyBorder="1" applyAlignment="1" quotePrefix="1">
      <alignment horizontal="center"/>
    </xf>
    <xf numFmtId="10" fontId="0" fillId="0" borderId="0" xfId="151" applyNumberFormat="1" applyBorder="1" applyAlignment="1" quotePrefix="1">
      <alignment horizontal="center"/>
    </xf>
    <xf numFmtId="39" fontId="0" fillId="0" borderId="0" xfId="94" applyNumberFormat="1" applyFont="1" applyFill="1" applyAlignment="1">
      <alignment/>
    </xf>
    <xf numFmtId="43" fontId="0" fillId="0" borderId="0" xfId="70" applyFill="1" applyAlignment="1">
      <alignment/>
    </xf>
    <xf numFmtId="44" fontId="0" fillId="23" borderId="0" xfId="94" applyNumberFormat="1" applyFill="1" applyAlignment="1">
      <alignment/>
    </xf>
    <xf numFmtId="43" fontId="0" fillId="0" borderId="0" xfId="70" applyFont="1" applyAlignment="1">
      <alignment/>
    </xf>
    <xf numFmtId="44" fontId="61" fillId="0" borderId="0" xfId="94" applyNumberFormat="1" applyFont="1" applyAlignment="1">
      <alignment/>
    </xf>
    <xf numFmtId="170" fontId="0" fillId="0" borderId="0" xfId="0" applyNumberFormat="1" applyFill="1" applyAlignment="1">
      <alignment horizontal="left"/>
    </xf>
    <xf numFmtId="9" fontId="0" fillId="0" borderId="0" xfId="151" applyFill="1" applyBorder="1" applyAlignment="1" quotePrefix="1">
      <alignment horizontal="center"/>
    </xf>
    <xf numFmtId="43" fontId="0" fillId="0" borderId="0" xfId="70" applyFont="1" applyFill="1" applyAlignment="1">
      <alignment/>
    </xf>
    <xf numFmtId="43" fontId="61" fillId="0" borderId="0" xfId="70" applyFont="1" applyFill="1" applyAlignment="1">
      <alignment/>
    </xf>
    <xf numFmtId="39" fontId="61" fillId="0" borderId="0" xfId="94" applyNumberFormat="1" applyFont="1" applyFill="1" applyAlignment="1">
      <alignment/>
    </xf>
    <xf numFmtId="4" fontId="0" fillId="0" borderId="0" xfId="94" applyNumberFormat="1" applyFill="1" applyAlignment="1">
      <alignment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10" fontId="1" fillId="0" borderId="0" xfId="151" applyNumberFormat="1" applyFont="1" applyFill="1" applyAlignment="1">
      <alignment/>
    </xf>
    <xf numFmtId="44" fontId="62" fillId="0" borderId="16" xfId="94" applyNumberFormat="1" applyFont="1" applyFill="1" applyBorder="1" applyAlignment="1">
      <alignment/>
    </xf>
    <xf numFmtId="44" fontId="1" fillId="0" borderId="0" xfId="94" applyNumberFormat="1" applyFont="1" applyFill="1" applyBorder="1" applyAlignment="1">
      <alignment horizontal="center"/>
    </xf>
    <xf numFmtId="44" fontId="62" fillId="0" borderId="0" xfId="94" applyNumberFormat="1" applyFont="1" applyFill="1" applyAlignment="1">
      <alignment/>
    </xf>
    <xf numFmtId="44" fontId="1" fillId="0" borderId="16" xfId="94" applyNumberFormat="1" applyFont="1" applyBorder="1" applyAlignment="1">
      <alignment/>
    </xf>
    <xf numFmtId="44" fontId="1" fillId="0" borderId="16" xfId="94" applyNumberFormat="1" applyFont="1" applyFill="1" applyBorder="1" applyAlignment="1">
      <alignment/>
    </xf>
    <xf numFmtId="44" fontId="1" fillId="0" borderId="0" xfId="94" applyNumberFormat="1" applyFont="1" applyBorder="1" applyAlignment="1">
      <alignment/>
    </xf>
    <xf numFmtId="165" fontId="1" fillId="0" borderId="0" xfId="94" applyNumberFormat="1" applyFont="1" applyBorder="1" applyAlignment="1">
      <alignment horizontal="center"/>
    </xf>
    <xf numFmtId="167" fontId="0" fillId="0" borderId="0" xfId="151" applyNumberFormat="1" applyFill="1" applyBorder="1" applyAlignment="1">
      <alignment/>
    </xf>
    <xf numFmtId="168" fontId="0" fillId="0" borderId="0" xfId="151" applyNumberFormat="1" applyAlignment="1">
      <alignment/>
    </xf>
    <xf numFmtId="165" fontId="0" fillId="0" borderId="0" xfId="151" applyNumberFormat="1" applyBorder="1" applyAlignment="1">
      <alignment horizontal="center"/>
    </xf>
    <xf numFmtId="167" fontId="0" fillId="0" borderId="0" xfId="151" applyNumberFormat="1" applyFill="1" applyAlignment="1">
      <alignment/>
    </xf>
    <xf numFmtId="167" fontId="0" fillId="0" borderId="0" xfId="151" applyNumberForma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49" fontId="1" fillId="0" borderId="0" xfId="0" applyNumberFormat="1" applyFont="1" applyFill="1" applyAlignment="1">
      <alignment horizontal="center"/>
    </xf>
    <xf numFmtId="167" fontId="1" fillId="0" borderId="0" xfId="151" applyNumberFormat="1" applyFont="1" applyFill="1" applyBorder="1" applyAlignment="1">
      <alignment/>
    </xf>
    <xf numFmtId="167" fontId="1" fillId="0" borderId="0" xfId="151" applyNumberFormat="1" applyFont="1" applyAlignment="1" quotePrefix="1">
      <alignment horizontal="center"/>
    </xf>
    <xf numFmtId="10" fontId="0" fillId="0" borderId="0" xfId="0" applyNumberFormat="1" applyFont="1" applyBorder="1" applyAlignment="1">
      <alignment/>
    </xf>
    <xf numFmtId="0" fontId="0" fillId="0" borderId="0" xfId="0" applyFill="1" applyAlignment="1">
      <alignment horizontal="center"/>
    </xf>
    <xf numFmtId="165" fontId="5" fillId="0" borderId="0" xfId="70" applyNumberFormat="1" applyFont="1" applyFill="1" applyBorder="1" applyAlignment="1" applyProtection="1">
      <alignment/>
      <protection locked="0"/>
    </xf>
    <xf numFmtId="43" fontId="0" fillId="0" borderId="0" xfId="0" applyNumberFormat="1" applyFill="1" applyBorder="1" applyAlignment="1">
      <alignment/>
    </xf>
    <xf numFmtId="166" fontId="0" fillId="0" borderId="29" xfId="94" applyNumberFormat="1" applyFont="1" applyFill="1" applyBorder="1" applyAlignment="1">
      <alignment/>
    </xf>
    <xf numFmtId="166" fontId="0" fillId="0" borderId="32" xfId="94" applyNumberFormat="1" applyFont="1" applyFill="1" applyBorder="1" applyAlignment="1">
      <alignment/>
    </xf>
    <xf numFmtId="37" fontId="1" fillId="0" borderId="60" xfId="0" applyNumberFormat="1" applyFont="1" applyFill="1" applyBorder="1" applyAlignment="1">
      <alignment horizontal="right"/>
    </xf>
    <xf numFmtId="166" fontId="1" fillId="0" borderId="61" xfId="94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9" fontId="0" fillId="0" borderId="0" xfId="94" applyNumberFormat="1" applyFont="1" applyFill="1" applyBorder="1" applyAlignment="1">
      <alignment/>
    </xf>
    <xf numFmtId="173" fontId="63" fillId="0" borderId="0" xfId="0" applyNumberFormat="1" applyFont="1" applyAlignment="1">
      <alignment horizontal="centerContinuous"/>
    </xf>
    <xf numFmtId="0" fontId="63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39" fontId="1" fillId="0" borderId="0" xfId="0" applyNumberFormat="1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166" fontId="9" fillId="0" borderId="0" xfId="94" applyNumberFormat="1" applyFont="1" applyAlignment="1">
      <alignment/>
    </xf>
    <xf numFmtId="166" fontId="12" fillId="0" borderId="0" xfId="94" applyNumberFormat="1" applyFont="1" applyAlignment="1">
      <alignment/>
    </xf>
    <xf numFmtId="0" fontId="0" fillId="0" borderId="0" xfId="141" applyNumberFormat="1" applyFont="1" applyFill="1" applyAlignment="1">
      <alignment/>
      <protection/>
    </xf>
    <xf numFmtId="0" fontId="0" fillId="0" borderId="0" xfId="141" applyNumberFormat="1" applyFont="1" applyFill="1" applyAlignment="1">
      <alignment horizontal="center"/>
      <protection/>
    </xf>
    <xf numFmtId="0" fontId="1" fillId="0" borderId="0" xfId="141" applyNumberFormat="1" applyFont="1" applyFill="1" applyBorder="1" applyAlignment="1">
      <alignment horizontal="centerContinuous"/>
      <protection/>
    </xf>
    <xf numFmtId="0" fontId="1" fillId="0" borderId="0" xfId="141" applyNumberFormat="1" applyFont="1" applyFill="1" applyAlignment="1">
      <alignment horizontal="centerContinuous" vertical="center"/>
      <protection/>
    </xf>
    <xf numFmtId="0" fontId="15" fillId="0" borderId="0" xfId="141" applyNumberFormat="1" applyFont="1" applyFill="1" applyAlignment="1">
      <alignment/>
      <protection/>
    </xf>
    <xf numFmtId="0" fontId="15" fillId="0" borderId="0" xfId="141" applyNumberFormat="1" applyFont="1" applyFill="1" applyAlignment="1">
      <alignment horizontal="center"/>
      <protection/>
    </xf>
    <xf numFmtId="0" fontId="14" fillId="0" borderId="17" xfId="141" applyNumberFormat="1" applyFont="1" applyFill="1" applyBorder="1" applyAlignment="1">
      <alignment horizontal="center"/>
      <protection/>
    </xf>
    <xf numFmtId="0" fontId="14" fillId="0" borderId="0" xfId="141" applyNumberFormat="1" applyFont="1" applyFill="1" applyAlignment="1">
      <alignment horizontal="center"/>
      <protection/>
    </xf>
    <xf numFmtId="0" fontId="65" fillId="0" borderId="0" xfId="141" applyNumberFormat="1" applyFont="1" applyFill="1" applyAlignment="1">
      <alignment/>
      <protection/>
    </xf>
    <xf numFmtId="14" fontId="15" fillId="0" borderId="0" xfId="141" applyNumberFormat="1" applyFont="1" applyFill="1" applyAlignment="1">
      <alignment horizontal="center"/>
      <protection/>
    </xf>
    <xf numFmtId="164" fontId="15" fillId="0" borderId="0" xfId="80" applyNumberFormat="1" applyFont="1" applyFill="1" applyAlignment="1">
      <alignment/>
    </xf>
    <xf numFmtId="0" fontId="15" fillId="0" borderId="0" xfId="141" applyNumberFormat="1" applyFont="1" applyFill="1" applyAlignment="1">
      <alignment horizontal="left"/>
      <protection/>
    </xf>
    <xf numFmtId="10" fontId="14" fillId="0" borderId="16" xfId="151" applyNumberFormat="1" applyFont="1" applyFill="1" applyBorder="1" applyAlignment="1">
      <alignment/>
    </xf>
    <xf numFmtId="10" fontId="15" fillId="0" borderId="16" xfId="151" applyNumberFormat="1" applyFont="1" applyFill="1" applyBorder="1" applyAlignment="1">
      <alignment/>
    </xf>
    <xf numFmtId="3" fontId="15" fillId="0" borderId="0" xfId="80" applyNumberFormat="1" applyFont="1" applyFill="1" applyAlignment="1">
      <alignment/>
    </xf>
    <xf numFmtId="3" fontId="15" fillId="0" borderId="0" xfId="141" applyNumberFormat="1" applyFont="1" applyFill="1" applyAlignment="1">
      <alignment/>
      <protection/>
    </xf>
    <xf numFmtId="0" fontId="15" fillId="0" borderId="0" xfId="141" applyNumberFormat="1" applyFont="1" applyFill="1" applyAlignment="1">
      <alignment horizontal="left" wrapText="1"/>
      <protection/>
    </xf>
    <xf numFmtId="42" fontId="15" fillId="0" borderId="0" xfId="98" applyNumberFormat="1" applyFont="1" applyFill="1" applyAlignment="1">
      <alignment/>
    </xf>
    <xf numFmtId="41" fontId="15" fillId="0" borderId="0" xfId="98" applyNumberFormat="1" applyFont="1" applyFill="1" applyAlignment="1">
      <alignment/>
    </xf>
    <xf numFmtId="0" fontId="15" fillId="0" borderId="0" xfId="141" applyNumberFormat="1" applyFont="1" applyFill="1" applyBorder="1" applyAlignment="1">
      <alignment horizontal="center"/>
      <protection/>
    </xf>
    <xf numFmtId="42" fontId="15" fillId="0" borderId="4" xfId="98" applyNumberFormat="1" applyFont="1" applyFill="1" applyBorder="1" applyAlignment="1">
      <alignment/>
    </xf>
    <xf numFmtId="10" fontId="15" fillId="0" borderId="4" xfId="151" applyNumberFormat="1" applyFont="1" applyFill="1" applyBorder="1" applyAlignment="1">
      <alignment/>
    </xf>
    <xf numFmtId="10" fontId="15" fillId="0" borderId="4" xfId="141" applyNumberFormat="1" applyFont="1" applyFill="1" applyBorder="1" applyAlignment="1">
      <alignment/>
      <protection/>
    </xf>
    <xf numFmtId="166" fontId="15" fillId="0" borderId="0" xfId="141" applyNumberFormat="1" applyFont="1" applyFill="1" applyAlignment="1">
      <alignment/>
      <protection/>
    </xf>
    <xf numFmtId="166" fontId="15" fillId="0" borderId="0" xfId="98" applyNumberFormat="1" applyFont="1" applyFill="1" applyAlignment="1">
      <alignment/>
    </xf>
    <xf numFmtId="0" fontId="15" fillId="0" borderId="0" xfId="141" applyNumberFormat="1" applyFont="1" applyFill="1" applyBorder="1" applyAlignment="1">
      <alignment/>
      <protection/>
    </xf>
    <xf numFmtId="10" fontId="15" fillId="0" borderId="17" xfId="151" applyNumberFormat="1" applyFont="1" applyFill="1" applyBorder="1" applyAlignment="1">
      <alignment/>
    </xf>
    <xf numFmtId="4" fontId="15" fillId="0" borderId="0" xfId="80" applyFont="1" applyFill="1" applyAlignment="1">
      <alignment/>
    </xf>
    <xf numFmtId="166" fontId="15" fillId="0" borderId="4" xfId="98" applyNumberFormat="1" applyFont="1" applyFill="1" applyBorder="1" applyAlignment="1">
      <alignment/>
    </xf>
    <xf numFmtId="10" fontId="15" fillId="0" borderId="16" xfId="141" applyNumberFormat="1" applyFont="1" applyFill="1" applyBorder="1" applyAlignment="1">
      <alignment/>
      <protection/>
    </xf>
    <xf numFmtId="4" fontId="15" fillId="0" borderId="0" xfId="141" applyNumberFormat="1" applyFont="1" applyFill="1" applyAlignment="1">
      <alignment/>
      <protection/>
    </xf>
    <xf numFmtId="42" fontId="15" fillId="0" borderId="0" xfId="141" applyNumberFormat="1" applyFont="1" applyFill="1" applyAlignment="1">
      <alignment/>
      <protection/>
    </xf>
    <xf numFmtId="42" fontId="0" fillId="0" borderId="0" xfId="141" applyNumberFormat="1" applyFont="1" applyFill="1" applyAlignment="1">
      <alignment/>
      <protection/>
    </xf>
    <xf numFmtId="195" fontId="0" fillId="0" borderId="0" xfId="141" applyNumberFormat="1" applyFont="1" applyFill="1" applyAlignment="1">
      <alignment/>
      <protection/>
    </xf>
    <xf numFmtId="187" fontId="0" fillId="0" borderId="0" xfId="0" applyNumberFormat="1" applyFont="1" applyFill="1" applyBorder="1" applyAlignment="1">
      <alignment/>
    </xf>
    <xf numFmtId="188" fontId="0" fillId="0" borderId="17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0" fontId="0" fillId="0" borderId="0" xfId="81" applyNumberFormat="1" applyFill="1" applyAlignment="1">
      <alignment/>
    </xf>
    <xf numFmtId="0" fontId="0" fillId="0" borderId="0" xfId="0" applyAlignment="1" quotePrefix="1">
      <alignment/>
    </xf>
    <xf numFmtId="43" fontId="0" fillId="0" borderId="0" xfId="70" applyFont="1" applyBorder="1" applyAlignment="1">
      <alignment horizontal="center"/>
    </xf>
    <xf numFmtId="43" fontId="0" fillId="0" borderId="0" xfId="70" applyFont="1" applyBorder="1" applyAlignment="1">
      <alignment horizontal="center"/>
    </xf>
    <xf numFmtId="43" fontId="0" fillId="0" borderId="17" xfId="7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3" fontId="0" fillId="0" borderId="16" xfId="70" applyBorder="1" applyAlignment="1">
      <alignment/>
    </xf>
    <xf numFmtId="168" fontId="0" fillId="0" borderId="0" xfId="151" applyNumberFormat="1" applyFont="1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43" fontId="0" fillId="0" borderId="0" xfId="70" applyFont="1" applyFill="1" applyAlignment="1">
      <alignment/>
    </xf>
    <xf numFmtId="43" fontId="0" fillId="0" borderId="0" xfId="70" applyFont="1" applyFill="1" applyAlignment="1">
      <alignment horizontal="center"/>
    </xf>
    <xf numFmtId="4" fontId="0" fillId="0" borderId="0" xfId="0" applyNumberFormat="1" applyAlignment="1">
      <alignment/>
    </xf>
    <xf numFmtId="0" fontId="4" fillId="0" borderId="0" xfId="129" applyFont="1" applyFill="1" applyAlignment="1">
      <alignment horizontal="centerContinuous"/>
      <protection/>
    </xf>
    <xf numFmtId="4" fontId="0" fillId="34" borderId="0" xfId="0" applyNumberFormat="1" applyFill="1" applyAlignment="1">
      <alignment/>
    </xf>
    <xf numFmtId="218" fontId="5" fillId="0" borderId="0" xfId="0" applyNumberFormat="1" applyFont="1" applyFill="1" applyAlignment="1">
      <alignment/>
    </xf>
    <xf numFmtId="164" fontId="0" fillId="0" borderId="0" xfId="70" applyNumberFormat="1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94" applyNumberFormat="1" applyFill="1" applyAlignment="1">
      <alignment/>
    </xf>
    <xf numFmtId="43" fontId="0" fillId="0" borderId="0" xfId="0" applyNumberFormat="1" applyAlignment="1">
      <alignment horizontal="center"/>
    </xf>
    <xf numFmtId="43" fontId="0" fillId="0" borderId="0" xfId="151" applyNumberFormat="1" applyFont="1" applyFill="1" applyAlignment="1">
      <alignment horizontal="center"/>
    </xf>
    <xf numFmtId="164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02" fontId="0" fillId="0" borderId="0" xfId="0" applyNumberFormat="1" applyFill="1" applyAlignment="1">
      <alignment/>
    </xf>
    <xf numFmtId="43" fontId="0" fillId="23" borderId="0" xfId="70" applyFont="1" applyFill="1" applyAlignment="1">
      <alignment/>
    </xf>
    <xf numFmtId="43" fontId="0" fillId="34" borderId="0" xfId="70" applyFont="1" applyFill="1" applyAlignment="1">
      <alignment/>
    </xf>
    <xf numFmtId="4" fontId="0" fillId="0" borderId="0" xfId="0" applyNumberFormat="1" applyFill="1" applyAlignment="1">
      <alignment/>
    </xf>
    <xf numFmtId="4" fontId="0" fillId="23" borderId="0" xfId="0" applyNumberFormat="1" applyFill="1" applyAlignment="1">
      <alignment/>
    </xf>
    <xf numFmtId="43" fontId="0" fillId="23" borderId="0" xfId="70" applyFill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Fill="1" applyBorder="1" applyAlignment="1">
      <alignment horizontal="left" indent="1"/>
    </xf>
    <xf numFmtId="0" fontId="5" fillId="0" borderId="62" xfId="0" applyFont="1" applyFill="1" applyBorder="1" applyAlignment="1">
      <alignment horizontal="left" indent="1"/>
    </xf>
    <xf numFmtId="0" fontId="5" fillId="0" borderId="37" xfId="0" applyFont="1" applyFill="1" applyBorder="1" applyAlignment="1">
      <alignment horizontal="left"/>
    </xf>
    <xf numFmtId="175" fontId="5" fillId="0" borderId="36" xfId="0" applyNumberFormat="1" applyFont="1" applyFill="1" applyBorder="1" applyAlignment="1" applyProtection="1">
      <alignment/>
      <protection locked="0"/>
    </xf>
    <xf numFmtId="42" fontId="5" fillId="0" borderId="37" xfId="94" applyNumberFormat="1" applyFont="1" applyFill="1" applyBorder="1" applyAlignment="1" applyProtection="1">
      <alignment/>
      <protection locked="0"/>
    </xf>
    <xf numFmtId="41" fontId="5" fillId="0" borderId="37" xfId="94" applyNumberFormat="1" applyFont="1" applyFill="1" applyBorder="1" applyAlignment="1" applyProtection="1">
      <alignment/>
      <protection locked="0"/>
    </xf>
    <xf numFmtId="41" fontId="5" fillId="0" borderId="62" xfId="94" applyNumberFormat="1" applyFont="1" applyFill="1" applyBorder="1" applyAlignment="1" applyProtection="1">
      <alignment/>
      <protection locked="0"/>
    </xf>
    <xf numFmtId="42" fontId="5" fillId="0" borderId="37" xfId="70" applyNumberFormat="1" applyFont="1" applyFill="1" applyBorder="1" applyAlignment="1" applyProtection="1">
      <alignment/>
      <protection locked="0"/>
    </xf>
    <xf numFmtId="164" fontId="5" fillId="0" borderId="63" xfId="70" applyNumberFormat="1" applyFont="1" applyFill="1" applyBorder="1" applyAlignment="1" applyProtection="1">
      <alignment/>
      <protection locked="0"/>
    </xf>
    <xf numFmtId="0" fontId="5" fillId="0" borderId="63" xfId="0" applyFont="1" applyFill="1" applyBorder="1" applyAlignment="1">
      <alignment horizontal="center"/>
    </xf>
    <xf numFmtId="176" fontId="5" fillId="0" borderId="12" xfId="94" applyNumberFormat="1" applyFont="1" applyFill="1" applyBorder="1" applyAlignment="1" applyProtection="1">
      <alignment/>
      <protection locked="0"/>
    </xf>
    <xf numFmtId="176" fontId="5" fillId="0" borderId="11" xfId="94" applyNumberFormat="1" applyFont="1" applyFill="1" applyBorder="1" applyAlignment="1" applyProtection="1">
      <alignment/>
      <protection locked="0"/>
    </xf>
    <xf numFmtId="9" fontId="5" fillId="0" borderId="12" xfId="70" applyNumberFormat="1" applyFont="1" applyFill="1" applyBorder="1" applyAlignment="1" applyProtection="1">
      <alignment/>
      <protection locked="0"/>
    </xf>
    <xf numFmtId="0" fontId="5" fillId="0" borderId="63" xfId="0" applyFont="1" applyFill="1" applyBorder="1" applyAlignment="1">
      <alignment/>
    </xf>
    <xf numFmtId="175" fontId="5" fillId="0" borderId="64" xfId="0" applyNumberFormat="1" applyFont="1" applyFill="1" applyBorder="1" applyAlignment="1" applyProtection="1">
      <alignment horizontal="center"/>
      <protection locked="0"/>
    </xf>
    <xf numFmtId="164" fontId="5" fillId="0" borderId="65" xfId="70" applyNumberFormat="1" applyFont="1" applyFill="1" applyBorder="1" applyAlignment="1" applyProtection="1">
      <alignment/>
      <protection locked="0"/>
    </xf>
    <xf numFmtId="175" fontId="5" fillId="0" borderId="66" xfId="0" applyNumberFormat="1" applyFont="1" applyFill="1" applyBorder="1" applyAlignment="1" applyProtection="1">
      <alignment/>
      <protection locked="0"/>
    </xf>
    <xf numFmtId="176" fontId="5" fillId="0" borderId="67" xfId="94" applyNumberFormat="1" applyFont="1" applyFill="1" applyBorder="1" applyAlignment="1" applyProtection="1">
      <alignment/>
      <protection locked="0"/>
    </xf>
    <xf numFmtId="176" fontId="5" fillId="0" borderId="68" xfId="94" applyNumberFormat="1" applyFont="1" applyFill="1" applyBorder="1" applyAlignment="1" applyProtection="1">
      <alignment/>
      <protection locked="0"/>
    </xf>
    <xf numFmtId="9" fontId="5" fillId="0" borderId="67" xfId="70" applyNumberFormat="1" applyFont="1" applyFill="1" applyBorder="1" applyAlignment="1" applyProtection="1">
      <alignment/>
      <protection locked="0"/>
    </xf>
    <xf numFmtId="41" fontId="5" fillId="0" borderId="69" xfId="70" applyNumberFormat="1" applyFont="1" applyFill="1" applyBorder="1" applyAlignment="1" applyProtection="1">
      <alignment/>
      <protection locked="0"/>
    </xf>
    <xf numFmtId="175" fontId="5" fillId="0" borderId="70" xfId="0" applyNumberFormat="1" applyFont="1" applyFill="1" applyBorder="1" applyAlignment="1" applyProtection="1">
      <alignment horizontal="center"/>
      <protection locked="0"/>
    </xf>
    <xf numFmtId="42" fontId="5" fillId="0" borderId="71" xfId="94" applyNumberFormat="1" applyFont="1" applyFill="1" applyBorder="1" applyAlignment="1" applyProtection="1">
      <alignment/>
      <protection locked="0"/>
    </xf>
    <xf numFmtId="41" fontId="5" fillId="0" borderId="71" xfId="94" applyNumberFormat="1" applyFont="1" applyFill="1" applyBorder="1" applyAlignment="1" applyProtection="1">
      <alignment/>
      <protection locked="0"/>
    </xf>
    <xf numFmtId="41" fontId="5" fillId="0" borderId="72" xfId="94" applyNumberFormat="1" applyFont="1" applyFill="1" applyBorder="1" applyAlignment="1" applyProtection="1">
      <alignment/>
      <protection locked="0"/>
    </xf>
    <xf numFmtId="164" fontId="5" fillId="0" borderId="73" xfId="70" applyNumberFormat="1" applyFont="1" applyFill="1" applyBorder="1" applyAlignment="1" applyProtection="1">
      <alignment/>
      <protection locked="0"/>
    </xf>
    <xf numFmtId="42" fontId="5" fillId="0" borderId="12" xfId="94" applyNumberFormat="1" applyFont="1" applyFill="1" applyBorder="1" applyAlignment="1" applyProtection="1">
      <alignment/>
      <protection locked="0"/>
    </xf>
    <xf numFmtId="41" fontId="5" fillId="0" borderId="12" xfId="70" applyNumberFormat="1" applyFont="1" applyFill="1" applyBorder="1" applyAlignment="1" applyProtection="1">
      <alignment/>
      <protection locked="0"/>
    </xf>
    <xf numFmtId="41" fontId="5" fillId="0" borderId="11" xfId="70" applyNumberFormat="1" applyFont="1" applyFill="1" applyBorder="1" applyAlignment="1" applyProtection="1">
      <alignment/>
      <protection locked="0"/>
    </xf>
    <xf numFmtId="42" fontId="5" fillId="0" borderId="12" xfId="70" applyNumberFormat="1" applyFont="1" applyFill="1" applyBorder="1" applyAlignment="1" applyProtection="1">
      <alignment/>
      <protection locked="0"/>
    </xf>
    <xf numFmtId="0" fontId="5" fillId="0" borderId="36" xfId="0" applyFont="1" applyFill="1" applyBorder="1" applyAlignment="1">
      <alignment/>
    </xf>
    <xf numFmtId="10" fontId="5" fillId="0" borderId="50" xfId="94" applyNumberFormat="1" applyFont="1" applyFill="1" applyBorder="1" applyAlignment="1" applyProtection="1">
      <alignment/>
      <protection locked="0"/>
    </xf>
    <xf numFmtId="10" fontId="5" fillId="0" borderId="50" xfId="70" applyNumberFormat="1" applyFont="1" applyFill="1" applyBorder="1" applyAlignment="1" applyProtection="1">
      <alignment/>
      <protection locked="0"/>
    </xf>
    <xf numFmtId="10" fontId="5" fillId="0" borderId="51" xfId="70" applyNumberFormat="1" applyFont="1" applyFill="1" applyBorder="1" applyAlignment="1" applyProtection="1">
      <alignment/>
      <protection locked="0"/>
    </xf>
    <xf numFmtId="42" fontId="5" fillId="0" borderId="67" xfId="70" applyNumberFormat="1" applyFont="1" applyFill="1" applyBorder="1" applyAlignment="1" applyProtection="1">
      <alignment/>
      <protection locked="0"/>
    </xf>
    <xf numFmtId="176" fontId="5" fillId="0" borderId="50" xfId="70" applyNumberFormat="1" applyFont="1" applyFill="1" applyBorder="1" applyAlignment="1" applyProtection="1">
      <alignment/>
      <protection locked="0"/>
    </xf>
    <xf numFmtId="10" fontId="5" fillId="0" borderId="71" xfId="94" applyNumberFormat="1" applyFont="1" applyFill="1" applyBorder="1" applyAlignment="1" applyProtection="1">
      <alignment/>
      <protection locked="0"/>
    </xf>
    <xf numFmtId="10" fontId="5" fillId="0" borderId="72" xfId="94" applyNumberFormat="1" applyFont="1" applyFill="1" applyBorder="1" applyAlignment="1" applyProtection="1">
      <alignment/>
      <protection locked="0"/>
    </xf>
    <xf numFmtId="176" fontId="5" fillId="0" borderId="71" xfId="94" applyNumberFormat="1" applyFont="1" applyFill="1" applyBorder="1" applyAlignment="1" applyProtection="1">
      <alignment/>
      <protection locked="0"/>
    </xf>
    <xf numFmtId="41" fontId="5" fillId="0" borderId="37" xfId="70" applyNumberFormat="1" applyFont="1" applyFill="1" applyBorder="1" applyAlignment="1" applyProtection="1">
      <alignment/>
      <protection locked="0"/>
    </xf>
    <xf numFmtId="41" fontId="5" fillId="0" borderId="62" xfId="70" applyNumberFormat="1" applyFont="1" applyFill="1" applyBorder="1" applyAlignment="1" applyProtection="1">
      <alignment/>
      <protection locked="0"/>
    </xf>
    <xf numFmtId="49" fontId="0" fillId="0" borderId="0" xfId="0" applyNumberFormat="1" applyFill="1" applyAlignment="1">
      <alignment horizontal="right"/>
    </xf>
    <xf numFmtId="164" fontId="60" fillId="0" borderId="0" xfId="94" applyNumberFormat="1" applyFont="1" applyFill="1" applyAlignment="1">
      <alignment/>
    </xf>
    <xf numFmtId="43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49" fontId="14" fillId="0" borderId="8" xfId="0" applyNumberFormat="1" applyFont="1" applyFill="1" applyBorder="1" applyAlignment="1">
      <alignment horizontal="left"/>
    </xf>
    <xf numFmtId="49" fontId="14" fillId="0" borderId="8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49" fontId="15" fillId="0" borderId="74" xfId="0" applyNumberFormat="1" applyFont="1" applyFill="1" applyBorder="1" applyAlignment="1">
      <alignment horizontal="left"/>
    </xf>
    <xf numFmtId="223" fontId="15" fillId="0" borderId="74" xfId="0" applyNumberFormat="1" applyFont="1" applyFill="1" applyBorder="1" applyAlignment="1">
      <alignment/>
    </xf>
    <xf numFmtId="49" fontId="15" fillId="0" borderId="75" xfId="0" applyNumberFormat="1" applyFont="1" applyFill="1" applyBorder="1" applyAlignment="1">
      <alignment horizontal="left"/>
    </xf>
    <xf numFmtId="223" fontId="15" fillId="0" borderId="75" xfId="0" applyNumberFormat="1" applyFont="1" applyFill="1" applyBorder="1" applyAlignment="1">
      <alignment/>
    </xf>
    <xf numFmtId="223" fontId="14" fillId="0" borderId="8" xfId="0" applyNumberFormat="1" applyFont="1" applyFill="1" applyBorder="1" applyAlignment="1">
      <alignment/>
    </xf>
    <xf numFmtId="0" fontId="15" fillId="0" borderId="0" xfId="0" applyFont="1" applyAlignment="1">
      <alignment/>
    </xf>
    <xf numFmtId="223" fontId="15" fillId="0" borderId="0" xfId="0" applyNumberFormat="1" applyFont="1" applyAlignment="1">
      <alignment/>
    </xf>
    <xf numFmtId="164" fontId="15" fillId="0" borderId="0" xfId="7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5" fillId="0" borderId="17" xfId="0" applyFont="1" applyFill="1" applyBorder="1" applyAlignment="1">
      <alignment horizontal="centerContinuous"/>
    </xf>
    <xf numFmtId="10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164" fontId="15" fillId="0" borderId="18" xfId="70" applyNumberFormat="1" applyFont="1" applyBorder="1" applyAlignment="1">
      <alignment/>
    </xf>
    <xf numFmtId="164" fontId="15" fillId="0" borderId="16" xfId="70" applyNumberFormat="1" applyFont="1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76" xfId="0" applyFont="1" applyBorder="1" applyAlignment="1">
      <alignment/>
    </xf>
    <xf numFmtId="0" fontId="15" fillId="0" borderId="77" xfId="0" applyFont="1" applyBorder="1" applyAlignment="1">
      <alignment horizontal="centerContinuous"/>
    </xf>
    <xf numFmtId="0" fontId="15" fillId="0" borderId="5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164" fontId="15" fillId="0" borderId="54" xfId="70" applyNumberFormat="1" applyFont="1" applyBorder="1" applyAlignment="1">
      <alignment/>
    </xf>
    <xf numFmtId="164" fontId="15" fillId="0" borderId="0" xfId="70" applyNumberFormat="1" applyFont="1" applyBorder="1" applyAlignment="1">
      <alignment/>
    </xf>
    <xf numFmtId="164" fontId="15" fillId="0" borderId="60" xfId="70" applyNumberFormat="1" applyFont="1" applyBorder="1" applyAlignment="1">
      <alignment/>
    </xf>
    <xf numFmtId="164" fontId="15" fillId="0" borderId="53" xfId="70" applyNumberFormat="1" applyFont="1" applyBorder="1" applyAlignment="1">
      <alignment/>
    </xf>
    <xf numFmtId="164" fontId="15" fillId="0" borderId="76" xfId="70" applyNumberFormat="1" applyFont="1" applyBorder="1" applyAlignment="1">
      <alignment/>
    </xf>
    <xf numFmtId="164" fontId="15" fillId="0" borderId="78" xfId="70" applyNumberFormat="1" applyFont="1" applyBorder="1" applyAlignment="1">
      <alignment/>
    </xf>
    <xf numFmtId="164" fontId="15" fillId="0" borderId="79" xfId="70" applyNumberFormat="1" applyFont="1" applyBorder="1" applyAlignment="1">
      <alignment/>
    </xf>
    <xf numFmtId="0" fontId="0" fillId="0" borderId="55" xfId="0" applyBorder="1" applyAlignment="1">
      <alignment/>
    </xf>
    <xf numFmtId="0" fontId="0" fillId="0" borderId="77" xfId="0" applyBorder="1" applyAlignment="1">
      <alignment/>
    </xf>
    <xf numFmtId="0" fontId="24" fillId="0" borderId="0" xfId="142">
      <alignment/>
      <protection/>
    </xf>
    <xf numFmtId="43" fontId="24" fillId="0" borderId="0" xfId="70" applyFont="1" applyAlignment="1">
      <alignment/>
    </xf>
    <xf numFmtId="164" fontId="5" fillId="0" borderId="0" xfId="78" applyNumberFormat="1" applyFont="1" applyFill="1" applyAlignment="1" applyProtection="1">
      <alignment/>
      <protection locked="0"/>
    </xf>
    <xf numFmtId="0" fontId="15" fillId="0" borderId="5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164" fontId="15" fillId="0" borderId="55" xfId="70" applyNumberFormat="1" applyFont="1" applyBorder="1" applyAlignment="1">
      <alignment/>
    </xf>
    <xf numFmtId="164" fontId="15" fillId="0" borderId="17" xfId="70" applyNumberFormat="1" applyFont="1" applyBorder="1" applyAlignment="1">
      <alignment/>
    </xf>
    <xf numFmtId="164" fontId="15" fillId="0" borderId="77" xfId="70" applyNumberFormat="1" applyFont="1" applyBorder="1" applyAlignment="1">
      <alignment/>
    </xf>
    <xf numFmtId="0" fontId="0" fillId="0" borderId="0" xfId="0" applyNumberFormat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8" fillId="0" borderId="0" xfId="136" applyFill="1">
      <alignment/>
      <protection/>
    </xf>
    <xf numFmtId="0" fontId="57" fillId="0" borderId="0" xfId="136" applyFont="1" applyFill="1" applyAlignment="1">
      <alignment wrapText="1"/>
      <protection/>
    </xf>
    <xf numFmtId="49" fontId="58" fillId="0" borderId="80" xfId="0" applyNumberFormat="1" applyFont="1" applyFill="1" applyBorder="1" applyAlignment="1">
      <alignment horizontal="right" vertical="center" wrapText="1"/>
    </xf>
    <xf numFmtId="49" fontId="58" fillId="0" borderId="80" xfId="0" applyNumberFormat="1" applyFont="1" applyFill="1" applyBorder="1" applyAlignment="1">
      <alignment horizontal="left" vertical="center" wrapText="1"/>
    </xf>
    <xf numFmtId="49" fontId="57" fillId="0" borderId="80" xfId="0" applyNumberFormat="1" applyFont="1" applyFill="1" applyBorder="1" applyAlignment="1">
      <alignment horizontal="left" vertical="center" wrapText="1"/>
    </xf>
    <xf numFmtId="185" fontId="58" fillId="0" borderId="80" xfId="0" applyNumberFormat="1" applyFont="1" applyFill="1" applyBorder="1" applyAlignment="1">
      <alignment horizontal="right" vertical="center" wrapText="1"/>
    </xf>
    <xf numFmtId="0" fontId="6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6" fillId="0" borderId="0" xfId="136" applyNumberFormat="1" applyFont="1" applyFill="1" applyAlignment="1">
      <alignment wrapText="1"/>
      <protection/>
    </xf>
  </cellXfs>
  <cellStyles count="219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2" xfId="72"/>
    <cellStyle name="Comma 3" xfId="73"/>
    <cellStyle name="Comma 4" xfId="74"/>
    <cellStyle name="Comma 5" xfId="75"/>
    <cellStyle name="Comma 6" xfId="76"/>
    <cellStyle name="Comma 7" xfId="77"/>
    <cellStyle name="Comma 8" xfId="78"/>
    <cellStyle name="Comma 8 2" xfId="79"/>
    <cellStyle name="Comma_Common Allocators GRC TY 0903" xfId="80"/>
    <cellStyle name="Comma_Wage.FERC DL 12ME 0905" xfId="81"/>
    <cellStyle name="Comma0" xfId="82"/>
    <cellStyle name="Comma0 - Style2" xfId="83"/>
    <cellStyle name="Comma0 - Style4" xfId="84"/>
    <cellStyle name="Comma0 - Style5" xfId="85"/>
    <cellStyle name="Comma0_00COS Ind Allocators" xfId="86"/>
    <cellStyle name="Comma1 - Style1" xfId="87"/>
    <cellStyle name="Copied" xfId="88"/>
    <cellStyle name="COST1" xfId="89"/>
    <cellStyle name="Curren - Style1" xfId="90"/>
    <cellStyle name="Curren - Style2" xfId="91"/>
    <cellStyle name="Curren - Style5" xfId="92"/>
    <cellStyle name="Curren - Style6" xfId="93"/>
    <cellStyle name="Currency" xfId="94"/>
    <cellStyle name="Currency [0]" xfId="95"/>
    <cellStyle name="Currency 2" xfId="96"/>
    <cellStyle name="Currency 3" xfId="97"/>
    <cellStyle name="Currency_Common Allocators GRC TY 0903" xfId="98"/>
    <cellStyle name="Currency0" xfId="99"/>
    <cellStyle name="Date" xfId="100"/>
    <cellStyle name="Entered" xfId="101"/>
    <cellStyle name="Explanatory Text" xfId="102"/>
    <cellStyle name="Fixed" xfId="103"/>
    <cellStyle name="Fixed3 - Style3" xfId="104"/>
    <cellStyle name="Followed Hyperlink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eading1" xfId="114"/>
    <cellStyle name="Heading2" xfId="115"/>
    <cellStyle name="Hyperlink" xfId="116"/>
    <cellStyle name="Input" xfId="117"/>
    <cellStyle name="Input [yellow]" xfId="118"/>
    <cellStyle name="Input Cells" xfId="119"/>
    <cellStyle name="Input Cells Percent" xfId="120"/>
    <cellStyle name="Lines" xfId="121"/>
    <cellStyle name="LINKED" xfId="122"/>
    <cellStyle name="Linked Cell" xfId="123"/>
    <cellStyle name="modified border" xfId="124"/>
    <cellStyle name="modified border1" xfId="125"/>
    <cellStyle name="Neutral" xfId="126"/>
    <cellStyle name="no dec" xfId="127"/>
    <cellStyle name="Normal - Style1" xfId="128"/>
    <cellStyle name="Normal 2" xfId="129"/>
    <cellStyle name="Normal 2 2" xfId="130"/>
    <cellStyle name="Normal 2 2 2" xfId="131"/>
    <cellStyle name="Normal 2 2_4.25E &amp; 4.28 Wage Increase" xfId="132"/>
    <cellStyle name="Normal 2_4.25E &amp; 4.28 Wage Increase" xfId="133"/>
    <cellStyle name="Normal 3" xfId="134"/>
    <cellStyle name="Normal 4" xfId="135"/>
    <cellStyle name="Normal 5" xfId="136"/>
    <cellStyle name="Normal 6" xfId="137"/>
    <cellStyle name="Normal 7" xfId="138"/>
    <cellStyle name="Normal 8" xfId="139"/>
    <cellStyle name="Normal 9" xfId="140"/>
    <cellStyle name="Normal_Allocation Method - Working File 12ME Dec 2009" xfId="141"/>
    <cellStyle name="Normal_Report 2010" xfId="142"/>
    <cellStyle name="Note" xfId="143"/>
    <cellStyle name="Note 2" xfId="144"/>
    <cellStyle name="Note 3" xfId="145"/>
    <cellStyle name="Note 4" xfId="146"/>
    <cellStyle name="Output" xfId="147"/>
    <cellStyle name="Percen - Style1" xfId="148"/>
    <cellStyle name="Percen - Style2" xfId="149"/>
    <cellStyle name="Percen - Style3" xfId="150"/>
    <cellStyle name="Percent" xfId="151"/>
    <cellStyle name="Percent [2]" xfId="152"/>
    <cellStyle name="Percent 2" xfId="153"/>
    <cellStyle name="Percent 3" xfId="154"/>
    <cellStyle name="Percent 4" xfId="155"/>
    <cellStyle name="Percent 5" xfId="156"/>
    <cellStyle name="Processing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purple - Style8" xfId="164"/>
    <cellStyle name="RED" xfId="165"/>
    <cellStyle name="Red - Style7" xfId="166"/>
    <cellStyle name="Report" xfId="167"/>
    <cellStyle name="Report Bar" xfId="168"/>
    <cellStyle name="Report Heading" xfId="169"/>
    <cellStyle name="Report Percent" xfId="170"/>
    <cellStyle name="Report Unit Cost" xfId="171"/>
    <cellStyle name="Reports" xfId="172"/>
    <cellStyle name="Reports Total" xfId="173"/>
    <cellStyle name="Reports Unit Cost Total" xfId="174"/>
    <cellStyle name="Reports_14.21G &amp; 16.28E Incentive Pay" xfId="175"/>
    <cellStyle name="RevList" xfId="176"/>
    <cellStyle name="round100" xfId="177"/>
    <cellStyle name="SAPBEXaggData" xfId="178"/>
    <cellStyle name="SAPBEXaggDataEmph" xfId="179"/>
    <cellStyle name="SAPBEXaggItem" xfId="180"/>
    <cellStyle name="SAPBEXaggItemX" xfId="181"/>
    <cellStyle name="SAPBEXchaText" xfId="182"/>
    <cellStyle name="SAPBEXexcBad7" xfId="183"/>
    <cellStyle name="SAPBEXexcBad8" xfId="184"/>
    <cellStyle name="SAPBEXexcBad9" xfId="185"/>
    <cellStyle name="SAPBEXexcCritical4" xfId="186"/>
    <cellStyle name="SAPBEXexcCritical5" xfId="187"/>
    <cellStyle name="SAPBEXexcCritical6" xfId="188"/>
    <cellStyle name="SAPBEXexcGood1" xfId="189"/>
    <cellStyle name="SAPBEXexcGood2" xfId="190"/>
    <cellStyle name="SAPBEXexcGood3" xfId="191"/>
    <cellStyle name="SAPBEXfilterDrill" xfId="192"/>
    <cellStyle name="SAPBEXfilterItem" xfId="193"/>
    <cellStyle name="SAPBEXfilterText" xfId="194"/>
    <cellStyle name="SAPBEXformats" xfId="195"/>
    <cellStyle name="SAPBEXheaderItem" xfId="196"/>
    <cellStyle name="SAPBEXheaderText" xfId="197"/>
    <cellStyle name="SAPBEXHLevel0" xfId="198"/>
    <cellStyle name="SAPBEXHLevel0X" xfId="199"/>
    <cellStyle name="SAPBEXHLevel1" xfId="200"/>
    <cellStyle name="SAPBEXHLevel1X" xfId="201"/>
    <cellStyle name="SAPBEXHLevel2" xfId="202"/>
    <cellStyle name="SAPBEXHLevel2X" xfId="203"/>
    <cellStyle name="SAPBEXHLevel3" xfId="204"/>
    <cellStyle name="SAPBEXHLevel3X" xfId="205"/>
    <cellStyle name="SAPBEXresData" xfId="206"/>
    <cellStyle name="SAPBEXresDataEmph" xfId="207"/>
    <cellStyle name="SAPBEXresItem" xfId="208"/>
    <cellStyle name="SAPBEXresItemX" xfId="209"/>
    <cellStyle name="SAPBEXstdData" xfId="210"/>
    <cellStyle name="SAPBEXstdDataEmph" xfId="211"/>
    <cellStyle name="SAPBEXstdItem" xfId="212"/>
    <cellStyle name="SAPBEXstdItemX" xfId="213"/>
    <cellStyle name="SAPBEXtitle" xfId="214"/>
    <cellStyle name="SAPBEXundefined" xfId="215"/>
    <cellStyle name="shade" xfId="216"/>
    <cellStyle name="StmtTtl1" xfId="217"/>
    <cellStyle name="StmtTtl2" xfId="218"/>
    <cellStyle name="STYL1 - Style1" xfId="219"/>
    <cellStyle name="Style 1" xfId="220"/>
    <cellStyle name="Style 1 2" xfId="221"/>
    <cellStyle name="Style 1 3" xfId="222"/>
    <cellStyle name="Style 1_4.25E &amp; 4.28 Wage Increase" xfId="223"/>
    <cellStyle name="Subtotal" xfId="224"/>
    <cellStyle name="Sub-total" xfId="225"/>
    <cellStyle name="Title" xfId="226"/>
    <cellStyle name="Title: Major" xfId="227"/>
    <cellStyle name="Title: Minor" xfId="228"/>
    <cellStyle name="Title: Worksheet" xfId="229"/>
    <cellStyle name="Total" xfId="230"/>
    <cellStyle name="Total4 - Style4" xfId="231"/>
    <cellStyle name="Warning Text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7%20GRC%20-%20to%20be%20filed%20December%201,%202007\Models%20&amp;%20Adjustments\1.06%20ALLOC%20METHO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7%20GRC%20-%20to%20be%20filed%20December%201,%202007\Models%20&amp;%20Adjustments\3.05E%20&amp;%203.05G%20ALLOC%20METHOD%20working%20fileM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2F\Due%20Diligence\August%20New%20Model\Fred%20Value%209.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artwri\My%20Documents\Projects\PSE\Projects\BHP\Due%20Diligence\BHP%20IS.BS.CF%20Mode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GRC\New%20Plant-093003\FredDispatch%209.3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C0\Aurora%20Prices%20for%20ROR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GRC\LaborInctvOH%200903%20GR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Quarterly%20Reporting\2005\3rd%20Quarter%202005\WC_RB%203Q2005\WC-RB%20Overvi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6%20GRC\2006%20GRC%20Original%20Filing\Models&amp;Adjs\1.06%20ALLOC%20METHO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gho\Desktop\Book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p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6"/>
      <sheetName val="4Fact"/>
      <sheetName val="T&amp;D Vari Expl"/>
      <sheetName val="T&amp;D Vari Expl.Operat"/>
      <sheetName val="E&amp;G Plant"/>
      <sheetName val="BS"/>
      <sheetName val="IS"/>
      <sheetName val="IS.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  <sheetName val="AllocationMetho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2001-2007"/>
      <sheetName val="Comparison07"/>
      <sheetName val="Comparison05"/>
      <sheetName val="E&amp;G Plant"/>
      <sheetName val="BS"/>
      <sheetName val="2007RS"/>
      <sheetName val="IS. allocate"/>
      <sheetName val="T,Distr &amp; G.Plant"/>
      <sheetName val="FERC.P354,5"/>
      <sheetName val="SAP DL Download"/>
      <sheetName val="Tax &amp; Benefit Form"/>
      <sheetName val="DLReconBBS"/>
      <sheetName val="2007DL"/>
      <sheetName val="SAP.ZASS.E"/>
      <sheetName val="SAP.ZASS.G"/>
      <sheetName val="CustCount_G"/>
      <sheetName val="CustCount_E"/>
      <sheetName val="Meter"/>
      <sheetName val="FERC "/>
      <sheetName val="Checklst"/>
      <sheetName val="Confidential Material"/>
      <sheetName val="Summary09GRC"/>
      <sheetName val="Prodn OM09GRC"/>
      <sheetName val="Sumas 2010 Budget"/>
      <sheetName val="Maintenance on Thermal Units"/>
      <sheetName val="2008"/>
      <sheetName val="Crystal Remediation Costs"/>
      <sheetName val="Muckleshoot Ajd"/>
      <sheetName val="Hopkins II Proforma Adj"/>
      <sheetName val="In-Fill Proj Costs 2008"/>
      <sheetName val="Hopkins-WildHse Vestas Contract"/>
      <sheetName val="Baker and Snoqualmie Re-license"/>
      <sheetName val="Test Yr License Detail"/>
      <sheetName val="Colstrip 2010 &amp; 2011"/>
      <sheetName val="Colstrip 5 Year Forecas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58">
          <cell r="I58">
            <v>0.5757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06"/>
      <sheetName val="4Fact"/>
      <sheetName val="T&amp;D Vari Expl"/>
      <sheetName val="T&amp;D Vari Expl.Operat"/>
      <sheetName val="E&amp;G Plant"/>
      <sheetName val="BS"/>
      <sheetName val="IS"/>
      <sheetName val="IS.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  <sheetName val="AllocationMetho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mployee Cou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31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2" max="2" width="42.140625" style="0" customWidth="1"/>
    <col min="3" max="3" width="14.421875" style="0" customWidth="1"/>
    <col min="4" max="4" width="18.8515625" style="0" bestFit="1" customWidth="1"/>
    <col min="5" max="5" width="14.421875" style="0" customWidth="1"/>
    <col min="6" max="6" width="11.28125" style="0" bestFit="1" customWidth="1"/>
  </cols>
  <sheetData>
    <row r="1" spans="1:5" ht="12.75">
      <c r="A1" s="2"/>
      <c r="B1" s="3"/>
      <c r="C1" s="3"/>
      <c r="D1" s="3"/>
      <c r="E1" s="456" t="s">
        <v>375</v>
      </c>
    </row>
    <row r="2" spans="1:5" ht="13.5" thickBot="1">
      <c r="A2" s="4"/>
      <c r="B2" s="4"/>
      <c r="C2" s="4"/>
      <c r="D2" s="4"/>
      <c r="E2" s="456" t="s">
        <v>376</v>
      </c>
    </row>
    <row r="3" spans="1:5" ht="13.5" thickBot="1">
      <c r="A3" s="4"/>
      <c r="B3" s="4"/>
      <c r="C3" s="4"/>
      <c r="D3" s="4"/>
      <c r="E3" s="5" t="s">
        <v>377</v>
      </c>
    </row>
    <row r="4" spans="1:5" ht="12.75">
      <c r="A4" s="6" t="s">
        <v>1</v>
      </c>
      <c r="B4" s="7"/>
      <c r="C4" s="7"/>
      <c r="D4" s="7"/>
      <c r="E4" s="7"/>
    </row>
    <row r="5" spans="1:5" ht="12.75">
      <c r="A5" s="7" t="s">
        <v>17</v>
      </c>
      <c r="B5" s="7"/>
      <c r="C5" s="7"/>
      <c r="D5" s="7"/>
      <c r="E5" s="8"/>
    </row>
    <row r="6" spans="1:5" ht="12.75">
      <c r="A6" s="342" t="s">
        <v>281</v>
      </c>
      <c r="B6" s="9"/>
      <c r="C6" s="7"/>
      <c r="D6" s="7"/>
      <c r="E6" s="10"/>
    </row>
    <row r="7" spans="1:5" ht="12.75">
      <c r="A7" s="11" t="s">
        <v>280</v>
      </c>
      <c r="B7" s="7"/>
      <c r="C7" s="7"/>
      <c r="D7" s="7"/>
      <c r="E7" s="10"/>
    </row>
    <row r="8" spans="1:5" ht="12.75">
      <c r="A8" s="3"/>
      <c r="B8" s="12"/>
      <c r="C8" s="13"/>
      <c r="D8" s="3"/>
      <c r="E8" s="3"/>
    </row>
    <row r="9" spans="1:5" ht="12.75">
      <c r="A9" s="14" t="s">
        <v>2</v>
      </c>
      <c r="B9" s="3"/>
      <c r="C9" s="15"/>
      <c r="D9" s="24"/>
      <c r="E9" s="16"/>
    </row>
    <row r="10" spans="1:5" ht="12.75">
      <c r="A10" s="17" t="s">
        <v>3</v>
      </c>
      <c r="B10" s="18" t="s">
        <v>4</v>
      </c>
      <c r="C10" s="17" t="s">
        <v>9</v>
      </c>
      <c r="D10" s="17" t="s">
        <v>10</v>
      </c>
      <c r="E10" s="17" t="s">
        <v>5</v>
      </c>
    </row>
    <row r="11" spans="1:5" ht="12.75">
      <c r="A11" s="19"/>
      <c r="B11" s="12"/>
      <c r="C11" s="19"/>
      <c r="D11" s="19"/>
      <c r="E11" s="19"/>
    </row>
    <row r="12" spans="1:5" ht="12.75">
      <c r="A12" s="13">
        <v>1</v>
      </c>
      <c r="B12" s="12" t="s">
        <v>60</v>
      </c>
      <c r="C12" s="103"/>
      <c r="D12" s="103"/>
      <c r="E12" s="103"/>
    </row>
    <row r="13" spans="1:5" ht="12.75">
      <c r="A13" s="13">
        <f>A12+1</f>
        <v>2</v>
      </c>
      <c r="B13" s="122" t="s">
        <v>33</v>
      </c>
      <c r="C13" s="141">
        <f>ROUND('Incntv Pay - Allocated Electric'!E14,0)</f>
        <v>261243</v>
      </c>
      <c r="D13" s="141">
        <f>'Incntv Pay - Allocated Electric'!H14</f>
        <v>228708.05095969615</v>
      </c>
      <c r="E13" s="141">
        <f>D13-C13</f>
        <v>-32534.94904030385</v>
      </c>
    </row>
    <row r="14" spans="1:5" ht="12.75">
      <c r="A14" s="13">
        <f aca="true" t="shared" si="0" ref="A14:A28">A13+1</f>
        <v>3</v>
      </c>
      <c r="B14" s="122" t="s">
        <v>34</v>
      </c>
      <c r="C14" s="140">
        <f>ROUND('Incntv Pay - Allocated Electric'!E15,0)</f>
        <v>1299242</v>
      </c>
      <c r="D14" s="140">
        <f>'Incntv Pay - Allocated Electric'!H15</f>
        <v>1147368.218159779</v>
      </c>
      <c r="E14" s="140">
        <f>D14-C14</f>
        <v>-151873.78184022103</v>
      </c>
    </row>
    <row r="15" spans="1:5" ht="12.75">
      <c r="A15" s="13">
        <f t="shared" si="0"/>
        <v>4</v>
      </c>
      <c r="B15" s="122" t="s">
        <v>24</v>
      </c>
      <c r="C15" s="140">
        <f>ROUND('Incntv Pay - Allocated Electric'!E16,0)</f>
        <v>210121</v>
      </c>
      <c r="D15" s="140">
        <f>'Incntv Pay - Allocated Electric'!H16</f>
        <v>184354.71548012106</v>
      </c>
      <c r="E15" s="140">
        <f aca="true" t="shared" si="1" ref="E15:E20">D15-C15</f>
        <v>-25766.284519878944</v>
      </c>
    </row>
    <row r="16" spans="1:5" ht="12.75">
      <c r="A16" s="13">
        <f t="shared" si="0"/>
        <v>5</v>
      </c>
      <c r="B16" s="122" t="s">
        <v>25</v>
      </c>
      <c r="C16" s="140">
        <f>ROUND('Incntv Pay - Allocated Electric'!E17,0)</f>
        <v>1505513</v>
      </c>
      <c r="D16" s="140">
        <f>'Incntv Pay - Allocated Electric'!H17</f>
        <v>1332437.4868006757</v>
      </c>
      <c r="E16" s="140">
        <f t="shared" si="1"/>
        <v>-173075.51319932425</v>
      </c>
    </row>
    <row r="17" spans="1:5" ht="12.75">
      <c r="A17" s="13">
        <f t="shared" si="0"/>
        <v>6</v>
      </c>
      <c r="B17" s="122" t="s">
        <v>26</v>
      </c>
      <c r="C17" s="140">
        <f>ROUND('Incntv Pay - Allocated Electric'!E18,0)</f>
        <v>893833</v>
      </c>
      <c r="D17" s="140">
        <f>'Incntv Pay - Allocated Electric'!H18</f>
        <v>791673.8626279506</v>
      </c>
      <c r="E17" s="140">
        <f t="shared" si="1"/>
        <v>-102159.13737204939</v>
      </c>
    </row>
    <row r="18" spans="1:5" ht="12.75">
      <c r="A18" s="13">
        <f t="shared" si="0"/>
        <v>7</v>
      </c>
      <c r="B18" s="122" t="s">
        <v>27</v>
      </c>
      <c r="C18" s="140">
        <f>ROUND('Incntv Pay - Allocated Electric'!E19,0)</f>
        <v>79167</v>
      </c>
      <c r="D18" s="140">
        <f>'Incntv Pay - Allocated Electric'!H19</f>
        <v>69617.89366414316</v>
      </c>
      <c r="E18" s="140">
        <f t="shared" si="1"/>
        <v>-9549.106335856835</v>
      </c>
    </row>
    <row r="19" spans="1:5" ht="12.75">
      <c r="A19" s="13">
        <f t="shared" si="0"/>
        <v>8</v>
      </c>
      <c r="B19" s="122" t="s">
        <v>28</v>
      </c>
      <c r="C19" s="140">
        <f>ROUND('Incntv Pay - Allocated Electric'!E20,0)</f>
        <v>7752</v>
      </c>
      <c r="D19" s="140">
        <f>'Incntv Pay - Allocated Electric'!H20</f>
        <v>6788.255027368798</v>
      </c>
      <c r="E19" s="140">
        <f t="shared" si="1"/>
        <v>-963.7449726312016</v>
      </c>
    </row>
    <row r="20" spans="1:5" ht="12.75">
      <c r="A20" s="13">
        <f t="shared" si="0"/>
        <v>9</v>
      </c>
      <c r="B20" s="122" t="s">
        <v>29</v>
      </c>
      <c r="C20" s="101">
        <f>ROUND('Incntv Pay - Allocated Electric'!E21,0)</f>
        <v>1532695</v>
      </c>
      <c r="D20" s="101">
        <f>'Incntv Pay - Allocated Electric'!H21</f>
        <v>1343052.7051893426</v>
      </c>
      <c r="E20" s="101">
        <f t="shared" si="1"/>
        <v>-189642.2948106574</v>
      </c>
    </row>
    <row r="21" spans="1:5" ht="12.75">
      <c r="A21" s="13">
        <f t="shared" si="0"/>
        <v>10</v>
      </c>
      <c r="B21" s="123" t="s">
        <v>59</v>
      </c>
      <c r="C21" s="141">
        <f>SUM(C13:C20)</f>
        <v>5789566</v>
      </c>
      <c r="D21" s="141">
        <f>SUM(D13:D20)</f>
        <v>5104001.187909077</v>
      </c>
      <c r="E21" s="141">
        <f>SUM(E13:E20)</f>
        <v>-685564.8120909228</v>
      </c>
    </row>
    <row r="22" spans="1:5" ht="12.75">
      <c r="A22" s="13">
        <f t="shared" si="0"/>
        <v>11</v>
      </c>
      <c r="B22" s="42"/>
      <c r="C22" s="141"/>
      <c r="D22" s="141"/>
      <c r="E22" s="141"/>
    </row>
    <row r="23" spans="1:5" ht="12.75">
      <c r="A23" s="13">
        <f t="shared" si="0"/>
        <v>12</v>
      </c>
      <c r="B23" s="22" t="s">
        <v>11</v>
      </c>
      <c r="C23" s="101">
        <f>'PR Taxes Alloc'!C43</f>
        <v>475542.5434714723</v>
      </c>
      <c r="D23" s="101">
        <f>(D21/(C21/C23))</f>
        <v>419231.7190579913</v>
      </c>
      <c r="E23" s="102">
        <f>D23-C23</f>
        <v>-56310.824413480994</v>
      </c>
    </row>
    <row r="24" spans="1:5" ht="12.75">
      <c r="A24" s="13">
        <f t="shared" si="0"/>
        <v>13</v>
      </c>
      <c r="B24" s="23" t="s">
        <v>272</v>
      </c>
      <c r="C24" s="28">
        <f>SUM(C21:C23)</f>
        <v>6265108.543471472</v>
      </c>
      <c r="D24" s="28">
        <f>SUM(D21:D23)</f>
        <v>5523232.906967068</v>
      </c>
      <c r="E24" s="28">
        <f>SUM(E21:E23)</f>
        <v>-741875.6365044038</v>
      </c>
    </row>
    <row r="25" spans="1:5" ht="12.75">
      <c r="A25" s="13">
        <f t="shared" si="0"/>
        <v>14</v>
      </c>
      <c r="B25" s="12"/>
      <c r="C25" s="21"/>
      <c r="D25" s="21"/>
      <c r="E25" s="21"/>
    </row>
    <row r="26" spans="1:5" ht="12.75">
      <c r="A26" s="13">
        <f t="shared" si="0"/>
        <v>15</v>
      </c>
      <c r="B26" s="27" t="s">
        <v>6</v>
      </c>
      <c r="C26" s="27"/>
      <c r="D26" s="29">
        <v>0.35</v>
      </c>
      <c r="E26" s="27">
        <f>-E24*D26</f>
        <v>259656.4727765413</v>
      </c>
    </row>
    <row r="27" ht="12.75">
      <c r="A27" s="13">
        <f t="shared" si="0"/>
        <v>16</v>
      </c>
    </row>
    <row r="28" spans="1:5" ht="12.75">
      <c r="A28" s="13">
        <f t="shared" si="0"/>
        <v>17</v>
      </c>
      <c r="B28" s="22" t="s">
        <v>7</v>
      </c>
      <c r="C28" s="344"/>
      <c r="D28" s="12"/>
      <c r="E28" s="30">
        <f>-(E24+E26)</f>
        <v>482219.16372786247</v>
      </c>
    </row>
    <row r="31" spans="3:5" ht="12.75">
      <c r="C31" s="280"/>
      <c r="E31" s="337"/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3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5.7109375" style="0" customWidth="1"/>
    <col min="2" max="4" width="15.7109375" style="0" customWidth="1"/>
    <col min="5" max="5" width="2.7109375" style="0" customWidth="1"/>
    <col min="6" max="6" width="29.140625" style="0" hidden="1" customWidth="1"/>
    <col min="7" max="9" width="13.8515625" style="0" hidden="1" customWidth="1"/>
    <col min="10" max="10" width="0" style="0" hidden="1" customWidth="1"/>
  </cols>
  <sheetData>
    <row r="1" ht="12.75">
      <c r="A1" s="171"/>
    </row>
    <row r="3" spans="1:9" ht="12.75">
      <c r="A3" s="172" t="s">
        <v>1</v>
      </c>
      <c r="B3" s="172"/>
      <c r="C3" s="172"/>
      <c r="D3" s="172"/>
      <c r="E3" s="172"/>
      <c r="F3" s="172"/>
      <c r="G3" s="172"/>
      <c r="H3" s="172"/>
      <c r="I3" s="172"/>
    </row>
    <row r="4" spans="1:9" ht="12.75">
      <c r="A4" s="172" t="s">
        <v>158</v>
      </c>
      <c r="B4" s="172"/>
      <c r="C4" s="172"/>
      <c r="D4" s="172"/>
      <c r="E4" s="172"/>
      <c r="F4" s="172"/>
      <c r="G4" s="172"/>
      <c r="H4" s="172"/>
      <c r="I4" s="172"/>
    </row>
    <row r="5" spans="1:9" ht="12.75">
      <c r="A5" s="173" t="s">
        <v>314</v>
      </c>
      <c r="B5" s="172"/>
      <c r="C5" s="172"/>
      <c r="D5" s="172"/>
      <c r="E5" s="172"/>
      <c r="F5" s="172"/>
      <c r="G5" s="172"/>
      <c r="H5" s="172"/>
      <c r="I5" s="172"/>
    </row>
    <row r="6" spans="1:9" ht="12.75">
      <c r="A6" s="173" t="s">
        <v>315</v>
      </c>
      <c r="B6" s="172"/>
      <c r="C6" s="172"/>
      <c r="D6" s="172"/>
      <c r="E6" s="172"/>
      <c r="F6" s="172"/>
      <c r="G6" s="172"/>
      <c r="H6" s="172"/>
      <c r="I6" s="172"/>
    </row>
    <row r="8" ht="13.5" thickBot="1"/>
    <row r="9" spans="1:9" ht="13.5" thickBot="1">
      <c r="A9" s="174" t="s">
        <v>159</v>
      </c>
      <c r="B9" s="175"/>
      <c r="C9" s="175"/>
      <c r="D9" s="176"/>
      <c r="F9" s="177" t="s">
        <v>160</v>
      </c>
      <c r="G9" s="178"/>
      <c r="H9" s="178"/>
      <c r="I9" s="179"/>
    </row>
    <row r="10" spans="1:4" ht="12.75">
      <c r="A10" s="180"/>
      <c r="B10" s="180"/>
      <c r="C10" s="180"/>
      <c r="D10" s="180"/>
    </row>
    <row r="11" spans="3:9" ht="12.75">
      <c r="C11" s="181">
        <f>'3.05'!E41</f>
        <v>0.6731</v>
      </c>
      <c r="D11" s="181">
        <f>'3.05'!F41</f>
        <v>0.3269</v>
      </c>
      <c r="H11" s="182">
        <f>C11</f>
        <v>0.6731</v>
      </c>
      <c r="I11" s="182">
        <f>D11</f>
        <v>0.3269</v>
      </c>
    </row>
    <row r="12" spans="2:9" ht="12.75">
      <c r="B12" s="183" t="s">
        <v>0</v>
      </c>
      <c r="C12" s="183" t="s">
        <v>12</v>
      </c>
      <c r="D12" s="183" t="s">
        <v>13</v>
      </c>
      <c r="G12" s="184" t="s">
        <v>0</v>
      </c>
      <c r="H12" s="184" t="s">
        <v>12</v>
      </c>
      <c r="I12" s="184" t="s">
        <v>13</v>
      </c>
    </row>
    <row r="13" spans="2:9" ht="4.5" customHeight="1" thickBot="1">
      <c r="B13" s="185"/>
      <c r="C13" s="185"/>
      <c r="D13" s="185"/>
      <c r="G13" s="183"/>
      <c r="H13" s="183"/>
      <c r="I13" s="183"/>
    </row>
    <row r="14" spans="2:4" ht="13.5" thickTop="1">
      <c r="B14" s="183"/>
      <c r="C14" s="183"/>
      <c r="D14" s="183"/>
    </row>
    <row r="15" spans="1:9" ht="12.75">
      <c r="A15" s="186" t="s">
        <v>161</v>
      </c>
      <c r="B15" s="187">
        <f>-'Report 2010'!E30</f>
        <v>9197333</v>
      </c>
      <c r="C15" s="187">
        <f>$B15*C$11</f>
        <v>6190724.842300001</v>
      </c>
      <c r="D15" s="187">
        <f>$B15*D$11</f>
        <v>3006608.1577000003</v>
      </c>
      <c r="F15" t="s">
        <v>162</v>
      </c>
      <c r="G15" s="188" t="e">
        <v>#REF!</v>
      </c>
      <c r="H15" s="187" t="e">
        <f>$G15*H$11</f>
        <v>#REF!</v>
      </c>
      <c r="I15" s="187" t="e">
        <f>$G15*I$11</f>
        <v>#REF!</v>
      </c>
    </row>
    <row r="16" spans="1:9" ht="12.75">
      <c r="A16" s="186" t="s">
        <v>163</v>
      </c>
      <c r="B16" s="53">
        <v>0.6056</v>
      </c>
      <c r="C16" s="189">
        <f>B16</f>
        <v>0.6056</v>
      </c>
      <c r="D16" s="189">
        <f>B16</f>
        <v>0.6056</v>
      </c>
      <c r="F16" t="s">
        <v>164</v>
      </c>
      <c r="G16" s="26" t="e">
        <f>-G15*9/12</f>
        <v>#REF!</v>
      </c>
      <c r="H16" s="26" t="e">
        <f>G16*H11</f>
        <v>#REF!</v>
      </c>
      <c r="I16" s="26" t="e">
        <f>G16*I11</f>
        <v>#REF!</v>
      </c>
    </row>
    <row r="17" spans="1:9" ht="12.75">
      <c r="A17" s="190" t="s">
        <v>165</v>
      </c>
      <c r="B17" s="191">
        <f>B15*B16</f>
        <v>5569904.864800001</v>
      </c>
      <c r="C17" s="191">
        <f>C15*C16</f>
        <v>3749102.9644968803</v>
      </c>
      <c r="D17" s="191">
        <f>D15*D16</f>
        <v>1820801.9003031203</v>
      </c>
      <c r="F17" t="s">
        <v>166</v>
      </c>
      <c r="G17" s="192" t="e">
        <f>SUM(G15:G16)</f>
        <v>#REF!</v>
      </c>
      <c r="H17" s="192" t="e">
        <f>SUM(H15:H16)</f>
        <v>#REF!</v>
      </c>
      <c r="I17" s="192" t="e">
        <f>SUM(I15:I16)</f>
        <v>#REF!</v>
      </c>
    </row>
    <row r="18" spans="1:9" ht="12.75">
      <c r="A18" s="190"/>
      <c r="B18" s="193"/>
      <c r="C18" s="193"/>
      <c r="D18" s="193"/>
      <c r="G18" s="192"/>
      <c r="H18" s="192"/>
      <c r="I18" s="192"/>
    </row>
    <row r="19" spans="1:9" ht="12.75">
      <c r="A19" s="186" t="s">
        <v>346</v>
      </c>
      <c r="B19" s="194">
        <f>'TY Manual Clearing'!C26</f>
        <v>3259354.67</v>
      </c>
      <c r="C19" s="195">
        <f>'TY Manual Clearing'!I23</f>
        <v>2040461.4930639998</v>
      </c>
      <c r="D19" s="195">
        <f>'TY Manual Clearing'!I24</f>
        <v>1009047.756936</v>
      </c>
      <c r="F19" t="s">
        <v>167</v>
      </c>
      <c r="G19" s="196">
        <v>9091257</v>
      </c>
      <c r="H19" s="191">
        <f>$G19*H$11</f>
        <v>6119325.0867</v>
      </c>
      <c r="I19" s="191">
        <f>$G19*I$11</f>
        <v>2971931.9133</v>
      </c>
    </row>
    <row r="20" spans="1:9" ht="12.75">
      <c r="A20" s="186"/>
      <c r="B20" s="197"/>
      <c r="C20" s="193"/>
      <c r="D20" s="193"/>
      <c r="F20" t="s">
        <v>168</v>
      </c>
      <c r="G20" s="26">
        <f>-G19*3/12</f>
        <v>-2272814.25</v>
      </c>
      <c r="H20" s="26">
        <f>$G20*H$11</f>
        <v>-1529831.271675</v>
      </c>
      <c r="I20" s="26">
        <f>$G20*I$11</f>
        <v>-742982.978325</v>
      </c>
    </row>
    <row r="21" spans="1:9" ht="12.75">
      <c r="A21" s="198" t="s">
        <v>169</v>
      </c>
      <c r="B21" s="199">
        <f>B17+B19</f>
        <v>8829259.5348</v>
      </c>
      <c r="C21" s="199">
        <f>C17+C19</f>
        <v>5789564.45756088</v>
      </c>
      <c r="D21" s="199">
        <f>D17+D19</f>
        <v>2829849.6572391205</v>
      </c>
      <c r="F21" s="200" t="s">
        <v>170</v>
      </c>
      <c r="G21" s="201" t="e">
        <f>#REF!*#REF!</f>
        <v>#REF!</v>
      </c>
      <c r="H21" s="201" t="e">
        <f>#REF!*#REF!</f>
        <v>#REF!</v>
      </c>
      <c r="I21" s="201" t="e">
        <f>#REF!*#REF!</f>
        <v>#REF!</v>
      </c>
    </row>
    <row r="22" spans="1:9" ht="12.75">
      <c r="A22" s="202"/>
      <c r="B22" s="203"/>
      <c r="C22" s="204"/>
      <c r="D22" s="204"/>
      <c r="F22" s="186" t="s">
        <v>171</v>
      </c>
      <c r="G22" s="205">
        <f>D22</f>
        <v>0</v>
      </c>
      <c r="H22" s="206">
        <f>G22</f>
        <v>0</v>
      </c>
      <c r="I22" s="206">
        <f>G22</f>
        <v>0</v>
      </c>
    </row>
    <row r="23" spans="1:9" ht="12.75">
      <c r="A23" s="198"/>
      <c r="B23" s="275"/>
      <c r="C23" s="275"/>
      <c r="D23" s="275"/>
      <c r="F23" s="207" t="s">
        <v>172</v>
      </c>
      <c r="G23" s="201" t="e">
        <f>G21*G22</f>
        <v>#REF!</v>
      </c>
      <c r="H23" s="201" t="e">
        <f>H21*H22</f>
        <v>#REF!</v>
      </c>
      <c r="I23" s="201" t="e">
        <f>I21*I22</f>
        <v>#REF!</v>
      </c>
    </row>
    <row r="25" ht="12.75">
      <c r="A25" s="208"/>
    </row>
    <row r="26" ht="12.75">
      <c r="A26" s="208"/>
    </row>
    <row r="27" ht="12.75">
      <c r="A27" s="208"/>
    </row>
    <row r="28" ht="12.75">
      <c r="A28" s="208"/>
    </row>
    <row r="29" ht="12.75">
      <c r="A29" s="208"/>
    </row>
    <row r="30" spans="1:2" ht="12.75">
      <c r="A30" s="208"/>
      <c r="B30" s="188"/>
    </row>
    <row r="31" ht="12.75">
      <c r="A31" s="208"/>
    </row>
    <row r="32" ht="12.75">
      <c r="A32" s="12"/>
    </row>
  </sheetData>
  <sheetProtection/>
  <printOptions/>
  <pageMargins left="0.5" right="0.5" top="0.25" bottom="1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P29"/>
  <sheetViews>
    <sheetView zoomScalePageLayoutView="0" workbookViewId="0" topLeftCell="A1">
      <selection activeCell="F42" sqref="F42"/>
    </sheetView>
  </sheetViews>
  <sheetFormatPr defaultColWidth="9.140625" defaultRowHeight="12.75" outlineLevelRow="2"/>
  <cols>
    <col min="1" max="1" width="1.8515625" style="0" customWidth="1"/>
    <col min="2" max="2" width="39.57421875" style="0" customWidth="1"/>
    <col min="3" max="3" width="12.8515625" style="0" customWidth="1"/>
    <col min="4" max="4" width="13.00390625" style="0" bestFit="1" customWidth="1"/>
    <col min="5" max="5" width="11.57421875" style="0" bestFit="1" customWidth="1"/>
    <col min="6" max="6" width="12.421875" style="0" bestFit="1" customWidth="1"/>
    <col min="7" max="7" width="13.140625" style="0" bestFit="1" customWidth="1"/>
    <col min="8" max="8" width="11.7109375" style="0" bestFit="1" customWidth="1"/>
    <col min="9" max="9" width="12.421875" style="0" bestFit="1" customWidth="1"/>
    <col min="10" max="10" width="9.7109375" style="0" bestFit="1" customWidth="1"/>
    <col min="11" max="12" width="7.28125" style="0" bestFit="1" customWidth="1"/>
    <col min="13" max="13" width="11.8515625" style="0" customWidth="1"/>
    <col min="14" max="15" width="7.28125" style="0" bestFit="1" customWidth="1"/>
  </cols>
  <sheetData>
    <row r="2" spans="2:7" ht="12.75">
      <c r="B2" s="465" t="s">
        <v>341</v>
      </c>
      <c r="C2" s="465"/>
      <c r="D2" s="465"/>
      <c r="E2" s="465"/>
      <c r="F2" s="465"/>
      <c r="G2" s="465"/>
    </row>
    <row r="4" s="25" customFormat="1" ht="29.25" customHeight="1">
      <c r="M4" s="422" t="s">
        <v>343</v>
      </c>
    </row>
    <row r="5" spans="2:16" s="25" customFormat="1" ht="12.75">
      <c r="B5" s="409" t="s">
        <v>318</v>
      </c>
      <c r="C5" s="410" t="s">
        <v>319</v>
      </c>
      <c r="D5" s="410" t="s">
        <v>320</v>
      </c>
      <c r="E5" s="410" t="s">
        <v>321</v>
      </c>
      <c r="F5" s="410" t="s">
        <v>322</v>
      </c>
      <c r="G5" s="410" t="s">
        <v>323</v>
      </c>
      <c r="H5" s="410" t="s">
        <v>324</v>
      </c>
      <c r="I5" s="410" t="s">
        <v>325</v>
      </c>
      <c r="J5" s="410" t="s">
        <v>326</v>
      </c>
      <c r="K5" s="410" t="s">
        <v>327</v>
      </c>
      <c r="L5" s="410" t="s">
        <v>328</v>
      </c>
      <c r="M5" s="410" t="s">
        <v>329</v>
      </c>
      <c r="N5" s="410" t="s">
        <v>330</v>
      </c>
      <c r="O5" s="410" t="s">
        <v>331</v>
      </c>
      <c r="P5" s="411"/>
    </row>
    <row r="6" spans="2:16" s="25" customFormat="1" ht="12.75" outlineLevel="2">
      <c r="B6" s="412" t="s">
        <v>354</v>
      </c>
      <c r="C6" s="413">
        <v>30905.4</v>
      </c>
      <c r="D6" s="413">
        <v>14474.17</v>
      </c>
      <c r="E6" s="413">
        <v>0</v>
      </c>
      <c r="F6" s="413">
        <v>0</v>
      </c>
      <c r="G6" s="413">
        <v>-1947.31</v>
      </c>
      <c r="H6" s="413">
        <v>0</v>
      </c>
      <c r="I6" s="413">
        <v>0</v>
      </c>
      <c r="J6" s="413">
        <v>16392.65</v>
      </c>
      <c r="K6" s="413">
        <v>0</v>
      </c>
      <c r="L6" s="413">
        <v>0</v>
      </c>
      <c r="M6" s="413">
        <v>1985.89</v>
      </c>
      <c r="N6" s="413">
        <v>0</v>
      </c>
      <c r="O6" s="413">
        <v>0</v>
      </c>
      <c r="P6" s="411"/>
    </row>
    <row r="7" spans="2:16" s="25" customFormat="1" ht="12.75" outlineLevel="2">
      <c r="B7" s="412" t="s">
        <v>332</v>
      </c>
      <c r="C7" s="413">
        <v>557537.08</v>
      </c>
      <c r="D7" s="413">
        <v>265404.85</v>
      </c>
      <c r="E7" s="413">
        <v>0</v>
      </c>
      <c r="F7" s="413">
        <v>0</v>
      </c>
      <c r="G7" s="413">
        <v>-35936.55</v>
      </c>
      <c r="H7" s="413">
        <v>0</v>
      </c>
      <c r="I7" s="413">
        <v>0</v>
      </c>
      <c r="J7" s="413">
        <v>293073.56</v>
      </c>
      <c r="K7" s="413">
        <v>0</v>
      </c>
      <c r="L7" s="413">
        <v>0</v>
      </c>
      <c r="M7" s="413">
        <v>34995.22</v>
      </c>
      <c r="N7" s="413">
        <v>0</v>
      </c>
      <c r="O7" s="413">
        <v>0</v>
      </c>
      <c r="P7" s="411"/>
    </row>
    <row r="8" spans="2:16" s="25" customFormat="1" ht="12.75" outlineLevel="2">
      <c r="B8" s="412" t="s">
        <v>333</v>
      </c>
      <c r="C8" s="413">
        <v>74829.64</v>
      </c>
      <c r="D8" s="413">
        <v>36236.03</v>
      </c>
      <c r="E8" s="413">
        <v>0</v>
      </c>
      <c r="F8" s="413">
        <v>0</v>
      </c>
      <c r="G8" s="413">
        <v>-4806.61</v>
      </c>
      <c r="H8" s="413">
        <v>0</v>
      </c>
      <c r="I8" s="413">
        <v>0</v>
      </c>
      <c r="J8" s="413">
        <v>38348.89</v>
      </c>
      <c r="K8" s="413">
        <v>0</v>
      </c>
      <c r="L8" s="413">
        <v>0</v>
      </c>
      <c r="M8" s="413">
        <v>5051.33</v>
      </c>
      <c r="N8" s="413">
        <v>0</v>
      </c>
      <c r="O8" s="413">
        <v>0</v>
      </c>
      <c r="P8" s="411"/>
    </row>
    <row r="9" spans="2:16" s="25" customFormat="1" ht="12.75" outlineLevel="2">
      <c r="B9" s="412" t="s">
        <v>334</v>
      </c>
      <c r="C9" s="413">
        <v>532357.97</v>
      </c>
      <c r="D9" s="413">
        <v>255150.07</v>
      </c>
      <c r="E9" s="413">
        <v>0</v>
      </c>
      <c r="F9" s="413">
        <v>0</v>
      </c>
      <c r="G9" s="413">
        <v>-34387.33</v>
      </c>
      <c r="H9" s="413">
        <v>0</v>
      </c>
      <c r="I9" s="413">
        <v>0</v>
      </c>
      <c r="J9" s="413">
        <v>275548.25</v>
      </c>
      <c r="K9" s="413">
        <v>0</v>
      </c>
      <c r="L9" s="413">
        <v>0</v>
      </c>
      <c r="M9" s="413">
        <v>36046.98</v>
      </c>
      <c r="N9" s="413">
        <v>0</v>
      </c>
      <c r="O9" s="413">
        <v>0</v>
      </c>
      <c r="P9" s="411"/>
    </row>
    <row r="10" spans="2:16" s="25" customFormat="1" ht="12.75" outlineLevel="2">
      <c r="B10" s="412" t="s">
        <v>335</v>
      </c>
      <c r="C10" s="413">
        <v>584138.3</v>
      </c>
      <c r="D10" s="413">
        <v>278826.37</v>
      </c>
      <c r="E10" s="413">
        <v>0</v>
      </c>
      <c r="F10" s="413">
        <v>0</v>
      </c>
      <c r="G10" s="413">
        <v>-37418.74</v>
      </c>
      <c r="H10" s="413">
        <v>0</v>
      </c>
      <c r="I10" s="413">
        <v>0</v>
      </c>
      <c r="J10" s="413">
        <v>305371.02</v>
      </c>
      <c r="K10" s="413">
        <v>0</v>
      </c>
      <c r="L10" s="413">
        <v>0</v>
      </c>
      <c r="M10" s="413">
        <v>37359.65</v>
      </c>
      <c r="N10" s="413">
        <v>0</v>
      </c>
      <c r="O10" s="413">
        <v>0</v>
      </c>
      <c r="P10" s="411"/>
    </row>
    <row r="11" spans="2:16" s="25" customFormat="1" ht="12.75" outlineLevel="2">
      <c r="B11" s="412" t="s">
        <v>336</v>
      </c>
      <c r="C11" s="413">
        <v>1510491.68</v>
      </c>
      <c r="D11" s="413">
        <v>714414.49</v>
      </c>
      <c r="E11" s="413">
        <v>0</v>
      </c>
      <c r="F11" s="413">
        <v>0</v>
      </c>
      <c r="G11" s="413">
        <v>-97430.4</v>
      </c>
      <c r="H11" s="413">
        <v>0</v>
      </c>
      <c r="I11" s="413">
        <v>0</v>
      </c>
      <c r="J11" s="413">
        <v>797115.35</v>
      </c>
      <c r="K11" s="413">
        <v>0</v>
      </c>
      <c r="L11" s="413">
        <v>0</v>
      </c>
      <c r="M11" s="413">
        <v>96392.24</v>
      </c>
      <c r="N11" s="413">
        <v>0</v>
      </c>
      <c r="O11" s="413">
        <v>0</v>
      </c>
      <c r="P11" s="411"/>
    </row>
    <row r="12" spans="2:16" s="25" customFormat="1" ht="12.75" outlineLevel="1">
      <c r="B12" s="414" t="s">
        <v>337</v>
      </c>
      <c r="C12" s="415">
        <v>3290260.07</v>
      </c>
      <c r="D12" s="415">
        <v>1564505.98</v>
      </c>
      <c r="E12" s="415">
        <v>0</v>
      </c>
      <c r="F12" s="415">
        <v>0</v>
      </c>
      <c r="G12" s="415">
        <v>-211926.94</v>
      </c>
      <c r="H12" s="415">
        <v>0</v>
      </c>
      <c r="I12" s="415">
        <v>0</v>
      </c>
      <c r="J12" s="415">
        <v>1725849.72</v>
      </c>
      <c r="K12" s="415">
        <v>0</v>
      </c>
      <c r="L12" s="415">
        <v>0</v>
      </c>
      <c r="M12" s="415">
        <v>211831.31</v>
      </c>
      <c r="N12" s="415">
        <v>0</v>
      </c>
      <c r="O12" s="415">
        <v>0</v>
      </c>
      <c r="P12" s="411"/>
    </row>
    <row r="13" spans="2:16" s="25" customFormat="1" ht="12.75">
      <c r="B13" s="409" t="s">
        <v>338</v>
      </c>
      <c r="C13" s="416">
        <v>3290260.07</v>
      </c>
      <c r="D13" s="416">
        <v>1564505.98</v>
      </c>
      <c r="E13" s="416">
        <v>0</v>
      </c>
      <c r="F13" s="416">
        <v>0</v>
      </c>
      <c r="G13" s="416">
        <v>-211926.94</v>
      </c>
      <c r="H13" s="416">
        <v>0</v>
      </c>
      <c r="I13" s="416">
        <v>0</v>
      </c>
      <c r="J13" s="416">
        <v>1725849.72</v>
      </c>
      <c r="K13" s="416">
        <v>0</v>
      </c>
      <c r="L13" s="416">
        <v>0</v>
      </c>
      <c r="M13" s="416">
        <v>211831.31</v>
      </c>
      <c r="N13" s="416">
        <v>0</v>
      </c>
      <c r="O13" s="416">
        <v>0</v>
      </c>
      <c r="P13" s="411"/>
    </row>
    <row r="14" spans="2:16" s="25" customFormat="1" ht="12.75"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</row>
    <row r="15" spans="2:16" s="25" customFormat="1" ht="12.75"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</row>
    <row r="16" spans="2:16" ht="12.75">
      <c r="B16" s="421"/>
      <c r="C16" s="418"/>
      <c r="D16" s="418"/>
      <c r="E16" s="419"/>
      <c r="G16" s="419"/>
      <c r="H16" s="417"/>
      <c r="I16" s="417"/>
      <c r="J16" s="417"/>
      <c r="K16" s="417"/>
      <c r="L16" s="417"/>
      <c r="M16" s="417"/>
      <c r="N16" s="417"/>
      <c r="O16" s="417"/>
      <c r="P16" s="417"/>
    </row>
    <row r="17" spans="2:16" ht="12.75">
      <c r="B17" s="421"/>
      <c r="C17" s="418"/>
      <c r="D17" s="418"/>
      <c r="E17" s="419"/>
      <c r="G17" s="419"/>
      <c r="H17" s="417"/>
      <c r="I17" s="417"/>
      <c r="J17" s="417"/>
      <c r="K17" s="417"/>
      <c r="L17" s="417"/>
      <c r="M17" s="417"/>
      <c r="N17" s="417"/>
      <c r="O17" s="417"/>
      <c r="P17" s="417"/>
    </row>
    <row r="18" spans="2:16" ht="12.75">
      <c r="B18" s="465" t="s">
        <v>342</v>
      </c>
      <c r="C18" s="465"/>
      <c r="D18" s="465"/>
      <c r="E18" s="465"/>
      <c r="F18" s="465"/>
      <c r="G18" s="465"/>
      <c r="H18" s="417"/>
      <c r="I18" s="417"/>
      <c r="J18" s="417"/>
      <c r="K18" s="417"/>
      <c r="L18" s="417"/>
      <c r="M18" s="417"/>
      <c r="N18" s="417"/>
      <c r="O18" s="417"/>
      <c r="P18" s="417"/>
    </row>
    <row r="19" spans="2:16" ht="12.75">
      <c r="B19" s="1"/>
      <c r="C19" s="1"/>
      <c r="D19" s="1"/>
      <c r="E19" s="1"/>
      <c r="F19" s="428"/>
      <c r="G19" s="429"/>
      <c r="H19" s="430"/>
      <c r="I19" s="431"/>
      <c r="J19" s="417"/>
      <c r="K19" s="417"/>
      <c r="L19" s="417"/>
      <c r="M19" s="417"/>
      <c r="N19" s="417"/>
      <c r="O19" s="417"/>
      <c r="P19" s="417"/>
    </row>
    <row r="20" spans="2:16" ht="12.75">
      <c r="B20" s="420"/>
      <c r="C20" s="420"/>
      <c r="F20" s="445"/>
      <c r="G20" s="423" t="s">
        <v>340</v>
      </c>
      <c r="H20" s="423"/>
      <c r="I20" s="432"/>
      <c r="J20" s="417"/>
      <c r="K20" s="417"/>
      <c r="L20" s="417"/>
      <c r="M20" s="417"/>
      <c r="N20" s="417"/>
      <c r="O20" s="417"/>
      <c r="P20" s="417"/>
    </row>
    <row r="21" spans="2:16" ht="12.75">
      <c r="B21" s="420"/>
      <c r="C21" s="450" t="s">
        <v>0</v>
      </c>
      <c r="D21" s="451" t="s">
        <v>349</v>
      </c>
      <c r="E21" s="452" t="s">
        <v>352</v>
      </c>
      <c r="F21" s="433" t="s">
        <v>350</v>
      </c>
      <c r="G21" s="434" t="s">
        <v>12</v>
      </c>
      <c r="H21" s="434" t="s">
        <v>13</v>
      </c>
      <c r="I21" s="435" t="s">
        <v>0</v>
      </c>
      <c r="J21" s="417"/>
      <c r="K21" s="417"/>
      <c r="L21" s="417"/>
      <c r="M21" s="417"/>
      <c r="N21" s="417"/>
      <c r="O21" s="417"/>
      <c r="P21" s="417"/>
    </row>
    <row r="22" spans="2:16" ht="12.75">
      <c r="B22" s="420"/>
      <c r="C22" s="436"/>
      <c r="D22" s="425" t="s">
        <v>269</v>
      </c>
      <c r="E22" s="437" t="s">
        <v>353</v>
      </c>
      <c r="F22" s="436" t="s">
        <v>351</v>
      </c>
      <c r="G22" s="424">
        <f>'3.05'!E41</f>
        <v>0.6731</v>
      </c>
      <c r="H22" s="424">
        <f>'3.05'!F41</f>
        <v>0.3269</v>
      </c>
      <c r="I22" s="437"/>
      <c r="J22" s="417"/>
      <c r="K22" s="417"/>
      <c r="L22" s="417"/>
      <c r="M22" s="417"/>
      <c r="N22" s="417"/>
      <c r="O22" s="417"/>
      <c r="P22" s="417"/>
    </row>
    <row r="23" spans="2:16" ht="12.75">
      <c r="B23" s="417" t="s">
        <v>12</v>
      </c>
      <c r="C23" s="441">
        <f>SUM(C7:C9)</f>
        <v>1164724.69</v>
      </c>
      <c r="D23" s="426"/>
      <c r="E23" s="442">
        <f>-SUM(M7:M9)</f>
        <v>-76093.53</v>
      </c>
      <c r="F23" s="438">
        <f>SUM(C23:E23)</f>
        <v>1088631.16</v>
      </c>
      <c r="G23" s="439">
        <f>+F25*G22</f>
        <v>951830.333064</v>
      </c>
      <c r="H23" s="439"/>
      <c r="I23" s="440">
        <f>SUM(F23:H23)</f>
        <v>2040461.4930639998</v>
      </c>
      <c r="J23" s="417"/>
      <c r="K23" s="417"/>
      <c r="L23" s="417"/>
      <c r="M23" s="417"/>
      <c r="N23" s="417"/>
      <c r="O23" s="417"/>
      <c r="P23" s="417"/>
    </row>
    <row r="24" spans="2:16" ht="12.75">
      <c r="B24" s="417" t="s">
        <v>13</v>
      </c>
      <c r="C24" s="438">
        <f>C10</f>
        <v>584138.3</v>
      </c>
      <c r="D24" s="439"/>
      <c r="E24" s="440">
        <f>-M10</f>
        <v>-37359.65</v>
      </c>
      <c r="F24" s="438">
        <f>SUM(C24:E24)</f>
        <v>546778.65</v>
      </c>
      <c r="G24" s="439"/>
      <c r="H24" s="439">
        <f>+F25*H22</f>
        <v>462269.106936</v>
      </c>
      <c r="I24" s="440">
        <f>SUM(F24:H24)</f>
        <v>1009047.756936</v>
      </c>
      <c r="J24" s="417"/>
      <c r="K24" s="417"/>
      <c r="L24" s="417"/>
      <c r="M24" s="417"/>
      <c r="N24" s="417"/>
      <c r="O24" s="417"/>
      <c r="P24" s="417"/>
    </row>
    <row r="25" spans="2:16" ht="12.75">
      <c r="B25" s="417" t="s">
        <v>69</v>
      </c>
      <c r="C25" s="453">
        <f>C11</f>
        <v>1510491.68</v>
      </c>
      <c r="D25" s="454"/>
      <c r="E25" s="455">
        <f>-M11</f>
        <v>-96392.24</v>
      </c>
      <c r="F25" s="438">
        <f>SUM(C25:E25)</f>
        <v>1414099.44</v>
      </c>
      <c r="G25" s="439">
        <f>-G23</f>
        <v>-951830.333064</v>
      </c>
      <c r="H25" s="439">
        <f>-H24</f>
        <v>-462269.106936</v>
      </c>
      <c r="I25" s="440">
        <f>SUM(F25:H25)</f>
        <v>0</v>
      </c>
      <c r="J25" s="417"/>
      <c r="K25" s="417"/>
      <c r="L25" s="417"/>
      <c r="M25" s="417"/>
      <c r="N25" s="417"/>
      <c r="O25" s="417"/>
      <c r="P25" s="417"/>
    </row>
    <row r="26" spans="2:9" ht="12.75">
      <c r="B26" s="417" t="s">
        <v>344</v>
      </c>
      <c r="C26" s="441">
        <f>SUM(C23:C25)</f>
        <v>3259354.67</v>
      </c>
      <c r="D26" s="426">
        <f>SUM(D23:D25)</f>
        <v>0</v>
      </c>
      <c r="E26" s="442">
        <f>SUM(E23:E25)</f>
        <v>-209845.41999999998</v>
      </c>
      <c r="F26" s="441">
        <f>SUM(C26:E26)</f>
        <v>3049509.25</v>
      </c>
      <c r="G26" s="426">
        <f>SUM(G23:G25)</f>
        <v>0</v>
      </c>
      <c r="H26" s="426">
        <f>SUM(H23:H25)</f>
        <v>0</v>
      </c>
      <c r="I26" s="442">
        <f>SUM(I23:I25)</f>
        <v>3049509.25</v>
      </c>
    </row>
    <row r="27" spans="2:9" ht="12.75">
      <c r="B27" s="417" t="s">
        <v>345</v>
      </c>
      <c r="C27" s="453">
        <f>C6</f>
        <v>30905.4</v>
      </c>
      <c r="D27" s="454">
        <f>-C6+M6</f>
        <v>-28919.510000000002</v>
      </c>
      <c r="E27" s="455">
        <f>-M6</f>
        <v>-1985.89</v>
      </c>
      <c r="F27" s="438">
        <f>SUM(C27:E27)</f>
        <v>0</v>
      </c>
      <c r="G27" s="439"/>
      <c r="H27" s="439"/>
      <c r="I27" s="440">
        <f>SUM(F27:H27)</f>
        <v>0</v>
      </c>
    </row>
    <row r="28" spans="2:9" ht="13.5" thickBot="1">
      <c r="B28" s="417" t="s">
        <v>339</v>
      </c>
      <c r="C28" s="443">
        <f aca="true" t="shared" si="0" ref="C28:I28">+C26+C27</f>
        <v>3290260.07</v>
      </c>
      <c r="D28" s="427">
        <f t="shared" si="0"/>
        <v>-28919.510000000002</v>
      </c>
      <c r="E28" s="427">
        <f t="shared" si="0"/>
        <v>-211831.31</v>
      </c>
      <c r="F28" s="443">
        <f t="shared" si="0"/>
        <v>3049509.25</v>
      </c>
      <c r="G28" s="427">
        <f t="shared" si="0"/>
        <v>0</v>
      </c>
      <c r="H28" s="427">
        <f t="shared" si="0"/>
        <v>0</v>
      </c>
      <c r="I28" s="444">
        <f t="shared" si="0"/>
        <v>3049509.25</v>
      </c>
    </row>
    <row r="29" spans="6:9" ht="13.5" thickTop="1">
      <c r="F29" s="445"/>
      <c r="G29" s="147"/>
      <c r="H29" s="147"/>
      <c r="I29" s="446"/>
    </row>
  </sheetData>
  <sheetProtection/>
  <mergeCells count="2">
    <mergeCell ref="B18:G18"/>
    <mergeCell ref="B2:G2"/>
  </mergeCells>
  <printOptions/>
  <pageMargins left="0.43" right="0.47" top="0.88" bottom="1" header="0.5" footer="0.5"/>
  <pageSetup fitToHeight="1" fitToWidth="1"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3:E2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2.7109375" style="0" customWidth="1"/>
    <col min="2" max="2" width="16.28125" style="0" bestFit="1" customWidth="1"/>
    <col min="3" max="3" width="11.57421875" style="0" bestFit="1" customWidth="1"/>
    <col min="4" max="4" width="12.57421875" style="0" bestFit="1" customWidth="1"/>
    <col min="5" max="5" width="12.00390625" style="0" bestFit="1" customWidth="1"/>
  </cols>
  <sheetData>
    <row r="3" spans="1:5" ht="15.75">
      <c r="A3" s="466" t="s">
        <v>137</v>
      </c>
      <c r="B3" s="466"/>
      <c r="C3" s="458"/>
      <c r="D3" s="458"/>
      <c r="E3" s="25"/>
    </row>
    <row r="4" spans="1:5" ht="15.75" thickBot="1">
      <c r="A4" s="459"/>
      <c r="B4" s="458"/>
      <c r="C4" s="458"/>
      <c r="D4" s="458"/>
      <c r="E4" s="25"/>
    </row>
    <row r="5" spans="1:5" ht="13.5" thickBot="1">
      <c r="A5" s="460" t="s">
        <v>138</v>
      </c>
      <c r="B5" s="461" t="s">
        <v>135</v>
      </c>
      <c r="C5" s="461" t="s">
        <v>139</v>
      </c>
      <c r="D5" s="461" t="s">
        <v>140</v>
      </c>
      <c r="E5" s="461" t="s">
        <v>141</v>
      </c>
    </row>
    <row r="6" spans="1:5" ht="13.5" thickBot="1">
      <c r="A6" s="460"/>
      <c r="B6" s="461" t="s">
        <v>142</v>
      </c>
      <c r="C6" s="461" t="s">
        <v>142</v>
      </c>
      <c r="D6" s="461" t="s">
        <v>142</v>
      </c>
      <c r="E6" s="461" t="s">
        <v>142</v>
      </c>
    </row>
    <row r="7" spans="1:5" ht="13.5" thickBot="1">
      <c r="A7" s="462" t="s">
        <v>143</v>
      </c>
      <c r="B7" s="460" t="s">
        <v>144</v>
      </c>
      <c r="C7" s="460" t="s">
        <v>144</v>
      </c>
      <c r="D7" s="460" t="s">
        <v>144</v>
      </c>
      <c r="E7" s="460" t="s">
        <v>144</v>
      </c>
    </row>
    <row r="8" spans="1:5" ht="13.5" thickBot="1">
      <c r="A8" s="461" t="s">
        <v>145</v>
      </c>
      <c r="B8" s="463">
        <v>51046921.35</v>
      </c>
      <c r="C8" s="463">
        <v>218112.61</v>
      </c>
      <c r="D8" s="460"/>
      <c r="E8" s="463">
        <f>SUM(B8:D8)</f>
        <v>51265033.96</v>
      </c>
    </row>
    <row r="9" spans="1:5" ht="13.5" thickBot="1">
      <c r="A9" s="461" t="s">
        <v>146</v>
      </c>
      <c r="B9" s="463">
        <v>5688886.32</v>
      </c>
      <c r="C9" s="463">
        <v>248.58</v>
      </c>
      <c r="D9" s="460"/>
      <c r="E9" s="463">
        <f aca="true" t="shared" si="0" ref="E9:E20">SUM(B9:D9)</f>
        <v>5689134.9</v>
      </c>
    </row>
    <row r="10" spans="1:5" ht="13.5" thickBot="1">
      <c r="A10" s="461" t="s">
        <v>147</v>
      </c>
      <c r="B10" s="463">
        <v>1725642.31</v>
      </c>
      <c r="C10" s="460"/>
      <c r="D10" s="460"/>
      <c r="E10" s="463">
        <f t="shared" si="0"/>
        <v>1725642.31</v>
      </c>
    </row>
    <row r="11" spans="1:5" ht="13.5" thickBot="1">
      <c r="A11" s="461" t="s">
        <v>148</v>
      </c>
      <c r="B11" s="463">
        <v>7261895.66</v>
      </c>
      <c r="C11" s="463">
        <v>3999</v>
      </c>
      <c r="D11" s="460"/>
      <c r="E11" s="463">
        <f t="shared" si="0"/>
        <v>7265894.66</v>
      </c>
    </row>
    <row r="12" spans="1:5" ht="13.5" thickBot="1">
      <c r="A12" s="461" t="s">
        <v>149</v>
      </c>
      <c r="B12" s="463">
        <v>1471019.13</v>
      </c>
      <c r="C12" s="463">
        <v>421.24</v>
      </c>
      <c r="D12" s="460"/>
      <c r="E12" s="463">
        <f t="shared" si="0"/>
        <v>1471440.3699999999</v>
      </c>
    </row>
    <row r="13" spans="1:5" ht="13.5" thickBot="1">
      <c r="A13" s="461" t="s">
        <v>150</v>
      </c>
      <c r="B13" s="463">
        <v>1083227.52</v>
      </c>
      <c r="C13" s="463">
        <v>1.03</v>
      </c>
      <c r="D13" s="460"/>
      <c r="E13" s="463">
        <f t="shared" si="0"/>
        <v>1083228.55</v>
      </c>
    </row>
    <row r="14" spans="1:5" ht="13.5" thickBot="1">
      <c r="A14" s="461" t="s">
        <v>151</v>
      </c>
      <c r="B14" s="463">
        <v>41292668.57</v>
      </c>
      <c r="C14" s="463">
        <v>449630.98</v>
      </c>
      <c r="D14" s="460"/>
      <c r="E14" s="463">
        <f t="shared" si="0"/>
        <v>41742299.55</v>
      </c>
    </row>
    <row r="15" spans="1:5" ht="13.5" thickBot="1">
      <c r="A15" s="461" t="s">
        <v>152</v>
      </c>
      <c r="B15" s="463">
        <v>20594429.06</v>
      </c>
      <c r="C15" s="463">
        <v>115748.64</v>
      </c>
      <c r="D15" s="460"/>
      <c r="E15" s="463">
        <f t="shared" si="0"/>
        <v>20710177.7</v>
      </c>
    </row>
    <row r="16" spans="1:5" ht="13.5" thickBot="1">
      <c r="A16" s="461" t="s">
        <v>153</v>
      </c>
      <c r="B16" s="463">
        <v>52432111.05</v>
      </c>
      <c r="C16" s="463">
        <v>598506.67</v>
      </c>
      <c r="D16" s="460"/>
      <c r="E16" s="463">
        <f t="shared" si="0"/>
        <v>53030617.72</v>
      </c>
    </row>
    <row r="17" spans="1:5" ht="13.5" thickBot="1">
      <c r="A17" s="461" t="s">
        <v>154</v>
      </c>
      <c r="B17" s="463">
        <v>3611698.84</v>
      </c>
      <c r="C17" s="463">
        <v>12459066.07</v>
      </c>
      <c r="D17" s="460"/>
      <c r="E17" s="463">
        <f t="shared" si="0"/>
        <v>16070764.91</v>
      </c>
    </row>
    <row r="18" spans="1:5" ht="13.5" thickBot="1">
      <c r="A18" s="461" t="s">
        <v>155</v>
      </c>
      <c r="B18" s="463">
        <v>3134892.16</v>
      </c>
      <c r="C18" s="463">
        <v>36.38</v>
      </c>
      <c r="D18" s="460"/>
      <c r="E18" s="463">
        <f t="shared" si="0"/>
        <v>3134928.54</v>
      </c>
    </row>
    <row r="19" spans="1:5" ht="13.5" thickBot="1">
      <c r="A19" s="461" t="s">
        <v>156</v>
      </c>
      <c r="B19" s="463"/>
      <c r="C19" s="460"/>
      <c r="D19" s="463">
        <v>29041138.59</v>
      </c>
      <c r="E19" s="463">
        <f t="shared" si="0"/>
        <v>29041138.59</v>
      </c>
    </row>
    <row r="20" spans="1:5" ht="13.5" thickBot="1">
      <c r="A20" s="461" t="s">
        <v>141</v>
      </c>
      <c r="B20" s="463">
        <f>SUM(B8:B19)</f>
        <v>189343391.96999997</v>
      </c>
      <c r="C20" s="463">
        <f>SUM(C8:C19)</f>
        <v>13845771.200000001</v>
      </c>
      <c r="D20" s="463">
        <f>SUM(D8:D19)</f>
        <v>29041138.59</v>
      </c>
      <c r="E20" s="463">
        <f t="shared" si="0"/>
        <v>232230301.75999996</v>
      </c>
    </row>
    <row r="21" spans="1:4" ht="15">
      <c r="A21" s="168"/>
      <c r="B21" s="169"/>
      <c r="C21" s="169"/>
      <c r="D21" s="169"/>
    </row>
    <row r="22" spans="1:4" ht="15">
      <c r="A22" s="168"/>
      <c r="B22" s="169"/>
      <c r="C22" s="169"/>
      <c r="D22" s="169"/>
    </row>
    <row r="23" spans="1:4" ht="15">
      <c r="A23" s="168" t="s">
        <v>292</v>
      </c>
      <c r="B23" s="169">
        <f>'4 Year Average 2010- RY'!L10</f>
        <v>14133676.57</v>
      </c>
      <c r="C23" t="s">
        <v>263</v>
      </c>
      <c r="D23" s="169"/>
    </row>
    <row r="24" spans="1:3" ht="15" customHeight="1">
      <c r="A24" s="168" t="s">
        <v>261</v>
      </c>
      <c r="B24" s="350">
        <f>+C20-B23</f>
        <v>-287905.3699999992</v>
      </c>
      <c r="C24" t="s">
        <v>264</v>
      </c>
    </row>
    <row r="25" spans="1:4" ht="12.75">
      <c r="A25" s="168" t="s">
        <v>260</v>
      </c>
      <c r="B25" s="167">
        <f>+B23+B24</f>
        <v>13845771.200000001</v>
      </c>
      <c r="C25" s="170" t="s">
        <v>267</v>
      </c>
      <c r="D25" s="170"/>
    </row>
    <row r="26" spans="1:3" ht="12.75">
      <c r="A26" t="s">
        <v>157</v>
      </c>
      <c r="B26" s="167">
        <f>B20+D20+C20</f>
        <v>232230301.75999996</v>
      </c>
      <c r="C26" t="s">
        <v>265</v>
      </c>
    </row>
    <row r="28" spans="1:3" ht="12.75">
      <c r="A28" t="s">
        <v>228</v>
      </c>
      <c r="B28" s="170">
        <f>B23/B26</f>
        <v>0.060860604593308186</v>
      </c>
      <c r="C28" s="330" t="s">
        <v>266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E1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8.7109375" style="0" customWidth="1"/>
    <col min="2" max="2" width="19.57421875" style="0" customWidth="1"/>
    <col min="3" max="3" width="16.57421875" style="0" customWidth="1"/>
    <col min="4" max="4" width="18.57421875" style="0" customWidth="1"/>
  </cols>
  <sheetData>
    <row r="2" spans="1:3" ht="12.75">
      <c r="A2" t="s">
        <v>365</v>
      </c>
      <c r="B2">
        <v>23200483</v>
      </c>
      <c r="C2" t="s">
        <v>367</v>
      </c>
    </row>
    <row r="3" spans="1:3" ht="12.75">
      <c r="A3" t="s">
        <v>366</v>
      </c>
      <c r="B3">
        <v>3</v>
      </c>
      <c r="C3">
        <v>2011</v>
      </c>
    </row>
    <row r="4" spans="1:5" ht="14.25">
      <c r="A4" s="447" t="s">
        <v>355</v>
      </c>
      <c r="B4" s="447" t="s">
        <v>356</v>
      </c>
      <c r="C4" s="447" t="s">
        <v>357</v>
      </c>
      <c r="D4" s="447" t="s">
        <v>358</v>
      </c>
      <c r="E4" s="447"/>
    </row>
    <row r="5" spans="1:5" ht="14.25">
      <c r="A5" s="447" t="s">
        <v>359</v>
      </c>
      <c r="B5" s="448">
        <v>12359650.85</v>
      </c>
      <c r="C5" s="448">
        <v>0</v>
      </c>
      <c r="D5" s="448">
        <v>12359650.85</v>
      </c>
      <c r="E5" s="447"/>
    </row>
    <row r="6" spans="1:5" ht="14.25">
      <c r="A6" s="447" t="s">
        <v>360</v>
      </c>
      <c r="B6" s="448">
        <v>1292630.85</v>
      </c>
      <c r="C6" s="448">
        <v>0</v>
      </c>
      <c r="D6" s="448">
        <v>1292630.85</v>
      </c>
      <c r="E6" s="447"/>
    </row>
    <row r="7" spans="1:5" ht="14.25">
      <c r="A7" s="447" t="s">
        <v>361</v>
      </c>
      <c r="B7" s="448">
        <v>481394.87</v>
      </c>
      <c r="C7" s="448">
        <v>0</v>
      </c>
      <c r="D7" s="448">
        <v>481394.87</v>
      </c>
      <c r="E7" s="447"/>
    </row>
    <row r="8" spans="1:5" ht="14.25">
      <c r="A8" s="447" t="s">
        <v>362</v>
      </c>
      <c r="B8" s="448">
        <v>14133676.57</v>
      </c>
      <c r="C8" s="448">
        <v>0</v>
      </c>
      <c r="D8" s="448">
        <v>14133676.57</v>
      </c>
      <c r="E8" s="447"/>
    </row>
    <row r="9" spans="1:5" ht="14.25">
      <c r="A9" s="447" t="s">
        <v>363</v>
      </c>
      <c r="B9" s="448">
        <v>-14133676.57</v>
      </c>
      <c r="C9" s="448">
        <v>0</v>
      </c>
      <c r="D9" s="448">
        <v>-14133676.57</v>
      </c>
      <c r="E9" s="447"/>
    </row>
    <row r="10" spans="1:5" ht="14.25">
      <c r="A10" s="447" t="s">
        <v>364</v>
      </c>
      <c r="B10" s="448">
        <v>-14133676.57</v>
      </c>
      <c r="C10" s="448">
        <v>0</v>
      </c>
      <c r="D10" s="448">
        <v>-14133676.57</v>
      </c>
      <c r="E10" s="447"/>
    </row>
  </sheetData>
  <sheetProtection/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47"/>
  <sheetViews>
    <sheetView zoomScalePageLayoutView="0" workbookViewId="0" topLeftCell="A13">
      <selection activeCell="K47" sqref="K47"/>
    </sheetView>
  </sheetViews>
  <sheetFormatPr defaultColWidth="8.00390625" defaultRowHeight="15" customHeight="1"/>
  <cols>
    <col min="1" max="1" width="4.7109375" style="292" customWidth="1"/>
    <col min="2" max="2" width="1.7109375" style="292" customWidth="1"/>
    <col min="3" max="3" width="49.57421875" style="292" bestFit="1" customWidth="1"/>
    <col min="4" max="4" width="10.00390625" style="293" customWidth="1"/>
    <col min="5" max="5" width="14.140625" style="292" customWidth="1"/>
    <col min="6" max="6" width="16.00390625" style="292" customWidth="1"/>
    <col min="7" max="7" width="14.421875" style="292" customWidth="1"/>
    <col min="8" max="8" width="8.00390625" style="292" customWidth="1"/>
    <col min="9" max="9" width="9.00390625" style="292" hidden="1" customWidth="1"/>
    <col min="10" max="11" width="8.00390625" style="292" customWidth="1"/>
    <col min="12" max="12" width="12.28125" style="292" bestFit="1" customWidth="1"/>
    <col min="13" max="13" width="12.7109375" style="292" customWidth="1"/>
    <col min="14" max="16384" width="8.00390625" style="292" customWidth="1"/>
  </cols>
  <sheetData>
    <row r="1" ht="15" customHeight="1">
      <c r="G1" s="294"/>
    </row>
    <row r="2" spans="1:7" ht="14.25" customHeight="1">
      <c r="A2" s="295" t="s">
        <v>234</v>
      </c>
      <c r="B2" s="295"/>
      <c r="C2" s="295"/>
      <c r="D2" s="295"/>
      <c r="E2" s="295"/>
      <c r="F2" s="295"/>
      <c r="G2" s="295"/>
    </row>
    <row r="3" spans="1:7" ht="15" customHeight="1">
      <c r="A3" s="295"/>
      <c r="B3" s="295"/>
      <c r="C3" s="295"/>
      <c r="D3" s="295"/>
      <c r="E3" s="295"/>
      <c r="F3" s="295"/>
      <c r="G3" s="295"/>
    </row>
    <row r="4" spans="1:7" ht="15" customHeight="1">
      <c r="A4" s="338" t="s">
        <v>281</v>
      </c>
      <c r="B4" s="295"/>
      <c r="C4" s="295"/>
      <c r="D4" s="295"/>
      <c r="E4" s="295"/>
      <c r="F4" s="295"/>
      <c r="G4" s="295"/>
    </row>
    <row r="5" spans="1:7" ht="15" customHeight="1">
      <c r="A5" s="295" t="s">
        <v>235</v>
      </c>
      <c r="B5" s="295"/>
      <c r="C5" s="295"/>
      <c r="D5" s="295"/>
      <c r="E5" s="295"/>
      <c r="F5" s="295"/>
      <c r="G5" s="295"/>
    </row>
    <row r="6" spans="3:4" s="296" customFormat="1" ht="15" customHeight="1">
      <c r="C6" s="297"/>
      <c r="D6" s="297"/>
    </row>
    <row r="7" spans="1:7" s="296" customFormat="1" ht="15" customHeight="1">
      <c r="A7" s="298" t="s">
        <v>236</v>
      </c>
      <c r="B7" s="298"/>
      <c r="C7" s="298" t="s">
        <v>237</v>
      </c>
      <c r="D7" s="298"/>
      <c r="E7" s="298" t="s">
        <v>12</v>
      </c>
      <c r="F7" s="298" t="s">
        <v>13</v>
      </c>
      <c r="G7" s="298" t="s">
        <v>0</v>
      </c>
    </row>
    <row r="8" s="296" customFormat="1" ht="29.25" customHeight="1">
      <c r="D8" s="297"/>
    </row>
    <row r="9" spans="1:9" s="296" customFormat="1" ht="15" customHeight="1">
      <c r="A9" s="299">
        <v>1</v>
      </c>
      <c r="B9" s="299" t="s">
        <v>238</v>
      </c>
      <c r="C9" s="300" t="s">
        <v>239</v>
      </c>
      <c r="D9" s="301">
        <v>40359</v>
      </c>
      <c r="E9" s="302">
        <v>1078501</v>
      </c>
      <c r="F9" s="302">
        <v>750811</v>
      </c>
      <c r="G9" s="302">
        <f>SUM(E9:F9)</f>
        <v>1829312</v>
      </c>
      <c r="I9" s="296" t="s">
        <v>240</v>
      </c>
    </row>
    <row r="10" spans="2:7" s="296" customFormat="1" ht="18.75" customHeight="1" thickBot="1">
      <c r="B10" s="297"/>
      <c r="C10" s="303" t="s">
        <v>241</v>
      </c>
      <c r="D10" s="297"/>
      <c r="E10" s="304">
        <f>ROUND(+E9/G9,4)</f>
        <v>0.5896</v>
      </c>
      <c r="F10" s="304">
        <f>ROUND(+F9/G9,4)</f>
        <v>0.4104</v>
      </c>
      <c r="G10" s="305">
        <f>SUM(E10:F10)</f>
        <v>1</v>
      </c>
    </row>
    <row r="11" spans="1:4" s="296" customFormat="1" ht="15" customHeight="1" thickTop="1">
      <c r="A11" s="297"/>
      <c r="B11" s="297"/>
      <c r="D11" s="301"/>
    </row>
    <row r="12" spans="1:8" s="296" customFormat="1" ht="15" customHeight="1">
      <c r="A12" s="299">
        <v>2</v>
      </c>
      <c r="B12" s="299" t="s">
        <v>238</v>
      </c>
      <c r="C12" s="300" t="s">
        <v>132</v>
      </c>
      <c r="D12" s="301">
        <v>40359</v>
      </c>
      <c r="E12" s="306">
        <v>706127</v>
      </c>
      <c r="F12" s="306">
        <v>408431</v>
      </c>
      <c r="G12" s="306">
        <f>SUM(E12:F12)</f>
        <v>1114558</v>
      </c>
      <c r="H12" s="307"/>
    </row>
    <row r="13" spans="2:7" s="296" customFormat="1" ht="18.75" customHeight="1" thickBot="1">
      <c r="B13" s="297"/>
      <c r="C13" s="303" t="s">
        <v>241</v>
      </c>
      <c r="D13" s="297"/>
      <c r="E13" s="304">
        <f>ROUND(+E12/G12,4)</f>
        <v>0.6335</v>
      </c>
      <c r="F13" s="304">
        <f>ROUND(+F12/G12,4)</f>
        <v>0.3665</v>
      </c>
      <c r="G13" s="305">
        <f>SUM(E13:F13)</f>
        <v>1</v>
      </c>
    </row>
    <row r="14" spans="1:4" s="296" customFormat="1" ht="15" customHeight="1" thickTop="1">
      <c r="A14" s="297"/>
      <c r="B14" s="297"/>
      <c r="D14" s="297"/>
    </row>
    <row r="15" spans="1:4" s="296" customFormat="1" ht="15" customHeight="1">
      <c r="A15" s="299">
        <v>3</v>
      </c>
      <c r="B15" s="299" t="s">
        <v>238</v>
      </c>
      <c r="C15" s="300" t="s">
        <v>133</v>
      </c>
      <c r="D15" s="297"/>
    </row>
    <row r="16" spans="1:7" s="296" customFormat="1" ht="15" customHeight="1">
      <c r="A16" s="297"/>
      <c r="B16" s="297"/>
      <c r="C16" s="308" t="s">
        <v>242</v>
      </c>
      <c r="D16" s="301">
        <v>40359</v>
      </c>
      <c r="E16" s="309">
        <v>3457231764</v>
      </c>
      <c r="F16" s="309">
        <v>2533527615</v>
      </c>
      <c r="G16" s="309">
        <f>SUM(E16:F16)</f>
        <v>5990759379</v>
      </c>
    </row>
    <row r="17" spans="1:7" s="296" customFormat="1" ht="15" customHeight="1">
      <c r="A17" s="297"/>
      <c r="B17" s="297"/>
      <c r="C17" s="308" t="s">
        <v>243</v>
      </c>
      <c r="D17" s="301">
        <v>40359</v>
      </c>
      <c r="E17" s="310">
        <v>425086614</v>
      </c>
      <c r="F17" s="310">
        <v>0</v>
      </c>
      <c r="G17" s="310">
        <f>SUM(E17:F17)</f>
        <v>425086614</v>
      </c>
    </row>
    <row r="18" spans="1:7" s="296" customFormat="1" ht="15" customHeight="1">
      <c r="A18" s="297"/>
      <c r="B18" s="297"/>
      <c r="C18" s="308" t="s">
        <v>244</v>
      </c>
      <c r="D18" s="301">
        <v>40359</v>
      </c>
      <c r="E18" s="310">
        <v>136171270.25833333</v>
      </c>
      <c r="F18" s="310">
        <v>47516627.65083333</v>
      </c>
      <c r="G18" s="310">
        <f>SUM(E18:F18)</f>
        <v>183687897.90916666</v>
      </c>
    </row>
    <row r="19" spans="1:7" s="296" customFormat="1" ht="15" customHeight="1">
      <c r="A19" s="297"/>
      <c r="B19" s="297"/>
      <c r="C19" s="308" t="s">
        <v>0</v>
      </c>
      <c r="D19" s="311"/>
      <c r="E19" s="312">
        <f>SUM(E16:E18)</f>
        <v>4018489648.258333</v>
      </c>
      <c r="F19" s="312">
        <f>SUM(F16:F18)</f>
        <v>2581044242.650833</v>
      </c>
      <c r="G19" s="312">
        <f>SUM(E19:F19)</f>
        <v>6599533890.909166</v>
      </c>
    </row>
    <row r="20" spans="2:7" s="296" customFormat="1" ht="18.75" customHeight="1" thickBot="1">
      <c r="B20" s="297"/>
      <c r="C20" s="303" t="s">
        <v>241</v>
      </c>
      <c r="D20" s="297"/>
      <c r="E20" s="304">
        <f>ROUND(+E19/G19,4)</f>
        <v>0.6089</v>
      </c>
      <c r="F20" s="304">
        <f>ROUND(+F19/G19,4)</f>
        <v>0.3911</v>
      </c>
      <c r="G20" s="305">
        <f>SUM(E20:F20)</f>
        <v>1</v>
      </c>
    </row>
    <row r="21" spans="1:4" s="296" customFormat="1" ht="15" customHeight="1" thickTop="1">
      <c r="A21" s="297"/>
      <c r="B21" s="297"/>
      <c r="D21" s="297"/>
    </row>
    <row r="22" spans="1:4" s="296" customFormat="1" ht="15" customHeight="1">
      <c r="A22" s="299">
        <v>4</v>
      </c>
      <c r="B22" s="299" t="s">
        <v>238</v>
      </c>
      <c r="C22" s="300" t="s">
        <v>134</v>
      </c>
      <c r="D22" s="297" t="s">
        <v>245</v>
      </c>
    </row>
    <row r="23" spans="1:7" s="296" customFormat="1" ht="15" customHeight="1">
      <c r="A23" s="297"/>
      <c r="B23" s="297"/>
      <c r="C23" s="296" t="s">
        <v>246</v>
      </c>
      <c r="D23" s="301">
        <v>40359</v>
      </c>
      <c r="E23" s="302">
        <f>+E9</f>
        <v>1078501</v>
      </c>
      <c r="F23" s="302">
        <f>+F9</f>
        <v>750811</v>
      </c>
      <c r="G23" s="302">
        <f>SUM(E23:F23)</f>
        <v>1829312</v>
      </c>
    </row>
    <row r="24" spans="1:7" s="296" customFormat="1" ht="15" customHeight="1">
      <c r="A24" s="297"/>
      <c r="B24" s="297"/>
      <c r="C24" s="303" t="s">
        <v>247</v>
      </c>
      <c r="D24" s="297"/>
      <c r="E24" s="313">
        <f>+E23/G23</f>
        <v>0.5895664599587167</v>
      </c>
      <c r="F24" s="313">
        <f>+F23/G23</f>
        <v>0.4104335400412833</v>
      </c>
      <c r="G24" s="314">
        <f>SUM(E24:F24)</f>
        <v>1</v>
      </c>
    </row>
    <row r="25" spans="1:4" s="296" customFormat="1" ht="15" customHeight="1">
      <c r="A25" s="297"/>
      <c r="B25" s="297"/>
      <c r="D25" s="297"/>
    </row>
    <row r="26" spans="1:7" s="296" customFormat="1" ht="15" customHeight="1">
      <c r="A26" s="297"/>
      <c r="B26" s="297"/>
      <c r="C26" s="296" t="s">
        <v>248</v>
      </c>
      <c r="D26" s="301">
        <v>40359</v>
      </c>
      <c r="E26" s="302">
        <v>47628712.22244404</v>
      </c>
      <c r="F26" s="302">
        <v>23754416.951529805</v>
      </c>
      <c r="G26" s="315">
        <f>SUM(E26:F26)</f>
        <v>71383129.17397384</v>
      </c>
    </row>
    <row r="27" spans="1:7" s="296" customFormat="1" ht="15" customHeight="1">
      <c r="A27" s="297"/>
      <c r="B27" s="297"/>
      <c r="C27" s="303" t="s">
        <v>247</v>
      </c>
      <c r="D27" s="297"/>
      <c r="E27" s="313">
        <f>+E26/G26</f>
        <v>0.6672264549563818</v>
      </c>
      <c r="F27" s="313">
        <f>+F26/G26</f>
        <v>0.3327735450436182</v>
      </c>
      <c r="G27" s="314">
        <f>SUM(E27:F27)</f>
        <v>1</v>
      </c>
    </row>
    <row r="28" spans="1:4" s="296" customFormat="1" ht="15" customHeight="1">
      <c r="A28" s="297"/>
      <c r="B28" s="297"/>
      <c r="D28" s="297"/>
    </row>
    <row r="29" spans="1:7" s="296" customFormat="1" ht="15" customHeight="1">
      <c r="A29" s="297"/>
      <c r="B29" s="297"/>
      <c r="C29" s="296" t="s">
        <v>249</v>
      </c>
      <c r="D29" s="301">
        <v>40359</v>
      </c>
      <c r="E29" s="302">
        <v>69836081.47239268</v>
      </c>
      <c r="F29" s="302">
        <v>27914823.18653493</v>
      </c>
      <c r="G29" s="316">
        <f>SUM(E29:F29)</f>
        <v>97750904.6589276</v>
      </c>
    </row>
    <row r="30" spans="1:7" s="296" customFormat="1" ht="15" customHeight="1">
      <c r="A30" s="297"/>
      <c r="B30" s="297"/>
      <c r="C30" s="303" t="s">
        <v>247</v>
      </c>
      <c r="D30" s="297"/>
      <c r="E30" s="313">
        <f>+E29/G29</f>
        <v>0.7144290041720298</v>
      </c>
      <c r="F30" s="313">
        <f>+F29/G29</f>
        <v>0.28557099582797024</v>
      </c>
      <c r="G30" s="314">
        <f>SUM(E30:F30)</f>
        <v>1</v>
      </c>
    </row>
    <row r="31" spans="1:4" s="296" customFormat="1" ht="15" customHeight="1">
      <c r="A31" s="297"/>
      <c r="B31" s="297"/>
      <c r="D31" s="297"/>
    </row>
    <row r="32" spans="1:7" s="296" customFormat="1" ht="15" customHeight="1">
      <c r="A32" s="297"/>
      <c r="B32" s="297"/>
      <c r="C32" s="296" t="s">
        <v>250</v>
      </c>
      <c r="D32" s="301">
        <v>40359</v>
      </c>
      <c r="E32" s="302">
        <v>3879978868.59125</v>
      </c>
      <c r="F32" s="302">
        <v>1750859729.093334</v>
      </c>
      <c r="G32" s="302">
        <f>SUM(E32:F32)</f>
        <v>5630838597.684584</v>
      </c>
    </row>
    <row r="33" spans="1:7" s="296" customFormat="1" ht="15" customHeight="1">
      <c r="A33" s="297"/>
      <c r="B33" s="297"/>
      <c r="C33" s="303" t="s">
        <v>247</v>
      </c>
      <c r="D33" s="297"/>
      <c r="E33" s="313">
        <f>+E32/G32</f>
        <v>0.6890587967104417</v>
      </c>
      <c r="F33" s="313">
        <f>+F32/G32</f>
        <v>0.3109412032895584</v>
      </c>
      <c r="G33" s="314">
        <f>SUM(E33:F33)</f>
        <v>1</v>
      </c>
    </row>
    <row r="34" spans="1:7" s="296" customFormat="1" ht="15" customHeight="1">
      <c r="A34" s="297"/>
      <c r="D34" s="297"/>
      <c r="E34" s="317"/>
      <c r="F34" s="317"/>
      <c r="G34" s="317"/>
    </row>
    <row r="35" spans="1:12" s="296" customFormat="1" ht="15" customHeight="1">
      <c r="A35" s="297"/>
      <c r="C35" s="296" t="s">
        <v>251</v>
      </c>
      <c r="D35" s="297"/>
      <c r="E35" s="318">
        <f>+E33+E30+E27+E24</f>
        <v>2.66028071579757</v>
      </c>
      <c r="F35" s="318">
        <f>+F33+F30+F27+F24</f>
        <v>1.3397192842024301</v>
      </c>
      <c r="G35" s="318">
        <f>+G33+G30+G27+G24</f>
        <v>4</v>
      </c>
      <c r="L35" s="319"/>
    </row>
    <row r="36" spans="3:12" s="296" customFormat="1" ht="18.75" customHeight="1" thickBot="1">
      <c r="C36" s="296" t="s">
        <v>241</v>
      </c>
      <c r="D36" s="297"/>
      <c r="E36" s="304">
        <f>ROUND(+E35/4,4)</f>
        <v>0.6651</v>
      </c>
      <c r="F36" s="304">
        <f>ROUND(+F35/4,4)</f>
        <v>0.3349</v>
      </c>
      <c r="G36" s="305">
        <f>+G35/4</f>
        <v>1</v>
      </c>
      <c r="L36" s="319"/>
    </row>
    <row r="37" spans="4:12" s="296" customFormat="1" ht="15" customHeight="1" thickTop="1">
      <c r="D37" s="297"/>
      <c r="L37" s="319"/>
    </row>
    <row r="38" spans="1:13" s="296" customFormat="1" ht="15" customHeight="1">
      <c r="A38" s="299">
        <v>5</v>
      </c>
      <c r="B38" s="299" t="s">
        <v>238</v>
      </c>
      <c r="C38" s="300" t="s">
        <v>252</v>
      </c>
      <c r="D38" s="297"/>
      <c r="L38" s="319"/>
      <c r="M38" s="319"/>
    </row>
    <row r="39" spans="3:12" s="296" customFormat="1" ht="15" customHeight="1">
      <c r="C39" s="303" t="s">
        <v>253</v>
      </c>
      <c r="D39" s="301">
        <v>40359</v>
      </c>
      <c r="E39" s="302">
        <v>49678351.67</v>
      </c>
      <c r="F39" s="302">
        <v>24123485.86</v>
      </c>
      <c r="G39" s="302">
        <f>SUM(E39:F39)</f>
        <v>73801837.53</v>
      </c>
      <c r="L39" s="319"/>
    </row>
    <row r="40" spans="3:13" s="296" customFormat="1" ht="15" customHeight="1">
      <c r="C40" s="296" t="s">
        <v>0</v>
      </c>
      <c r="D40" s="297"/>
      <c r="E40" s="320">
        <f>SUM(E39:E39)</f>
        <v>49678351.67</v>
      </c>
      <c r="F40" s="320">
        <f>SUM(F39:F39)</f>
        <v>24123485.86</v>
      </c>
      <c r="G40" s="320">
        <f>SUM(G39:G39)</f>
        <v>73801837.53</v>
      </c>
      <c r="L40" s="319"/>
      <c r="M40" s="319"/>
    </row>
    <row r="41" spans="3:13" s="296" customFormat="1" ht="18.75" customHeight="1" thickBot="1">
      <c r="C41" s="296" t="s">
        <v>241</v>
      </c>
      <c r="D41" s="297"/>
      <c r="E41" s="304">
        <f>ROUND(+E40/G40,4)</f>
        <v>0.6731</v>
      </c>
      <c r="F41" s="304">
        <f>ROUND(+F40/G40,4)</f>
        <v>0.3269</v>
      </c>
      <c r="G41" s="321">
        <f>SUM(E41:F41)</f>
        <v>1</v>
      </c>
      <c r="L41" s="319"/>
      <c r="M41" s="322"/>
    </row>
    <row r="42" s="296" customFormat="1" ht="15" customHeight="1" thickTop="1">
      <c r="D42" s="297"/>
    </row>
    <row r="43" s="296" customFormat="1" ht="15" customHeight="1">
      <c r="D43" s="297"/>
    </row>
    <row r="44" spans="3:4" s="296" customFormat="1" ht="15" customHeight="1">
      <c r="C44" s="322"/>
      <c r="D44" s="297"/>
    </row>
    <row r="45" spans="4:6" s="296" customFormat="1" ht="15" customHeight="1">
      <c r="D45" s="297"/>
      <c r="E45" s="323"/>
      <c r="F45" s="323"/>
    </row>
    <row r="46" spans="5:6" ht="15" customHeight="1">
      <c r="E46" s="324"/>
      <c r="F46" s="324"/>
    </row>
    <row r="47" spans="5:6" ht="15" customHeight="1">
      <c r="E47" s="325"/>
      <c r="F47" s="325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5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7.7109375" style="12" customWidth="1"/>
    <col min="2" max="2" width="31.7109375" style="12" customWidth="1"/>
    <col min="3" max="3" width="16.140625" style="12" customWidth="1"/>
    <col min="4" max="4" width="16.00390625" style="12" customWidth="1"/>
    <col min="5" max="5" width="17.140625" style="12" customWidth="1"/>
    <col min="6" max="6" width="16.140625" style="12" customWidth="1"/>
    <col min="7" max="7" width="15.57421875" style="12" customWidth="1"/>
    <col min="8" max="9" width="16.00390625" style="12" customWidth="1"/>
  </cols>
  <sheetData>
    <row r="1" spans="1:9" ht="13.5" thickBot="1">
      <c r="A1" s="25"/>
      <c r="B1" s="25"/>
      <c r="C1"/>
      <c r="D1"/>
      <c r="E1"/>
      <c r="F1"/>
      <c r="G1"/>
      <c r="H1"/>
      <c r="I1" s="34"/>
    </row>
    <row r="2" spans="1:9" ht="14.25" thickBot="1" thickTop="1">
      <c r="A2" s="3"/>
      <c r="B2" s="3"/>
      <c r="C2" s="3"/>
      <c r="D2" s="3"/>
      <c r="E2" s="3"/>
      <c r="F2" s="3"/>
      <c r="G2" s="3"/>
      <c r="H2" s="3"/>
      <c r="I2" s="104"/>
    </row>
    <row r="3" spans="1:9" ht="13.5" thickTop="1">
      <c r="A3" s="3"/>
      <c r="B3" s="3"/>
      <c r="C3" s="3"/>
      <c r="D3" s="3"/>
      <c r="E3" s="3"/>
      <c r="F3" s="3"/>
      <c r="G3" s="3"/>
      <c r="H3" s="3"/>
      <c r="I3"/>
    </row>
    <row r="4" spans="1:9" ht="12.75">
      <c r="A4" s="6" t="s">
        <v>1</v>
      </c>
      <c r="B4" s="7"/>
      <c r="C4" s="7"/>
      <c r="D4" s="7"/>
      <c r="E4" s="7"/>
      <c r="F4" s="7"/>
      <c r="G4" s="7"/>
      <c r="H4" s="7"/>
      <c r="I4" s="7"/>
    </row>
    <row r="5" spans="1:9" ht="12.75">
      <c r="A5" s="7" t="s">
        <v>17</v>
      </c>
      <c r="B5" s="7"/>
      <c r="C5" s="7"/>
      <c r="D5" s="7"/>
      <c r="E5" s="7"/>
      <c r="F5" s="7"/>
      <c r="G5" s="7"/>
      <c r="H5" s="7"/>
      <c r="I5" s="8"/>
    </row>
    <row r="6" spans="1:9" ht="12.75">
      <c r="A6" s="7" t="str">
        <f>'21.10 Electric'!A6</f>
        <v>FOR THE TWELVE MONTHS ENDED DECEMBER 31, 2010</v>
      </c>
      <c r="B6" s="7"/>
      <c r="C6" s="7"/>
      <c r="D6" s="7"/>
      <c r="E6" s="7"/>
      <c r="F6" s="7"/>
      <c r="G6" s="7"/>
      <c r="H6" s="7"/>
      <c r="I6" s="10"/>
    </row>
    <row r="7" spans="1:9" ht="12.75">
      <c r="A7" s="7" t="str">
        <f>'21.10 Electric'!A7</f>
        <v>2011 GENERAL RATE INCREASE</v>
      </c>
      <c r="B7" s="7"/>
      <c r="C7" s="7"/>
      <c r="D7" s="7"/>
      <c r="E7" s="7"/>
      <c r="F7" s="7"/>
      <c r="G7" s="7"/>
      <c r="H7" s="7"/>
      <c r="I7" s="10"/>
    </row>
    <row r="8" spans="1:9" ht="13.5" thickBot="1">
      <c r="A8" s="3"/>
      <c r="B8" s="33"/>
      <c r="C8" s="33"/>
      <c r="D8" s="33"/>
      <c r="E8" s="33"/>
      <c r="F8" s="3"/>
      <c r="G8" s="3"/>
      <c r="H8" s="3"/>
      <c r="I8" s="3"/>
    </row>
    <row r="9" spans="1:9" ht="12.75">
      <c r="A9" s="110" t="s">
        <v>2</v>
      </c>
      <c r="B9" s="133" t="s">
        <v>4</v>
      </c>
      <c r="C9" s="117" t="s">
        <v>31</v>
      </c>
      <c r="D9" s="118"/>
      <c r="E9" s="119"/>
      <c r="F9" s="117" t="s">
        <v>35</v>
      </c>
      <c r="G9" s="118"/>
      <c r="H9" s="119"/>
      <c r="I9" s="107" t="s">
        <v>5</v>
      </c>
    </row>
    <row r="10" spans="1:9" ht="25.5">
      <c r="A10" s="111" t="s">
        <v>3</v>
      </c>
      <c r="B10" s="112"/>
      <c r="C10" s="358" t="s">
        <v>53</v>
      </c>
      <c r="D10" s="120" t="s">
        <v>54</v>
      </c>
      <c r="E10" s="359" t="s">
        <v>348</v>
      </c>
      <c r="F10" s="358" t="s">
        <v>53</v>
      </c>
      <c r="G10" s="120" t="s">
        <v>54</v>
      </c>
      <c r="H10" s="359" t="s">
        <v>348</v>
      </c>
      <c r="I10" s="108"/>
    </row>
    <row r="11" spans="1:9" ht="13.5" thickBot="1">
      <c r="A11" s="113"/>
      <c r="B11" s="114"/>
      <c r="C11" s="116" t="s">
        <v>14</v>
      </c>
      <c r="D11" s="121" t="s">
        <v>15</v>
      </c>
      <c r="E11" s="109" t="s">
        <v>56</v>
      </c>
      <c r="F11" s="116" t="s">
        <v>16</v>
      </c>
      <c r="G11" s="121" t="s">
        <v>47</v>
      </c>
      <c r="H11" s="109" t="s">
        <v>55</v>
      </c>
      <c r="I11" s="109" t="s">
        <v>58</v>
      </c>
    </row>
    <row r="12" spans="1:9" ht="4.5" customHeight="1" thickBot="1" thickTop="1">
      <c r="A12" s="13"/>
      <c r="B12" s="142"/>
      <c r="C12" s="19"/>
      <c r="D12" s="19"/>
      <c r="E12" s="19"/>
      <c r="F12" s="19"/>
      <c r="G12" s="19"/>
      <c r="H12" s="19"/>
      <c r="I12" s="19"/>
    </row>
    <row r="13" spans="1:9" ht="12.75">
      <c r="A13" s="360">
        <v>1</v>
      </c>
      <c r="B13" s="363" t="s">
        <v>61</v>
      </c>
      <c r="C13" s="380"/>
      <c r="D13" s="124"/>
      <c r="E13" s="126"/>
      <c r="F13" s="378"/>
      <c r="G13" s="125"/>
      <c r="H13" s="385"/>
      <c r="I13" s="367"/>
    </row>
    <row r="14" spans="1:9" ht="12.75">
      <c r="A14" s="361">
        <f aca="true" t="shared" si="0" ref="A14:A22">+A13+1</f>
        <v>2</v>
      </c>
      <c r="B14" s="364" t="s">
        <v>33</v>
      </c>
      <c r="C14" s="381">
        <f>'Electric wage increase ratios'!E15</f>
        <v>0.04512301404332604</v>
      </c>
      <c r="D14" s="127">
        <f>'Incent &amp; Related PR Tax - TY'!C21</f>
        <v>5789564.45756088</v>
      </c>
      <c r="E14" s="137">
        <f>C14*D14</f>
        <v>261242.5983232609</v>
      </c>
      <c r="F14" s="374">
        <f>ROUND('Electric wage increase ratios'!H15,5)</f>
        <v>0.04481</v>
      </c>
      <c r="G14" s="127">
        <f>'4 Year Average 2010- RY'!$O$21</f>
        <v>5103951.148397593</v>
      </c>
      <c r="H14" s="386">
        <f aca="true" t="shared" si="1" ref="H14:H20">F14*G14</f>
        <v>228708.05095969615</v>
      </c>
      <c r="I14" s="368">
        <f>H14-E14</f>
        <v>-32534.54736356475</v>
      </c>
    </row>
    <row r="15" spans="1:9" ht="12.75">
      <c r="A15" s="361">
        <f t="shared" si="0"/>
        <v>3</v>
      </c>
      <c r="B15" s="364" t="s">
        <v>34</v>
      </c>
      <c r="C15" s="381">
        <f>ROUND('Electric wage increase ratios'!E16,6)</f>
        <v>0.224411</v>
      </c>
      <c r="D15" s="135">
        <f>D14</f>
        <v>5789564.45756088</v>
      </c>
      <c r="E15" s="136">
        <f aca="true" t="shared" si="2" ref="E15:E21">C15*D15</f>
        <v>1299241.9494856948</v>
      </c>
      <c r="F15" s="374">
        <f>ROUND('Electric wage increase ratios'!H16,5)</f>
        <v>0.2248</v>
      </c>
      <c r="G15" s="135">
        <f>'4 Year Average 2010- RY'!$O$21</f>
        <v>5103951.148397593</v>
      </c>
      <c r="H15" s="387">
        <f t="shared" si="1"/>
        <v>1147368.218159779</v>
      </c>
      <c r="I15" s="369">
        <f aca="true" t="shared" si="3" ref="I15:I21">H15-E15</f>
        <v>-151873.73132591578</v>
      </c>
    </row>
    <row r="16" spans="1:9" ht="12.75">
      <c r="A16" s="361">
        <f t="shared" si="0"/>
        <v>4</v>
      </c>
      <c r="B16" s="364" t="s">
        <v>24</v>
      </c>
      <c r="C16" s="381">
        <f>ROUND('Electric wage increase ratios'!E17,6)</f>
        <v>0.036293</v>
      </c>
      <c r="D16" s="135">
        <f aca="true" t="shared" si="4" ref="D16:D22">D15</f>
        <v>5789564.45756088</v>
      </c>
      <c r="E16" s="136">
        <f t="shared" si="2"/>
        <v>210120.662858257</v>
      </c>
      <c r="F16" s="374">
        <f>ROUND('Electric wage increase ratios'!H17,5)</f>
        <v>0.03612</v>
      </c>
      <c r="G16" s="135">
        <f>'4 Year Average 2010- RY'!$O$21</f>
        <v>5103951.148397593</v>
      </c>
      <c r="H16" s="387">
        <f t="shared" si="1"/>
        <v>184354.71548012106</v>
      </c>
      <c r="I16" s="369">
        <f t="shared" si="3"/>
        <v>-25765.947378135956</v>
      </c>
    </row>
    <row r="17" spans="1:9" ht="12.75">
      <c r="A17" s="361">
        <f t="shared" si="0"/>
        <v>5</v>
      </c>
      <c r="B17" s="364" t="s">
        <v>25</v>
      </c>
      <c r="C17" s="381">
        <f>ROUND('Electric wage increase ratios'!E18,6)</f>
        <v>0.260039</v>
      </c>
      <c r="D17" s="135">
        <f t="shared" si="4"/>
        <v>5789564.45756088</v>
      </c>
      <c r="E17" s="136">
        <f t="shared" si="2"/>
        <v>1505512.5519796738</v>
      </c>
      <c r="F17" s="374">
        <f>ROUND('Electric wage increase ratios'!H18,5)</f>
        <v>0.26106</v>
      </c>
      <c r="G17" s="135">
        <f>'4 Year Average 2010- RY'!$O$21</f>
        <v>5103951.148397593</v>
      </c>
      <c r="H17" s="387">
        <f>F17*G17</f>
        <v>1332437.4868006757</v>
      </c>
      <c r="I17" s="369">
        <f t="shared" si="3"/>
        <v>-173075.06517899805</v>
      </c>
    </row>
    <row r="18" spans="1:9" ht="12.75">
      <c r="A18" s="361">
        <f t="shared" si="0"/>
        <v>6</v>
      </c>
      <c r="B18" s="364" t="s">
        <v>26</v>
      </c>
      <c r="C18" s="381">
        <f>ROUND('Electric wage increase ratios'!E19,6)</f>
        <v>0.154387</v>
      </c>
      <c r="D18" s="135">
        <f t="shared" si="4"/>
        <v>5789564.45756088</v>
      </c>
      <c r="E18" s="136">
        <f t="shared" si="2"/>
        <v>893833.4879094516</v>
      </c>
      <c r="F18" s="374">
        <f>ROUND('Electric wage increase ratios'!H19,5)</f>
        <v>0.15511</v>
      </c>
      <c r="G18" s="135">
        <f>'4 Year Average 2010- RY'!$O$21</f>
        <v>5103951.148397593</v>
      </c>
      <c r="H18" s="387">
        <f t="shared" si="1"/>
        <v>791673.8626279506</v>
      </c>
      <c r="I18" s="369">
        <f t="shared" si="3"/>
        <v>-102159.62528150098</v>
      </c>
    </row>
    <row r="19" spans="1:9" ht="12.75">
      <c r="A19" s="361">
        <f t="shared" si="0"/>
        <v>7</v>
      </c>
      <c r="B19" s="364" t="s">
        <v>27</v>
      </c>
      <c r="C19" s="381">
        <f>ROUND('Electric wage increase ratios'!E20,6)</f>
        <v>0.013674</v>
      </c>
      <c r="D19" s="135">
        <f t="shared" si="4"/>
        <v>5789564.45756088</v>
      </c>
      <c r="E19" s="136">
        <f t="shared" si="2"/>
        <v>79166.50439268748</v>
      </c>
      <c r="F19" s="374">
        <f>ROUND('Electric wage increase ratios'!H20,5)</f>
        <v>0.01364</v>
      </c>
      <c r="G19" s="135">
        <f>'4 Year Average 2010- RY'!$O$21</f>
        <v>5103951.148397593</v>
      </c>
      <c r="H19" s="387">
        <f t="shared" si="1"/>
        <v>69617.89366414316</v>
      </c>
      <c r="I19" s="369">
        <f t="shared" si="3"/>
        <v>-9548.610728544314</v>
      </c>
    </row>
    <row r="20" spans="1:9" ht="12.75">
      <c r="A20" s="361">
        <f t="shared" si="0"/>
        <v>8</v>
      </c>
      <c r="B20" s="364" t="s">
        <v>28</v>
      </c>
      <c r="C20" s="381">
        <f>ROUND('Electric wage increase ratios'!E21,6)</f>
        <v>0.001339</v>
      </c>
      <c r="D20" s="135">
        <f t="shared" si="4"/>
        <v>5789564.45756088</v>
      </c>
      <c r="E20" s="136">
        <f t="shared" si="2"/>
        <v>7752.226808674018</v>
      </c>
      <c r="F20" s="374">
        <f>ROUND('Electric wage increase ratios'!H21,5)</f>
        <v>0.00133</v>
      </c>
      <c r="G20" s="135">
        <f>'4 Year Average 2010- RY'!$O$21</f>
        <v>5103951.148397593</v>
      </c>
      <c r="H20" s="387">
        <f t="shared" si="1"/>
        <v>6788.255027368798</v>
      </c>
      <c r="I20" s="369">
        <f t="shared" si="3"/>
        <v>-963.9717813052193</v>
      </c>
    </row>
    <row r="21" spans="1:9" ht="12.75">
      <c r="A21" s="362">
        <f t="shared" si="0"/>
        <v>9</v>
      </c>
      <c r="B21" s="365" t="s">
        <v>29</v>
      </c>
      <c r="C21" s="382">
        <f>ROUND('Electric wage increase ratios'!E22,6)</f>
        <v>0.264734</v>
      </c>
      <c r="D21" s="138">
        <f t="shared" si="4"/>
        <v>5789564.45756088</v>
      </c>
      <c r="E21" s="139">
        <f t="shared" si="2"/>
        <v>1532694.5571079222</v>
      </c>
      <c r="F21" s="375">
        <f>ROUND('Electric wage increase ratios'!H22,5)</f>
        <v>0.26314</v>
      </c>
      <c r="G21" s="138">
        <f>'4 Year Average 2010- RY'!$O$21</f>
        <v>5103951.148397593</v>
      </c>
      <c r="H21" s="388">
        <f>F21*G21-1</f>
        <v>1343052.7051893426</v>
      </c>
      <c r="I21" s="370">
        <f t="shared" si="3"/>
        <v>-189641.85191857954</v>
      </c>
    </row>
    <row r="22" spans="1:9" ht="12.75">
      <c r="A22" s="361">
        <f t="shared" si="0"/>
        <v>10</v>
      </c>
      <c r="B22" s="366" t="s">
        <v>59</v>
      </c>
      <c r="C22" s="383">
        <f>SUM(C13:C21)</f>
        <v>1.000000014043326</v>
      </c>
      <c r="D22" s="135">
        <f t="shared" si="4"/>
        <v>5789564.45756088</v>
      </c>
      <c r="E22" s="137">
        <f>SUM(E14:E21)</f>
        <v>5789564.538865622</v>
      </c>
      <c r="F22" s="376">
        <f>SUM(F13:F21)</f>
        <v>1.00001</v>
      </c>
      <c r="G22" s="127">
        <f>'4 Year Average 2010- RY'!O21</f>
        <v>5103951.148397593</v>
      </c>
      <c r="H22" s="386">
        <f>SUM(H13:H21)</f>
        <v>5104001.187909077</v>
      </c>
      <c r="I22" s="371">
        <f>SUM(I13:I21)</f>
        <v>-685563.3509565445</v>
      </c>
    </row>
    <row r="23" spans="1:9" ht="13.5" thickBot="1">
      <c r="A23" s="373"/>
      <c r="B23" s="377"/>
      <c r="C23" s="384"/>
      <c r="D23" s="130"/>
      <c r="E23" s="132"/>
      <c r="F23" s="379"/>
      <c r="G23" s="131"/>
      <c r="H23" s="389"/>
      <c r="I23" s="372"/>
    </row>
    <row r="24" spans="1:9" ht="12.75">
      <c r="A24" s="19"/>
      <c r="B24" s="19"/>
      <c r="C24" s="36"/>
      <c r="D24" s="36"/>
      <c r="E24" s="36"/>
      <c r="F24" s="36"/>
      <c r="G24" s="36"/>
      <c r="H24" s="36"/>
      <c r="I24" s="36"/>
    </row>
    <row r="25" spans="3:9" ht="12.75">
      <c r="C25" s="36"/>
      <c r="D25" s="36"/>
      <c r="E25" s="36"/>
      <c r="F25" s="36"/>
      <c r="G25" s="36"/>
      <c r="H25" s="36"/>
      <c r="I25" s="36"/>
    </row>
    <row r="26" spans="3:9" ht="12.75">
      <c r="C26" s="36"/>
      <c r="D26" s="36"/>
      <c r="E26" s="36"/>
      <c r="F26" s="36"/>
      <c r="G26" s="36"/>
      <c r="H26" s="36"/>
      <c r="I26" s="36"/>
    </row>
    <row r="27" spans="1:9" ht="12.75">
      <c r="A27" s="19"/>
      <c r="B27" s="19"/>
      <c r="C27" s="36"/>
      <c r="D27" s="36"/>
      <c r="E27" s="36"/>
      <c r="F27" s="36"/>
      <c r="G27" s="36"/>
      <c r="H27" s="36"/>
      <c r="I27" s="36"/>
    </row>
    <row r="28" spans="3:9" ht="12.75">
      <c r="C28" s="36"/>
      <c r="D28" s="274"/>
      <c r="E28" s="36"/>
      <c r="F28" s="36"/>
      <c r="G28" s="36"/>
      <c r="H28" s="36"/>
      <c r="I28" s="36"/>
    </row>
    <row r="29" spans="3:9" ht="12.75">
      <c r="C29" s="35"/>
      <c r="D29" s="35"/>
      <c r="E29" s="35"/>
      <c r="F29" s="35"/>
      <c r="G29" s="35"/>
      <c r="H29" s="35"/>
      <c r="I29" s="35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8"/>
      <c r="D31" s="38"/>
      <c r="E31" s="38"/>
      <c r="F31" s="38"/>
      <c r="G31" s="38"/>
      <c r="H31" s="38"/>
      <c r="I31" s="39"/>
    </row>
    <row r="32" spans="1:9" ht="12.75">
      <c r="A32" s="40"/>
      <c r="B32" s="40"/>
      <c r="C32" s="37"/>
      <c r="D32" s="37"/>
      <c r="E32" s="37"/>
      <c r="F32" s="37"/>
      <c r="G32" s="37"/>
      <c r="H32" s="37"/>
      <c r="I32" s="37"/>
    </row>
    <row r="33" spans="3:9" ht="12.75">
      <c r="C33" s="41"/>
      <c r="D33" s="41"/>
      <c r="E33" s="41"/>
      <c r="F33" s="41"/>
      <c r="G33" s="41"/>
      <c r="H33" s="41"/>
      <c r="I33" s="20"/>
    </row>
    <row r="34" spans="3:9" ht="12.75">
      <c r="C34" s="42"/>
      <c r="D34" s="42"/>
      <c r="E34" s="42"/>
      <c r="F34" s="42"/>
      <c r="G34" s="42"/>
      <c r="H34" s="42"/>
      <c r="I34" s="42"/>
    </row>
    <row r="35" spans="3:9" ht="12.75">
      <c r="C35" s="42"/>
      <c r="D35" s="42"/>
      <c r="E35" s="42"/>
      <c r="F35" s="42"/>
      <c r="G35" s="42"/>
      <c r="H35" s="42"/>
      <c r="I35" s="42"/>
    </row>
    <row r="36" spans="3:9" ht="12.75">
      <c r="C36" s="43"/>
      <c r="D36" s="43"/>
      <c r="E36" s="43"/>
      <c r="F36" s="42"/>
      <c r="G36" s="42"/>
      <c r="H36" s="42"/>
      <c r="I36" s="42"/>
    </row>
    <row r="37" spans="3:9" ht="12.75">
      <c r="C37" s="35"/>
      <c r="D37" s="35"/>
      <c r="E37" s="35"/>
      <c r="F37" s="35"/>
      <c r="G37" s="35"/>
      <c r="H37" s="35"/>
      <c r="I37" s="35"/>
    </row>
    <row r="38" spans="3:9" ht="12.75">
      <c r="C38" s="36"/>
      <c r="D38" s="36"/>
      <c r="E38" s="36"/>
      <c r="F38" s="36"/>
      <c r="G38" s="36"/>
      <c r="H38" s="36"/>
      <c r="I38" s="36"/>
    </row>
    <row r="39" spans="3:9" ht="12.75">
      <c r="C39" s="36"/>
      <c r="D39" s="36"/>
      <c r="E39" s="36"/>
      <c r="F39" s="36"/>
      <c r="G39" s="36"/>
      <c r="H39" s="36"/>
      <c r="I39" s="36"/>
    </row>
    <row r="40" spans="3:9" ht="12.75">
      <c r="C40" s="36"/>
      <c r="D40" s="36"/>
      <c r="E40" s="36"/>
      <c r="F40" s="36"/>
      <c r="G40" s="36"/>
      <c r="H40" s="36"/>
      <c r="I40" s="36"/>
    </row>
    <row r="41" spans="3:9" ht="12.75">
      <c r="C41" s="36"/>
      <c r="D41" s="36"/>
      <c r="E41" s="36"/>
      <c r="F41" s="36"/>
      <c r="G41" s="36"/>
      <c r="H41" s="36"/>
      <c r="I41" s="36"/>
    </row>
    <row r="42" spans="3:9" ht="12.75">
      <c r="C42" s="36"/>
      <c r="D42" s="36"/>
      <c r="E42" s="36"/>
      <c r="F42" s="36"/>
      <c r="G42" s="36"/>
      <c r="H42" s="36"/>
      <c r="I42" s="36"/>
    </row>
    <row r="43" spans="3:9" ht="12.75">
      <c r="C43" s="36"/>
      <c r="D43" s="36"/>
      <c r="E43" s="36"/>
      <c r="F43" s="36"/>
      <c r="G43" s="36"/>
      <c r="H43" s="36"/>
      <c r="I43" s="36"/>
    </row>
    <row r="44" spans="3:9" ht="12.75">
      <c r="C44" s="36"/>
      <c r="D44" s="36"/>
      <c r="E44" s="36"/>
      <c r="F44" s="36"/>
      <c r="G44" s="36"/>
      <c r="H44" s="36"/>
      <c r="I44" s="36"/>
    </row>
    <row r="45" spans="3:9" ht="12.75">
      <c r="C45" s="36"/>
      <c r="D45" s="36"/>
      <c r="E45" s="36"/>
      <c r="F45" s="36"/>
      <c r="G45" s="36"/>
      <c r="H45" s="36"/>
      <c r="I45" s="36"/>
    </row>
    <row r="46" spans="3:9" ht="12.75">
      <c r="C46" s="36"/>
      <c r="D46" s="36"/>
      <c r="E46" s="36"/>
      <c r="F46" s="36"/>
      <c r="G46" s="36"/>
      <c r="H46" s="36"/>
      <c r="I46" s="36"/>
    </row>
    <row r="47" spans="3:9" ht="12.75">
      <c r="C47" s="36"/>
      <c r="D47" s="36"/>
      <c r="E47" s="36"/>
      <c r="F47" s="36"/>
      <c r="G47" s="36"/>
      <c r="H47" s="36"/>
      <c r="I47" s="36"/>
    </row>
    <row r="48" spans="1:9" ht="12.75">
      <c r="A48" s="44"/>
      <c r="B48" s="44"/>
      <c r="C48" s="35"/>
      <c r="D48" s="35"/>
      <c r="E48" s="35"/>
      <c r="F48" s="35"/>
      <c r="G48" s="35"/>
      <c r="H48" s="35"/>
      <c r="I48" s="35"/>
    </row>
    <row r="49" spans="1:9" ht="12.75">
      <c r="A49" s="44"/>
      <c r="B49" s="44"/>
      <c r="C49" s="37"/>
      <c r="D49" s="37"/>
      <c r="E49" s="37"/>
      <c r="F49" s="37"/>
      <c r="G49" s="37"/>
      <c r="H49" s="37"/>
      <c r="I49" s="37"/>
    </row>
    <row r="50" spans="1:9" ht="12.75">
      <c r="A50" s="44"/>
      <c r="B50" s="44"/>
      <c r="C50" s="38"/>
      <c r="D50" s="38"/>
      <c r="E50" s="38"/>
      <c r="F50" s="38"/>
      <c r="G50" s="38"/>
      <c r="H50" s="38"/>
      <c r="I50" s="39"/>
    </row>
    <row r="51" spans="1:9" ht="12.75">
      <c r="A51" s="44"/>
      <c r="B51" s="44"/>
      <c r="C51" s="37"/>
      <c r="D51" s="37"/>
      <c r="E51" s="37"/>
      <c r="F51" s="37"/>
      <c r="G51" s="37"/>
      <c r="H51" s="37"/>
      <c r="I51" s="37"/>
    </row>
    <row r="52" spans="1:9" ht="12.75">
      <c r="A52" s="44"/>
      <c r="B52" s="44"/>
      <c r="C52" s="41"/>
      <c r="D52" s="41"/>
      <c r="E52" s="41"/>
      <c r="F52" s="41"/>
      <c r="G52" s="41"/>
      <c r="H52" s="41"/>
      <c r="I52" s="20"/>
    </row>
    <row r="53" spans="1:2" ht="12.75">
      <c r="A53" s="44"/>
      <c r="B53" s="44"/>
    </row>
    <row r="54" spans="1:2" ht="12.75">
      <c r="A54" s="44"/>
      <c r="B54" s="44"/>
    </row>
  </sheetData>
  <sheetProtection/>
  <printOptions/>
  <pageMargins left="0.61" right="0.5" top="1" bottom="0.88" header="0.5" footer="0.5"/>
  <pageSetup horizontalDpi="600" verticalDpi="600" orientation="landscape" scale="80" r:id="rId1"/>
  <ignoredErrors>
    <ignoredError sqref="H22 E14:E21 C22 I14:I21 H18:H20 I22 F22 E22 H14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5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8515625" style="12" customWidth="1"/>
    <col min="2" max="2" width="23.28125" style="12" bestFit="1" customWidth="1"/>
    <col min="3" max="9" width="15.421875" style="12" customWidth="1"/>
  </cols>
  <sheetData>
    <row r="1" spans="1:9" ht="12.75">
      <c r="A1" s="32"/>
      <c r="B1" s="25"/>
      <c r="C1"/>
      <c r="D1"/>
      <c r="E1"/>
      <c r="F1"/>
      <c r="G1"/>
      <c r="H1"/>
      <c r="I1" s="34"/>
    </row>
    <row r="2" spans="1:9" ht="12.75">
      <c r="A2" s="25"/>
      <c r="B2" s="25"/>
      <c r="C2"/>
      <c r="D2"/>
      <c r="E2"/>
      <c r="F2"/>
      <c r="G2"/>
      <c r="H2"/>
      <c r="I2"/>
    </row>
    <row r="3" spans="1:9" ht="12.75">
      <c r="A3" s="3"/>
      <c r="B3" s="3"/>
      <c r="C3" s="3"/>
      <c r="D3" s="3"/>
      <c r="E3" s="3"/>
      <c r="F3" s="3"/>
      <c r="G3" s="3"/>
      <c r="H3" s="3"/>
      <c r="I3"/>
    </row>
    <row r="4" spans="1:9" ht="12.75">
      <c r="A4" s="3"/>
      <c r="B4" s="3"/>
      <c r="C4" s="3"/>
      <c r="D4" s="3"/>
      <c r="E4" s="3"/>
      <c r="F4" s="3"/>
      <c r="G4" s="3"/>
      <c r="H4" s="3"/>
      <c r="I4"/>
    </row>
    <row r="5" spans="1:9" ht="12.75">
      <c r="A5" s="6" t="s">
        <v>30</v>
      </c>
      <c r="B5" s="7"/>
      <c r="C5" s="7"/>
      <c r="D5" s="7"/>
      <c r="E5" s="7"/>
      <c r="F5" s="7"/>
      <c r="G5" s="7"/>
      <c r="H5" s="7"/>
      <c r="I5" s="7"/>
    </row>
    <row r="6" spans="1:9" ht="12.75">
      <c r="A6" s="7" t="s">
        <v>347</v>
      </c>
      <c r="B6" s="7"/>
      <c r="C6" s="7"/>
      <c r="D6" s="7"/>
      <c r="E6" s="7"/>
      <c r="F6" s="7"/>
      <c r="G6" s="7"/>
      <c r="H6" s="7"/>
      <c r="I6" s="8"/>
    </row>
    <row r="7" spans="1:9" ht="12.75">
      <c r="A7" s="7" t="str">
        <f>'21.10 Electric'!A6</f>
        <v>FOR THE TWELVE MONTHS ENDED DECEMBER 31, 2010</v>
      </c>
      <c r="B7" s="7"/>
      <c r="C7" s="7"/>
      <c r="D7" s="7"/>
      <c r="E7" s="7"/>
      <c r="F7" s="7"/>
      <c r="G7" s="7"/>
      <c r="H7" s="7"/>
      <c r="I7" s="10"/>
    </row>
    <row r="8" spans="1:9" ht="12.75">
      <c r="A8" s="7" t="str">
        <f>'21.10 Electric'!A7</f>
        <v>2011 GENERAL RATE INCREASE</v>
      </c>
      <c r="B8" s="7"/>
      <c r="C8" s="7"/>
      <c r="D8" s="7"/>
      <c r="E8" s="7"/>
      <c r="F8" s="7"/>
      <c r="G8" s="7"/>
      <c r="H8" s="7"/>
      <c r="I8" s="10"/>
    </row>
    <row r="9" spans="1:9" ht="13.5" thickBot="1">
      <c r="A9" s="3"/>
      <c r="B9" s="33"/>
      <c r="C9" s="33"/>
      <c r="D9" s="33"/>
      <c r="E9" s="33"/>
      <c r="F9" s="3"/>
      <c r="G9" s="3"/>
      <c r="H9" s="3"/>
      <c r="I9" s="3"/>
    </row>
    <row r="10" spans="1:9" ht="12.75">
      <c r="A10" s="110" t="s">
        <v>2</v>
      </c>
      <c r="B10" s="133" t="s">
        <v>4</v>
      </c>
      <c r="C10" s="117" t="s">
        <v>31</v>
      </c>
      <c r="D10" s="118"/>
      <c r="E10" s="119"/>
      <c r="F10" s="117" t="s">
        <v>35</v>
      </c>
      <c r="G10" s="118"/>
      <c r="H10" s="119"/>
      <c r="I10" s="107" t="s">
        <v>5</v>
      </c>
    </row>
    <row r="11" spans="1:9" ht="12.75">
      <c r="A11" s="111" t="s">
        <v>3</v>
      </c>
      <c r="B11" s="112"/>
      <c r="C11" s="115" t="s">
        <v>49</v>
      </c>
      <c r="D11" s="120" t="s">
        <v>51</v>
      </c>
      <c r="E11" s="108" t="s">
        <v>32</v>
      </c>
      <c r="F11" s="115" t="s">
        <v>49</v>
      </c>
      <c r="G11" s="120" t="s">
        <v>51</v>
      </c>
      <c r="H11" s="108" t="s">
        <v>32</v>
      </c>
      <c r="I11" s="108"/>
    </row>
    <row r="12" spans="1:9" ht="13.5" thickBot="1">
      <c r="A12" s="113"/>
      <c r="B12" s="114"/>
      <c r="C12" s="116" t="s">
        <v>14</v>
      </c>
      <c r="D12" s="121" t="s">
        <v>15</v>
      </c>
      <c r="E12" s="109" t="s">
        <v>50</v>
      </c>
      <c r="F12" s="116" t="s">
        <v>16</v>
      </c>
      <c r="G12" s="121" t="s">
        <v>47</v>
      </c>
      <c r="H12" s="109" t="s">
        <v>52</v>
      </c>
      <c r="I12" s="109" t="s">
        <v>57</v>
      </c>
    </row>
    <row r="13" spans="1:9" ht="4.5" customHeight="1" thickBot="1" thickTop="1">
      <c r="A13" s="13"/>
      <c r="B13" s="23"/>
      <c r="C13" s="19"/>
      <c r="D13" s="19"/>
      <c r="E13" s="19"/>
      <c r="F13" s="19"/>
      <c r="G13" s="19"/>
      <c r="H13" s="19"/>
      <c r="I13" s="19"/>
    </row>
    <row r="14" spans="1:9" ht="12.75">
      <c r="A14" s="360">
        <v>1</v>
      </c>
      <c r="B14" s="394" t="s">
        <v>36</v>
      </c>
      <c r="C14" s="380"/>
      <c r="D14" s="124"/>
      <c r="E14" s="126"/>
      <c r="F14" s="378"/>
      <c r="G14" s="125"/>
      <c r="H14" s="385"/>
      <c r="I14" s="367"/>
    </row>
    <row r="15" spans="1:9" ht="12.75">
      <c r="A15" s="361">
        <f aca="true" t="shared" si="0" ref="A15:A23">+A14+1</f>
        <v>2</v>
      </c>
      <c r="B15" s="364" t="s">
        <v>33</v>
      </c>
      <c r="C15" s="390">
        <v>3782810</v>
      </c>
      <c r="D15" s="127">
        <f>$C$23</f>
        <v>83833274</v>
      </c>
      <c r="E15" s="395">
        <f aca="true" t="shared" si="1" ref="E15:E22">C15/D15</f>
        <v>0.04512301404332604</v>
      </c>
      <c r="F15" s="390">
        <v>3895159</v>
      </c>
      <c r="G15" s="127">
        <f>$F$23</f>
        <v>86926529</v>
      </c>
      <c r="H15" s="400">
        <f>F15/G15</f>
        <v>0.04480978413390922</v>
      </c>
      <c r="I15" s="368">
        <f aca="true" t="shared" si="2" ref="I15:I22">F15-C15</f>
        <v>112349</v>
      </c>
    </row>
    <row r="16" spans="1:9" ht="12.75">
      <c r="A16" s="361">
        <f t="shared" si="0"/>
        <v>3</v>
      </c>
      <c r="B16" s="364" t="s">
        <v>34</v>
      </c>
      <c r="C16" s="449">
        <v>18813086</v>
      </c>
      <c r="D16" s="128">
        <f aca="true" t="shared" si="3" ref="D16:D22">$C$23</f>
        <v>83833274</v>
      </c>
      <c r="E16" s="396">
        <f t="shared" si="1"/>
        <v>0.22441072741594226</v>
      </c>
      <c r="F16" s="391">
        <v>19540902</v>
      </c>
      <c r="G16" s="128">
        <f aca="true" t="shared" si="4" ref="G16:G22">$F$23</f>
        <v>86926529</v>
      </c>
      <c r="H16" s="400">
        <f aca="true" t="shared" si="5" ref="H16:H22">F16/G16</f>
        <v>0.22479790950815487</v>
      </c>
      <c r="I16" s="403">
        <f t="shared" si="2"/>
        <v>727816</v>
      </c>
    </row>
    <row r="17" spans="1:9" ht="12.75">
      <c r="A17" s="361">
        <f t="shared" si="0"/>
        <v>4</v>
      </c>
      <c r="B17" s="364" t="s">
        <v>24</v>
      </c>
      <c r="C17" s="391">
        <v>3042579</v>
      </c>
      <c r="D17" s="128">
        <f t="shared" si="3"/>
        <v>83833274</v>
      </c>
      <c r="E17" s="396">
        <f t="shared" si="1"/>
        <v>0.036293214553448076</v>
      </c>
      <c r="F17" s="391">
        <v>3139382</v>
      </c>
      <c r="G17" s="128">
        <f t="shared" si="4"/>
        <v>86926529</v>
      </c>
      <c r="H17" s="400">
        <f t="shared" si="5"/>
        <v>0.03611534978004241</v>
      </c>
      <c r="I17" s="403">
        <f t="shared" si="2"/>
        <v>96803</v>
      </c>
    </row>
    <row r="18" spans="1:9" ht="12.75">
      <c r="A18" s="361">
        <f t="shared" si="0"/>
        <v>5</v>
      </c>
      <c r="B18" s="364" t="s">
        <v>25</v>
      </c>
      <c r="C18" s="391">
        <v>21799940</v>
      </c>
      <c r="D18" s="128">
        <f t="shared" si="3"/>
        <v>83833274</v>
      </c>
      <c r="E18" s="396">
        <f t="shared" si="1"/>
        <v>0.2600392297693157</v>
      </c>
      <c r="F18" s="391">
        <v>22692972</v>
      </c>
      <c r="G18" s="128">
        <f t="shared" si="4"/>
        <v>86926529</v>
      </c>
      <c r="H18" s="400">
        <f>F18/G18</f>
        <v>0.26105922163301837</v>
      </c>
      <c r="I18" s="403">
        <f t="shared" si="2"/>
        <v>893032</v>
      </c>
    </row>
    <row r="19" spans="1:9" ht="12.75">
      <c r="A19" s="361">
        <f t="shared" si="0"/>
        <v>6</v>
      </c>
      <c r="B19" s="364" t="s">
        <v>26</v>
      </c>
      <c r="C19" s="391">
        <v>12942747</v>
      </c>
      <c r="D19" s="128">
        <f t="shared" si="3"/>
        <v>83833274</v>
      </c>
      <c r="E19" s="396">
        <f t="shared" si="1"/>
        <v>0.15438675340295072</v>
      </c>
      <c r="F19" s="391">
        <v>13483213</v>
      </c>
      <c r="G19" s="128">
        <f t="shared" si="4"/>
        <v>86926529</v>
      </c>
      <c r="H19" s="400">
        <f t="shared" si="5"/>
        <v>0.15511044965340787</v>
      </c>
      <c r="I19" s="403">
        <f t="shared" si="2"/>
        <v>540466</v>
      </c>
    </row>
    <row r="20" spans="1:9" ht="12.75">
      <c r="A20" s="361">
        <f t="shared" si="0"/>
        <v>7</v>
      </c>
      <c r="B20" s="364" t="s">
        <v>27</v>
      </c>
      <c r="C20" s="391">
        <v>1146347</v>
      </c>
      <c r="D20" s="128">
        <f t="shared" si="3"/>
        <v>83833274</v>
      </c>
      <c r="E20" s="396">
        <f t="shared" si="1"/>
        <v>0.013674128962206582</v>
      </c>
      <c r="F20" s="391">
        <v>1185620</v>
      </c>
      <c r="G20" s="128">
        <f t="shared" si="4"/>
        <v>86926529</v>
      </c>
      <c r="H20" s="400">
        <f t="shared" si="5"/>
        <v>0.01363933443149444</v>
      </c>
      <c r="I20" s="403">
        <f t="shared" si="2"/>
        <v>39273</v>
      </c>
    </row>
    <row r="21" spans="1:9" ht="12.75">
      <c r="A21" s="361">
        <f t="shared" si="0"/>
        <v>8</v>
      </c>
      <c r="B21" s="364" t="s">
        <v>28</v>
      </c>
      <c r="C21" s="391">
        <v>112249</v>
      </c>
      <c r="D21" s="128">
        <f t="shared" si="3"/>
        <v>83833274</v>
      </c>
      <c r="E21" s="396">
        <f t="shared" si="1"/>
        <v>0.0013389552220040935</v>
      </c>
      <c r="F21" s="391">
        <v>115583</v>
      </c>
      <c r="G21" s="128">
        <f t="shared" si="4"/>
        <v>86926529</v>
      </c>
      <c r="H21" s="400">
        <f t="shared" si="5"/>
        <v>0.0013296631227504782</v>
      </c>
      <c r="I21" s="403">
        <f t="shared" si="2"/>
        <v>3334</v>
      </c>
    </row>
    <row r="22" spans="1:9" ht="12.75">
      <c r="A22" s="362">
        <f t="shared" si="0"/>
        <v>9</v>
      </c>
      <c r="B22" s="365" t="s">
        <v>29</v>
      </c>
      <c r="C22" s="392">
        <v>22193516</v>
      </c>
      <c r="D22" s="129">
        <f t="shared" si="3"/>
        <v>83833274</v>
      </c>
      <c r="E22" s="397">
        <f t="shared" si="1"/>
        <v>0.2647339766308065</v>
      </c>
      <c r="F22" s="392">
        <v>22873698</v>
      </c>
      <c r="G22" s="129">
        <f t="shared" si="4"/>
        <v>86926529</v>
      </c>
      <c r="H22" s="401">
        <f t="shared" si="5"/>
        <v>0.2631382877372223</v>
      </c>
      <c r="I22" s="404">
        <f t="shared" si="2"/>
        <v>680182</v>
      </c>
    </row>
    <row r="23" spans="1:9" ht="12.75">
      <c r="A23" s="361">
        <f t="shared" si="0"/>
        <v>10</v>
      </c>
      <c r="B23" s="366" t="s">
        <v>37</v>
      </c>
      <c r="C23" s="398">
        <f>SUM(C14:C22)</f>
        <v>83833274</v>
      </c>
      <c r="D23" s="134">
        <f>C23</f>
        <v>83833274</v>
      </c>
      <c r="E23" s="399">
        <f>SUM(E15:E22)</f>
        <v>1</v>
      </c>
      <c r="F23" s="393">
        <f>SUM(F14:F22)</f>
        <v>86926529</v>
      </c>
      <c r="G23" s="134">
        <f>F23</f>
        <v>86926529</v>
      </c>
      <c r="H23" s="402">
        <f>SUM(H14:H22)</f>
        <v>1</v>
      </c>
      <c r="I23" s="371">
        <f>SUM(I14:I22)</f>
        <v>3093255</v>
      </c>
    </row>
    <row r="24" spans="1:9" ht="13.5" thickBot="1">
      <c r="A24" s="373"/>
      <c r="B24" s="377"/>
      <c r="C24" s="384"/>
      <c r="D24" s="130"/>
      <c r="E24" s="132"/>
      <c r="F24" s="379"/>
      <c r="G24" s="131"/>
      <c r="H24" s="389"/>
      <c r="I24" s="372"/>
    </row>
    <row r="25" spans="1:9" ht="12.75">
      <c r="A25" s="19"/>
      <c r="B25" s="19"/>
      <c r="C25" s="36"/>
      <c r="D25" s="36"/>
      <c r="E25" s="36"/>
      <c r="F25" s="36"/>
      <c r="G25" s="36"/>
      <c r="H25" s="36"/>
      <c r="I25" s="36"/>
    </row>
    <row r="26" spans="3:9" ht="12.75">
      <c r="C26" s="36"/>
      <c r="D26" s="36"/>
      <c r="E26" s="36"/>
      <c r="F26" s="36"/>
      <c r="G26" s="36"/>
      <c r="H26" s="36"/>
      <c r="I26" s="36"/>
    </row>
    <row r="27" spans="3:9" ht="12.75">
      <c r="C27" s="36"/>
      <c r="D27" s="36"/>
      <c r="E27" s="36"/>
      <c r="F27" s="36"/>
      <c r="G27" s="36"/>
      <c r="H27" s="36"/>
      <c r="I27" s="36"/>
    </row>
    <row r="28" spans="3:9" ht="12.75">
      <c r="C28" s="36"/>
      <c r="D28" s="36"/>
      <c r="E28" s="36"/>
      <c r="F28" s="36"/>
      <c r="G28" s="36"/>
      <c r="H28" s="36"/>
      <c r="I28" s="36"/>
    </row>
    <row r="29" spans="3:9" ht="12.75">
      <c r="C29" s="36"/>
      <c r="D29" s="36"/>
      <c r="E29" s="36"/>
      <c r="F29" s="36"/>
      <c r="G29" s="36"/>
      <c r="H29" s="36"/>
      <c r="I29" s="36"/>
    </row>
    <row r="30" spans="3:9" ht="12.75">
      <c r="C30" s="36"/>
      <c r="D30" s="36"/>
      <c r="E30" s="36"/>
      <c r="F30" s="36"/>
      <c r="G30" s="36"/>
      <c r="H30" s="36"/>
      <c r="I30" s="36"/>
    </row>
    <row r="31" spans="1:9" ht="12.75">
      <c r="A31" s="19"/>
      <c r="B31" s="19"/>
      <c r="C31" s="36"/>
      <c r="D31" s="36"/>
      <c r="E31" s="36"/>
      <c r="F31" s="36"/>
      <c r="G31" s="36"/>
      <c r="H31" s="36"/>
      <c r="I31" s="36"/>
    </row>
    <row r="32" spans="3:9" ht="12.75">
      <c r="C32" s="36"/>
      <c r="D32" s="36"/>
      <c r="E32" s="36"/>
      <c r="F32" s="36"/>
      <c r="G32" s="36"/>
      <c r="H32" s="36"/>
      <c r="I32" s="36"/>
    </row>
    <row r="33" spans="3:9" ht="12.75">
      <c r="C33" s="35"/>
      <c r="D33" s="35"/>
      <c r="E33" s="35"/>
      <c r="F33" s="35"/>
      <c r="G33" s="35"/>
      <c r="H33" s="35"/>
      <c r="I33" s="35"/>
    </row>
    <row r="34" spans="3:9" ht="12.75">
      <c r="C34" s="37"/>
      <c r="D34" s="37"/>
      <c r="E34" s="37"/>
      <c r="F34" s="37"/>
      <c r="G34" s="37"/>
      <c r="H34" s="37"/>
      <c r="I34" s="37"/>
    </row>
    <row r="35" spans="3:9" ht="12.75">
      <c r="C35" s="38"/>
      <c r="D35" s="38"/>
      <c r="E35" s="38"/>
      <c r="F35" s="38"/>
      <c r="G35" s="38"/>
      <c r="H35" s="38"/>
      <c r="I35" s="39"/>
    </row>
    <row r="36" spans="1:9" ht="12.75">
      <c r="A36" s="40"/>
      <c r="B36" s="40"/>
      <c r="C36" s="37"/>
      <c r="D36" s="37"/>
      <c r="E36" s="37"/>
      <c r="F36" s="37"/>
      <c r="G36" s="37"/>
      <c r="H36" s="37"/>
      <c r="I36" s="37"/>
    </row>
    <row r="37" spans="3:9" ht="12.75">
      <c r="C37" s="41"/>
      <c r="D37" s="41"/>
      <c r="E37" s="41"/>
      <c r="F37" s="41"/>
      <c r="G37" s="41"/>
      <c r="H37" s="41"/>
      <c r="I37" s="20"/>
    </row>
    <row r="38" spans="3:9" ht="12.75">
      <c r="C38" s="42"/>
      <c r="D38" s="42"/>
      <c r="E38" s="42"/>
      <c r="F38" s="42"/>
      <c r="G38" s="42"/>
      <c r="H38" s="42"/>
      <c r="I38" s="42"/>
    </row>
    <row r="39" spans="3:9" ht="12.75">
      <c r="C39" s="42"/>
      <c r="D39" s="42"/>
      <c r="E39" s="42"/>
      <c r="F39" s="42"/>
      <c r="G39" s="42"/>
      <c r="H39" s="42"/>
      <c r="I39" s="42"/>
    </row>
    <row r="40" spans="3:9" ht="12.75">
      <c r="C40" s="43"/>
      <c r="D40" s="43"/>
      <c r="E40" s="43"/>
      <c r="F40" s="42"/>
      <c r="G40" s="42"/>
      <c r="H40" s="42"/>
      <c r="I40" s="42"/>
    </row>
    <row r="41" spans="3:9" ht="12.75">
      <c r="C41" s="35"/>
      <c r="D41" s="35"/>
      <c r="E41" s="35"/>
      <c r="F41" s="35"/>
      <c r="G41" s="35"/>
      <c r="H41" s="35"/>
      <c r="I41" s="35"/>
    </row>
    <row r="42" spans="3:9" ht="12.75">
      <c r="C42" s="36"/>
      <c r="D42" s="36"/>
      <c r="E42" s="36"/>
      <c r="F42" s="36"/>
      <c r="G42" s="36"/>
      <c r="H42" s="36"/>
      <c r="I42" s="36"/>
    </row>
    <row r="43" spans="3:9" ht="12.75">
      <c r="C43" s="36"/>
      <c r="D43" s="36"/>
      <c r="E43" s="36"/>
      <c r="F43" s="36"/>
      <c r="G43" s="36"/>
      <c r="H43" s="36"/>
      <c r="I43" s="36"/>
    </row>
    <row r="44" spans="3:9" ht="12.75">
      <c r="C44" s="36"/>
      <c r="D44" s="36"/>
      <c r="E44" s="36"/>
      <c r="F44" s="36"/>
      <c r="G44" s="36"/>
      <c r="H44" s="36"/>
      <c r="I44" s="36"/>
    </row>
    <row r="45" spans="3:9" ht="12.75">
      <c r="C45" s="36"/>
      <c r="D45" s="36"/>
      <c r="E45" s="36"/>
      <c r="F45" s="36"/>
      <c r="G45" s="36"/>
      <c r="H45" s="36"/>
      <c r="I45" s="36"/>
    </row>
    <row r="46" spans="3:9" ht="12.75">
      <c r="C46" s="36"/>
      <c r="D46" s="36"/>
      <c r="E46" s="36"/>
      <c r="F46" s="36"/>
      <c r="G46" s="36"/>
      <c r="H46" s="36"/>
      <c r="I46" s="36"/>
    </row>
    <row r="47" spans="3:9" ht="12.75">
      <c r="C47" s="36"/>
      <c r="D47" s="36"/>
      <c r="E47" s="36"/>
      <c r="F47" s="36"/>
      <c r="G47" s="36"/>
      <c r="H47" s="36"/>
      <c r="I47" s="36"/>
    </row>
    <row r="48" spans="3:9" ht="12.75">
      <c r="C48" s="36"/>
      <c r="D48" s="36"/>
      <c r="E48" s="36"/>
      <c r="F48" s="36"/>
      <c r="G48" s="36"/>
      <c r="H48" s="36"/>
      <c r="I48" s="36"/>
    </row>
    <row r="49" spans="3:9" ht="12.75">
      <c r="C49" s="36"/>
      <c r="D49" s="36"/>
      <c r="E49" s="36"/>
      <c r="F49" s="36"/>
      <c r="G49" s="36"/>
      <c r="H49" s="36"/>
      <c r="I49" s="36"/>
    </row>
    <row r="50" spans="3:9" ht="12.75">
      <c r="C50" s="36"/>
      <c r="D50" s="36"/>
      <c r="E50" s="36"/>
      <c r="F50" s="36"/>
      <c r="G50" s="36"/>
      <c r="H50" s="36"/>
      <c r="I50" s="36"/>
    </row>
    <row r="51" spans="3:9" ht="12.75">
      <c r="C51" s="36"/>
      <c r="D51" s="36"/>
      <c r="E51" s="36"/>
      <c r="F51" s="36"/>
      <c r="G51" s="36"/>
      <c r="H51" s="36"/>
      <c r="I51" s="36"/>
    </row>
    <row r="52" spans="1:9" ht="12.75">
      <c r="A52" s="44"/>
      <c r="B52" s="44"/>
      <c r="C52" s="35"/>
      <c r="D52" s="35"/>
      <c r="E52" s="35"/>
      <c r="F52" s="35"/>
      <c r="G52" s="35"/>
      <c r="H52" s="35"/>
      <c r="I52" s="35"/>
    </row>
    <row r="53" spans="1:9" ht="12.75">
      <c r="A53" s="44"/>
      <c r="B53" s="44"/>
      <c r="C53" s="37"/>
      <c r="D53" s="37"/>
      <c r="E53" s="37"/>
      <c r="F53" s="37"/>
      <c r="G53" s="37"/>
      <c r="H53" s="37"/>
      <c r="I53" s="37"/>
    </row>
    <row r="54" spans="1:9" ht="12.75">
      <c r="A54" s="44"/>
      <c r="B54" s="44"/>
      <c r="C54" s="38"/>
      <c r="D54" s="38"/>
      <c r="E54" s="38"/>
      <c r="F54" s="38"/>
      <c r="G54" s="38"/>
      <c r="H54" s="38"/>
      <c r="I54" s="39"/>
    </row>
    <row r="55" spans="1:9" ht="12.75">
      <c r="A55" s="44"/>
      <c r="B55" s="44"/>
      <c r="C55" s="37"/>
      <c r="D55" s="37"/>
      <c r="E55" s="37"/>
      <c r="F55" s="37"/>
      <c r="G55" s="37"/>
      <c r="H55" s="37"/>
      <c r="I55" s="37"/>
    </row>
    <row r="56" spans="1:9" ht="12.75">
      <c r="A56" s="44"/>
      <c r="B56" s="44"/>
      <c r="C56" s="41"/>
      <c r="D56" s="41"/>
      <c r="E56" s="41"/>
      <c r="F56" s="41"/>
      <c r="G56" s="41"/>
      <c r="H56" s="41"/>
      <c r="I56" s="20"/>
    </row>
    <row r="57" spans="1:2" ht="12.75">
      <c r="A57" s="44"/>
      <c r="B57" s="44"/>
    </row>
    <row r="58" spans="1:2" ht="12.75">
      <c r="A58" s="44"/>
      <c r="B58" s="44"/>
    </row>
  </sheetData>
  <sheetProtection/>
  <printOptions horizontalCentered="1"/>
  <pageMargins left="0.25" right="0.25" top="0.69" bottom="0.73" header="0.25" footer="0.46"/>
  <pageSetup horizontalDpi="600" verticalDpi="600" orientation="landscape" scale="95" r:id="rId1"/>
  <ignoredErrors>
    <ignoredError sqref="D15:D22 G15:G22 H19:H23 I15:I23 H15:H17 E15:E17 E19:E22" unlockedFormula="1"/>
    <ignoredError sqref="E23 F23:G23 C23:D23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Z34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30.7109375" style="45" customWidth="1"/>
    <col min="2" max="2" width="12.00390625" style="52" hidden="1" customWidth="1"/>
    <col min="3" max="3" width="2.421875" style="31" hidden="1" customWidth="1"/>
    <col min="4" max="4" width="12.00390625" style="31" hidden="1" customWidth="1"/>
    <col min="5" max="5" width="1.7109375" style="47" customWidth="1"/>
    <col min="6" max="6" width="15.7109375" style="31" customWidth="1"/>
    <col min="7" max="7" width="1.7109375" style="31" customWidth="1"/>
    <col min="8" max="8" width="15.7109375" style="31" customWidth="1"/>
    <col min="9" max="9" width="1.7109375" style="31" customWidth="1"/>
    <col min="10" max="10" width="15.7109375" style="31" customWidth="1"/>
    <col min="11" max="11" width="1.7109375" style="31" customWidth="1"/>
    <col min="12" max="12" width="15.7109375" style="31" customWidth="1"/>
    <col min="13" max="13" width="1.8515625" style="31" customWidth="1"/>
    <col min="14" max="14" width="9.421875" style="31" customWidth="1"/>
    <col min="15" max="15" width="22.7109375" style="31" customWidth="1"/>
    <col min="16" max="16" width="9.140625" style="31" customWidth="1"/>
    <col min="17" max="17" width="14.7109375" style="31" customWidth="1"/>
    <col min="18" max="18" width="5.7109375" style="31" customWidth="1"/>
    <col min="19" max="16384" width="9.140625" style="31" customWidth="1"/>
  </cols>
  <sheetData>
    <row r="1" spans="2:17" ht="12.75">
      <c r="B1" s="46"/>
      <c r="F1" s="46"/>
      <c r="H1" s="46"/>
      <c r="J1" s="46"/>
      <c r="L1" s="46"/>
      <c r="M1" s="46"/>
      <c r="Q1" s="47"/>
    </row>
    <row r="2" spans="1:17" ht="12.75" customHeight="1">
      <c r="A2" s="56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Q2" s="47"/>
    </row>
    <row r="3" spans="1:17" ht="12.75" customHeight="1">
      <c r="A3" s="56" t="s">
        <v>284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Q3" s="47"/>
    </row>
    <row r="4" spans="1:17" ht="12.75" customHeight="1">
      <c r="A4" s="56" t="s">
        <v>286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Q4" s="47"/>
    </row>
    <row r="5" spans="1:17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Q5" s="47"/>
    </row>
    <row r="6" spans="1:17" ht="13.5" thickBot="1">
      <c r="A6" s="61" t="s">
        <v>271</v>
      </c>
      <c r="B6" s="62"/>
      <c r="C6" s="47"/>
      <c r="D6" s="55"/>
      <c r="F6" s="47">
        <v>2008</v>
      </c>
      <c r="G6" s="47"/>
      <c r="H6" s="47">
        <v>2009</v>
      </c>
      <c r="I6" s="47"/>
      <c r="J6" s="47">
        <v>2010</v>
      </c>
      <c r="K6" s="47"/>
      <c r="L6" s="47">
        <v>2011</v>
      </c>
      <c r="M6" s="47"/>
      <c r="N6" s="47"/>
      <c r="O6" s="47"/>
      <c r="Q6" s="47"/>
    </row>
    <row r="7" spans="1:26" ht="12.75">
      <c r="A7" s="78"/>
      <c r="B7" s="63" t="s">
        <v>18</v>
      </c>
      <c r="C7" s="64"/>
      <c r="D7" s="63" t="s">
        <v>18</v>
      </c>
      <c r="E7" s="65"/>
      <c r="F7" s="63" t="s">
        <v>18</v>
      </c>
      <c r="G7" s="65"/>
      <c r="H7" s="63" t="s">
        <v>18</v>
      </c>
      <c r="I7" s="65"/>
      <c r="J7" s="63" t="s">
        <v>18</v>
      </c>
      <c r="K7" s="65"/>
      <c r="L7" s="63" t="s">
        <v>18</v>
      </c>
      <c r="M7" s="63"/>
      <c r="N7" s="66"/>
      <c r="O7" s="79" t="s">
        <v>22</v>
      </c>
      <c r="P7" s="49"/>
      <c r="Q7" s="49"/>
      <c r="R7" s="49"/>
      <c r="S7" s="49"/>
      <c r="T7" s="49"/>
      <c r="U7" s="49"/>
      <c r="V7" s="49"/>
      <c r="W7" s="49"/>
      <c r="X7" s="47"/>
      <c r="Y7" s="47"/>
      <c r="Z7" s="47"/>
    </row>
    <row r="8" spans="1:26" ht="12.75">
      <c r="A8" s="80"/>
      <c r="B8" s="50">
        <v>1998</v>
      </c>
      <c r="C8" s="58"/>
      <c r="D8" s="50">
        <v>1999</v>
      </c>
      <c r="E8" s="70"/>
      <c r="F8" s="69">
        <v>2007</v>
      </c>
      <c r="G8" s="70"/>
      <c r="H8" s="69">
        <v>2008</v>
      </c>
      <c r="I8" s="70"/>
      <c r="J8" s="69">
        <v>2009</v>
      </c>
      <c r="K8" s="70"/>
      <c r="L8" s="69">
        <v>2010</v>
      </c>
      <c r="M8" s="69"/>
      <c r="N8" s="57"/>
      <c r="O8" s="81" t="s">
        <v>0</v>
      </c>
      <c r="P8" s="49"/>
      <c r="Q8" s="49"/>
      <c r="R8" s="49"/>
      <c r="S8" s="49"/>
      <c r="T8" s="49"/>
      <c r="U8" s="49"/>
      <c r="V8" s="49"/>
      <c r="W8" s="49"/>
      <c r="X8" s="47"/>
      <c r="Y8" s="47"/>
      <c r="Z8" s="47"/>
    </row>
    <row r="9" spans="1:26" ht="13.5" thickBot="1">
      <c r="A9" s="82"/>
      <c r="B9" s="67"/>
      <c r="C9" s="68"/>
      <c r="D9" s="67"/>
      <c r="E9" s="75"/>
      <c r="F9" s="74" t="s">
        <v>15</v>
      </c>
      <c r="G9" s="75"/>
      <c r="H9" s="74" t="s">
        <v>39</v>
      </c>
      <c r="I9" s="75"/>
      <c r="J9" s="74" t="s">
        <v>16</v>
      </c>
      <c r="K9" s="75"/>
      <c r="L9" s="74" t="s">
        <v>16</v>
      </c>
      <c r="M9" s="74"/>
      <c r="N9" s="76"/>
      <c r="O9" s="83" t="s">
        <v>40</v>
      </c>
      <c r="P9" s="49"/>
      <c r="Q9" s="49"/>
      <c r="R9" s="49"/>
      <c r="S9" s="49"/>
      <c r="T9" s="49"/>
      <c r="U9" s="49"/>
      <c r="V9" s="49"/>
      <c r="W9" s="49"/>
      <c r="X9" s="47"/>
      <c r="Y9" s="47"/>
      <c r="Z9" s="47"/>
    </row>
    <row r="10" spans="1:17" ht="13.5" thickTop="1">
      <c r="A10" s="84" t="s">
        <v>23</v>
      </c>
      <c r="B10" s="85" t="e">
        <f>SUM(#REF!)</f>
        <v>#REF!</v>
      </c>
      <c r="C10" s="85"/>
      <c r="D10" s="85" t="e">
        <f>SUM(#REF!)</f>
        <v>#REF!</v>
      </c>
      <c r="E10" s="71"/>
      <c r="F10" s="71">
        <f>'4 Year Average 2008 - RY'!J9</f>
        <v>14968601</v>
      </c>
      <c r="G10" s="71"/>
      <c r="H10" s="71">
        <f>'4 Year Average 2008 - RY'!L9</f>
        <v>17586273</v>
      </c>
      <c r="I10" s="71"/>
      <c r="J10" s="406">
        <f>'4 Year Average 2009- RY'!L9</f>
        <v>12455053.82</v>
      </c>
      <c r="K10" s="71"/>
      <c r="L10" s="345">
        <f>SAP!B8</f>
        <v>14133676.57</v>
      </c>
      <c r="M10" s="71"/>
      <c r="N10" s="72"/>
      <c r="O10" s="86">
        <f>SUM(F10:L10)</f>
        <v>59143604.39</v>
      </c>
      <c r="Q10" s="52"/>
    </row>
    <row r="11" spans="1:15" ht="12.75">
      <c r="A11" s="84" t="s">
        <v>19</v>
      </c>
      <c r="B11" s="53">
        <v>0.556</v>
      </c>
      <c r="C11" s="49"/>
      <c r="D11" s="53">
        <v>0.5354</v>
      </c>
      <c r="E11" s="53"/>
      <c r="F11" s="53">
        <f>'4 Year Average 2008 - RY'!J10</f>
        <v>0.5839</v>
      </c>
      <c r="G11" s="48"/>
      <c r="H11" s="53">
        <f>'4 Year Average 2008 - RY'!L10</f>
        <v>0.594</v>
      </c>
      <c r="I11" s="48"/>
      <c r="J11" s="53">
        <f>'4 Year Average 2009- RY'!L10</f>
        <v>0.604</v>
      </c>
      <c r="K11" s="48"/>
      <c r="L11" s="53">
        <f>'Incent &amp; Related PR Tax - TY'!B16</f>
        <v>0.6056</v>
      </c>
      <c r="M11" s="53"/>
      <c r="N11" s="59"/>
      <c r="O11" s="87"/>
    </row>
    <row r="12" spans="1:15" ht="12.75">
      <c r="A12" s="88"/>
      <c r="B12" s="85" t="e">
        <f>B10*B11</f>
        <v>#REF!</v>
      </c>
      <c r="C12" s="85"/>
      <c r="D12" s="85" t="e">
        <f>D10*D11</f>
        <v>#REF!</v>
      </c>
      <c r="E12" s="72"/>
      <c r="F12" s="72">
        <f>F10*F11</f>
        <v>8740166.1239</v>
      </c>
      <c r="G12" s="72"/>
      <c r="H12" s="72">
        <f>H10*H11</f>
        <v>10446246.161999999</v>
      </c>
      <c r="I12" s="72"/>
      <c r="J12" s="72">
        <f>J10*J11</f>
        <v>7522852.50728</v>
      </c>
      <c r="K12" s="72"/>
      <c r="L12" s="72">
        <f>L10*L11</f>
        <v>8559354.530792</v>
      </c>
      <c r="M12" s="72"/>
      <c r="N12" s="72"/>
      <c r="O12" s="86">
        <f>SUM(F12:L12)</f>
        <v>35268619.323971994</v>
      </c>
    </row>
    <row r="13" spans="1:15" ht="12.75">
      <c r="A13" s="88"/>
      <c r="B13" s="85"/>
      <c r="C13" s="85"/>
      <c r="D13" s="85"/>
      <c r="F13" s="89" t="s">
        <v>41</v>
      </c>
      <c r="G13" s="77"/>
      <c r="H13" s="89" t="s">
        <v>42</v>
      </c>
      <c r="I13" s="77"/>
      <c r="J13" s="89" t="s">
        <v>43</v>
      </c>
      <c r="K13" s="77"/>
      <c r="L13" s="89" t="s">
        <v>44</v>
      </c>
      <c r="M13" s="89"/>
      <c r="N13" s="90"/>
      <c r="O13" s="91" t="s">
        <v>45</v>
      </c>
    </row>
    <row r="14" spans="1:15" ht="12.75">
      <c r="A14" s="88"/>
      <c r="B14" s="85"/>
      <c r="C14" s="85"/>
      <c r="D14" s="85"/>
      <c r="F14" s="85"/>
      <c r="G14" s="47"/>
      <c r="H14" s="85"/>
      <c r="I14" s="47"/>
      <c r="J14" s="85"/>
      <c r="K14" s="47"/>
      <c r="L14" s="85"/>
      <c r="M14" s="85"/>
      <c r="N14" s="85"/>
      <c r="O14" s="92"/>
    </row>
    <row r="15" spans="1:15" ht="12.75">
      <c r="A15" s="88"/>
      <c r="B15" s="47"/>
      <c r="C15" s="47"/>
      <c r="D15" s="47"/>
      <c r="F15" s="85"/>
      <c r="G15" s="47"/>
      <c r="H15" s="85"/>
      <c r="I15" s="47"/>
      <c r="J15" s="85"/>
      <c r="K15" s="47"/>
      <c r="L15" s="85"/>
      <c r="M15" s="85"/>
      <c r="N15" s="47"/>
      <c r="O15" s="93"/>
    </row>
    <row r="16" spans="1:16" ht="12.75">
      <c r="A16" s="88"/>
      <c r="B16" s="47"/>
      <c r="C16" s="47"/>
      <c r="D16" s="47"/>
      <c r="F16" s="47"/>
      <c r="G16" s="47"/>
      <c r="H16" s="47"/>
      <c r="I16" s="47"/>
      <c r="J16" s="47"/>
      <c r="K16" s="47"/>
      <c r="L16" s="47"/>
      <c r="M16" s="47"/>
      <c r="N16" s="46" t="s">
        <v>46</v>
      </c>
      <c r="O16" s="276">
        <f>O12/4</f>
        <v>8817154.830992999</v>
      </c>
      <c r="P16" s="54"/>
    </row>
    <row r="17" spans="1:16" ht="12.75">
      <c r="A17" s="88"/>
      <c r="B17" s="47"/>
      <c r="C17" s="47"/>
      <c r="D17" s="47"/>
      <c r="F17" s="47"/>
      <c r="G17" s="47"/>
      <c r="H17" s="47"/>
      <c r="I17" s="47"/>
      <c r="J17" s="47"/>
      <c r="K17" s="47"/>
      <c r="L17" s="46" t="s">
        <v>229</v>
      </c>
      <c r="M17" s="46"/>
      <c r="N17" s="281">
        <f>F26</f>
        <v>0.14</v>
      </c>
      <c r="O17" s="277">
        <f>O16*N17</f>
        <v>1234401.67633902</v>
      </c>
      <c r="P17" s="54"/>
    </row>
    <row r="18" spans="1:16" ht="12.75">
      <c r="A18" s="88"/>
      <c r="B18" s="47"/>
      <c r="C18" s="47"/>
      <c r="D18" s="47"/>
      <c r="F18" s="47"/>
      <c r="G18" s="47"/>
      <c r="H18" s="47"/>
      <c r="I18" s="47"/>
      <c r="J18" s="47"/>
      <c r="K18" s="47"/>
      <c r="L18" s="47"/>
      <c r="M18" s="47"/>
      <c r="N18" s="278" t="s">
        <v>230</v>
      </c>
      <c r="O18" s="279">
        <f>O16-O17</f>
        <v>7582753.1546539785</v>
      </c>
      <c r="P18" s="54"/>
    </row>
    <row r="19" spans="1:15" ht="12.75">
      <c r="A19" s="88"/>
      <c r="B19" s="47"/>
      <c r="C19" s="47"/>
      <c r="D19" s="47"/>
      <c r="F19" s="47"/>
      <c r="G19" s="47"/>
      <c r="H19" s="49"/>
      <c r="I19" s="47"/>
      <c r="J19" s="47"/>
      <c r="K19" s="47"/>
      <c r="L19" s="47"/>
      <c r="M19" s="47"/>
      <c r="N19" s="47"/>
      <c r="O19" s="93"/>
    </row>
    <row r="20" spans="1:15" ht="12.75">
      <c r="A20" s="88" t="s">
        <v>282</v>
      </c>
      <c r="B20" s="85"/>
      <c r="C20" s="47"/>
      <c r="D20" s="47"/>
      <c r="E20" s="49"/>
      <c r="F20" s="457">
        <v>1914858.49235</v>
      </c>
      <c r="G20" s="47"/>
      <c r="H20" s="49"/>
      <c r="I20" s="49"/>
      <c r="J20" s="47"/>
      <c r="K20" s="49"/>
      <c r="L20" s="47"/>
      <c r="M20" s="47"/>
      <c r="N20" s="47"/>
      <c r="O20" s="93"/>
    </row>
    <row r="21" spans="1:16" ht="12.75">
      <c r="A21" s="94"/>
      <c r="B21" s="47"/>
      <c r="C21" s="47"/>
      <c r="D21" s="47"/>
      <c r="E21" s="60"/>
      <c r="F21" s="47"/>
      <c r="G21" s="47"/>
      <c r="H21" s="47"/>
      <c r="I21" s="47"/>
      <c r="J21" s="95"/>
      <c r="K21" s="47"/>
      <c r="L21" s="95" t="s">
        <v>20</v>
      </c>
      <c r="M21" s="95"/>
      <c r="N21" s="49">
        <f>'3.05'!E41</f>
        <v>0.6731</v>
      </c>
      <c r="O21" s="92">
        <f>O18*N21</f>
        <v>5103951.148397593</v>
      </c>
      <c r="P21" s="73" t="s">
        <v>287</v>
      </c>
    </row>
    <row r="22" spans="1:16" ht="12.75">
      <c r="A22" s="94"/>
      <c r="B22" s="47"/>
      <c r="C22" s="47"/>
      <c r="D22" s="47"/>
      <c r="E22" s="49"/>
      <c r="F22" s="85"/>
      <c r="G22" s="47"/>
      <c r="H22" s="96"/>
      <c r="I22" s="47"/>
      <c r="J22" s="95"/>
      <c r="K22" s="47"/>
      <c r="L22" s="95" t="s">
        <v>21</v>
      </c>
      <c r="M22" s="95"/>
      <c r="N22" s="53">
        <f>'3.05'!F41</f>
        <v>0.3269</v>
      </c>
      <c r="O22" s="87">
        <f>N22*O18</f>
        <v>2478802.0062563857</v>
      </c>
      <c r="P22" s="73" t="s">
        <v>288</v>
      </c>
    </row>
    <row r="23" spans="7:15" ht="12.75">
      <c r="G23" s="47"/>
      <c r="H23" s="96"/>
      <c r="I23" s="47"/>
      <c r="J23" s="47"/>
      <c r="K23" s="47"/>
      <c r="L23" s="47"/>
      <c r="M23" s="47"/>
      <c r="N23" s="49">
        <f>SUM(N21:N22)</f>
        <v>1</v>
      </c>
      <c r="O23" s="92">
        <f>SUM(O21:O22)</f>
        <v>7582753.1546539785</v>
      </c>
    </row>
    <row r="24" spans="1:15" ht="12.75">
      <c r="A24" s="94" t="s">
        <v>283</v>
      </c>
      <c r="B24" s="47"/>
      <c r="C24" s="47"/>
      <c r="D24" s="47"/>
      <c r="F24" s="327">
        <f>ROUND(F20/1000000,1)</f>
        <v>1.9</v>
      </c>
      <c r="G24" s="47"/>
      <c r="H24" s="47"/>
      <c r="I24" s="47"/>
      <c r="J24" s="47"/>
      <c r="K24" s="47"/>
      <c r="L24" s="47"/>
      <c r="M24" s="47"/>
      <c r="N24" s="47"/>
      <c r="O24" s="93"/>
    </row>
    <row r="25" spans="1:16" ht="12.75">
      <c r="A25" s="88" t="s">
        <v>285</v>
      </c>
      <c r="B25" s="85"/>
      <c r="C25" s="47"/>
      <c r="D25" s="47"/>
      <c r="F25" s="327">
        <f>ROUND(L10/1000000,1)</f>
        <v>14.1</v>
      </c>
      <c r="G25" s="47"/>
      <c r="H25" s="47"/>
      <c r="I25" s="47"/>
      <c r="J25" s="51"/>
      <c r="K25" s="47"/>
      <c r="L25" s="51"/>
      <c r="M25" s="51"/>
      <c r="N25" s="49"/>
      <c r="O25" s="92"/>
      <c r="P25" s="73"/>
    </row>
    <row r="26" spans="1:16" ht="12.75">
      <c r="A26" s="88" t="s">
        <v>231</v>
      </c>
      <c r="B26" s="85"/>
      <c r="C26" s="47"/>
      <c r="D26" s="47"/>
      <c r="F26" s="328">
        <f>ROUNDUP(F24/F25,2)</f>
        <v>0.14</v>
      </c>
      <c r="G26" s="47"/>
      <c r="H26" s="47"/>
      <c r="I26" s="47"/>
      <c r="J26" s="51"/>
      <c r="K26" s="47"/>
      <c r="L26" s="51"/>
      <c r="M26" s="51"/>
      <c r="N26" s="49"/>
      <c r="O26" s="92"/>
      <c r="P26" s="73"/>
    </row>
    <row r="27" spans="1:15" ht="12.75">
      <c r="A27" s="88"/>
      <c r="B27" s="85"/>
      <c r="C27" s="47"/>
      <c r="D27" s="47"/>
      <c r="F27" s="47"/>
      <c r="G27" s="47"/>
      <c r="H27" s="47"/>
      <c r="I27" s="47"/>
      <c r="J27" s="47"/>
      <c r="K27" s="47"/>
      <c r="L27" s="47"/>
      <c r="M27" s="47"/>
      <c r="N27" s="47"/>
      <c r="O27" s="92"/>
    </row>
    <row r="28" spans="1:15" ht="12.75">
      <c r="A28" s="88"/>
      <c r="B28" s="85"/>
      <c r="C28" s="47"/>
      <c r="D28" s="47"/>
      <c r="F28" s="47"/>
      <c r="G28" s="47"/>
      <c r="H28" s="47"/>
      <c r="I28" s="47"/>
      <c r="J28" s="47"/>
      <c r="K28" s="47"/>
      <c r="L28" s="47"/>
      <c r="M28" s="47"/>
      <c r="N28" s="47"/>
      <c r="O28" s="92"/>
    </row>
    <row r="29" spans="1:15" ht="12.75">
      <c r="A29" s="80"/>
      <c r="B29" s="85"/>
      <c r="C29" s="47"/>
      <c r="D29" s="47"/>
      <c r="F29" s="47"/>
      <c r="G29" s="47"/>
      <c r="H29" s="47"/>
      <c r="I29" s="47"/>
      <c r="J29" s="47"/>
      <c r="K29" s="47"/>
      <c r="L29" s="47"/>
      <c r="M29" s="47"/>
      <c r="N29" s="47"/>
      <c r="O29" s="92"/>
    </row>
    <row r="30" spans="1:15" ht="13.5" thickBot="1">
      <c r="A30" s="97"/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100"/>
    </row>
    <row r="33" ht="12.75">
      <c r="L33" s="345"/>
    </row>
    <row r="34" ht="12.75">
      <c r="L34" s="346"/>
    </row>
  </sheetData>
  <sheetProtection/>
  <printOptions/>
  <pageMargins left="0.39" right="0.26" top="1" bottom="1" header="0.5" footer="0.5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X29"/>
  <sheetViews>
    <sheetView zoomScalePageLayoutView="0" workbookViewId="0" topLeftCell="A1">
      <selection activeCell="L44" sqref="L44"/>
    </sheetView>
  </sheetViews>
  <sheetFormatPr defaultColWidth="9.140625" defaultRowHeight="12.75"/>
  <cols>
    <col min="1" max="1" width="30.7109375" style="45" customWidth="1"/>
    <col min="2" max="2" width="12.00390625" style="52" hidden="1" customWidth="1"/>
    <col min="3" max="3" width="2.421875" style="31" hidden="1" customWidth="1"/>
    <col min="4" max="4" width="12.00390625" style="31" hidden="1" customWidth="1"/>
    <col min="5" max="5" width="1.7109375" style="47" customWidth="1"/>
    <col min="6" max="6" width="15.7109375" style="31" customWidth="1"/>
    <col min="7" max="7" width="1.7109375" style="31" customWidth="1"/>
    <col min="8" max="8" width="15.7109375" style="31" customWidth="1"/>
    <col min="9" max="9" width="1.7109375" style="31" customWidth="1"/>
    <col min="10" max="10" width="15.7109375" style="31" customWidth="1"/>
    <col min="11" max="11" width="1.7109375" style="31" customWidth="1"/>
    <col min="12" max="12" width="15.7109375" style="31" customWidth="1"/>
    <col min="13" max="13" width="9.421875" style="31" customWidth="1"/>
    <col min="14" max="14" width="22.7109375" style="31" customWidth="1"/>
    <col min="15" max="15" width="9.140625" style="31" customWidth="1"/>
    <col min="16" max="16" width="14.7109375" style="31" customWidth="1"/>
    <col min="17" max="17" width="5.7109375" style="31" customWidth="1"/>
    <col min="18" max="16384" width="9.140625" style="31" customWidth="1"/>
  </cols>
  <sheetData>
    <row r="1" spans="2:16" ht="12.75">
      <c r="B1" s="46"/>
      <c r="F1" s="46"/>
      <c r="H1" s="46"/>
      <c r="J1" s="46"/>
      <c r="L1" s="46"/>
      <c r="P1" s="47"/>
    </row>
    <row r="2" spans="1:16" ht="12.75" customHeight="1">
      <c r="A2" s="56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P2" s="47"/>
    </row>
    <row r="3" spans="1:16" ht="12.75" customHeight="1">
      <c r="A3" s="56" t="s">
        <v>259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P3" s="47"/>
    </row>
    <row r="4" spans="1:16" ht="12.75" customHeight="1">
      <c r="A4" s="56" t="s">
        <v>232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P4" s="47"/>
    </row>
    <row r="5" spans="1:16" ht="13.5" thickBot="1">
      <c r="A5" s="61" t="s">
        <v>271</v>
      </c>
      <c r="B5" s="62"/>
      <c r="C5" s="47"/>
      <c r="D5" s="55"/>
      <c r="F5" s="51">
        <v>2007</v>
      </c>
      <c r="G5" s="51"/>
      <c r="H5" s="51">
        <v>2008</v>
      </c>
      <c r="I5" s="51"/>
      <c r="J5" s="51">
        <v>2009</v>
      </c>
      <c r="K5" s="51"/>
      <c r="L5" s="51">
        <v>2010</v>
      </c>
      <c r="M5" s="47"/>
      <c r="N5" s="47"/>
      <c r="P5" s="47"/>
    </row>
    <row r="6" spans="1:24" ht="12.75">
      <c r="A6" s="78"/>
      <c r="B6" s="63" t="s">
        <v>18</v>
      </c>
      <c r="C6" s="64"/>
      <c r="D6" s="63" t="s">
        <v>18</v>
      </c>
      <c r="E6" s="65"/>
      <c r="F6" s="63" t="s">
        <v>18</v>
      </c>
      <c r="G6" s="65"/>
      <c r="H6" s="63" t="s">
        <v>18</v>
      </c>
      <c r="I6" s="65"/>
      <c r="J6" s="63" t="s">
        <v>18</v>
      </c>
      <c r="K6" s="65"/>
      <c r="L6" s="63" t="s">
        <v>18</v>
      </c>
      <c r="M6" s="66"/>
      <c r="N6" s="79" t="s">
        <v>22</v>
      </c>
      <c r="O6" s="49"/>
      <c r="P6" s="49"/>
      <c r="Q6" s="49"/>
      <c r="R6" s="49"/>
      <c r="S6" s="49"/>
      <c r="T6" s="49"/>
      <c r="U6" s="49"/>
      <c r="V6" s="47"/>
      <c r="W6" s="47"/>
      <c r="X6" s="47"/>
    </row>
    <row r="7" spans="1:24" ht="12.75">
      <c r="A7" s="80"/>
      <c r="B7" s="50">
        <v>1998</v>
      </c>
      <c r="C7" s="58"/>
      <c r="D7" s="50">
        <v>1999</v>
      </c>
      <c r="E7" s="70"/>
      <c r="F7" s="69" t="s">
        <v>38</v>
      </c>
      <c r="G7" s="70"/>
      <c r="H7" s="69">
        <v>2007</v>
      </c>
      <c r="I7" s="70"/>
      <c r="J7" s="69">
        <v>2008</v>
      </c>
      <c r="K7" s="70"/>
      <c r="L7" s="69">
        <v>2009</v>
      </c>
      <c r="M7" s="57"/>
      <c r="N7" s="81" t="s">
        <v>0</v>
      </c>
      <c r="O7" s="49"/>
      <c r="P7" s="49"/>
      <c r="Q7" s="49"/>
      <c r="R7" s="49"/>
      <c r="S7" s="49"/>
      <c r="T7" s="49"/>
      <c r="U7" s="49"/>
      <c r="V7" s="47"/>
      <c r="W7" s="47"/>
      <c r="X7" s="47"/>
    </row>
    <row r="8" spans="1:24" ht="13.5" thickBot="1">
      <c r="A8" s="82"/>
      <c r="B8" s="67"/>
      <c r="C8" s="68"/>
      <c r="D8" s="67"/>
      <c r="E8" s="75"/>
      <c r="F8" s="74" t="s">
        <v>14</v>
      </c>
      <c r="G8" s="75"/>
      <c r="H8" s="74" t="s">
        <v>15</v>
      </c>
      <c r="I8" s="75"/>
      <c r="J8" s="74" t="s">
        <v>39</v>
      </c>
      <c r="K8" s="75"/>
      <c r="L8" s="74" t="s">
        <v>16</v>
      </c>
      <c r="M8" s="76"/>
      <c r="N8" s="83" t="s">
        <v>40</v>
      </c>
      <c r="O8" s="49"/>
      <c r="P8" s="49"/>
      <c r="Q8" s="49"/>
      <c r="R8" s="49"/>
      <c r="S8" s="49"/>
      <c r="T8" s="49"/>
      <c r="U8" s="49"/>
      <c r="V8" s="47"/>
      <c r="W8" s="47"/>
      <c r="X8" s="47"/>
    </row>
    <row r="9" spans="1:16" ht="13.5" thickTop="1">
      <c r="A9" s="84" t="s">
        <v>23</v>
      </c>
      <c r="B9" s="85" t="e">
        <f>SUM(#REF!)</f>
        <v>#REF!</v>
      </c>
      <c r="C9" s="85"/>
      <c r="D9" s="85" t="e">
        <f>SUM(#REF!)</f>
        <v>#REF!</v>
      </c>
      <c r="E9" s="71"/>
      <c r="F9" s="71">
        <v>14068599</v>
      </c>
      <c r="G9" s="71">
        <v>0</v>
      </c>
      <c r="H9" s="71">
        <v>14968601</v>
      </c>
      <c r="I9" s="71">
        <v>0</v>
      </c>
      <c r="J9" s="71">
        <v>17586273</v>
      </c>
      <c r="K9" s="71"/>
      <c r="L9" s="406">
        <v>12455053.82</v>
      </c>
      <c r="M9" s="72"/>
      <c r="N9" s="86">
        <f>SUM(F9:L9)</f>
        <v>59078526.82</v>
      </c>
      <c r="P9" s="52"/>
    </row>
    <row r="10" spans="1:14" ht="12.75">
      <c r="A10" s="84" t="s">
        <v>19</v>
      </c>
      <c r="B10" s="53">
        <v>0.556</v>
      </c>
      <c r="C10" s="49"/>
      <c r="D10" s="53">
        <v>0.5354</v>
      </c>
      <c r="E10" s="53"/>
      <c r="F10" s="53">
        <v>0.5609</v>
      </c>
      <c r="G10" s="53"/>
      <c r="H10" s="53">
        <v>0.5839</v>
      </c>
      <c r="I10" s="53"/>
      <c r="J10" s="53">
        <v>0.594</v>
      </c>
      <c r="K10" s="48"/>
      <c r="L10" s="53">
        <v>0.604</v>
      </c>
      <c r="M10" s="59"/>
      <c r="N10" s="87"/>
    </row>
    <row r="11" spans="1:14" ht="12.75">
      <c r="A11" s="88"/>
      <c r="B11" s="85" t="e">
        <f>B9*B10</f>
        <v>#REF!</v>
      </c>
      <c r="C11" s="85"/>
      <c r="D11" s="85" t="e">
        <f>D9*D10</f>
        <v>#REF!</v>
      </c>
      <c r="E11" s="72"/>
      <c r="F11" s="72">
        <f>F9*F10</f>
        <v>7891077.179099999</v>
      </c>
      <c r="G11" s="72"/>
      <c r="H11" s="72">
        <f>H9*H10</f>
        <v>8740166.1239</v>
      </c>
      <c r="I11" s="72"/>
      <c r="J11" s="72">
        <f>J9*J10</f>
        <v>10446246.161999999</v>
      </c>
      <c r="K11" s="72"/>
      <c r="L11" s="72">
        <f>L9*L10</f>
        <v>7522852.50728</v>
      </c>
      <c r="M11" s="72"/>
      <c r="N11" s="86">
        <f>SUM(F11:L11)</f>
        <v>34600341.972279996</v>
      </c>
    </row>
    <row r="12" spans="1:14" ht="12.75">
      <c r="A12" s="88"/>
      <c r="B12" s="85"/>
      <c r="C12" s="85"/>
      <c r="D12" s="85"/>
      <c r="F12" s="89" t="s">
        <v>41</v>
      </c>
      <c r="G12" s="77"/>
      <c r="H12" s="89" t="s">
        <v>42</v>
      </c>
      <c r="I12" s="77"/>
      <c r="J12" s="89" t="s">
        <v>43</v>
      </c>
      <c r="K12" s="77"/>
      <c r="L12" s="89" t="s">
        <v>44</v>
      </c>
      <c r="M12" s="90"/>
      <c r="N12" s="91" t="s">
        <v>45</v>
      </c>
    </row>
    <row r="13" spans="1:14" ht="12.75">
      <c r="A13" s="88"/>
      <c r="B13" s="85"/>
      <c r="C13" s="85"/>
      <c r="D13" s="85"/>
      <c r="F13" s="85"/>
      <c r="G13" s="47"/>
      <c r="H13" s="85"/>
      <c r="I13" s="47"/>
      <c r="J13" s="85"/>
      <c r="K13" s="47"/>
      <c r="L13" s="85"/>
      <c r="M13" s="85"/>
      <c r="N13" s="92"/>
    </row>
    <row r="14" spans="1:14" ht="12.75">
      <c r="A14" s="88"/>
      <c r="B14" s="47"/>
      <c r="C14" s="47"/>
      <c r="D14" s="47"/>
      <c r="F14" s="85"/>
      <c r="G14" s="47"/>
      <c r="H14" s="85"/>
      <c r="I14" s="47"/>
      <c r="J14" s="85"/>
      <c r="K14" s="47"/>
      <c r="L14" s="85"/>
      <c r="M14" s="47"/>
      <c r="N14" s="93"/>
    </row>
    <row r="15" spans="1:15" ht="12.75">
      <c r="A15" s="88"/>
      <c r="B15" s="47"/>
      <c r="C15" s="47"/>
      <c r="D15" s="47"/>
      <c r="F15" s="47"/>
      <c r="G15" s="47"/>
      <c r="H15" s="47"/>
      <c r="I15" s="47"/>
      <c r="J15" s="47"/>
      <c r="K15" s="47"/>
      <c r="L15" s="47"/>
      <c r="M15" s="46" t="s">
        <v>46</v>
      </c>
      <c r="N15" s="276">
        <f>N11/4</f>
        <v>8650085.493069999</v>
      </c>
      <c r="O15" s="54"/>
    </row>
    <row r="16" spans="1:15" ht="12.75">
      <c r="A16" s="88"/>
      <c r="B16" s="47"/>
      <c r="C16" s="47"/>
      <c r="D16" s="47"/>
      <c r="F16" s="47"/>
      <c r="G16" s="47"/>
      <c r="H16" s="47"/>
      <c r="I16" s="47"/>
      <c r="J16" s="47"/>
      <c r="K16" s="47"/>
      <c r="L16" s="46" t="s">
        <v>229</v>
      </c>
      <c r="M16" s="281">
        <f>F25</f>
        <v>0.13</v>
      </c>
      <c r="N16" s="277">
        <f>N15*M16</f>
        <v>1124511.1140991</v>
      </c>
      <c r="O16" s="54"/>
    </row>
    <row r="17" spans="1:15" ht="12.75">
      <c r="A17" s="88"/>
      <c r="B17" s="47"/>
      <c r="C17" s="47"/>
      <c r="D17" s="47"/>
      <c r="F17" s="47"/>
      <c r="G17" s="47"/>
      <c r="H17" s="47"/>
      <c r="I17" s="47"/>
      <c r="J17" s="47"/>
      <c r="K17" s="47"/>
      <c r="L17" s="47"/>
      <c r="M17" s="278" t="s">
        <v>230</v>
      </c>
      <c r="N17" s="279">
        <f>N15-N16</f>
        <v>7525574.378970899</v>
      </c>
      <c r="O17" s="54"/>
    </row>
    <row r="18" spans="1:14" ht="12.75">
      <c r="A18" s="88"/>
      <c r="B18" s="47"/>
      <c r="C18" s="47"/>
      <c r="D18" s="47"/>
      <c r="F18" s="47"/>
      <c r="G18" s="47"/>
      <c r="H18" s="49"/>
      <c r="I18" s="47"/>
      <c r="J18" s="47"/>
      <c r="K18" s="47"/>
      <c r="L18" s="47"/>
      <c r="M18" s="47"/>
      <c r="N18" s="93"/>
    </row>
    <row r="19" spans="1:14" ht="12.75">
      <c r="A19" s="94"/>
      <c r="B19" s="47"/>
      <c r="C19" s="47"/>
      <c r="D19" s="47"/>
      <c r="F19" s="47"/>
      <c r="G19" s="47"/>
      <c r="H19" s="49"/>
      <c r="I19" s="49"/>
      <c r="J19" s="47"/>
      <c r="K19" s="49"/>
      <c r="L19" s="47"/>
      <c r="M19" s="47"/>
      <c r="N19" s="93"/>
    </row>
    <row r="20" spans="1:15" ht="12.75">
      <c r="A20" s="94"/>
      <c r="B20" s="47"/>
      <c r="C20" s="47"/>
      <c r="D20" s="47"/>
      <c r="E20" s="60"/>
      <c r="F20" s="47"/>
      <c r="G20" s="47"/>
      <c r="H20" s="47"/>
      <c r="I20" s="47"/>
      <c r="J20" s="95"/>
      <c r="K20" s="47"/>
      <c r="L20" s="95" t="s">
        <v>20</v>
      </c>
      <c r="M20" s="49">
        <v>0.6797</v>
      </c>
      <c r="N20" s="92">
        <f>N17*M20</f>
        <v>5115132.90538652</v>
      </c>
      <c r="O20" s="73" t="s">
        <v>274</v>
      </c>
    </row>
    <row r="21" spans="1:15" ht="12.75">
      <c r="A21" s="94"/>
      <c r="B21" s="47"/>
      <c r="C21" s="47"/>
      <c r="D21" s="47"/>
      <c r="E21" s="49"/>
      <c r="F21" s="85"/>
      <c r="G21" s="47"/>
      <c r="H21" s="96"/>
      <c r="I21" s="47"/>
      <c r="J21" s="95"/>
      <c r="K21" s="47"/>
      <c r="L21" s="95" t="s">
        <v>21</v>
      </c>
      <c r="M21" s="53">
        <v>0.3203</v>
      </c>
      <c r="N21" s="87">
        <f>M21*N17</f>
        <v>2410441.4735843786</v>
      </c>
      <c r="O21" s="73" t="s">
        <v>275</v>
      </c>
    </row>
    <row r="22" spans="1:14" ht="12.75">
      <c r="A22" s="88"/>
      <c r="B22" s="85"/>
      <c r="C22" s="47"/>
      <c r="D22" s="47"/>
      <c r="E22" s="49"/>
      <c r="F22" s="85"/>
      <c r="G22" s="47"/>
      <c r="H22" s="96"/>
      <c r="I22" s="47"/>
      <c r="J22" s="47"/>
      <c r="K22" s="47"/>
      <c r="L22" s="47"/>
      <c r="M22" s="49">
        <f>SUM(M20:M21)</f>
        <v>1</v>
      </c>
      <c r="N22" s="92">
        <f>SUM(N20:N21)</f>
        <v>7525574.378970899</v>
      </c>
    </row>
    <row r="23" spans="1:14" ht="12.75">
      <c r="A23" s="94" t="s">
        <v>257</v>
      </c>
      <c r="B23" s="47"/>
      <c r="C23" s="47"/>
      <c r="D23" s="47"/>
      <c r="F23" s="326">
        <v>1.6</v>
      </c>
      <c r="G23" s="47"/>
      <c r="H23" s="47"/>
      <c r="I23" s="47"/>
      <c r="J23" s="47"/>
      <c r="K23" s="47"/>
      <c r="L23" s="47"/>
      <c r="M23" s="47"/>
      <c r="N23" s="93"/>
    </row>
    <row r="24" spans="1:15" ht="12.75">
      <c r="A24" s="88" t="s">
        <v>258</v>
      </c>
      <c r="B24" s="85"/>
      <c r="C24" s="47"/>
      <c r="D24" s="47"/>
      <c r="F24" s="327">
        <f>ROUND(L9/1000000,1)</f>
        <v>12.5</v>
      </c>
      <c r="G24" s="47"/>
      <c r="H24" s="47"/>
      <c r="I24" s="47"/>
      <c r="J24" s="51"/>
      <c r="K24" s="47"/>
      <c r="L24" s="51"/>
      <c r="M24" s="49"/>
      <c r="N24" s="92"/>
      <c r="O24" s="73"/>
    </row>
    <row r="25" spans="1:15" ht="12.75">
      <c r="A25" s="88" t="s">
        <v>231</v>
      </c>
      <c r="B25" s="85"/>
      <c r="C25" s="47"/>
      <c r="D25" s="47"/>
      <c r="F25" s="328">
        <f>ROUNDUP(F23/F24,2)</f>
        <v>0.13</v>
      </c>
      <c r="G25" s="47"/>
      <c r="H25" s="47"/>
      <c r="I25" s="47"/>
      <c r="J25" s="51"/>
      <c r="K25" s="47"/>
      <c r="L25" s="51"/>
      <c r="M25" s="49"/>
      <c r="N25" s="92"/>
      <c r="O25" s="73"/>
    </row>
    <row r="26" spans="1:14" ht="12.75">
      <c r="A26" s="88"/>
      <c r="B26" s="85"/>
      <c r="C26" s="47"/>
      <c r="D26" s="47"/>
      <c r="F26" s="47"/>
      <c r="G26" s="47"/>
      <c r="H26" s="47"/>
      <c r="I26" s="47"/>
      <c r="J26" s="47"/>
      <c r="K26" s="47"/>
      <c r="L26" s="47"/>
      <c r="M26" s="47"/>
      <c r="N26" s="92"/>
    </row>
    <row r="27" spans="1:14" ht="12.75">
      <c r="A27" s="88"/>
      <c r="B27" s="85"/>
      <c r="C27" s="47"/>
      <c r="D27" s="47"/>
      <c r="F27" s="47"/>
      <c r="G27" s="47"/>
      <c r="H27" s="47"/>
      <c r="I27" s="47"/>
      <c r="J27" s="47"/>
      <c r="K27" s="47"/>
      <c r="L27" s="47"/>
      <c r="M27" s="47"/>
      <c r="N27" s="92"/>
    </row>
    <row r="28" spans="1:14" ht="12.75">
      <c r="A28" s="80"/>
      <c r="B28" s="85"/>
      <c r="C28" s="47"/>
      <c r="D28" s="47"/>
      <c r="F28" s="47"/>
      <c r="G28" s="47"/>
      <c r="H28" s="47"/>
      <c r="I28" s="47"/>
      <c r="J28" s="47"/>
      <c r="K28" s="47"/>
      <c r="L28" s="47"/>
      <c r="M28" s="47"/>
      <c r="N28" s="92"/>
    </row>
    <row r="29" spans="1:14" ht="13.5" thickBot="1">
      <c r="A29" s="97"/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0"/>
    </row>
  </sheetData>
  <sheetProtection/>
  <printOptions/>
  <pageMargins left="0.39" right="0.26" top="1" bottom="1" header="0.5" footer="0.5"/>
  <pageSetup horizontalDpi="600" verticalDpi="600" orientation="landscape" scale="85" r:id="rId1"/>
  <ignoredErrors>
    <ignoredError sqref="E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29"/>
    <pageSetUpPr fitToPage="1"/>
  </sheetPr>
  <dimension ref="A2:L74"/>
  <sheetViews>
    <sheetView zoomScale="130" zoomScaleNormal="130" zoomScalePageLayoutView="0" workbookViewId="0" topLeftCell="A14">
      <selection activeCell="I41" sqref="I41"/>
    </sheetView>
  </sheetViews>
  <sheetFormatPr defaultColWidth="9.140625" defaultRowHeight="12.75"/>
  <cols>
    <col min="1" max="1" width="3.00390625" style="0" bestFit="1" customWidth="1"/>
    <col min="2" max="2" width="5.00390625" style="0" bestFit="1" customWidth="1"/>
    <col min="3" max="3" width="12.7109375" style="0" customWidth="1"/>
    <col min="4" max="4" width="3.57421875" style="0" bestFit="1" customWidth="1"/>
    <col min="5" max="5" width="13.421875" style="0" customWidth="1"/>
    <col min="6" max="6" width="9.00390625" style="0" bestFit="1" customWidth="1"/>
    <col min="8" max="8" width="13.7109375" style="0" bestFit="1" customWidth="1"/>
    <col min="9" max="9" width="13.00390625" style="26" bestFit="1" customWidth="1"/>
    <col min="10" max="10" width="23.140625" style="0" bestFit="1" customWidth="1"/>
    <col min="12" max="12" width="15.00390625" style="0" customWidth="1"/>
  </cols>
  <sheetData>
    <row r="2" spans="1:10" ht="12.75">
      <c r="A2" t="s">
        <v>309</v>
      </c>
      <c r="C2" t="s">
        <v>310</v>
      </c>
      <c r="E2" t="s">
        <v>311</v>
      </c>
      <c r="F2" t="s">
        <v>312</v>
      </c>
      <c r="G2" t="s">
        <v>313</v>
      </c>
      <c r="H2" t="s">
        <v>317</v>
      </c>
      <c r="I2" s="26" t="s">
        <v>142</v>
      </c>
      <c r="J2" t="s">
        <v>316</v>
      </c>
    </row>
    <row r="3" spans="1:10" ht="12.75">
      <c r="A3">
        <v>3</v>
      </c>
      <c r="B3">
        <v>2010</v>
      </c>
      <c r="C3" s="334">
        <v>40252</v>
      </c>
      <c r="D3" t="s">
        <v>268</v>
      </c>
      <c r="E3">
        <v>100005847</v>
      </c>
      <c r="F3">
        <v>41710062</v>
      </c>
      <c r="G3">
        <v>67000020</v>
      </c>
      <c r="H3" t="s">
        <v>254</v>
      </c>
      <c r="I3" s="357">
        <v>1985.89</v>
      </c>
      <c r="J3" t="s">
        <v>255</v>
      </c>
    </row>
    <row r="4" spans="1:10" ht="12.75">
      <c r="A4">
        <v>3</v>
      </c>
      <c r="B4">
        <v>2010</v>
      </c>
      <c r="C4" s="334">
        <v>40252</v>
      </c>
      <c r="D4" t="s">
        <v>268</v>
      </c>
      <c r="E4">
        <v>100005847</v>
      </c>
      <c r="F4">
        <v>54601100</v>
      </c>
      <c r="G4">
        <v>67000020</v>
      </c>
      <c r="H4" t="s">
        <v>254</v>
      </c>
      <c r="I4" s="26">
        <v>34995.22</v>
      </c>
      <c r="J4" t="s">
        <v>255</v>
      </c>
    </row>
    <row r="5" spans="1:10" ht="12.75">
      <c r="A5">
        <v>3</v>
      </c>
      <c r="B5">
        <v>2010</v>
      </c>
      <c r="C5" s="334">
        <v>40252</v>
      </c>
      <c r="D5" t="s">
        <v>268</v>
      </c>
      <c r="E5">
        <v>100005847</v>
      </c>
      <c r="F5">
        <v>56000050</v>
      </c>
      <c r="G5">
        <v>67000020</v>
      </c>
      <c r="H5" t="s">
        <v>254</v>
      </c>
      <c r="I5" s="26">
        <v>5051.33</v>
      </c>
      <c r="J5" t="s">
        <v>255</v>
      </c>
    </row>
    <row r="6" spans="1:10" ht="12.75">
      <c r="A6">
        <v>3</v>
      </c>
      <c r="B6">
        <v>2010</v>
      </c>
      <c r="C6" s="334">
        <v>40252</v>
      </c>
      <c r="D6" t="s">
        <v>268</v>
      </c>
      <c r="E6">
        <v>100005847</v>
      </c>
      <c r="F6">
        <v>58000100</v>
      </c>
      <c r="G6">
        <v>67000020</v>
      </c>
      <c r="H6" t="s">
        <v>254</v>
      </c>
      <c r="I6" s="26">
        <v>36046.98</v>
      </c>
      <c r="J6" t="s">
        <v>255</v>
      </c>
    </row>
    <row r="7" spans="1:10" ht="12.75">
      <c r="A7">
        <v>3</v>
      </c>
      <c r="B7">
        <v>2010</v>
      </c>
      <c r="C7" s="334">
        <v>40252</v>
      </c>
      <c r="D7" t="s">
        <v>268</v>
      </c>
      <c r="E7">
        <v>100005847</v>
      </c>
      <c r="F7">
        <v>88000013</v>
      </c>
      <c r="G7">
        <v>67000020</v>
      </c>
      <c r="H7" t="s">
        <v>254</v>
      </c>
      <c r="I7" s="26">
        <v>37359.65</v>
      </c>
      <c r="J7" t="s">
        <v>255</v>
      </c>
    </row>
    <row r="8" spans="1:10" ht="12.75">
      <c r="A8">
        <v>3</v>
      </c>
      <c r="B8">
        <v>2010</v>
      </c>
      <c r="C8" s="334">
        <v>40252</v>
      </c>
      <c r="D8" t="s">
        <v>268</v>
      </c>
      <c r="E8">
        <v>100005847</v>
      </c>
      <c r="F8">
        <v>92006490</v>
      </c>
      <c r="G8">
        <v>67000020</v>
      </c>
      <c r="H8" t="s">
        <v>254</v>
      </c>
      <c r="I8" s="26">
        <v>96392.24</v>
      </c>
      <c r="J8" t="s">
        <v>255</v>
      </c>
    </row>
    <row r="9" spans="3:9" ht="12.75">
      <c r="C9" s="334"/>
      <c r="I9" s="26">
        <f>SUM(I3:I8)</f>
        <v>211831.31</v>
      </c>
    </row>
    <row r="10" spans="1:10" ht="12.75">
      <c r="A10">
        <v>6</v>
      </c>
      <c r="B10">
        <v>2010</v>
      </c>
      <c r="C10" s="334">
        <v>40359</v>
      </c>
      <c r="D10" t="s">
        <v>268</v>
      </c>
      <c r="E10">
        <v>207908286</v>
      </c>
      <c r="F10">
        <v>41710062</v>
      </c>
      <c r="G10">
        <v>67000020</v>
      </c>
      <c r="H10" t="s">
        <v>254</v>
      </c>
      <c r="I10" s="356">
        <v>16392.65</v>
      </c>
      <c r="J10" t="s">
        <v>273</v>
      </c>
    </row>
    <row r="11" spans="1:10" ht="12.75">
      <c r="A11">
        <v>6</v>
      </c>
      <c r="B11">
        <v>2010</v>
      </c>
      <c r="C11" s="334">
        <v>40359</v>
      </c>
      <c r="D11" t="s">
        <v>268</v>
      </c>
      <c r="E11">
        <v>207908286</v>
      </c>
      <c r="F11">
        <v>54601100</v>
      </c>
      <c r="G11">
        <v>67000020</v>
      </c>
      <c r="H11" t="s">
        <v>254</v>
      </c>
      <c r="I11" s="341">
        <v>293073.56</v>
      </c>
      <c r="J11" t="s">
        <v>273</v>
      </c>
    </row>
    <row r="12" spans="1:10" ht="12.75">
      <c r="A12">
        <v>6</v>
      </c>
      <c r="B12">
        <v>2010</v>
      </c>
      <c r="C12" s="334">
        <v>40359</v>
      </c>
      <c r="D12" t="s">
        <v>268</v>
      </c>
      <c r="E12">
        <v>207908286</v>
      </c>
      <c r="F12">
        <v>56000050</v>
      </c>
      <c r="G12">
        <v>67000020</v>
      </c>
      <c r="H12" t="s">
        <v>254</v>
      </c>
      <c r="I12" s="341">
        <v>38348.89</v>
      </c>
      <c r="J12" t="s">
        <v>273</v>
      </c>
    </row>
    <row r="13" spans="1:10" ht="12.75">
      <c r="A13">
        <v>6</v>
      </c>
      <c r="B13">
        <v>2010</v>
      </c>
      <c r="C13" s="334">
        <v>40359</v>
      </c>
      <c r="D13" t="s">
        <v>268</v>
      </c>
      <c r="E13">
        <v>207908286</v>
      </c>
      <c r="F13">
        <v>58000100</v>
      </c>
      <c r="G13">
        <v>67000020</v>
      </c>
      <c r="H13" t="s">
        <v>254</v>
      </c>
      <c r="I13" s="341">
        <v>275548.25</v>
      </c>
      <c r="J13" t="s">
        <v>273</v>
      </c>
    </row>
    <row r="14" spans="1:10" ht="12.75">
      <c r="A14">
        <v>6</v>
      </c>
      <c r="B14">
        <v>2010</v>
      </c>
      <c r="C14" s="334">
        <v>40359</v>
      </c>
      <c r="D14" t="s">
        <v>268</v>
      </c>
      <c r="E14">
        <v>207908286</v>
      </c>
      <c r="F14">
        <v>88000013</v>
      </c>
      <c r="G14">
        <v>67000020</v>
      </c>
      <c r="H14" t="s">
        <v>254</v>
      </c>
      <c r="I14" s="341">
        <v>305371.02</v>
      </c>
      <c r="J14" t="s">
        <v>273</v>
      </c>
    </row>
    <row r="15" spans="1:10" ht="12.75">
      <c r="A15">
        <v>6</v>
      </c>
      <c r="B15">
        <v>2010</v>
      </c>
      <c r="C15" s="334">
        <v>40359</v>
      </c>
      <c r="D15" t="s">
        <v>268</v>
      </c>
      <c r="E15">
        <v>207908286</v>
      </c>
      <c r="F15">
        <v>92006490</v>
      </c>
      <c r="G15">
        <v>67000020</v>
      </c>
      <c r="H15" t="s">
        <v>254</v>
      </c>
      <c r="I15" s="341">
        <v>797115.35</v>
      </c>
      <c r="J15" t="s">
        <v>273</v>
      </c>
    </row>
    <row r="16" ht="12.75">
      <c r="I16" s="26">
        <f>SUM(I10:I15)</f>
        <v>1725849.7200000002</v>
      </c>
    </row>
    <row r="17" spans="1:10" ht="12.75">
      <c r="A17">
        <v>9</v>
      </c>
      <c r="B17">
        <v>2010</v>
      </c>
      <c r="C17" s="334">
        <v>40451</v>
      </c>
      <c r="D17" t="s">
        <v>268</v>
      </c>
      <c r="E17" s="405" t="s">
        <v>305</v>
      </c>
      <c r="F17" s="351" t="s">
        <v>295</v>
      </c>
      <c r="G17">
        <v>67000020</v>
      </c>
      <c r="H17" t="s">
        <v>254</v>
      </c>
      <c r="I17" s="339">
        <v>-35936.55</v>
      </c>
      <c r="J17" s="351" t="s">
        <v>306</v>
      </c>
    </row>
    <row r="18" spans="1:10" ht="12.75">
      <c r="A18">
        <v>9</v>
      </c>
      <c r="B18">
        <v>2010</v>
      </c>
      <c r="C18" s="334">
        <v>40451</v>
      </c>
      <c r="D18" t="s">
        <v>268</v>
      </c>
      <c r="E18" s="405" t="s">
        <v>305</v>
      </c>
      <c r="F18" s="351" t="s">
        <v>298</v>
      </c>
      <c r="G18">
        <v>67000020</v>
      </c>
      <c r="H18" t="s">
        <v>254</v>
      </c>
      <c r="I18" s="339">
        <v>-4806.61</v>
      </c>
      <c r="J18" s="351" t="s">
        <v>306</v>
      </c>
    </row>
    <row r="19" spans="1:10" ht="12.75">
      <c r="A19">
        <v>9</v>
      </c>
      <c r="B19">
        <v>2010</v>
      </c>
      <c r="C19" s="334">
        <v>40451</v>
      </c>
      <c r="D19" t="s">
        <v>268</v>
      </c>
      <c r="E19" s="405" t="s">
        <v>305</v>
      </c>
      <c r="F19" s="351" t="s">
        <v>299</v>
      </c>
      <c r="G19">
        <v>67000020</v>
      </c>
      <c r="H19" t="s">
        <v>254</v>
      </c>
      <c r="I19" s="339">
        <v>-34387.33</v>
      </c>
      <c r="J19" s="351" t="s">
        <v>306</v>
      </c>
    </row>
    <row r="20" spans="1:10" ht="12.75">
      <c r="A20">
        <v>9</v>
      </c>
      <c r="B20">
        <v>2010</v>
      </c>
      <c r="C20" s="334">
        <v>40451</v>
      </c>
      <c r="D20" t="s">
        <v>268</v>
      </c>
      <c r="E20" s="405" t="s">
        <v>305</v>
      </c>
      <c r="F20" s="351" t="s">
        <v>300</v>
      </c>
      <c r="G20">
        <v>67000020</v>
      </c>
      <c r="H20" t="s">
        <v>254</v>
      </c>
      <c r="I20" s="339">
        <v>-37418.74</v>
      </c>
      <c r="J20" s="351" t="s">
        <v>306</v>
      </c>
    </row>
    <row r="21" spans="1:10" ht="12.75">
      <c r="A21">
        <v>9</v>
      </c>
      <c r="B21">
        <v>2010</v>
      </c>
      <c r="C21" s="334">
        <v>40451</v>
      </c>
      <c r="D21" t="s">
        <v>268</v>
      </c>
      <c r="E21" s="405" t="s">
        <v>305</v>
      </c>
      <c r="F21" s="351" t="s">
        <v>301</v>
      </c>
      <c r="G21">
        <v>67000020</v>
      </c>
      <c r="H21" t="s">
        <v>254</v>
      </c>
      <c r="I21" s="339">
        <v>-97430.4</v>
      </c>
      <c r="J21" s="351" t="s">
        <v>306</v>
      </c>
    </row>
    <row r="22" spans="1:10" ht="12.75">
      <c r="A22">
        <v>9</v>
      </c>
      <c r="B22">
        <v>2010</v>
      </c>
      <c r="C22" s="334">
        <v>40451</v>
      </c>
      <c r="D22" t="s">
        <v>268</v>
      </c>
      <c r="E22" s="405" t="s">
        <v>305</v>
      </c>
      <c r="F22" s="351" t="s">
        <v>302</v>
      </c>
      <c r="G22">
        <v>67000020</v>
      </c>
      <c r="H22" t="s">
        <v>254</v>
      </c>
      <c r="I22" s="353">
        <v>-1947.31</v>
      </c>
      <c r="J22" s="351" t="s">
        <v>306</v>
      </c>
    </row>
    <row r="23" spans="5:10" ht="12.75">
      <c r="E23" s="335"/>
      <c r="I23" s="26">
        <f>SUM(I17:I22)</f>
        <v>-211926.94</v>
      </c>
      <c r="J23" s="351"/>
    </row>
    <row r="24" spans="1:10" ht="12.75">
      <c r="A24">
        <v>12</v>
      </c>
      <c r="B24">
        <v>2010</v>
      </c>
      <c r="C24" s="352">
        <v>40543</v>
      </c>
      <c r="D24" t="s">
        <v>268</v>
      </c>
      <c r="E24" s="405" t="s">
        <v>308</v>
      </c>
      <c r="F24" s="351" t="s">
        <v>295</v>
      </c>
      <c r="G24">
        <v>67000020</v>
      </c>
      <c r="H24" t="s">
        <v>254</v>
      </c>
      <c r="I24" s="355">
        <v>265404.85</v>
      </c>
      <c r="J24" t="s">
        <v>256</v>
      </c>
    </row>
    <row r="25" spans="1:10" ht="12.75">
      <c r="A25">
        <v>12</v>
      </c>
      <c r="B25">
        <v>2010</v>
      </c>
      <c r="C25" s="352">
        <v>40543</v>
      </c>
      <c r="D25" t="s">
        <v>268</v>
      </c>
      <c r="E25" s="405" t="s">
        <v>308</v>
      </c>
      <c r="F25" s="351" t="s">
        <v>298</v>
      </c>
      <c r="G25">
        <v>67000020</v>
      </c>
      <c r="H25" t="s">
        <v>254</v>
      </c>
      <c r="I25" s="355">
        <v>36236.03</v>
      </c>
      <c r="J25" t="s">
        <v>256</v>
      </c>
    </row>
    <row r="26" spans="1:10" ht="12.75">
      <c r="A26">
        <v>12</v>
      </c>
      <c r="B26">
        <v>2010</v>
      </c>
      <c r="C26" s="352">
        <v>40543</v>
      </c>
      <c r="D26" t="s">
        <v>268</v>
      </c>
      <c r="E26" s="405" t="s">
        <v>308</v>
      </c>
      <c r="F26" s="351" t="s">
        <v>299</v>
      </c>
      <c r="G26">
        <v>67000020</v>
      </c>
      <c r="H26" t="s">
        <v>254</v>
      </c>
      <c r="I26" s="355">
        <v>255150.07</v>
      </c>
      <c r="J26" t="s">
        <v>256</v>
      </c>
    </row>
    <row r="27" spans="1:10" ht="12.75">
      <c r="A27">
        <v>12</v>
      </c>
      <c r="B27">
        <v>2010</v>
      </c>
      <c r="C27" s="352">
        <v>40543</v>
      </c>
      <c r="D27" t="s">
        <v>268</v>
      </c>
      <c r="E27" s="405" t="s">
        <v>308</v>
      </c>
      <c r="F27" s="351" t="s">
        <v>300</v>
      </c>
      <c r="G27">
        <v>67000020</v>
      </c>
      <c r="H27" t="s">
        <v>254</v>
      </c>
      <c r="I27" s="355">
        <v>278826.37</v>
      </c>
      <c r="J27" t="s">
        <v>256</v>
      </c>
    </row>
    <row r="28" spans="1:10" ht="12.75">
      <c r="A28">
        <v>12</v>
      </c>
      <c r="B28">
        <v>2010</v>
      </c>
      <c r="C28" s="352">
        <v>40543</v>
      </c>
      <c r="D28" t="s">
        <v>268</v>
      </c>
      <c r="E28" s="405" t="s">
        <v>308</v>
      </c>
      <c r="F28" s="351" t="s">
        <v>301</v>
      </c>
      <c r="G28">
        <v>67000020</v>
      </c>
      <c r="H28" t="s">
        <v>254</v>
      </c>
      <c r="I28" s="355">
        <v>714414.49</v>
      </c>
      <c r="J28" t="s">
        <v>256</v>
      </c>
    </row>
    <row r="29" spans="1:10" ht="12.75">
      <c r="A29">
        <v>12</v>
      </c>
      <c r="B29">
        <v>2010</v>
      </c>
      <c r="C29" s="352">
        <v>40543</v>
      </c>
      <c r="D29" t="s">
        <v>268</v>
      </c>
      <c r="E29" s="405" t="s">
        <v>308</v>
      </c>
      <c r="F29" s="351" t="s">
        <v>302</v>
      </c>
      <c r="G29">
        <v>67000020</v>
      </c>
      <c r="H29" t="s">
        <v>254</v>
      </c>
      <c r="I29" s="356">
        <v>14474.17</v>
      </c>
      <c r="J29" t="s">
        <v>256</v>
      </c>
    </row>
    <row r="30" spans="9:12" ht="12.75">
      <c r="I30" s="26">
        <f>SUM(I24:I29)</f>
        <v>1564505.98</v>
      </c>
      <c r="L30" s="228"/>
    </row>
    <row r="31" spans="9:12" ht="12.75">
      <c r="I31" s="26">
        <f>SUM(I3:I8)</f>
        <v>211831.31</v>
      </c>
      <c r="J31" t="s">
        <v>255</v>
      </c>
      <c r="L31" s="228"/>
    </row>
    <row r="32" spans="3:12" ht="12.75">
      <c r="C32" s="334"/>
      <c r="I32" s="26">
        <f>+I16+I23+I30+I31</f>
        <v>3290260.0700000003</v>
      </c>
      <c r="L32" s="228"/>
    </row>
    <row r="33" spans="3:12" ht="12.75">
      <c r="C33" s="334"/>
      <c r="L33" s="227"/>
    </row>
    <row r="34" spans="7:12" ht="12.75">
      <c r="G34" t="s">
        <v>277</v>
      </c>
      <c r="I34" s="26">
        <f>I32</f>
        <v>3290260.0700000003</v>
      </c>
      <c r="L34" s="228"/>
    </row>
    <row r="35" spans="7:12" ht="12.75">
      <c r="G35" t="s">
        <v>278</v>
      </c>
      <c r="I35" s="26">
        <f>-I31</f>
        <v>-211831.31</v>
      </c>
      <c r="L35" s="228"/>
    </row>
    <row r="36" ht="12.75">
      <c r="L36" s="230"/>
    </row>
    <row r="37" ht="13.5" thickBot="1">
      <c r="I37" s="336">
        <f>SUM(I34:I36)</f>
        <v>3078428.7600000002</v>
      </c>
    </row>
    <row r="38" ht="13.5" thickTop="1"/>
    <row r="39" spans="7:9" ht="12.75">
      <c r="G39" s="335" t="s">
        <v>269</v>
      </c>
      <c r="H39">
        <v>41710062</v>
      </c>
      <c r="I39" s="26">
        <f>+I29+I22+I10</f>
        <v>28919.510000000002</v>
      </c>
    </row>
    <row r="40" spans="7:9" ht="12.75">
      <c r="G40" s="335" t="s">
        <v>270</v>
      </c>
      <c r="H40" t="s">
        <v>279</v>
      </c>
      <c r="I40" s="26">
        <f>I16+I23+I30-I39</f>
        <v>3049509.2500000005</v>
      </c>
    </row>
    <row r="41" ht="13.5" thickBot="1">
      <c r="I41" s="336">
        <f>SUM(I39:I40)</f>
        <v>3078428.7600000002</v>
      </c>
    </row>
    <row r="42" ht="13.5" thickTop="1"/>
    <row r="44" spans="1:10" s="25" customFormat="1" ht="12.75" hidden="1">
      <c r="A44" s="351" t="s">
        <v>297</v>
      </c>
      <c r="B44" s="351"/>
      <c r="C44" s="352">
        <v>40252</v>
      </c>
      <c r="D44" s="351" t="s">
        <v>268</v>
      </c>
      <c r="E44" s="351" t="s">
        <v>293</v>
      </c>
      <c r="F44" s="351" t="s">
        <v>295</v>
      </c>
      <c r="G44" s="351" t="s">
        <v>296</v>
      </c>
      <c r="I44" s="339">
        <v>34995.22</v>
      </c>
      <c r="J44" s="351" t="s">
        <v>294</v>
      </c>
    </row>
    <row r="45" spans="1:10" s="25" customFormat="1" ht="12.75" hidden="1">
      <c r="A45" s="351" t="s">
        <v>297</v>
      </c>
      <c r="B45" s="351"/>
      <c r="C45" s="352">
        <v>40252</v>
      </c>
      <c r="D45" s="351" t="s">
        <v>268</v>
      </c>
      <c r="E45" s="351" t="s">
        <v>293</v>
      </c>
      <c r="F45" s="351" t="s">
        <v>298</v>
      </c>
      <c r="G45" s="351" t="s">
        <v>296</v>
      </c>
      <c r="I45" s="339">
        <v>5051.33</v>
      </c>
      <c r="J45" s="351" t="s">
        <v>294</v>
      </c>
    </row>
    <row r="46" spans="1:10" s="25" customFormat="1" ht="12.75" hidden="1">
      <c r="A46" s="351" t="s">
        <v>297</v>
      </c>
      <c r="B46" s="351"/>
      <c r="C46" s="352">
        <v>40252</v>
      </c>
      <c r="D46" s="351" t="s">
        <v>268</v>
      </c>
      <c r="E46" s="351" t="s">
        <v>293</v>
      </c>
      <c r="F46" s="351" t="s">
        <v>299</v>
      </c>
      <c r="G46" s="351" t="s">
        <v>296</v>
      </c>
      <c r="I46" s="339">
        <v>36046.98</v>
      </c>
      <c r="J46" s="351" t="s">
        <v>294</v>
      </c>
    </row>
    <row r="47" spans="1:10" s="25" customFormat="1" ht="12.75" hidden="1">
      <c r="A47" s="351" t="s">
        <v>297</v>
      </c>
      <c r="B47" s="351"/>
      <c r="C47" s="352">
        <v>40252</v>
      </c>
      <c r="D47" s="351" t="s">
        <v>268</v>
      </c>
      <c r="E47" s="351" t="s">
        <v>293</v>
      </c>
      <c r="F47" s="351" t="s">
        <v>300</v>
      </c>
      <c r="G47" s="351" t="s">
        <v>296</v>
      </c>
      <c r="I47" s="339">
        <v>37359.65</v>
      </c>
      <c r="J47" s="351" t="s">
        <v>294</v>
      </c>
    </row>
    <row r="48" spans="1:10" s="25" customFormat="1" ht="12.75" hidden="1">
      <c r="A48" s="351" t="s">
        <v>297</v>
      </c>
      <c r="B48" s="351"/>
      <c r="C48" s="352">
        <v>40252</v>
      </c>
      <c r="D48" s="351" t="s">
        <v>268</v>
      </c>
      <c r="E48" s="351" t="s">
        <v>293</v>
      </c>
      <c r="F48" s="351" t="s">
        <v>301</v>
      </c>
      <c r="G48" s="351" t="s">
        <v>296</v>
      </c>
      <c r="I48" s="339">
        <v>96392.24</v>
      </c>
      <c r="J48" s="351" t="s">
        <v>294</v>
      </c>
    </row>
    <row r="49" spans="1:10" s="25" customFormat="1" ht="12.75" hidden="1">
      <c r="A49" s="351" t="s">
        <v>297</v>
      </c>
      <c r="B49" s="351"/>
      <c r="C49" s="352">
        <v>40252</v>
      </c>
      <c r="D49" s="351" t="s">
        <v>268</v>
      </c>
      <c r="E49" s="351" t="s">
        <v>293</v>
      </c>
      <c r="F49" s="351" t="s">
        <v>302</v>
      </c>
      <c r="G49" s="351" t="s">
        <v>296</v>
      </c>
      <c r="I49" s="354">
        <v>1985.89</v>
      </c>
      <c r="J49" s="351" t="s">
        <v>294</v>
      </c>
    </row>
    <row r="50" ht="12.75" hidden="1"/>
    <row r="51" spans="1:10" ht="12.75" hidden="1">
      <c r="A51">
        <v>6</v>
      </c>
      <c r="C51" s="334">
        <v>40359</v>
      </c>
      <c r="D51" t="s">
        <v>268</v>
      </c>
      <c r="E51">
        <v>207908286</v>
      </c>
      <c r="F51">
        <v>41710062</v>
      </c>
      <c r="G51">
        <v>67000020</v>
      </c>
      <c r="I51" s="343">
        <v>16392.65</v>
      </c>
      <c r="J51" t="s">
        <v>273</v>
      </c>
    </row>
    <row r="52" spans="1:10" ht="12.75" hidden="1">
      <c r="A52">
        <v>6</v>
      </c>
      <c r="C52" s="334">
        <v>40359</v>
      </c>
      <c r="D52" t="s">
        <v>268</v>
      </c>
      <c r="E52">
        <v>207908286</v>
      </c>
      <c r="F52">
        <v>54601100</v>
      </c>
      <c r="G52">
        <v>67000020</v>
      </c>
      <c r="I52" s="341">
        <v>293073.56</v>
      </c>
      <c r="J52" t="s">
        <v>273</v>
      </c>
    </row>
    <row r="53" spans="1:10" ht="12.75" hidden="1">
      <c r="A53">
        <v>6</v>
      </c>
      <c r="C53" s="334">
        <v>40359</v>
      </c>
      <c r="D53" t="s">
        <v>268</v>
      </c>
      <c r="E53">
        <v>207908286</v>
      </c>
      <c r="F53">
        <v>56000050</v>
      </c>
      <c r="G53">
        <v>67000020</v>
      </c>
      <c r="I53" s="341">
        <v>38348.89</v>
      </c>
      <c r="J53" t="s">
        <v>273</v>
      </c>
    </row>
    <row r="54" spans="1:10" ht="12.75" hidden="1">
      <c r="A54">
        <v>6</v>
      </c>
      <c r="C54" s="334">
        <v>40359</v>
      </c>
      <c r="D54" t="s">
        <v>268</v>
      </c>
      <c r="E54">
        <v>207908286</v>
      </c>
      <c r="F54">
        <v>58000100</v>
      </c>
      <c r="G54">
        <v>67000020</v>
      </c>
      <c r="I54" s="341">
        <v>275548.25</v>
      </c>
      <c r="J54" t="s">
        <v>273</v>
      </c>
    </row>
    <row r="55" spans="1:10" ht="12.75" hidden="1">
      <c r="A55">
        <v>6</v>
      </c>
      <c r="C55" s="334">
        <v>40359</v>
      </c>
      <c r="D55" t="s">
        <v>268</v>
      </c>
      <c r="E55">
        <v>207908286</v>
      </c>
      <c r="F55">
        <v>88000013</v>
      </c>
      <c r="G55">
        <v>67000020</v>
      </c>
      <c r="I55" s="341">
        <v>305371.02</v>
      </c>
      <c r="J55" t="s">
        <v>273</v>
      </c>
    </row>
    <row r="56" spans="1:10" ht="12.75" hidden="1">
      <c r="A56">
        <v>6</v>
      </c>
      <c r="C56" s="334">
        <v>40359</v>
      </c>
      <c r="D56" t="s">
        <v>268</v>
      </c>
      <c r="E56">
        <v>207908286</v>
      </c>
      <c r="F56">
        <v>92006490</v>
      </c>
      <c r="G56">
        <v>67000020</v>
      </c>
      <c r="I56" s="341">
        <v>797115.35</v>
      </c>
      <c r="J56" t="s">
        <v>273</v>
      </c>
    </row>
    <row r="57" ht="12.75" hidden="1"/>
    <row r="58" ht="12.75" hidden="1"/>
    <row r="59" ht="12.75" hidden="1"/>
    <row r="60" spans="1:9" ht="12.75" hidden="1">
      <c r="A60" s="351"/>
      <c r="B60" s="351"/>
      <c r="C60" s="351" t="s">
        <v>305</v>
      </c>
      <c r="D60" s="351" t="s">
        <v>268</v>
      </c>
      <c r="E60" s="351" t="s">
        <v>306</v>
      </c>
      <c r="F60" s="351" t="s">
        <v>295</v>
      </c>
      <c r="G60" s="351" t="s">
        <v>307</v>
      </c>
      <c r="H60" s="355">
        <v>-35936.55</v>
      </c>
      <c r="I60" s="352">
        <v>40451</v>
      </c>
    </row>
    <row r="61" spans="1:9" ht="12.75" hidden="1">
      <c r="A61" s="351"/>
      <c r="B61" s="351"/>
      <c r="C61" s="351" t="s">
        <v>305</v>
      </c>
      <c r="D61" s="351" t="s">
        <v>268</v>
      </c>
      <c r="E61" s="351" t="s">
        <v>306</v>
      </c>
      <c r="F61" s="351" t="s">
        <v>298</v>
      </c>
      <c r="G61" s="351" t="s">
        <v>307</v>
      </c>
      <c r="H61" s="355">
        <v>-4806.61</v>
      </c>
      <c r="I61" s="352">
        <v>40451</v>
      </c>
    </row>
    <row r="62" spans="1:9" ht="12.75" hidden="1">
      <c r="A62" s="351"/>
      <c r="B62" s="351"/>
      <c r="C62" s="351" t="s">
        <v>305</v>
      </c>
      <c r="D62" s="351" t="s">
        <v>268</v>
      </c>
      <c r="E62" s="351" t="s">
        <v>306</v>
      </c>
      <c r="F62" s="351" t="s">
        <v>299</v>
      </c>
      <c r="G62" s="351" t="s">
        <v>307</v>
      </c>
      <c r="H62" s="355">
        <v>-34387.33</v>
      </c>
      <c r="I62" s="352">
        <v>40451</v>
      </c>
    </row>
    <row r="63" spans="1:9" ht="12.75" hidden="1">
      <c r="A63" s="351"/>
      <c r="B63" s="351"/>
      <c r="C63" s="351" t="s">
        <v>305</v>
      </c>
      <c r="D63" s="351" t="s">
        <v>268</v>
      </c>
      <c r="E63" s="351" t="s">
        <v>306</v>
      </c>
      <c r="F63" s="351" t="s">
        <v>300</v>
      </c>
      <c r="G63" s="351" t="s">
        <v>307</v>
      </c>
      <c r="H63" s="355">
        <v>-37418.74</v>
      </c>
      <c r="I63" s="352">
        <v>40451</v>
      </c>
    </row>
    <row r="64" spans="1:9" ht="12.75" hidden="1">
      <c r="A64" s="351"/>
      <c r="B64" s="351"/>
      <c r="C64" s="351" t="s">
        <v>305</v>
      </c>
      <c r="D64" s="351" t="s">
        <v>268</v>
      </c>
      <c r="E64" s="351" t="s">
        <v>306</v>
      </c>
      <c r="F64" s="351" t="s">
        <v>301</v>
      </c>
      <c r="G64" s="351" t="s">
        <v>307</v>
      </c>
      <c r="H64" s="355">
        <v>-97430.4</v>
      </c>
      <c r="I64" s="352">
        <v>40451</v>
      </c>
    </row>
    <row r="65" spans="1:9" ht="12.75" hidden="1">
      <c r="A65" s="351"/>
      <c r="B65" s="351"/>
      <c r="C65" s="351" t="s">
        <v>305</v>
      </c>
      <c r="D65" s="351" t="s">
        <v>268</v>
      </c>
      <c r="E65" s="351" t="s">
        <v>306</v>
      </c>
      <c r="F65" s="351" t="s">
        <v>302</v>
      </c>
      <c r="G65" s="351" t="s">
        <v>307</v>
      </c>
      <c r="H65" s="355">
        <v>-1947.31</v>
      </c>
      <c r="I65" s="352">
        <v>40451</v>
      </c>
    </row>
    <row r="66" spans="3:9" ht="12.75" hidden="1">
      <c r="C66" s="351"/>
      <c r="D66" s="351"/>
      <c r="E66" s="351"/>
      <c r="F66" s="351"/>
      <c r="G66" s="351"/>
      <c r="H66" s="355"/>
      <c r="I66" s="352"/>
    </row>
    <row r="67" ht="12.75" hidden="1"/>
    <row r="68" ht="12.75" hidden="1"/>
    <row r="69" spans="3:9" s="25" customFormat="1" ht="12.75" hidden="1">
      <c r="C69" s="351" t="s">
        <v>308</v>
      </c>
      <c r="D69" s="351" t="s">
        <v>268</v>
      </c>
      <c r="E69" s="351" t="s">
        <v>304</v>
      </c>
      <c r="F69" s="351" t="s">
        <v>295</v>
      </c>
      <c r="G69" s="351" t="s">
        <v>303</v>
      </c>
      <c r="H69" s="355">
        <v>265404.85</v>
      </c>
      <c r="I69" s="352">
        <v>40543</v>
      </c>
    </row>
    <row r="70" spans="3:9" s="25" customFormat="1" ht="12.75" hidden="1">
      <c r="C70" s="351" t="s">
        <v>308</v>
      </c>
      <c r="D70" s="351" t="s">
        <v>268</v>
      </c>
      <c r="E70" s="351" t="s">
        <v>304</v>
      </c>
      <c r="F70" s="351" t="s">
        <v>298</v>
      </c>
      <c r="G70" s="351" t="s">
        <v>303</v>
      </c>
      <c r="H70" s="355">
        <v>36236.03</v>
      </c>
      <c r="I70" s="352">
        <v>40543</v>
      </c>
    </row>
    <row r="71" spans="3:9" s="25" customFormat="1" ht="12.75" hidden="1">
      <c r="C71" s="351" t="s">
        <v>308</v>
      </c>
      <c r="D71" s="351" t="s">
        <v>268</v>
      </c>
      <c r="E71" s="351" t="s">
        <v>304</v>
      </c>
      <c r="F71" s="351" t="s">
        <v>299</v>
      </c>
      <c r="G71" s="351" t="s">
        <v>303</v>
      </c>
      <c r="H71" s="355">
        <v>255150.07</v>
      </c>
      <c r="I71" s="352">
        <v>40543</v>
      </c>
    </row>
    <row r="72" spans="3:9" s="25" customFormat="1" ht="12.75" hidden="1">
      <c r="C72" s="351" t="s">
        <v>308</v>
      </c>
      <c r="D72" s="351" t="s">
        <v>268</v>
      </c>
      <c r="E72" s="351" t="s">
        <v>304</v>
      </c>
      <c r="F72" s="351" t="s">
        <v>300</v>
      </c>
      <c r="G72" s="351" t="s">
        <v>303</v>
      </c>
      <c r="H72" s="355">
        <v>278826.37</v>
      </c>
      <c r="I72" s="352">
        <v>40543</v>
      </c>
    </row>
    <row r="73" spans="3:9" s="25" customFormat="1" ht="12.75" hidden="1">
      <c r="C73" s="351" t="s">
        <v>308</v>
      </c>
      <c r="D73" s="351" t="s">
        <v>268</v>
      </c>
      <c r="E73" s="351" t="s">
        <v>304</v>
      </c>
      <c r="F73" s="351" t="s">
        <v>301</v>
      </c>
      <c r="G73" s="351" t="s">
        <v>303</v>
      </c>
      <c r="H73" s="355">
        <v>714414.49</v>
      </c>
      <c r="I73" s="352">
        <v>40543</v>
      </c>
    </row>
    <row r="74" spans="3:9" s="25" customFormat="1" ht="12.75" hidden="1">
      <c r="C74" s="351" t="s">
        <v>308</v>
      </c>
      <c r="D74" s="351" t="s">
        <v>268</v>
      </c>
      <c r="E74" s="351" t="s">
        <v>304</v>
      </c>
      <c r="F74" s="351" t="s">
        <v>302</v>
      </c>
      <c r="G74" s="351" t="s">
        <v>303</v>
      </c>
      <c r="H74" s="355">
        <v>14474.17</v>
      </c>
      <c r="I74" s="352">
        <v>40543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Y29"/>
  <sheetViews>
    <sheetView zoomScalePageLayoutView="0" workbookViewId="0" topLeftCell="A1">
      <selection activeCell="P27" sqref="P27"/>
    </sheetView>
  </sheetViews>
  <sheetFormatPr defaultColWidth="9.140625" defaultRowHeight="12.75"/>
  <cols>
    <col min="1" max="1" width="30.7109375" style="45" customWidth="1"/>
    <col min="2" max="2" width="12.00390625" style="52" hidden="1" customWidth="1"/>
    <col min="3" max="3" width="2.421875" style="31" hidden="1" customWidth="1"/>
    <col min="4" max="4" width="12.00390625" style="31" hidden="1" customWidth="1"/>
    <col min="5" max="5" width="1.7109375" style="47" customWidth="1"/>
    <col min="6" max="6" width="15.7109375" style="31" customWidth="1"/>
    <col min="7" max="7" width="1.7109375" style="31" customWidth="1"/>
    <col min="8" max="8" width="15.7109375" style="31" customWidth="1"/>
    <col min="9" max="9" width="1.7109375" style="31" customWidth="1"/>
    <col min="10" max="10" width="15.7109375" style="31" customWidth="1"/>
    <col min="11" max="11" width="1.7109375" style="31" customWidth="1"/>
    <col min="12" max="12" width="15.7109375" style="31" customWidth="1"/>
    <col min="13" max="13" width="9.421875" style="31" customWidth="1"/>
    <col min="14" max="14" width="22.7109375" style="31" customWidth="1"/>
    <col min="15" max="15" width="9.140625" style="31" customWidth="1"/>
    <col min="16" max="16" width="14.7109375" style="31" customWidth="1"/>
    <col min="17" max="17" width="5.7109375" style="31" customWidth="1"/>
    <col min="18" max="16384" width="9.140625" style="31" customWidth="1"/>
  </cols>
  <sheetData>
    <row r="1" spans="2:16" ht="12.75">
      <c r="B1" s="46"/>
      <c r="F1" s="46"/>
      <c r="H1" s="46"/>
      <c r="J1" s="46"/>
      <c r="L1" s="46"/>
      <c r="P1" s="47"/>
    </row>
    <row r="2" spans="1:16" ht="12.75" customHeight="1">
      <c r="A2" s="56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P2" s="47"/>
    </row>
    <row r="3" spans="1:16" ht="12.75" customHeight="1">
      <c r="A3" s="56" t="s">
        <v>368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P3" s="47"/>
    </row>
    <row r="4" spans="1:16" ht="12.75" customHeight="1">
      <c r="A4" s="56" t="s">
        <v>369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P4" s="47"/>
    </row>
    <row r="5" spans="1:16" ht="13.5" thickBot="1">
      <c r="A5" s="61"/>
      <c r="B5" s="62"/>
      <c r="C5" s="47"/>
      <c r="D5" s="55"/>
      <c r="F5" s="47"/>
      <c r="G5" s="47"/>
      <c r="H5" s="47"/>
      <c r="I5" s="47"/>
      <c r="J5" s="47"/>
      <c r="K5" s="47"/>
      <c r="L5" s="47"/>
      <c r="M5" s="47"/>
      <c r="N5" s="47"/>
      <c r="P5" s="47"/>
    </row>
    <row r="6" spans="1:25" ht="12.75">
      <c r="A6" s="78"/>
      <c r="B6" s="63" t="s">
        <v>18</v>
      </c>
      <c r="C6" s="64"/>
      <c r="D6" s="63" t="s">
        <v>18</v>
      </c>
      <c r="E6" s="65"/>
      <c r="F6" s="63" t="s">
        <v>18</v>
      </c>
      <c r="G6" s="65"/>
      <c r="H6" s="63" t="s">
        <v>18</v>
      </c>
      <c r="I6" s="65"/>
      <c r="J6" s="63" t="s">
        <v>18</v>
      </c>
      <c r="K6" s="65"/>
      <c r="L6" s="63" t="s">
        <v>18</v>
      </c>
      <c r="M6" s="66"/>
      <c r="N6" s="79" t="s">
        <v>22</v>
      </c>
      <c r="O6" s="49"/>
      <c r="P6" s="49"/>
      <c r="Q6" s="49"/>
      <c r="R6" s="49"/>
      <c r="S6" s="49"/>
      <c r="T6" s="49"/>
      <c r="U6" s="49"/>
      <c r="V6" s="49"/>
      <c r="W6" s="47"/>
      <c r="X6" s="47"/>
      <c r="Y6" s="47"/>
    </row>
    <row r="7" spans="1:25" ht="12.75">
      <c r="A7" s="80"/>
      <c r="B7" s="50">
        <v>1998</v>
      </c>
      <c r="C7" s="58"/>
      <c r="D7" s="50">
        <v>1999</v>
      </c>
      <c r="E7" s="70"/>
      <c r="F7" s="69" t="s">
        <v>370</v>
      </c>
      <c r="G7" s="70"/>
      <c r="H7" s="69" t="s">
        <v>38</v>
      </c>
      <c r="I7" s="70"/>
      <c r="J7" s="69">
        <v>2007</v>
      </c>
      <c r="K7" s="70"/>
      <c r="L7" s="69">
        <v>2008</v>
      </c>
      <c r="M7" s="57"/>
      <c r="N7" s="81" t="s">
        <v>0</v>
      </c>
      <c r="O7" s="49"/>
      <c r="P7" s="49"/>
      <c r="Q7" s="49"/>
      <c r="R7" s="49"/>
      <c r="S7" s="49"/>
      <c r="T7" s="49"/>
      <c r="U7" s="49"/>
      <c r="V7" s="49"/>
      <c r="W7" s="47"/>
      <c r="X7" s="47"/>
      <c r="Y7" s="47"/>
    </row>
    <row r="8" spans="1:25" ht="13.5" thickBot="1">
      <c r="A8" s="82"/>
      <c r="B8" s="67"/>
      <c r="C8" s="68"/>
      <c r="D8" s="67"/>
      <c r="E8" s="75"/>
      <c r="F8" s="74" t="s">
        <v>14</v>
      </c>
      <c r="G8" s="75"/>
      <c r="H8" s="74" t="s">
        <v>15</v>
      </c>
      <c r="I8" s="75"/>
      <c r="J8" s="74" t="s">
        <v>39</v>
      </c>
      <c r="K8" s="75"/>
      <c r="L8" s="74" t="s">
        <v>16</v>
      </c>
      <c r="M8" s="76"/>
      <c r="N8" s="83" t="s">
        <v>40</v>
      </c>
      <c r="O8" s="49"/>
      <c r="P8" s="49"/>
      <c r="Q8" s="49"/>
      <c r="R8" s="49"/>
      <c r="S8" s="49"/>
      <c r="T8" s="49"/>
      <c r="U8" s="49"/>
      <c r="V8" s="49"/>
      <c r="W8" s="47"/>
      <c r="X8" s="47"/>
      <c r="Y8" s="47"/>
    </row>
    <row r="9" spans="1:16" ht="13.5" thickTop="1">
      <c r="A9" s="84" t="s">
        <v>23</v>
      </c>
      <c r="B9" s="85" t="e">
        <f>SUM(#REF!)</f>
        <v>#REF!</v>
      </c>
      <c r="C9" s="85"/>
      <c r="D9" s="85" t="e">
        <f>SUM(#REF!)</f>
        <v>#REF!</v>
      </c>
      <c r="E9" s="71"/>
      <c r="F9" s="71">
        <v>17082436</v>
      </c>
      <c r="G9" s="71"/>
      <c r="H9" s="71">
        <v>14068599</v>
      </c>
      <c r="I9" s="71"/>
      <c r="J9" s="71">
        <v>14968601</v>
      </c>
      <c r="K9" s="71"/>
      <c r="L9" s="71">
        <v>17586273</v>
      </c>
      <c r="M9" s="72"/>
      <c r="N9" s="86">
        <f>SUM(F9:L9)</f>
        <v>63705909</v>
      </c>
      <c r="P9" s="52"/>
    </row>
    <row r="10" spans="1:14" ht="12.75">
      <c r="A10" s="84" t="s">
        <v>19</v>
      </c>
      <c r="B10" s="53">
        <v>0.556</v>
      </c>
      <c r="C10" s="49"/>
      <c r="D10" s="53">
        <v>0.5354</v>
      </c>
      <c r="E10" s="53"/>
      <c r="F10" s="53">
        <v>0.6243</v>
      </c>
      <c r="G10" s="53"/>
      <c r="H10" s="53">
        <v>0.5609</v>
      </c>
      <c r="I10" s="48"/>
      <c r="J10" s="53">
        <v>0.5839</v>
      </c>
      <c r="K10" s="48"/>
      <c r="L10" s="53">
        <v>0.594</v>
      </c>
      <c r="M10" s="59"/>
      <c r="N10" s="87"/>
    </row>
    <row r="11" spans="1:14" ht="12.75">
      <c r="A11" s="88"/>
      <c r="B11" s="85" t="e">
        <f>B9*B10</f>
        <v>#REF!</v>
      </c>
      <c r="C11" s="85"/>
      <c r="D11" s="85" t="e">
        <f>D9*D10</f>
        <v>#REF!</v>
      </c>
      <c r="E11" s="72"/>
      <c r="F11" s="72">
        <f>F9*F10</f>
        <v>10664564.7948</v>
      </c>
      <c r="G11" s="72"/>
      <c r="H11" s="72">
        <f>H9*H10</f>
        <v>7891077.179099999</v>
      </c>
      <c r="I11" s="72"/>
      <c r="J11" s="72">
        <f>J9*J10</f>
        <v>8740166.1239</v>
      </c>
      <c r="K11" s="72"/>
      <c r="L11" s="72">
        <f>L9*L10</f>
        <v>10446246.161999999</v>
      </c>
      <c r="M11" s="72"/>
      <c r="N11" s="86">
        <f>SUM(F11:L11)</f>
        <v>37742054.259799995</v>
      </c>
    </row>
    <row r="12" spans="1:14" ht="12.75">
      <c r="A12" s="88"/>
      <c r="B12" s="85"/>
      <c r="C12" s="85"/>
      <c r="D12" s="85"/>
      <c r="F12" s="89" t="s">
        <v>41</v>
      </c>
      <c r="G12" s="77"/>
      <c r="H12" s="89" t="s">
        <v>42</v>
      </c>
      <c r="I12" s="77"/>
      <c r="J12" s="89" t="s">
        <v>43</v>
      </c>
      <c r="K12" s="77"/>
      <c r="L12" s="89" t="s">
        <v>44</v>
      </c>
      <c r="M12" s="90"/>
      <c r="N12" s="91" t="s">
        <v>45</v>
      </c>
    </row>
    <row r="13" spans="1:14" ht="12.75">
      <c r="A13" s="88"/>
      <c r="B13" s="85"/>
      <c r="C13" s="85"/>
      <c r="D13" s="85"/>
      <c r="F13" s="85"/>
      <c r="G13" s="47"/>
      <c r="H13" s="85"/>
      <c r="I13" s="47"/>
      <c r="J13" s="85"/>
      <c r="K13" s="47"/>
      <c r="L13" s="85"/>
      <c r="M13" s="85"/>
      <c r="N13" s="92"/>
    </row>
    <row r="14" spans="1:14" ht="12.75">
      <c r="A14" s="88"/>
      <c r="B14" s="47"/>
      <c r="C14" s="47"/>
      <c r="D14" s="47"/>
      <c r="F14" s="85"/>
      <c r="G14" s="47"/>
      <c r="H14" s="85"/>
      <c r="I14" s="47"/>
      <c r="J14" s="85"/>
      <c r="K14" s="47"/>
      <c r="L14" s="85"/>
      <c r="M14" s="47"/>
      <c r="N14" s="93"/>
    </row>
    <row r="15" spans="1:15" ht="12.75">
      <c r="A15" s="88"/>
      <c r="B15" s="47"/>
      <c r="C15" s="47"/>
      <c r="D15" s="47"/>
      <c r="F15" s="47"/>
      <c r="G15" s="47"/>
      <c r="H15" s="47"/>
      <c r="I15" s="47"/>
      <c r="J15" s="47"/>
      <c r="K15" s="47"/>
      <c r="L15" s="47"/>
      <c r="M15" s="46" t="s">
        <v>46</v>
      </c>
      <c r="N15" s="276">
        <f>N11/4</f>
        <v>9435513.564949999</v>
      </c>
      <c r="O15" s="54"/>
    </row>
    <row r="16" spans="1:15" ht="12.75">
      <c r="A16" s="88"/>
      <c r="B16" s="47"/>
      <c r="C16" s="47"/>
      <c r="D16" s="47"/>
      <c r="F16" s="47"/>
      <c r="G16" s="47"/>
      <c r="H16" s="47"/>
      <c r="I16" s="47"/>
      <c r="J16" s="47"/>
      <c r="K16" s="47"/>
      <c r="L16" s="46" t="s">
        <v>229</v>
      </c>
      <c r="M16" s="281">
        <v>0.1553</v>
      </c>
      <c r="N16" s="277">
        <f>N15*M16</f>
        <v>1465335.2566367348</v>
      </c>
      <c r="O16" s="54"/>
    </row>
    <row r="17" spans="1:15" ht="12.75">
      <c r="A17" s="88"/>
      <c r="B17" s="47"/>
      <c r="C17" s="47"/>
      <c r="D17" s="47"/>
      <c r="F17" s="47"/>
      <c r="G17" s="47"/>
      <c r="H17" s="47"/>
      <c r="I17" s="47"/>
      <c r="J17" s="47"/>
      <c r="K17" s="47"/>
      <c r="L17" s="47"/>
      <c r="M17" s="278" t="s">
        <v>230</v>
      </c>
      <c r="N17" s="279">
        <f>N15-N16</f>
        <v>7970178.308313264</v>
      </c>
      <c r="O17" s="54"/>
    </row>
    <row r="18" spans="1:14" ht="12.75">
      <c r="A18" s="88"/>
      <c r="B18" s="47"/>
      <c r="C18" s="47"/>
      <c r="D18" s="47"/>
      <c r="F18" s="47"/>
      <c r="G18" s="47"/>
      <c r="H18" s="49"/>
      <c r="I18" s="47"/>
      <c r="J18" s="47"/>
      <c r="K18" s="47"/>
      <c r="L18" s="47"/>
      <c r="M18" s="47"/>
      <c r="N18" s="93"/>
    </row>
    <row r="19" spans="1:14" ht="12.75">
      <c r="A19" s="94"/>
      <c r="B19" s="47"/>
      <c r="C19" s="47"/>
      <c r="D19" s="47"/>
      <c r="F19" s="47"/>
      <c r="G19" s="47"/>
      <c r="H19" s="49"/>
      <c r="I19" s="49"/>
      <c r="J19" s="47"/>
      <c r="K19" s="49"/>
      <c r="L19" s="47"/>
      <c r="M19" s="47"/>
      <c r="N19" s="93"/>
    </row>
    <row r="20" spans="1:15" ht="12.75">
      <c r="A20" s="94"/>
      <c r="B20" s="47"/>
      <c r="C20" s="47"/>
      <c r="D20" s="47"/>
      <c r="E20" s="60"/>
      <c r="F20" s="47"/>
      <c r="G20" s="47"/>
      <c r="H20" s="47"/>
      <c r="I20" s="47"/>
      <c r="J20" s="95"/>
      <c r="K20" s="47"/>
      <c r="L20" s="95" t="s">
        <v>20</v>
      </c>
      <c r="M20" s="49">
        <v>0.6494</v>
      </c>
      <c r="N20" s="92">
        <f>N17*M20</f>
        <v>5175833.793418633</v>
      </c>
      <c r="O20" s="73" t="s">
        <v>371</v>
      </c>
    </row>
    <row r="21" spans="1:15" ht="12.75">
      <c r="A21" s="94"/>
      <c r="B21" s="47"/>
      <c r="C21" s="47"/>
      <c r="D21" s="47"/>
      <c r="E21" s="49"/>
      <c r="F21" s="85"/>
      <c r="G21" s="47"/>
      <c r="H21" s="96"/>
      <c r="I21" s="47"/>
      <c r="J21" s="95"/>
      <c r="K21" s="47"/>
      <c r="L21" s="95" t="s">
        <v>21</v>
      </c>
      <c r="M21" s="53">
        <v>0.3506</v>
      </c>
      <c r="N21" s="87">
        <f>M21*N17</f>
        <v>2794344.5148946303</v>
      </c>
      <c r="O21" s="73" t="s">
        <v>372</v>
      </c>
    </row>
    <row r="22" spans="1:14" ht="12.75">
      <c r="A22" s="88"/>
      <c r="B22" s="85"/>
      <c r="C22" s="47"/>
      <c r="D22" s="47"/>
      <c r="E22" s="49"/>
      <c r="F22" s="85"/>
      <c r="G22" s="47"/>
      <c r="H22" s="96"/>
      <c r="I22" s="47"/>
      <c r="J22" s="47"/>
      <c r="K22" s="47"/>
      <c r="L22" s="47"/>
      <c r="M22" s="49">
        <f>SUM(M20:M21)</f>
        <v>1</v>
      </c>
      <c r="N22" s="92">
        <f>SUM(N20:N21)</f>
        <v>7970178.308313264</v>
      </c>
    </row>
    <row r="23" spans="1:14" ht="12.75">
      <c r="A23" s="94" t="s">
        <v>373</v>
      </c>
      <c r="B23" s="47"/>
      <c r="C23" s="47"/>
      <c r="D23" s="47"/>
      <c r="F23" s="326">
        <v>2.7</v>
      </c>
      <c r="G23" s="47"/>
      <c r="H23" s="47"/>
      <c r="I23" s="47"/>
      <c r="J23" s="47"/>
      <c r="K23" s="47"/>
      <c r="L23" s="47"/>
      <c r="M23" s="47"/>
      <c r="N23" s="93"/>
    </row>
    <row r="24" spans="1:15" ht="12.75">
      <c r="A24" s="88" t="s">
        <v>374</v>
      </c>
      <c r="B24" s="85"/>
      <c r="C24" s="47"/>
      <c r="D24" s="47"/>
      <c r="F24" s="327">
        <f>ROUND(L9/1000000,1)</f>
        <v>17.6</v>
      </c>
      <c r="G24" s="47"/>
      <c r="H24" s="47"/>
      <c r="I24" s="47"/>
      <c r="J24" s="51"/>
      <c r="K24" s="47"/>
      <c r="L24" s="51"/>
      <c r="M24" s="49"/>
      <c r="N24" s="92"/>
      <c r="O24" s="73"/>
    </row>
    <row r="25" spans="1:15" ht="12.75">
      <c r="A25" s="88" t="s">
        <v>231</v>
      </c>
      <c r="B25" s="85"/>
      <c r="C25" s="47"/>
      <c r="D25" s="47"/>
      <c r="F25" s="328">
        <f>ROUNDUP(F23/F24,2)</f>
        <v>0.16</v>
      </c>
      <c r="G25" s="47"/>
      <c r="H25" s="47"/>
      <c r="I25" s="47"/>
      <c r="J25" s="51"/>
      <c r="K25" s="47"/>
      <c r="L25" s="51"/>
      <c r="M25" s="49"/>
      <c r="N25" s="92"/>
      <c r="O25" s="73"/>
    </row>
    <row r="26" spans="1:14" ht="12.75">
      <c r="A26" s="88"/>
      <c r="B26" s="85"/>
      <c r="C26" s="47"/>
      <c r="D26" s="47"/>
      <c r="F26" s="47"/>
      <c r="G26" s="47"/>
      <c r="H26" s="47"/>
      <c r="I26" s="47"/>
      <c r="J26" s="47"/>
      <c r="K26" s="47"/>
      <c r="L26" s="47"/>
      <c r="M26" s="47"/>
      <c r="N26" s="92"/>
    </row>
    <row r="27" spans="1:14" ht="12.75">
      <c r="A27" s="88"/>
      <c r="B27" s="85"/>
      <c r="C27" s="47"/>
      <c r="D27" s="47"/>
      <c r="F27" s="47"/>
      <c r="G27" s="47"/>
      <c r="H27" s="47"/>
      <c r="I27" s="47"/>
      <c r="J27" s="47"/>
      <c r="K27" s="47"/>
      <c r="L27" s="47"/>
      <c r="M27" s="47"/>
      <c r="N27" s="92"/>
    </row>
    <row r="28" spans="1:14" ht="12.75">
      <c r="A28" s="80"/>
      <c r="B28" s="85"/>
      <c r="C28" s="47"/>
      <c r="D28" s="47"/>
      <c r="F28" s="47"/>
      <c r="G28" s="47"/>
      <c r="H28" s="47"/>
      <c r="I28" s="47"/>
      <c r="J28" s="47"/>
      <c r="K28" s="47"/>
      <c r="L28" s="47"/>
      <c r="M28" s="47"/>
      <c r="N28" s="92"/>
    </row>
    <row r="29" spans="1:14" ht="13.5" thickBot="1">
      <c r="A29" s="97"/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0"/>
    </row>
  </sheetData>
  <sheetProtection/>
  <printOptions/>
  <pageMargins left="0.39" right="0.26" top="1" bottom="1" header="0.5" footer="0.5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BQ49"/>
  <sheetViews>
    <sheetView showZeros="0" zoomScale="83" zoomScaleNormal="83" zoomScalePageLayoutView="0" workbookViewId="0" topLeftCell="A1">
      <selection activeCell="E42" sqref="E42"/>
    </sheetView>
  </sheetViews>
  <sheetFormatPr defaultColWidth="9.140625" defaultRowHeight="12.75"/>
  <cols>
    <col min="1" max="1" width="16.140625" style="0" customWidth="1"/>
    <col min="2" max="2" width="0.71875" style="0" customWidth="1"/>
    <col min="3" max="3" width="11.28125" style="0" customWidth="1"/>
    <col min="4" max="4" width="16.7109375" style="0" customWidth="1"/>
    <col min="5" max="5" width="16.421875" style="0" customWidth="1"/>
    <col min="6" max="6" width="16.140625" style="0" customWidth="1"/>
    <col min="7" max="9" width="16.7109375" style="0" customWidth="1"/>
    <col min="10" max="10" width="22.140625" style="0" customWidth="1"/>
    <col min="11" max="11" width="7.57421875" style="209" customWidth="1"/>
    <col min="12" max="12" width="16.140625" style="0" customWidth="1"/>
    <col min="13" max="13" width="16.421875" style="0" hidden="1" customWidth="1"/>
    <col min="14" max="14" width="0.9921875" style="0" hidden="1" customWidth="1"/>
    <col min="15" max="15" width="18.140625" style="0" hidden="1" customWidth="1"/>
    <col min="16" max="16" width="17.00390625" style="0" hidden="1" customWidth="1"/>
    <col min="17" max="17" width="17.7109375" style="0" hidden="1" customWidth="1"/>
    <col min="18" max="18" width="14.00390625" style="0" hidden="1" customWidth="1"/>
    <col min="19" max="19" width="0" style="0" hidden="1" customWidth="1"/>
    <col min="20" max="20" width="14.00390625" style="0" hidden="1" customWidth="1"/>
    <col min="21" max="21" width="0" style="0" hidden="1" customWidth="1"/>
    <col min="22" max="22" width="14.00390625" style="0" hidden="1" customWidth="1"/>
    <col min="23" max="67" width="0" style="0" hidden="1" customWidth="1"/>
    <col min="68" max="68" width="7.57421875" style="0" customWidth="1"/>
    <col min="69" max="69" width="11.8515625" style="0" bestFit="1" customWidth="1"/>
  </cols>
  <sheetData>
    <row r="1" spans="1:68" ht="18">
      <c r="A1" s="464" t="s">
        <v>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4"/>
      <c r="AV1" s="464"/>
      <c r="AW1" s="464"/>
      <c r="AX1" s="464"/>
      <c r="AY1" s="464"/>
      <c r="AZ1" s="464"/>
      <c r="BA1" s="464"/>
      <c r="BB1" s="464"/>
      <c r="BC1" s="464"/>
      <c r="BD1" s="464"/>
      <c r="BE1" s="464"/>
      <c r="BF1" s="464"/>
      <c r="BG1" s="464"/>
      <c r="BH1" s="464"/>
      <c r="BI1" s="464"/>
      <c r="BJ1" s="464"/>
      <c r="BK1" s="464"/>
      <c r="BL1" s="464"/>
      <c r="BM1" s="464"/>
      <c r="BN1" s="464"/>
      <c r="BO1" s="464"/>
      <c r="BP1" s="464"/>
    </row>
    <row r="2" spans="1:68" ht="18">
      <c r="A2" s="464" t="s">
        <v>233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  <c r="BC2" s="464"/>
      <c r="BD2" s="464"/>
      <c r="BE2" s="464"/>
      <c r="BF2" s="464"/>
      <c r="BG2" s="464"/>
      <c r="BH2" s="464"/>
      <c r="BI2" s="464"/>
      <c r="BJ2" s="464"/>
      <c r="BK2" s="464"/>
      <c r="BL2" s="464"/>
      <c r="BM2" s="464"/>
      <c r="BN2" s="464"/>
      <c r="BO2" s="464"/>
      <c r="BP2" s="464"/>
    </row>
    <row r="3" spans="1:68" ht="18">
      <c r="A3" s="282" t="s">
        <v>289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</row>
    <row r="4" spans="1:68" ht="18">
      <c r="A4" s="282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</row>
    <row r="7" spans="3:68" ht="12.75">
      <c r="C7" s="209" t="s">
        <v>14</v>
      </c>
      <c r="D7" s="209" t="s">
        <v>15</v>
      </c>
      <c r="E7" s="210" t="s">
        <v>173</v>
      </c>
      <c r="F7" s="210" t="s">
        <v>16</v>
      </c>
      <c r="G7" s="209" t="s">
        <v>47</v>
      </c>
      <c r="H7" s="209" t="s">
        <v>174</v>
      </c>
      <c r="I7" s="210" t="s">
        <v>175</v>
      </c>
      <c r="J7" s="210" t="s">
        <v>176</v>
      </c>
      <c r="K7" s="210" t="s">
        <v>177</v>
      </c>
      <c r="L7" s="210" t="s">
        <v>178</v>
      </c>
      <c r="M7" s="210" t="s">
        <v>174</v>
      </c>
      <c r="N7" s="105"/>
      <c r="O7" s="210" t="s">
        <v>175</v>
      </c>
      <c r="P7" s="210" t="s">
        <v>176</v>
      </c>
      <c r="Q7" s="210" t="s">
        <v>177</v>
      </c>
      <c r="R7" s="210" t="s">
        <v>178</v>
      </c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210" t="s">
        <v>179</v>
      </c>
    </row>
    <row r="8" spans="4:18" ht="12.75">
      <c r="D8" s="209"/>
      <c r="E8" s="209"/>
      <c r="F8" s="210" t="s">
        <v>180</v>
      </c>
      <c r="G8" s="209"/>
      <c r="H8" s="209"/>
      <c r="I8" s="209"/>
      <c r="J8" s="209"/>
      <c r="L8" s="209"/>
      <c r="M8" s="284"/>
      <c r="P8" s="209" t="s">
        <v>181</v>
      </c>
      <c r="Q8" s="209" t="s">
        <v>182</v>
      </c>
      <c r="R8" s="209" t="s">
        <v>183</v>
      </c>
    </row>
    <row r="9" spans="3:19" ht="12.75">
      <c r="C9" s="285"/>
      <c r="D9" s="284"/>
      <c r="E9" s="284"/>
      <c r="F9" s="284"/>
      <c r="G9" s="284"/>
      <c r="H9" s="284"/>
      <c r="I9" s="284"/>
      <c r="J9" s="1"/>
      <c r="K9" s="1"/>
      <c r="L9" s="1"/>
      <c r="M9" s="286"/>
      <c r="P9" s="211"/>
      <c r="Q9" s="211"/>
      <c r="R9" s="212"/>
      <c r="S9" s="213"/>
    </row>
    <row r="10" spans="1:19" ht="12.75">
      <c r="A10" t="s">
        <v>184</v>
      </c>
      <c r="C10" s="285"/>
      <c r="D10" s="284" t="s">
        <v>185</v>
      </c>
      <c r="E10" s="284"/>
      <c r="F10" s="284"/>
      <c r="G10" s="284"/>
      <c r="H10" s="284"/>
      <c r="I10" s="284"/>
      <c r="J10" s="1" t="s">
        <v>186</v>
      </c>
      <c r="K10" s="1"/>
      <c r="L10" s="284" t="s">
        <v>187</v>
      </c>
      <c r="M10" s="286" t="s">
        <v>188</v>
      </c>
      <c r="O10" s="1" t="s">
        <v>189</v>
      </c>
      <c r="Q10" s="187"/>
      <c r="R10" s="187"/>
      <c r="S10" s="214"/>
    </row>
    <row r="11" spans="3:19" ht="12.75">
      <c r="C11" s="284" t="s">
        <v>185</v>
      </c>
      <c r="D11" s="284" t="s">
        <v>190</v>
      </c>
      <c r="E11" s="284" t="s">
        <v>185</v>
      </c>
      <c r="F11" s="284" t="s">
        <v>191</v>
      </c>
      <c r="G11" s="284" t="s">
        <v>192</v>
      </c>
      <c r="H11" s="284" t="s">
        <v>193</v>
      </c>
      <c r="I11" s="284" t="s">
        <v>188</v>
      </c>
      <c r="J11" s="215" t="s">
        <v>194</v>
      </c>
      <c r="K11" s="215"/>
      <c r="L11" s="1" t="s">
        <v>195</v>
      </c>
      <c r="M11" s="286" t="s">
        <v>196</v>
      </c>
      <c r="O11" s="1" t="s">
        <v>197</v>
      </c>
      <c r="P11" s="284" t="s">
        <v>198</v>
      </c>
      <c r="Q11" s="284" t="s">
        <v>198</v>
      </c>
      <c r="R11" s="284"/>
      <c r="S11" s="287"/>
    </row>
    <row r="12" spans="3:19" ht="12.75">
      <c r="C12" s="284" t="s">
        <v>48</v>
      </c>
      <c r="D12" s="1" t="s">
        <v>199</v>
      </c>
      <c r="E12" s="284" t="s">
        <v>200</v>
      </c>
      <c r="F12" s="284" t="s">
        <v>201</v>
      </c>
      <c r="G12" s="1" t="s">
        <v>202</v>
      </c>
      <c r="H12" s="284" t="s">
        <v>203</v>
      </c>
      <c r="I12" s="284" t="s">
        <v>204</v>
      </c>
      <c r="J12" s="215" t="s">
        <v>205</v>
      </c>
      <c r="K12" s="215"/>
      <c r="L12" s="1" t="s">
        <v>206</v>
      </c>
      <c r="M12" s="286" t="s">
        <v>207</v>
      </c>
      <c r="O12" s="1" t="s">
        <v>208</v>
      </c>
      <c r="P12" s="284" t="s">
        <v>190</v>
      </c>
      <c r="Q12" s="284" t="s">
        <v>200</v>
      </c>
      <c r="R12" s="284" t="s">
        <v>201</v>
      </c>
      <c r="S12" s="288"/>
    </row>
    <row r="13" spans="3:68" ht="12.75">
      <c r="C13" s="1" t="s">
        <v>209</v>
      </c>
      <c r="D13" s="1" t="s">
        <v>210</v>
      </c>
      <c r="E13" s="1" t="s">
        <v>195</v>
      </c>
      <c r="F13" s="1" t="s">
        <v>211</v>
      </c>
      <c r="G13" s="284" t="s">
        <v>195</v>
      </c>
      <c r="I13" s="1" t="s">
        <v>212</v>
      </c>
      <c r="J13" s="216" t="s">
        <v>213</v>
      </c>
      <c r="K13" s="1" t="s">
        <v>214</v>
      </c>
      <c r="L13" s="1">
        <v>10700013</v>
      </c>
      <c r="M13" s="217" t="s">
        <v>215</v>
      </c>
      <c r="O13" s="1" t="s">
        <v>200</v>
      </c>
      <c r="P13" s="1" t="s">
        <v>199</v>
      </c>
      <c r="Q13" s="1" t="s">
        <v>195</v>
      </c>
      <c r="R13" s="1" t="s">
        <v>216</v>
      </c>
      <c r="S13" s="1"/>
      <c r="BP13" s="1" t="s">
        <v>214</v>
      </c>
    </row>
    <row r="14" spans="3:68" s="106" customFormat="1" ht="12.75">
      <c r="C14" s="218" t="s">
        <v>217</v>
      </c>
      <c r="D14" s="218">
        <v>60230010</v>
      </c>
      <c r="E14" s="218" t="s">
        <v>218</v>
      </c>
      <c r="F14" s="218" t="s">
        <v>218</v>
      </c>
      <c r="G14" s="218">
        <v>23200483</v>
      </c>
      <c r="H14" s="218">
        <v>23200483</v>
      </c>
      <c r="I14" s="218">
        <v>23200483</v>
      </c>
      <c r="J14" s="218" t="s">
        <v>219</v>
      </c>
      <c r="K14" s="218" t="s">
        <v>217</v>
      </c>
      <c r="L14" s="218" t="s">
        <v>220</v>
      </c>
      <c r="M14" s="219">
        <v>18400483</v>
      </c>
      <c r="O14" s="218" t="s">
        <v>221</v>
      </c>
      <c r="P14" s="218" t="s">
        <v>218</v>
      </c>
      <c r="Q14" s="218">
        <v>80300003</v>
      </c>
      <c r="R14" s="218" t="s">
        <v>218</v>
      </c>
      <c r="S14" s="218"/>
      <c r="BP14" s="218" t="s">
        <v>217</v>
      </c>
    </row>
    <row r="15" spans="3:68" s="106" customFormat="1" ht="12.75"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9"/>
      <c r="O15" s="218"/>
      <c r="P15" s="218"/>
      <c r="Q15" s="218"/>
      <c r="R15" s="218"/>
      <c r="S15" s="218"/>
      <c r="BP15" s="218"/>
    </row>
    <row r="16" spans="1:68" ht="12.75">
      <c r="A16" s="220">
        <v>40148</v>
      </c>
      <c r="C16" s="289"/>
      <c r="D16" s="347">
        <v>0</v>
      </c>
      <c r="E16" s="347">
        <v>0</v>
      </c>
      <c r="F16" s="347">
        <f>IF(E16="","",+D16+E16)</f>
        <v>0</v>
      </c>
      <c r="G16" s="221">
        <v>-12108996.79</v>
      </c>
      <c r="H16" s="347">
        <v>0</v>
      </c>
      <c r="I16" s="221">
        <v>-12108996.79</v>
      </c>
      <c r="J16" s="347">
        <v>0</v>
      </c>
      <c r="K16" s="348"/>
      <c r="L16" s="222">
        <v>0</v>
      </c>
      <c r="M16" s="223"/>
      <c r="P16" s="211"/>
      <c r="Q16" s="211"/>
      <c r="R16" s="211"/>
      <c r="S16" s="211"/>
      <c r="BP16" s="349"/>
    </row>
    <row r="17" spans="1:68" ht="12.75">
      <c r="A17" s="220">
        <v>40179</v>
      </c>
      <c r="B17" s="220"/>
      <c r="C17" s="224">
        <v>0.053</v>
      </c>
      <c r="D17" s="225">
        <v>695528.44</v>
      </c>
      <c r="E17" s="225">
        <v>-695528.44</v>
      </c>
      <c r="F17" s="226">
        <f aca="true" t="shared" si="0" ref="F17:F22">IF(E17="","",+D17+E17)</f>
        <v>0</v>
      </c>
      <c r="G17" s="188">
        <v>0</v>
      </c>
      <c r="H17" s="225">
        <v>-695528.44</v>
      </c>
      <c r="I17" s="227">
        <f aca="true" t="shared" si="1" ref="I17:I28">+I16+H17</f>
        <v>-12804525.229999999</v>
      </c>
      <c r="J17" s="228">
        <v>0</v>
      </c>
      <c r="K17" s="229"/>
      <c r="L17" s="230">
        <v>0</v>
      </c>
      <c r="M17" s="231"/>
      <c r="N17" s="188"/>
      <c r="O17" s="232"/>
      <c r="P17" s="232"/>
      <c r="Q17" s="233"/>
      <c r="R17" s="230"/>
      <c r="S17" s="230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229"/>
    </row>
    <row r="18" spans="1:68" ht="12.75">
      <c r="A18" s="220">
        <v>40210</v>
      </c>
      <c r="B18" s="246"/>
      <c r="C18" s="224">
        <v>0.053</v>
      </c>
      <c r="D18" s="225">
        <v>742251.86</v>
      </c>
      <c r="E18" s="225">
        <v>-742251.86</v>
      </c>
      <c r="F18" s="226">
        <f t="shared" si="0"/>
        <v>0</v>
      </c>
      <c r="G18" s="188">
        <v>0</v>
      </c>
      <c r="H18" s="225">
        <v>-742251.86</v>
      </c>
      <c r="I18" s="227">
        <f t="shared" si="1"/>
        <v>-13546777.089999998</v>
      </c>
      <c r="J18" s="228">
        <v>0</v>
      </c>
      <c r="K18" s="229"/>
      <c r="L18" s="230">
        <v>0</v>
      </c>
      <c r="M18" s="234"/>
      <c r="N18" s="235"/>
      <c r="O18" s="236"/>
      <c r="P18" s="237"/>
      <c r="Q18" s="237"/>
      <c r="R18" s="237"/>
      <c r="S18" s="238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9"/>
    </row>
    <row r="19" spans="1:68" ht="12.75">
      <c r="A19" s="220">
        <v>40238</v>
      </c>
      <c r="B19" s="220"/>
      <c r="C19" s="224">
        <v>0.053</v>
      </c>
      <c r="D19" s="225">
        <v>897843.15</v>
      </c>
      <c r="E19" s="225">
        <v>-897843.15</v>
      </c>
      <c r="F19" s="226">
        <f t="shared" si="0"/>
        <v>0</v>
      </c>
      <c r="G19" s="188">
        <v>12108996.79</v>
      </c>
      <c r="H19" s="225">
        <v>11211153.64</v>
      </c>
      <c r="I19" s="227">
        <f t="shared" si="1"/>
        <v>-2335623.4499999974</v>
      </c>
      <c r="J19" s="228">
        <v>0</v>
      </c>
      <c r="K19" s="240"/>
      <c r="L19" s="230">
        <v>0</v>
      </c>
      <c r="M19" s="234"/>
      <c r="N19" s="235"/>
      <c r="O19" s="236"/>
      <c r="P19" s="237"/>
      <c r="Q19" s="237"/>
      <c r="R19" s="237"/>
      <c r="S19" s="238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40"/>
    </row>
    <row r="20" spans="1:68" ht="12.75">
      <c r="A20" s="220">
        <v>40269</v>
      </c>
      <c r="B20" s="220"/>
      <c r="C20" s="224">
        <v>0.053</v>
      </c>
      <c r="D20" s="225">
        <v>821638.93</v>
      </c>
      <c r="E20" s="225">
        <v>-821638.93</v>
      </c>
      <c r="F20" s="226">
        <f t="shared" si="0"/>
        <v>0</v>
      </c>
      <c r="G20" s="188">
        <v>0</v>
      </c>
      <c r="H20" s="225">
        <v>-821638.93</v>
      </c>
      <c r="I20" s="227">
        <f t="shared" si="1"/>
        <v>-3157262.3799999976</v>
      </c>
      <c r="J20" s="228">
        <v>0</v>
      </c>
      <c r="K20" s="240"/>
      <c r="L20" s="230">
        <v>0</v>
      </c>
      <c r="M20" s="243"/>
      <c r="O20" s="244"/>
      <c r="P20" s="245"/>
      <c r="Q20" s="237"/>
      <c r="R20" s="237"/>
      <c r="S20" s="222"/>
      <c r="BP20" s="240"/>
    </row>
    <row r="21" spans="1:68" ht="12.75">
      <c r="A21" s="220">
        <v>40299</v>
      </c>
      <c r="B21" s="220"/>
      <c r="C21" s="224">
        <v>0.053</v>
      </c>
      <c r="D21" s="241">
        <v>748423.07</v>
      </c>
      <c r="E21" s="241">
        <v>-748423.07</v>
      </c>
      <c r="F21" s="226">
        <f t="shared" si="0"/>
        <v>0</v>
      </c>
      <c r="G21" s="188">
        <v>0</v>
      </c>
      <c r="H21" s="225">
        <v>-748423.07</v>
      </c>
      <c r="I21" s="227">
        <f t="shared" si="1"/>
        <v>-3905685.4499999974</v>
      </c>
      <c r="J21" s="228">
        <v>0</v>
      </c>
      <c r="K21" s="240"/>
      <c r="L21" s="230">
        <v>0</v>
      </c>
      <c r="M21" s="243"/>
      <c r="O21" s="244"/>
      <c r="P21" s="245"/>
      <c r="Q21" s="237"/>
      <c r="R21" s="237"/>
      <c r="S21" s="222"/>
      <c r="BP21" s="239"/>
    </row>
    <row r="22" spans="1:68" s="25" customFormat="1" ht="12.75">
      <c r="A22" s="220">
        <v>40330</v>
      </c>
      <c r="B22" s="246"/>
      <c r="C22" s="224">
        <v>0.053</v>
      </c>
      <c r="D22" s="241">
        <f>3612995.38</f>
        <v>3612995.38</v>
      </c>
      <c r="E22" s="241">
        <f>-790822.36+1146.98-4365</f>
        <v>-794040.38</v>
      </c>
      <c r="F22" s="226">
        <f t="shared" si="0"/>
        <v>2818955</v>
      </c>
      <c r="G22" s="188">
        <v>0</v>
      </c>
      <c r="H22" s="242">
        <v>-3612995.38</v>
      </c>
      <c r="I22" s="227">
        <f t="shared" si="1"/>
        <v>-7518680.829999997</v>
      </c>
      <c r="J22" s="228">
        <v>1725849.72</v>
      </c>
      <c r="K22" s="240">
        <f>J22/(J22+L22)</f>
        <v>0.6122303193914057</v>
      </c>
      <c r="L22" s="230">
        <v>1093105.28</v>
      </c>
      <c r="M22" s="243"/>
      <c r="N22"/>
      <c r="O22" s="244"/>
      <c r="P22" s="245"/>
      <c r="Q22" s="237"/>
      <c r="R22" s="237"/>
      <c r="S22" s="2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 s="240">
        <f>1-K22</f>
        <v>0.3877696806085943</v>
      </c>
    </row>
    <row r="23" spans="1:68" ht="13.5" customHeight="1">
      <c r="A23" s="220">
        <v>40360</v>
      </c>
      <c r="B23" s="220"/>
      <c r="C23" s="224">
        <v>0.053</v>
      </c>
      <c r="D23" s="241">
        <v>729972.98</v>
      </c>
      <c r="E23" s="241">
        <v>-729972.98</v>
      </c>
      <c r="F23" s="226">
        <v>0</v>
      </c>
      <c r="G23" s="188">
        <v>0</v>
      </c>
      <c r="H23" s="242">
        <v>-729972.98</v>
      </c>
      <c r="I23" s="227">
        <f t="shared" si="1"/>
        <v>-8248653.809999997</v>
      </c>
      <c r="J23" s="228">
        <v>0</v>
      </c>
      <c r="K23" s="240"/>
      <c r="L23" s="230">
        <v>0</v>
      </c>
      <c r="M23" s="243"/>
      <c r="O23" s="244"/>
      <c r="P23" s="245"/>
      <c r="Q23" s="237"/>
      <c r="R23" s="237"/>
      <c r="S23" s="222"/>
      <c r="BP23" s="239"/>
    </row>
    <row r="24" spans="1:68" ht="13.5" customHeight="1">
      <c r="A24" s="220">
        <v>40391</v>
      </c>
      <c r="B24" s="220"/>
      <c r="C24" s="224">
        <v>0.053</v>
      </c>
      <c r="D24" s="241">
        <v>760610.93</v>
      </c>
      <c r="E24" s="241">
        <v>-760610.93</v>
      </c>
      <c r="F24" s="226">
        <v>0</v>
      </c>
      <c r="G24" s="188">
        <v>0</v>
      </c>
      <c r="H24" s="242">
        <v>-760610.93</v>
      </c>
      <c r="I24" s="227">
        <f t="shared" si="1"/>
        <v>-9009264.739999996</v>
      </c>
      <c r="J24" s="228">
        <v>0</v>
      </c>
      <c r="K24" s="240"/>
      <c r="L24" s="230">
        <v>0</v>
      </c>
      <c r="M24" s="243"/>
      <c r="O24" s="244"/>
      <c r="P24" s="245"/>
      <c r="Q24" s="237"/>
      <c r="R24" s="237"/>
      <c r="S24" s="222"/>
      <c r="BP24" s="239"/>
    </row>
    <row r="25" spans="1:69" ht="13.5" customHeight="1">
      <c r="A25" s="220">
        <v>40422</v>
      </c>
      <c r="B25" s="220"/>
      <c r="C25" s="224">
        <v>0.053</v>
      </c>
      <c r="D25" s="241">
        <v>399383.18</v>
      </c>
      <c r="E25" s="241">
        <v>-743806.18</v>
      </c>
      <c r="F25" s="226">
        <v>-344423</v>
      </c>
      <c r="G25" s="188">
        <v>0</v>
      </c>
      <c r="H25" s="242">
        <v>-399383.18</v>
      </c>
      <c r="I25" s="227">
        <f t="shared" si="1"/>
        <v>-9408647.919999996</v>
      </c>
      <c r="J25" s="227">
        <v>-211926.94</v>
      </c>
      <c r="K25" s="240">
        <f>J25/(J25+L25)</f>
        <v>0.6153100693043148</v>
      </c>
      <c r="L25" s="241">
        <v>-132496.06</v>
      </c>
      <c r="M25" s="243"/>
      <c r="O25" s="244"/>
      <c r="P25" s="245"/>
      <c r="Q25" s="237"/>
      <c r="R25" s="237"/>
      <c r="S25" s="222"/>
      <c r="BP25" s="240">
        <f>1-K25</f>
        <v>0.38468993069568524</v>
      </c>
      <c r="BQ25" s="188"/>
    </row>
    <row r="26" spans="1:68" ht="13.5" customHeight="1">
      <c r="A26" s="220">
        <v>40452</v>
      </c>
      <c r="B26" s="220"/>
      <c r="C26" s="224">
        <v>0.053</v>
      </c>
      <c r="D26" s="241">
        <v>785820.65</v>
      </c>
      <c r="E26" s="241">
        <v>-785820.65</v>
      </c>
      <c r="F26" s="226">
        <v>0</v>
      </c>
      <c r="G26" s="188">
        <v>0</v>
      </c>
      <c r="H26" s="242">
        <v>-785820.65</v>
      </c>
      <c r="I26" s="227">
        <f t="shared" si="1"/>
        <v>-10194468.569999997</v>
      </c>
      <c r="J26" s="228">
        <v>0</v>
      </c>
      <c r="K26" s="240"/>
      <c r="L26" s="228">
        <v>0</v>
      </c>
      <c r="M26" s="243"/>
      <c r="O26" s="244"/>
      <c r="P26" s="245"/>
      <c r="Q26" s="237"/>
      <c r="R26" s="237"/>
      <c r="S26" s="222"/>
      <c r="BP26" s="240"/>
    </row>
    <row r="27" spans="1:68" ht="13.5" customHeight="1">
      <c r="A27" s="220">
        <v>40483</v>
      </c>
      <c r="B27" s="220"/>
      <c r="C27" s="224">
        <v>0.053</v>
      </c>
      <c r="D27" s="241">
        <v>737621.78</v>
      </c>
      <c r="E27" s="241">
        <v>-737621.78</v>
      </c>
      <c r="F27" s="226">
        <v>0</v>
      </c>
      <c r="G27" s="188">
        <v>0</v>
      </c>
      <c r="H27" s="242">
        <v>-737621.78</v>
      </c>
      <c r="I27" s="227">
        <f t="shared" si="1"/>
        <v>-10932090.349999996</v>
      </c>
      <c r="J27" s="228">
        <v>0</v>
      </c>
      <c r="K27" s="247"/>
      <c r="L27" s="228">
        <v>0</v>
      </c>
      <c r="M27" s="227"/>
      <c r="N27" s="25"/>
      <c r="O27" s="248"/>
      <c r="P27" s="249"/>
      <c r="Q27" s="250"/>
      <c r="R27" s="251"/>
      <c r="S27" s="242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47"/>
    </row>
    <row r="28" spans="1:68" ht="13.5" customHeight="1">
      <c r="A28" s="220">
        <v>40513</v>
      </c>
      <c r="B28" s="220"/>
      <c r="C28" s="224">
        <v>0.053</v>
      </c>
      <c r="D28" s="241">
        <v>3291071.65</v>
      </c>
      <c r="E28" s="241">
        <v>-739774.65</v>
      </c>
      <c r="F28" s="226">
        <v>2551297</v>
      </c>
      <c r="G28" s="228">
        <v>0</v>
      </c>
      <c r="H28" s="242">
        <v>-3291071.65</v>
      </c>
      <c r="I28" s="227">
        <f t="shared" si="1"/>
        <v>-14223161.999999996</v>
      </c>
      <c r="J28" s="230">
        <v>1564505.98</v>
      </c>
      <c r="K28" s="240">
        <f>J28/(J28+L28)</f>
        <v>0.6132198564102885</v>
      </c>
      <c r="L28" s="230">
        <v>986791.02</v>
      </c>
      <c r="M28" s="227"/>
      <c r="N28" s="25"/>
      <c r="O28" s="248"/>
      <c r="P28" s="249"/>
      <c r="Q28" s="250"/>
      <c r="R28" s="251"/>
      <c r="S28" s="242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40">
        <f>1-K28</f>
        <v>0.38678014358971147</v>
      </c>
    </row>
    <row r="29" spans="1:68" ht="13.5" customHeight="1">
      <c r="A29" s="220"/>
      <c r="B29" s="220"/>
      <c r="C29" s="224"/>
      <c r="D29" s="241"/>
      <c r="E29" s="241"/>
      <c r="F29" s="226"/>
      <c r="G29" s="228"/>
      <c r="H29" s="242"/>
      <c r="I29" s="227"/>
      <c r="J29" s="230"/>
      <c r="K29" s="240"/>
      <c r="L29" s="230"/>
      <c r="M29" s="227"/>
      <c r="N29" s="25"/>
      <c r="O29" s="248"/>
      <c r="P29" s="249"/>
      <c r="Q29" s="250"/>
      <c r="R29" s="251"/>
      <c r="S29" s="242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40"/>
    </row>
    <row r="30" spans="1:68" s="106" customFormat="1" ht="18.75" customHeight="1" thickBot="1">
      <c r="A30" s="252" t="s">
        <v>0</v>
      </c>
      <c r="B30" s="253"/>
      <c r="C30" s="254"/>
      <c r="D30" s="255">
        <f>SUM(D17:D28)</f>
        <v>14223162</v>
      </c>
      <c r="E30" s="255">
        <f>SUM(E17:E28)</f>
        <v>-9197333</v>
      </c>
      <c r="F30" s="255">
        <f>SUM(F17:F28)</f>
        <v>5025829</v>
      </c>
      <c r="G30" s="255">
        <f>SUM(G16:G28)</f>
        <v>0</v>
      </c>
      <c r="H30" s="255">
        <f>SUM(H17:H28)</f>
        <v>-2114165.21</v>
      </c>
      <c r="I30" s="256"/>
      <c r="J30" s="255">
        <f>SUM(J17:J28)</f>
        <v>3078428.76</v>
      </c>
      <c r="K30" s="257"/>
      <c r="L30" s="255">
        <f>SUM(L17:L28)</f>
        <v>1947400.24</v>
      </c>
      <c r="M30" s="256"/>
      <c r="O30" s="258">
        <f>SUM(O26:O28)</f>
        <v>0</v>
      </c>
      <c r="P30" s="259">
        <f>SUM(P26:P28)</f>
        <v>0</v>
      </c>
      <c r="Q30" s="258">
        <f>SUM(Q26:Q28)</f>
        <v>0</v>
      </c>
      <c r="R30" s="258">
        <f>SUM(R26:R28)</f>
        <v>0</v>
      </c>
      <c r="S30" s="260"/>
      <c r="BP30" s="261"/>
    </row>
    <row r="31" spans="3:68" ht="13.5" thickTop="1">
      <c r="C31" s="223"/>
      <c r="D31" s="223"/>
      <c r="E31" s="223"/>
      <c r="F31" s="223"/>
      <c r="G31" s="223"/>
      <c r="H31" s="223"/>
      <c r="I31" s="262"/>
      <c r="J31" s="263"/>
      <c r="K31" s="264"/>
      <c r="L31" s="211"/>
      <c r="M31" s="213"/>
      <c r="BP31" s="264"/>
    </row>
    <row r="32" spans="1:13" ht="12.75" hidden="1">
      <c r="A32" s="290" t="s">
        <v>222</v>
      </c>
      <c r="B32" s="290"/>
      <c r="C32" s="25"/>
      <c r="D32" s="223"/>
      <c r="E32" s="223"/>
      <c r="F32" s="265">
        <v>1</v>
      </c>
      <c r="G32" s="265"/>
      <c r="H32" s="265"/>
      <c r="I32" s="262"/>
      <c r="J32" s="212">
        <f>+J30/F30</f>
        <v>0.6125215879808087</v>
      </c>
      <c r="K32" s="266"/>
      <c r="L32" s="212">
        <f>+L30/F30</f>
        <v>0.38747841201919125</v>
      </c>
      <c r="M32" s="211"/>
    </row>
    <row r="33" spans="1:12" ht="12.75">
      <c r="A33" s="291" t="s">
        <v>223</v>
      </c>
      <c r="B33" s="291"/>
      <c r="C33" s="267"/>
      <c r="D33" s="268" t="s">
        <v>224</v>
      </c>
      <c r="E33" s="268" t="s">
        <v>224</v>
      </c>
      <c r="F33" s="268" t="s">
        <v>225</v>
      </c>
      <c r="G33" s="268"/>
      <c r="H33" s="269"/>
      <c r="I33" s="270"/>
      <c r="J33" s="268" t="s">
        <v>276</v>
      </c>
      <c r="K33" s="271"/>
      <c r="L33" s="268"/>
    </row>
    <row r="34" ht="12.75">
      <c r="E34" s="272"/>
    </row>
    <row r="35" ht="12.75">
      <c r="J35" s="187"/>
    </row>
    <row r="36" spans="1:10" ht="12.75">
      <c r="A36" t="s">
        <v>226</v>
      </c>
      <c r="J36" s="187"/>
    </row>
    <row r="37" ht="12.75">
      <c r="A37" s="25" t="s">
        <v>290</v>
      </c>
    </row>
    <row r="38" ht="12.75">
      <c r="A38" t="s">
        <v>227</v>
      </c>
    </row>
    <row r="40" s="25" customFormat="1" ht="12.75">
      <c r="K40" s="273"/>
    </row>
    <row r="41" spans="4:12" s="25" customFormat="1" ht="12.75">
      <c r="D41" s="339"/>
      <c r="E41" s="339"/>
      <c r="F41" s="226"/>
      <c r="G41" s="226"/>
      <c r="H41" s="339"/>
      <c r="I41" s="339"/>
      <c r="J41" s="339"/>
      <c r="K41" s="340"/>
      <c r="L41" s="339"/>
    </row>
    <row r="42" spans="6:11" s="25" customFormat="1" ht="12.75">
      <c r="F42" s="407"/>
      <c r="G42" s="407"/>
      <c r="J42" s="226"/>
      <c r="K42" s="273"/>
    </row>
    <row r="43" spans="7:11" s="25" customFormat="1" ht="12.75">
      <c r="G43" s="407"/>
      <c r="J43" s="408"/>
      <c r="K43" s="273"/>
    </row>
    <row r="44" s="25" customFormat="1" ht="12.75">
      <c r="K44" s="273"/>
    </row>
    <row r="45" s="25" customFormat="1" ht="12.75"/>
    <row r="46" ht="12.75">
      <c r="A46" s="25"/>
    </row>
    <row r="49" ht="12.75">
      <c r="A49" s="25"/>
    </row>
  </sheetData>
  <sheetProtection/>
  <mergeCells count="2">
    <mergeCell ref="A1:BP1"/>
    <mergeCell ref="A2:BP2"/>
  </mergeCells>
  <printOptions/>
  <pageMargins left="0.5" right="0.19" top="1" bottom="0.7" header="0" footer="0.6"/>
  <pageSetup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51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39.00390625" style="0" customWidth="1"/>
    <col min="2" max="2" width="35.7109375" style="105" customWidth="1"/>
    <col min="3" max="3" width="13.57421875" style="26" bestFit="1" customWidth="1"/>
    <col min="4" max="4" width="13.421875" style="26" customWidth="1"/>
    <col min="5" max="5" width="14.00390625" style="26" bestFit="1" customWidth="1"/>
  </cols>
  <sheetData>
    <row r="1" spans="1:5" ht="12.75">
      <c r="A1" s="465" t="s">
        <v>63</v>
      </c>
      <c r="B1" s="465"/>
      <c r="C1" s="465"/>
      <c r="D1" s="465"/>
      <c r="E1" s="465"/>
    </row>
    <row r="2" spans="1:4" ht="12.75">
      <c r="A2" s="106"/>
      <c r="D2" s="331" t="s">
        <v>66</v>
      </c>
    </row>
    <row r="3" spans="1:5" ht="12.75">
      <c r="A3" s="143"/>
      <c r="B3" s="144" t="s">
        <v>64</v>
      </c>
      <c r="C3" s="145" t="s">
        <v>65</v>
      </c>
      <c r="D3" s="332" t="s">
        <v>69</v>
      </c>
      <c r="E3" s="146"/>
    </row>
    <row r="4" spans="1:5" ht="12.75">
      <c r="A4" s="147" t="s">
        <v>67</v>
      </c>
      <c r="B4" s="148" t="s">
        <v>68</v>
      </c>
      <c r="C4" s="149" t="s">
        <v>63</v>
      </c>
      <c r="D4" s="333" t="s">
        <v>262</v>
      </c>
      <c r="E4" s="150"/>
    </row>
    <row r="5" spans="1:5" ht="12.75">
      <c r="A5" t="s">
        <v>70</v>
      </c>
      <c r="B5" s="105" t="s">
        <v>71</v>
      </c>
      <c r="C5" s="151">
        <v>1546565.56</v>
      </c>
      <c r="D5" s="152"/>
      <c r="E5" s="152">
        <f aca="true" t="shared" si="0" ref="E5:E33">SUM(C5:D5)</f>
        <v>1546565.56</v>
      </c>
    </row>
    <row r="6" spans="1:5" ht="12.75">
      <c r="A6" t="s">
        <v>72</v>
      </c>
      <c r="B6" s="105" t="s">
        <v>73</v>
      </c>
      <c r="C6" s="151">
        <v>222120.23</v>
      </c>
      <c r="D6" s="152"/>
      <c r="E6" s="152">
        <f t="shared" si="0"/>
        <v>222120.23</v>
      </c>
    </row>
    <row r="7" spans="1:5" ht="12.75">
      <c r="A7" t="s">
        <v>74</v>
      </c>
      <c r="B7" s="105" t="s">
        <v>75</v>
      </c>
      <c r="C7" s="151">
        <v>1113465.43</v>
      </c>
      <c r="D7" s="152"/>
      <c r="E7" s="152">
        <f t="shared" si="0"/>
        <v>1113465.43</v>
      </c>
    </row>
    <row r="8" spans="1:5" ht="12.75">
      <c r="A8" t="s">
        <v>76</v>
      </c>
      <c r="B8" s="105" t="s">
        <v>77</v>
      </c>
      <c r="C8" s="151">
        <v>219281.16</v>
      </c>
      <c r="D8" s="151">
        <f>C30*C50</f>
        <v>1004492.874699</v>
      </c>
      <c r="E8" s="152">
        <f t="shared" si="0"/>
        <v>1223774.034699</v>
      </c>
    </row>
    <row r="9" spans="1:5" ht="12.75">
      <c r="A9" t="s">
        <v>78</v>
      </c>
      <c r="B9" s="105" t="s">
        <v>79</v>
      </c>
      <c r="C9" s="151">
        <v>25776.91</v>
      </c>
      <c r="D9" s="151">
        <f>C31*$C$50</f>
        <v>81636.781662</v>
      </c>
      <c r="E9" s="152">
        <f t="shared" si="0"/>
        <v>107413.691662</v>
      </c>
    </row>
    <row r="10" spans="1:5" ht="12.75">
      <c r="A10" t="s">
        <v>80</v>
      </c>
      <c r="B10" s="105" t="s">
        <v>81</v>
      </c>
      <c r="C10" s="151">
        <v>2532.57</v>
      </c>
      <c r="D10" s="151"/>
      <c r="E10" s="152">
        <f t="shared" si="0"/>
        <v>2532.57</v>
      </c>
    </row>
    <row r="11" spans="1:5" ht="12.75">
      <c r="A11" t="s">
        <v>82</v>
      </c>
      <c r="B11" s="105" t="s">
        <v>83</v>
      </c>
      <c r="C11" s="151">
        <v>559971.25</v>
      </c>
      <c r="D11" s="151">
        <f>C32*C50</f>
        <v>1454106.1280490002</v>
      </c>
      <c r="E11" s="152">
        <f t="shared" si="0"/>
        <v>2014077.3780490002</v>
      </c>
    </row>
    <row r="12" spans="1:5" ht="12.75">
      <c r="A12" t="s">
        <v>84</v>
      </c>
      <c r="B12" s="105" t="s">
        <v>85</v>
      </c>
      <c r="C12" s="151">
        <v>378005.15</v>
      </c>
      <c r="D12" s="151"/>
      <c r="E12" s="152">
        <f t="shared" si="0"/>
        <v>378005.15</v>
      </c>
    </row>
    <row r="13" spans="1:5" ht="12.75">
      <c r="A13" t="s">
        <v>86</v>
      </c>
      <c r="B13" s="105" t="s">
        <v>87</v>
      </c>
      <c r="C13" s="151">
        <v>36552.45</v>
      </c>
      <c r="D13" s="151"/>
      <c r="E13" s="152">
        <f t="shared" si="0"/>
        <v>36552.45</v>
      </c>
    </row>
    <row r="14" spans="1:5" ht="12.75">
      <c r="A14" t="s">
        <v>88</v>
      </c>
      <c r="B14" s="105" t="s">
        <v>89</v>
      </c>
      <c r="C14" s="151">
        <v>1096321.06</v>
      </c>
      <c r="D14" s="151"/>
      <c r="E14" s="152">
        <f t="shared" si="0"/>
        <v>1096321.06</v>
      </c>
    </row>
    <row r="15" spans="1:5" ht="12.75">
      <c r="A15" t="s">
        <v>90</v>
      </c>
      <c r="B15" s="105" t="s">
        <v>91</v>
      </c>
      <c r="C15" s="151">
        <v>7208.17</v>
      </c>
      <c r="D15" s="151">
        <f>C33*C50</f>
        <v>65599.165503</v>
      </c>
      <c r="E15" s="152">
        <f t="shared" si="0"/>
        <v>72807.335503</v>
      </c>
    </row>
    <row r="16" spans="1:5" ht="12.75">
      <c r="A16" t="s">
        <v>92</v>
      </c>
      <c r="B16" s="105" t="s">
        <v>93</v>
      </c>
      <c r="C16" s="151">
        <v>11503.19</v>
      </c>
      <c r="D16" s="151"/>
      <c r="E16" s="152">
        <f t="shared" si="0"/>
        <v>11503.19</v>
      </c>
    </row>
    <row r="17" spans="1:5" ht="12.75">
      <c r="A17" t="s">
        <v>94</v>
      </c>
      <c r="B17" s="105" t="s">
        <v>95</v>
      </c>
      <c r="C17" s="151">
        <v>37560.23</v>
      </c>
      <c r="D17" s="151"/>
      <c r="E17" s="152">
        <f t="shared" si="0"/>
        <v>37560.23</v>
      </c>
    </row>
    <row r="18" spans="1:5" ht="12.75">
      <c r="A18" t="s">
        <v>96</v>
      </c>
      <c r="B18" s="105" t="s">
        <v>97</v>
      </c>
      <c r="C18" s="151">
        <v>32185.73</v>
      </c>
      <c r="D18" s="151"/>
      <c r="E18" s="152">
        <f t="shared" si="0"/>
        <v>32185.73</v>
      </c>
    </row>
    <row r="19" spans="1:5" ht="12.75">
      <c r="A19" t="s">
        <v>98</v>
      </c>
      <c r="B19" s="105" t="s">
        <v>99</v>
      </c>
      <c r="C19" s="151">
        <v>0</v>
      </c>
      <c r="D19" s="151"/>
      <c r="E19" s="152">
        <f t="shared" si="0"/>
        <v>0</v>
      </c>
    </row>
    <row r="20" spans="1:5" ht="12.75">
      <c r="A20" t="s">
        <v>100</v>
      </c>
      <c r="B20" s="105" t="s">
        <v>101</v>
      </c>
      <c r="C20" s="151">
        <v>1557281.34</v>
      </c>
      <c r="D20" s="151"/>
      <c r="E20" s="152">
        <f t="shared" si="0"/>
        <v>1557281.34</v>
      </c>
    </row>
    <row r="21" spans="1:5" ht="12.75">
      <c r="A21" t="s">
        <v>102</v>
      </c>
      <c r="B21" s="105" t="s">
        <v>103</v>
      </c>
      <c r="C21" s="151">
        <v>151366.5</v>
      </c>
      <c r="D21" s="151">
        <f>C30*D50</f>
        <v>505795.61530099995</v>
      </c>
      <c r="E21" s="152">
        <f t="shared" si="0"/>
        <v>657162.115301</v>
      </c>
    </row>
    <row r="22" spans="1:5" ht="12.75">
      <c r="A22" t="s">
        <v>104</v>
      </c>
      <c r="B22" s="105" t="s">
        <v>105</v>
      </c>
      <c r="C22" s="151">
        <v>21778.47</v>
      </c>
      <c r="D22" s="151">
        <f>C31*D50</f>
        <v>41106.838337999994</v>
      </c>
      <c r="E22" s="152">
        <f t="shared" si="0"/>
        <v>62885.308337999995</v>
      </c>
    </row>
    <row r="23" spans="1:5" ht="12.75">
      <c r="A23" t="s">
        <v>106</v>
      </c>
      <c r="B23" s="105" t="s">
        <v>107</v>
      </c>
      <c r="C23" s="151">
        <v>12183.59</v>
      </c>
      <c r="D23" s="151"/>
      <c r="E23" s="152">
        <f t="shared" si="0"/>
        <v>12183.59</v>
      </c>
    </row>
    <row r="24" spans="1:5" ht="12.75">
      <c r="A24" t="s">
        <v>108</v>
      </c>
      <c r="B24" s="105" t="s">
        <v>109</v>
      </c>
      <c r="C24" s="151">
        <v>154106.23</v>
      </c>
      <c r="D24" s="151">
        <f>C32*D50</f>
        <v>732190.861951</v>
      </c>
      <c r="E24" s="152">
        <f t="shared" si="0"/>
        <v>886297.091951</v>
      </c>
    </row>
    <row r="25" spans="1:5" ht="12.75">
      <c r="A25" t="e">
        <f>#REF!</f>
        <v>#REF!</v>
      </c>
      <c r="B25" s="105" t="s">
        <v>291</v>
      </c>
      <c r="C25" s="151">
        <v>1.58</v>
      </c>
      <c r="D25" s="151"/>
      <c r="E25" s="152"/>
    </row>
    <row r="26" spans="1:5" ht="12.75">
      <c r="A26" t="s">
        <v>110</v>
      </c>
      <c r="B26" t="s">
        <v>111</v>
      </c>
      <c r="C26" s="151">
        <v>20036.13</v>
      </c>
      <c r="D26" s="151"/>
      <c r="E26" s="152">
        <f t="shared" si="0"/>
        <v>20036.13</v>
      </c>
    </row>
    <row r="27" spans="1:5" ht="12.75">
      <c r="A27" t="s">
        <v>112</v>
      </c>
      <c r="B27" s="105" t="s">
        <v>113</v>
      </c>
      <c r="C27" s="151">
        <v>8081.38</v>
      </c>
      <c r="D27" s="151"/>
      <c r="E27" s="152">
        <f t="shared" si="0"/>
        <v>8081.38</v>
      </c>
    </row>
    <row r="28" spans="1:5" ht="12.75">
      <c r="A28" t="s">
        <v>114</v>
      </c>
      <c r="B28" s="105" t="s">
        <v>115</v>
      </c>
      <c r="C28" s="151">
        <v>435133.48</v>
      </c>
      <c r="D28" s="151"/>
      <c r="E28" s="152">
        <f t="shared" si="0"/>
        <v>435133.48</v>
      </c>
    </row>
    <row r="29" spans="1:5" ht="12.75">
      <c r="A29" t="s">
        <v>116</v>
      </c>
      <c r="B29" s="105" t="s">
        <v>117</v>
      </c>
      <c r="C29" s="151">
        <v>4048.88</v>
      </c>
      <c r="D29" s="151">
        <f>C33*D50</f>
        <v>33031.364496999995</v>
      </c>
      <c r="E29" s="152">
        <f t="shared" si="0"/>
        <v>37080.24449699999</v>
      </c>
    </row>
    <row r="30" spans="1:5" ht="12.75">
      <c r="A30" t="s">
        <v>118</v>
      </c>
      <c r="B30" s="105" t="s">
        <v>119</v>
      </c>
      <c r="C30" s="151">
        <v>1510288.49</v>
      </c>
      <c r="D30" s="151">
        <f>-C30</f>
        <v>-1510288.49</v>
      </c>
      <c r="E30" s="152">
        <f t="shared" si="0"/>
        <v>0</v>
      </c>
    </row>
    <row r="31" spans="1:5" ht="12.75">
      <c r="A31" t="s">
        <v>120</v>
      </c>
      <c r="B31" s="105" t="s">
        <v>121</v>
      </c>
      <c r="C31" s="151">
        <v>122743.62</v>
      </c>
      <c r="D31" s="151">
        <f>-C31</f>
        <v>-122743.62</v>
      </c>
      <c r="E31" s="152">
        <f t="shared" si="0"/>
        <v>0</v>
      </c>
    </row>
    <row r="32" spans="1:5" ht="12.75">
      <c r="A32" t="s">
        <v>122</v>
      </c>
      <c r="B32" s="105" t="s">
        <v>123</v>
      </c>
      <c r="C32" s="151">
        <v>2186296.99</v>
      </c>
      <c r="D32" s="151">
        <f>-C32</f>
        <v>-2186296.99</v>
      </c>
      <c r="E32" s="152">
        <f t="shared" si="0"/>
        <v>0</v>
      </c>
    </row>
    <row r="33" spans="1:5" ht="12.75">
      <c r="A33" t="s">
        <v>124</v>
      </c>
      <c r="B33" s="105" t="s">
        <v>125</v>
      </c>
      <c r="C33" s="153">
        <v>98630.53</v>
      </c>
      <c r="D33" s="153">
        <f>-C33</f>
        <v>-98630.53</v>
      </c>
      <c r="E33" s="154">
        <f t="shared" si="0"/>
        <v>0</v>
      </c>
    </row>
    <row r="34" spans="1:5" ht="12.75">
      <c r="A34" t="s">
        <v>0</v>
      </c>
      <c r="C34" s="155">
        <f>SUM(C5:C33)</f>
        <v>11571026.299999999</v>
      </c>
      <c r="D34" s="155">
        <f>SUM(D5:D33)</f>
        <v>-6.693881005048752E-10</v>
      </c>
      <c r="E34" s="151">
        <f>SUM(E5:E33)</f>
        <v>11571024.720000003</v>
      </c>
    </row>
    <row r="35" spans="3:5" ht="12.75">
      <c r="C35" s="155"/>
      <c r="D35" s="155"/>
      <c r="E35" s="155"/>
    </row>
    <row r="36" spans="3:5" ht="12.75">
      <c r="C36" s="155" t="s">
        <v>126</v>
      </c>
      <c r="D36" s="155" t="s">
        <v>13</v>
      </c>
      <c r="E36" s="26" t="s">
        <v>0</v>
      </c>
    </row>
    <row r="37" spans="1:5" ht="12.75">
      <c r="A37" s="156" t="s">
        <v>62</v>
      </c>
      <c r="C37" s="152">
        <f>SUM(E5:E15)</f>
        <v>7813634.889913001</v>
      </c>
      <c r="D37" s="152">
        <f>SUM(E16:E29)</f>
        <v>3757389.8300869996</v>
      </c>
      <c r="E37" s="151">
        <f>SUM(C37:D37)</f>
        <v>11571024.72</v>
      </c>
    </row>
    <row r="38" spans="1:5" ht="12.75">
      <c r="A38" t="s">
        <v>127</v>
      </c>
      <c r="C38" s="153">
        <f>-C43</f>
        <v>-475542.5434714723</v>
      </c>
      <c r="D38" s="153">
        <f>-D43</f>
        <v>-228677.0167518423</v>
      </c>
      <c r="E38" s="153">
        <f>-E43</f>
        <v>-704219.5602233146</v>
      </c>
    </row>
    <row r="39" spans="1:5" ht="12.75">
      <c r="A39" t="s">
        <v>128</v>
      </c>
      <c r="C39" s="151">
        <f>SUM(C37:C38)</f>
        <v>7338092.346441529</v>
      </c>
      <c r="D39" s="151">
        <f>SUM(D37:D38)</f>
        <v>3528712.8133351575</v>
      </c>
      <c r="E39" s="151">
        <f>SUM(E37:E38)</f>
        <v>10866805.159776686</v>
      </c>
    </row>
    <row r="40" spans="3:5" ht="12.75">
      <c r="C40" s="155"/>
      <c r="D40" s="155"/>
      <c r="E40" s="155"/>
    </row>
    <row r="41" spans="1:5" ht="12.75">
      <c r="A41" t="s">
        <v>62</v>
      </c>
      <c r="C41" s="151">
        <f>C37</f>
        <v>7813634.889913001</v>
      </c>
      <c r="D41" s="151">
        <f>D37</f>
        <v>3757389.8300869996</v>
      </c>
      <c r="E41" s="151">
        <f>E37</f>
        <v>11571024.72</v>
      </c>
    </row>
    <row r="42" spans="1:5" ht="12.75">
      <c r="A42" t="s">
        <v>129</v>
      </c>
      <c r="C42" s="329">
        <f>'Incentive Allocation '!B28</f>
        <v>0.060860604593308186</v>
      </c>
      <c r="D42" s="329">
        <f>C42</f>
        <v>0.060860604593308186</v>
      </c>
      <c r="E42" s="329">
        <f>D42</f>
        <v>0.060860604593308186</v>
      </c>
    </row>
    <row r="43" spans="1:5" ht="12.75">
      <c r="A43" t="s">
        <v>130</v>
      </c>
      <c r="C43" s="151">
        <f>C41*C42</f>
        <v>475542.5434714723</v>
      </c>
      <c r="D43" s="151">
        <f>D41*D42</f>
        <v>228677.0167518423</v>
      </c>
      <c r="E43" s="151">
        <f>SUM(C43:D43)</f>
        <v>704219.5602233146</v>
      </c>
    </row>
    <row r="44" spans="3:5" ht="12.75">
      <c r="C44" s="155"/>
      <c r="D44" s="155"/>
      <c r="E44" s="155"/>
    </row>
    <row r="46" spans="1:5" ht="12.75">
      <c r="A46" s="157" t="s">
        <v>136</v>
      </c>
      <c r="B46" s="158"/>
      <c r="C46" s="159" t="s">
        <v>12</v>
      </c>
      <c r="D46" s="159" t="s">
        <v>13</v>
      </c>
      <c r="E46" s="159"/>
    </row>
    <row r="47" spans="1:5" ht="12.75">
      <c r="A47" s="160">
        <v>1</v>
      </c>
      <c r="B47" s="161" t="s">
        <v>131</v>
      </c>
      <c r="C47" s="162">
        <f>'3.05'!E10</f>
        <v>0.5896</v>
      </c>
      <c r="D47" s="162">
        <f>'3.05'!F10</f>
        <v>0.4104</v>
      </c>
      <c r="E47" s="162"/>
    </row>
    <row r="48" spans="1:5" ht="12.75">
      <c r="A48" s="160">
        <v>2</v>
      </c>
      <c r="B48" s="161" t="s">
        <v>132</v>
      </c>
      <c r="C48" s="162">
        <f>'3.05'!E13</f>
        <v>0.6335</v>
      </c>
      <c r="D48" s="162">
        <f>'3.05'!F13</f>
        <v>0.3665</v>
      </c>
      <c r="E48" s="162"/>
    </row>
    <row r="49" spans="1:5" ht="12.75">
      <c r="A49" s="160">
        <v>3</v>
      </c>
      <c r="B49" s="163" t="s">
        <v>133</v>
      </c>
      <c r="C49" s="162">
        <f>'3.05'!E20</f>
        <v>0.6089</v>
      </c>
      <c r="D49" s="162">
        <f>'3.05'!F20</f>
        <v>0.3911</v>
      </c>
      <c r="E49" s="162"/>
    </row>
    <row r="50" spans="1:5" ht="12.75">
      <c r="A50" s="160">
        <v>4</v>
      </c>
      <c r="B50" s="161" t="s">
        <v>134</v>
      </c>
      <c r="C50" s="162">
        <f>'3.05'!E36</f>
        <v>0.6651</v>
      </c>
      <c r="D50" s="162">
        <f>'3.05'!F36</f>
        <v>0.3349</v>
      </c>
      <c r="E50" s="162"/>
    </row>
    <row r="51" spans="1:5" ht="12.75">
      <c r="A51" s="164">
        <v>5</v>
      </c>
      <c r="B51" s="165" t="s">
        <v>135</v>
      </c>
      <c r="C51" s="166">
        <f>'3.05'!E41</f>
        <v>0.6731</v>
      </c>
      <c r="D51" s="166">
        <f>'3.05'!F41</f>
        <v>0.3269</v>
      </c>
      <c r="E51" s="166"/>
    </row>
  </sheetData>
  <sheetProtection/>
  <mergeCells count="1">
    <mergeCell ref="A1:E1"/>
  </mergeCells>
  <printOptions horizontalCentered="1"/>
  <pageMargins left="0.5" right="0.5" top="0.5" bottom="0.25" header="0.35" footer="0.5"/>
  <pageSetup fitToHeight="2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Navigant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</dc:title>
  <dc:subject/>
  <dc:creator>S Cartwright</dc:creator>
  <cp:keywords/>
  <dc:description/>
  <cp:lastModifiedBy>miov</cp:lastModifiedBy>
  <cp:lastPrinted>2012-01-12T17:35:33Z</cp:lastPrinted>
  <dcterms:created xsi:type="dcterms:W3CDTF">2003-09-19T18:27:45Z</dcterms:created>
  <dcterms:modified xsi:type="dcterms:W3CDTF">2012-01-12T17:35:42Z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